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hidePivotFieldList="1"/>
  <mc:AlternateContent xmlns:mc="http://schemas.openxmlformats.org/markup-compatibility/2006">
    <mc:Choice Requires="x15">
      <x15ac:absPath xmlns:x15ac="http://schemas.microsoft.com/office/spreadsheetml/2010/11/ac" url="https://inkada.sharepoint.com/Gedeelde documenten/10 Projecten/Rijnlands Lyceum/Schoonmaak ESH Secondary School 2021/Bestek/"/>
    </mc:Choice>
  </mc:AlternateContent>
  <xr:revisionPtr revIDLastSave="19" documentId="13_ncr:1_{8F1C4EE5-A9E0-487E-BCD6-E2B847FB8B90}" xr6:coauthVersionLast="46" xr6:coauthVersionMax="46" xr10:uidLastSave="{D160BCBE-26BD-43B1-AF71-1A00638BF333}"/>
  <bookViews>
    <workbookView xWindow="28680" yWindow="-120" windowWidth="29040" windowHeight="15990" tabRatio="790" firstSheet="1" activeTab="5" xr2:uid="{00000000-000D-0000-FFFF-FFFF00000000}"/>
  </bookViews>
  <sheets>
    <sheet name="Werkprogramma" sheetId="21" r:id="rId1"/>
    <sheet name="Tariefsopbouw" sheetId="2" r:id="rId2"/>
    <sheet name="Overnamegegevens" sheetId="28" r:id="rId3"/>
    <sheet name="Programma" sheetId="29" r:id="rId4"/>
    <sheet name="Prestatiefactoren" sheetId="11" r:id="rId5"/>
    <sheet name="Ruimtestaat" sheetId="13" r:id="rId6"/>
    <sheet name="Vloeronderhoud" sheetId="25" r:id="rId7"/>
    <sheet name="Glasbewassing" sheetId="22" r:id="rId8"/>
    <sheet name="sanitair" sheetId="30" r:id="rId9"/>
    <sheet name="Regie en afroep" sheetId="24" r:id="rId10"/>
    <sheet name="Totalisatie" sheetId="19" r:id="rId11"/>
  </sheets>
  <externalReferences>
    <externalReference r:id="rId12"/>
    <externalReference r:id="rId13"/>
  </externalReferences>
  <definedNames>
    <definedName name="_1F" localSheetId="6" hidden="1">[1]Psychiatrie!#REF!</definedName>
    <definedName name="_1F" hidden="1">[1]Psychiatrie!#REF!</definedName>
    <definedName name="_2_0_F" localSheetId="6" hidden="1">[1]Psychiatrie!#REF!</definedName>
    <definedName name="_2_0_F" hidden="1">[1]Psychiatrie!#REF!</definedName>
    <definedName name="_Dist_Bin" localSheetId="6" hidden="1">#REF!</definedName>
    <definedName name="_Dist_Bin" hidden="1">#REF!</definedName>
    <definedName name="_Dist_Values" localSheetId="6" hidden="1">#REF!</definedName>
    <definedName name="_Dist_Values" hidden="1">#REF!</definedName>
    <definedName name="_Fill" localSheetId="6" hidden="1">'[2]#REF'!#REF!</definedName>
    <definedName name="_Fill" hidden="1">'[2]#REF'!#REF!</definedName>
    <definedName name="_xlnm._FilterDatabase" localSheetId="10" hidden="1">Totalisatie!#REF!</definedName>
    <definedName name="_Key1" localSheetId="6" hidden="1">'[2]#REF'!#REF!</definedName>
    <definedName name="_Key1" hidden="1">'[2]#REF'!#REF!</definedName>
    <definedName name="_Order1" hidden="1">255</definedName>
    <definedName name="_Sort" localSheetId="6" hidden="1">#REF!</definedName>
    <definedName name="_Sort" hidden="1">#REF!</definedName>
    <definedName name="_Table1_In1" localSheetId="6" hidden="1">#REF!</definedName>
    <definedName name="_Table1_In1" hidden="1">#REF!</definedName>
    <definedName name="_Table1_Out" localSheetId="6" hidden="1">#REF!</definedName>
    <definedName name="_Table1_Out" hidden="1">#REF!</definedName>
    <definedName name="AccessDatabase" hidden="1">"C:\data\excel\BASISWP.mdb"</definedName>
    <definedName name="_xlnm.Print_Area" localSheetId="7">Glasbewassing!$A$1:$I$30</definedName>
    <definedName name="_xlnm.Print_Area" localSheetId="4">Prestatiefactoren!$A$1:$F$54</definedName>
    <definedName name="_xlnm.Print_Area" localSheetId="9">'Regie en afroep'!$A$1:$I$38</definedName>
    <definedName name="_xlnm.Print_Area" localSheetId="5">'Ruimtestaat'!$A$1:$BW$235</definedName>
    <definedName name="_xlnm.Print_Area" localSheetId="1">Tariefsopbouw!$A$1:$Q$41</definedName>
    <definedName name="_xlnm.Print_Area" localSheetId="10">Totalisatie!$A$1:$H$35</definedName>
    <definedName name="_xlnm.Print_Area" localSheetId="6">Vloeronderhoud!$A$1:$I$30</definedName>
    <definedName name="_xlnm.Print_Area" localSheetId="0">Werkprogramma!$A$1:$B$174</definedName>
    <definedName name="_xlnm.Print_Titles" localSheetId="5">'Ruimtestaat'!$2:$4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52" i="13" l="1"/>
  <c r="F11" i="19"/>
  <c r="K141" i="13"/>
  <c r="F12" i="30"/>
  <c r="G12" i="30"/>
  <c r="F12" i="19" l="1"/>
  <c r="F28" i="25"/>
  <c r="H28" i="25" s="1"/>
  <c r="D28" i="25"/>
  <c r="B28" i="25"/>
  <c r="E18" i="25"/>
  <c r="F18" i="25" s="1"/>
  <c r="G18" i="25" s="1"/>
  <c r="H18" i="25" s="1"/>
  <c r="I18" i="25" s="1"/>
  <c r="B187" i="13"/>
  <c r="B186" i="13"/>
  <c r="B185" i="13"/>
  <c r="B184" i="13"/>
  <c r="B182" i="13"/>
  <c r="B181" i="13"/>
  <c r="B180" i="13"/>
  <c r="E185" i="13"/>
  <c r="D185" i="13"/>
  <c r="C185" i="13"/>
  <c r="K112" i="13"/>
  <c r="P112" i="13"/>
  <c r="U112" i="13"/>
  <c r="V112" i="13" s="1"/>
  <c r="X112" i="13" s="1"/>
  <c r="Y112" i="13" s="1"/>
  <c r="Z112" i="13"/>
  <c r="AB112" i="13" s="1"/>
  <c r="AI112" i="13"/>
  <c r="AK112" i="13" s="1"/>
  <c r="BD112" i="13"/>
  <c r="BF112" i="13" s="1"/>
  <c r="K107" i="13"/>
  <c r="P107" i="13"/>
  <c r="U107" i="13"/>
  <c r="V107" i="13" s="1"/>
  <c r="X107" i="13" s="1"/>
  <c r="Y107" i="13" s="1"/>
  <c r="Z107" i="13"/>
  <c r="AB107" i="13" s="1"/>
  <c r="AI107" i="13"/>
  <c r="AK107" i="13" s="1"/>
  <c r="BD107" i="13"/>
  <c r="BG107" i="13" s="1"/>
  <c r="K185" i="13"/>
  <c r="P185" i="13"/>
  <c r="U185" i="13"/>
  <c r="W185" i="13" s="1"/>
  <c r="Z185" i="13"/>
  <c r="AA185" i="13" s="1"/>
  <c r="AC185" i="13" s="1"/>
  <c r="AI185" i="13"/>
  <c r="AL185" i="13" s="1"/>
  <c r="BD185" i="13"/>
  <c r="BG185" i="13" s="1"/>
  <c r="E11" i="25"/>
  <c r="F11" i="25" s="1"/>
  <c r="G11" i="25" s="1"/>
  <c r="H11" i="25" s="1"/>
  <c r="I11" i="25" s="1"/>
  <c r="V185" i="13" l="1"/>
  <c r="X185" i="13" s="1"/>
  <c r="Y185" i="13" s="1"/>
  <c r="AA107" i="13"/>
  <c r="AC107" i="13" s="1"/>
  <c r="AU112" i="13"/>
  <c r="AM112" i="13"/>
  <c r="AZ112" i="13"/>
  <c r="AJ112" i="13"/>
  <c r="AY112" i="13"/>
  <c r="W112" i="13"/>
  <c r="AE112" i="13" s="1"/>
  <c r="AV107" i="13"/>
  <c r="BV107" i="13"/>
  <c r="AR107" i="13"/>
  <c r="BU112" i="13"/>
  <c r="BE107" i="13"/>
  <c r="AN107" i="13"/>
  <c r="BM112" i="13"/>
  <c r="AR112" i="13"/>
  <c r="AA112" i="13"/>
  <c r="AC112" i="13" s="1"/>
  <c r="AD112" i="13" s="1"/>
  <c r="AG112" i="13" s="1"/>
  <c r="BR112" i="13"/>
  <c r="BJ112" i="13"/>
  <c r="BH112" i="13"/>
  <c r="BQ112" i="13"/>
  <c r="AQ112" i="13"/>
  <c r="BV112" i="13"/>
  <c r="BN112" i="13"/>
  <c r="BE112" i="13"/>
  <c r="AV112" i="13"/>
  <c r="AN112" i="13"/>
  <c r="BQ107" i="13"/>
  <c r="AZ107" i="13"/>
  <c r="AJ107" i="13"/>
  <c r="BT112" i="13"/>
  <c r="BP112" i="13"/>
  <c r="BL112" i="13"/>
  <c r="BG112" i="13"/>
  <c r="BB112" i="13"/>
  <c r="AX112" i="13"/>
  <c r="AT112" i="13"/>
  <c r="AP112" i="13"/>
  <c r="AL112" i="13"/>
  <c r="BK107" i="13"/>
  <c r="W107" i="13"/>
  <c r="AE107" i="13" s="1"/>
  <c r="BW112" i="13"/>
  <c r="BS112" i="13"/>
  <c r="BO112" i="13"/>
  <c r="BK112" i="13"/>
  <c r="BA112" i="13"/>
  <c r="AW112" i="13"/>
  <c r="AS112" i="13"/>
  <c r="AO112" i="13"/>
  <c r="BU107" i="13"/>
  <c r="BO107" i="13"/>
  <c r="BJ107" i="13"/>
  <c r="BS107" i="13"/>
  <c r="BN107" i="13"/>
  <c r="BH107" i="13"/>
  <c r="BB107" i="13"/>
  <c r="AX107" i="13"/>
  <c r="AT107" i="13"/>
  <c r="AP107" i="13"/>
  <c r="AL107" i="13"/>
  <c r="AY107" i="13"/>
  <c r="AU107" i="13"/>
  <c r="AQ107" i="13"/>
  <c r="AM107" i="13"/>
  <c r="BW107" i="13"/>
  <c r="BR107" i="13"/>
  <c r="BM107" i="13"/>
  <c r="BF107" i="13"/>
  <c r="BA107" i="13"/>
  <c r="AW107" i="13"/>
  <c r="AS107" i="13"/>
  <c r="AO107" i="13"/>
  <c r="AF107" i="13"/>
  <c r="AD107" i="13"/>
  <c r="AG107" i="13" s="1"/>
  <c r="BT107" i="13"/>
  <c r="BP107" i="13"/>
  <c r="BL107" i="13"/>
  <c r="AB185" i="13"/>
  <c r="AE185" i="13" s="1"/>
  <c r="AY185" i="13"/>
  <c r="AS185" i="13"/>
  <c r="BK185" i="13"/>
  <c r="BV185" i="13"/>
  <c r="BQ185" i="13"/>
  <c r="BE185" i="13"/>
  <c r="AN185" i="13"/>
  <c r="AW185" i="13"/>
  <c r="AM185" i="13"/>
  <c r="BN185" i="13"/>
  <c r="BH185" i="13"/>
  <c r="BA185" i="13"/>
  <c r="AV185" i="13"/>
  <c r="AQ185" i="13"/>
  <c r="AK185" i="13"/>
  <c r="BU185" i="13"/>
  <c r="BO185" i="13"/>
  <c r="BJ185" i="13"/>
  <c r="AR185" i="13"/>
  <c r="BS185" i="13"/>
  <c r="BW185" i="13"/>
  <c r="BR185" i="13"/>
  <c r="BM185" i="13"/>
  <c r="BF185" i="13"/>
  <c r="AZ185" i="13"/>
  <c r="AU185" i="13"/>
  <c r="AO185" i="13"/>
  <c r="AJ185" i="13"/>
  <c r="AF185" i="13"/>
  <c r="AD185" i="13"/>
  <c r="AG185" i="13" s="1"/>
  <c r="BT185" i="13"/>
  <c r="BP185" i="13"/>
  <c r="BL185" i="13"/>
  <c r="BB185" i="13"/>
  <c r="AX185" i="13"/>
  <c r="AT185" i="13"/>
  <c r="AP185" i="13"/>
  <c r="BD235" i="13"/>
  <c r="AI235" i="13"/>
  <c r="BB235" i="13" s="1"/>
  <c r="Z235" i="13"/>
  <c r="AA235" i="13" s="1"/>
  <c r="AC235" i="13" s="1"/>
  <c r="AD235" i="13" s="1"/>
  <c r="U235" i="13"/>
  <c r="V235" i="13" s="1"/>
  <c r="X235" i="13" s="1"/>
  <c r="Y235" i="13" s="1"/>
  <c r="P235" i="13"/>
  <c r="BD234" i="13"/>
  <c r="BL234" i="13" s="1"/>
  <c r="AI234" i="13"/>
  <c r="AS234" i="13" s="1"/>
  <c r="Z234" i="13"/>
  <c r="AB234" i="13" s="1"/>
  <c r="U234" i="13"/>
  <c r="W234" i="13" s="1"/>
  <c r="P234" i="13"/>
  <c r="BD233" i="13"/>
  <c r="BO233" i="13" s="1"/>
  <c r="AI233" i="13"/>
  <c r="Z233" i="13"/>
  <c r="AB233" i="13" s="1"/>
  <c r="U233" i="13"/>
  <c r="V233" i="13" s="1"/>
  <c r="X233" i="13" s="1"/>
  <c r="Y233" i="13" s="1"/>
  <c r="P233" i="13"/>
  <c r="BD232" i="13"/>
  <c r="AI232" i="13"/>
  <c r="AS232" i="13" s="1"/>
  <c r="Z232" i="13"/>
  <c r="AB232" i="13" s="1"/>
  <c r="U232" i="13"/>
  <c r="V232" i="13" s="1"/>
  <c r="X232" i="13" s="1"/>
  <c r="Y232" i="13" s="1"/>
  <c r="P232" i="13"/>
  <c r="BD231" i="13"/>
  <c r="BJ231" i="13" s="1"/>
  <c r="AI231" i="13"/>
  <c r="AT231" i="13" s="1"/>
  <c r="Z231" i="13"/>
  <c r="AB231" i="13" s="1"/>
  <c r="U231" i="13"/>
  <c r="V231" i="13" s="1"/>
  <c r="X231" i="13" s="1"/>
  <c r="Y231" i="13" s="1"/>
  <c r="P231" i="13"/>
  <c r="BD230" i="13"/>
  <c r="BO230" i="13" s="1"/>
  <c r="AI230" i="13"/>
  <c r="AX230" i="13" s="1"/>
  <c r="Z230" i="13"/>
  <c r="U230" i="13"/>
  <c r="V230" i="13" s="1"/>
  <c r="X230" i="13" s="1"/>
  <c r="Y230" i="13" s="1"/>
  <c r="P230" i="13"/>
  <c r="BD229" i="13"/>
  <c r="BP229" i="13" s="1"/>
  <c r="AI229" i="13"/>
  <c r="AZ229" i="13" s="1"/>
  <c r="Z229" i="13"/>
  <c r="U229" i="13"/>
  <c r="V229" i="13" s="1"/>
  <c r="X229" i="13" s="1"/>
  <c r="Y229" i="13" s="1"/>
  <c r="P229" i="13"/>
  <c r="BD228" i="13"/>
  <c r="AI228" i="13"/>
  <c r="AX228" i="13" s="1"/>
  <c r="Z228" i="13"/>
  <c r="AB228" i="13" s="1"/>
  <c r="U228" i="13"/>
  <c r="P228" i="13"/>
  <c r="BD227" i="13"/>
  <c r="AI227" i="13"/>
  <c r="AY227" i="13" s="1"/>
  <c r="Z227" i="13"/>
  <c r="AB227" i="13" s="1"/>
  <c r="U227" i="13"/>
  <c r="P227" i="13"/>
  <c r="BD226" i="13"/>
  <c r="BV226" i="13" s="1"/>
  <c r="AI226" i="13"/>
  <c r="AP226" i="13" s="1"/>
  <c r="Z226" i="13"/>
  <c r="AB226" i="13" s="1"/>
  <c r="U226" i="13"/>
  <c r="V226" i="13" s="1"/>
  <c r="X226" i="13" s="1"/>
  <c r="Y226" i="13" s="1"/>
  <c r="P226" i="13"/>
  <c r="BD225" i="13"/>
  <c r="AI225" i="13"/>
  <c r="BA225" i="13" s="1"/>
  <c r="Z225" i="13"/>
  <c r="AB225" i="13" s="1"/>
  <c r="U225" i="13"/>
  <c r="P225" i="13"/>
  <c r="BD224" i="13"/>
  <c r="BO224" i="13" s="1"/>
  <c r="AI224" i="13"/>
  <c r="BB224" i="13" s="1"/>
  <c r="Z224" i="13"/>
  <c r="AB224" i="13" s="1"/>
  <c r="U224" i="13"/>
  <c r="V224" i="13" s="1"/>
  <c r="X224" i="13" s="1"/>
  <c r="Y224" i="13" s="1"/>
  <c r="P224" i="13"/>
  <c r="BD223" i="13"/>
  <c r="AI223" i="13"/>
  <c r="AT223" i="13" s="1"/>
  <c r="Z223" i="13"/>
  <c r="AB223" i="13" s="1"/>
  <c r="U223" i="13"/>
  <c r="P223" i="13"/>
  <c r="BD222" i="13"/>
  <c r="BU222" i="13" s="1"/>
  <c r="AI222" i="13"/>
  <c r="AT222" i="13" s="1"/>
  <c r="Z222" i="13"/>
  <c r="AB222" i="13" s="1"/>
  <c r="U222" i="13"/>
  <c r="V222" i="13" s="1"/>
  <c r="X222" i="13" s="1"/>
  <c r="Y222" i="13" s="1"/>
  <c r="P222" i="13"/>
  <c r="BD221" i="13"/>
  <c r="BU221" i="13" s="1"/>
  <c r="AI221" i="13"/>
  <c r="BA221" i="13" s="1"/>
  <c r="Z221" i="13"/>
  <c r="AB221" i="13" s="1"/>
  <c r="U221" i="13"/>
  <c r="V221" i="13" s="1"/>
  <c r="X221" i="13" s="1"/>
  <c r="Y221" i="13" s="1"/>
  <c r="P221" i="13"/>
  <c r="BD220" i="13"/>
  <c r="BO220" i="13" s="1"/>
  <c r="AI220" i="13"/>
  <c r="AX220" i="13" s="1"/>
  <c r="Z220" i="13"/>
  <c r="AB220" i="13" s="1"/>
  <c r="U220" i="13"/>
  <c r="P220" i="13"/>
  <c r="BD219" i="13"/>
  <c r="BT219" i="13" s="1"/>
  <c r="AI219" i="13"/>
  <c r="AX219" i="13" s="1"/>
  <c r="Z219" i="13"/>
  <c r="U219" i="13"/>
  <c r="P219" i="13"/>
  <c r="BD218" i="13"/>
  <c r="AI218" i="13"/>
  <c r="Z218" i="13"/>
  <c r="U218" i="13"/>
  <c r="P218" i="13"/>
  <c r="BD217" i="13"/>
  <c r="AI217" i="13"/>
  <c r="BA217" i="13" s="1"/>
  <c r="Z217" i="13"/>
  <c r="AB217" i="13" s="1"/>
  <c r="U217" i="13"/>
  <c r="V217" i="13" s="1"/>
  <c r="X217" i="13" s="1"/>
  <c r="Y217" i="13" s="1"/>
  <c r="P217" i="13"/>
  <c r="BD216" i="13"/>
  <c r="BO216" i="13" s="1"/>
  <c r="AI216" i="13"/>
  <c r="BB216" i="13" s="1"/>
  <c r="Z216" i="13"/>
  <c r="U216" i="13"/>
  <c r="V216" i="13" s="1"/>
  <c r="X216" i="13" s="1"/>
  <c r="Y216" i="13" s="1"/>
  <c r="P216" i="13"/>
  <c r="BD215" i="13"/>
  <c r="BO215" i="13" s="1"/>
  <c r="AI215" i="13"/>
  <c r="Z215" i="13"/>
  <c r="AB215" i="13" s="1"/>
  <c r="U215" i="13"/>
  <c r="V215" i="13" s="1"/>
  <c r="X215" i="13" s="1"/>
  <c r="Y215" i="13" s="1"/>
  <c r="P215" i="13"/>
  <c r="BD214" i="13"/>
  <c r="BM214" i="13" s="1"/>
  <c r="AI214" i="13"/>
  <c r="BA214" i="13" s="1"/>
  <c r="Z214" i="13"/>
  <c r="AB214" i="13" s="1"/>
  <c r="U214" i="13"/>
  <c r="P214" i="13"/>
  <c r="BD213" i="13"/>
  <c r="BG213" i="13" s="1"/>
  <c r="AI213" i="13"/>
  <c r="BA213" i="13" s="1"/>
  <c r="Z213" i="13"/>
  <c r="AB213" i="13" s="1"/>
  <c r="U213" i="13"/>
  <c r="P213" i="13"/>
  <c r="BD212" i="13"/>
  <c r="BO212" i="13" s="1"/>
  <c r="AI212" i="13"/>
  <c r="AW212" i="13" s="1"/>
  <c r="Z212" i="13"/>
  <c r="AB212" i="13" s="1"/>
  <c r="U212" i="13"/>
  <c r="P212" i="13"/>
  <c r="BD211" i="13"/>
  <c r="BV211" i="13" s="1"/>
  <c r="AI211" i="13"/>
  <c r="Z211" i="13"/>
  <c r="AB211" i="13" s="1"/>
  <c r="U211" i="13"/>
  <c r="V211" i="13" s="1"/>
  <c r="X211" i="13" s="1"/>
  <c r="Y211" i="13" s="1"/>
  <c r="P211" i="13"/>
  <c r="BD210" i="13"/>
  <c r="BO210" i="13" s="1"/>
  <c r="AI210" i="13"/>
  <c r="AZ210" i="13" s="1"/>
  <c r="Z210" i="13"/>
  <c r="U210" i="13"/>
  <c r="V210" i="13" s="1"/>
  <c r="X210" i="13" s="1"/>
  <c r="Y210" i="13" s="1"/>
  <c r="P210" i="13"/>
  <c r="BD209" i="13"/>
  <c r="BO209" i="13" s="1"/>
  <c r="AI209" i="13"/>
  <c r="AY209" i="13" s="1"/>
  <c r="Z209" i="13"/>
  <c r="U209" i="13"/>
  <c r="V209" i="13" s="1"/>
  <c r="X209" i="13" s="1"/>
  <c r="Y209" i="13" s="1"/>
  <c r="P209" i="13"/>
  <c r="BD208" i="13"/>
  <c r="BM208" i="13" s="1"/>
  <c r="AI208" i="13"/>
  <c r="AT208" i="13" s="1"/>
  <c r="Z208" i="13"/>
  <c r="AB208" i="13" s="1"/>
  <c r="U208" i="13"/>
  <c r="P208" i="13"/>
  <c r="BD207" i="13"/>
  <c r="BU207" i="13" s="1"/>
  <c r="AI207" i="13"/>
  <c r="Z207" i="13"/>
  <c r="U207" i="13"/>
  <c r="V207" i="13" s="1"/>
  <c r="X207" i="13" s="1"/>
  <c r="Y207" i="13" s="1"/>
  <c r="P207" i="13"/>
  <c r="BD206" i="13"/>
  <c r="BM206" i="13" s="1"/>
  <c r="AI206" i="13"/>
  <c r="AR206" i="13" s="1"/>
  <c r="Z206" i="13"/>
  <c r="AA206" i="13" s="1"/>
  <c r="AC206" i="13" s="1"/>
  <c r="U206" i="13"/>
  <c r="P206" i="13"/>
  <c r="BD205" i="13"/>
  <c r="AI205" i="13"/>
  <c r="AV205" i="13" s="1"/>
  <c r="Z205" i="13"/>
  <c r="AB205" i="13" s="1"/>
  <c r="U205" i="13"/>
  <c r="V205" i="13" s="1"/>
  <c r="X205" i="13" s="1"/>
  <c r="Y205" i="13" s="1"/>
  <c r="P205" i="13"/>
  <c r="BD204" i="13"/>
  <c r="BO204" i="13" s="1"/>
  <c r="AI204" i="13"/>
  <c r="Z204" i="13"/>
  <c r="U204" i="13"/>
  <c r="V204" i="13" s="1"/>
  <c r="X204" i="13" s="1"/>
  <c r="Y204" i="13" s="1"/>
  <c r="P204" i="13"/>
  <c r="BD203" i="13"/>
  <c r="BM203" i="13" s="1"/>
  <c r="AI203" i="13"/>
  <c r="BA203" i="13" s="1"/>
  <c r="Z203" i="13"/>
  <c r="U203" i="13"/>
  <c r="V203" i="13" s="1"/>
  <c r="X203" i="13" s="1"/>
  <c r="Y203" i="13" s="1"/>
  <c r="P203" i="13"/>
  <c r="BD202" i="13"/>
  <c r="BO202" i="13" s="1"/>
  <c r="AI202" i="13"/>
  <c r="AK202" i="13" s="1"/>
  <c r="Z202" i="13"/>
  <c r="U202" i="13"/>
  <c r="V202" i="13" s="1"/>
  <c r="X202" i="13" s="1"/>
  <c r="Y202" i="13" s="1"/>
  <c r="P202" i="13"/>
  <c r="BD201" i="13"/>
  <c r="AI201" i="13"/>
  <c r="AV201" i="13" s="1"/>
  <c r="Z201" i="13"/>
  <c r="AB201" i="13" s="1"/>
  <c r="U201" i="13"/>
  <c r="P201" i="13"/>
  <c r="BD200" i="13"/>
  <c r="BO200" i="13" s="1"/>
  <c r="AI200" i="13"/>
  <c r="Z200" i="13"/>
  <c r="AB200" i="13" s="1"/>
  <c r="U200" i="13"/>
  <c r="V200" i="13" s="1"/>
  <c r="X200" i="13" s="1"/>
  <c r="Y200" i="13" s="1"/>
  <c r="P200" i="13"/>
  <c r="BD199" i="13"/>
  <c r="BO199" i="13" s="1"/>
  <c r="AI199" i="13"/>
  <c r="BA199" i="13" s="1"/>
  <c r="Z199" i="13"/>
  <c r="AB199" i="13" s="1"/>
  <c r="U199" i="13"/>
  <c r="V199" i="13" s="1"/>
  <c r="X199" i="13" s="1"/>
  <c r="Y199" i="13" s="1"/>
  <c r="P199" i="13"/>
  <c r="BD198" i="13"/>
  <c r="BO198" i="13" s="1"/>
  <c r="AI198" i="13"/>
  <c r="AW198" i="13" s="1"/>
  <c r="Z198" i="13"/>
  <c r="U198" i="13"/>
  <c r="V198" i="13" s="1"/>
  <c r="X198" i="13" s="1"/>
  <c r="Y198" i="13" s="1"/>
  <c r="P198" i="13"/>
  <c r="BD197" i="13"/>
  <c r="BV197" i="13" s="1"/>
  <c r="AI197" i="13"/>
  <c r="AZ197" i="13" s="1"/>
  <c r="Z197" i="13"/>
  <c r="AB197" i="13" s="1"/>
  <c r="U197" i="13"/>
  <c r="P197" i="13"/>
  <c r="BD196" i="13"/>
  <c r="AI196" i="13"/>
  <c r="AV196" i="13" s="1"/>
  <c r="Z196" i="13"/>
  <c r="U196" i="13"/>
  <c r="V196" i="13" s="1"/>
  <c r="X196" i="13" s="1"/>
  <c r="Y196" i="13" s="1"/>
  <c r="P196" i="13"/>
  <c r="BD195" i="13"/>
  <c r="BO195" i="13" s="1"/>
  <c r="AI195" i="13"/>
  <c r="AX195" i="13" s="1"/>
  <c r="Z195" i="13"/>
  <c r="AB195" i="13" s="1"/>
  <c r="U195" i="13"/>
  <c r="P195" i="13"/>
  <c r="BD194" i="13"/>
  <c r="BS194" i="13" s="1"/>
  <c r="AI194" i="13"/>
  <c r="AW194" i="13" s="1"/>
  <c r="Z194" i="13"/>
  <c r="AB194" i="13" s="1"/>
  <c r="U194" i="13"/>
  <c r="V194" i="13" s="1"/>
  <c r="X194" i="13" s="1"/>
  <c r="Y194" i="13" s="1"/>
  <c r="P194" i="13"/>
  <c r="BD193" i="13"/>
  <c r="AI193" i="13"/>
  <c r="AV193" i="13" s="1"/>
  <c r="Z193" i="13"/>
  <c r="AB193" i="13" s="1"/>
  <c r="U193" i="13"/>
  <c r="P193" i="13"/>
  <c r="BD192" i="13"/>
  <c r="BP192" i="13" s="1"/>
  <c r="AI192" i="13"/>
  <c r="AZ192" i="13" s="1"/>
  <c r="Z192" i="13"/>
  <c r="AB192" i="13" s="1"/>
  <c r="U192" i="13"/>
  <c r="P192" i="13"/>
  <c r="BD191" i="13"/>
  <c r="AI191" i="13"/>
  <c r="AQ191" i="13" s="1"/>
  <c r="Z191" i="13"/>
  <c r="AB191" i="13" s="1"/>
  <c r="U191" i="13"/>
  <c r="P191" i="13"/>
  <c r="BD190" i="13"/>
  <c r="BP190" i="13" s="1"/>
  <c r="AI190" i="13"/>
  <c r="AW190" i="13" s="1"/>
  <c r="Z190" i="13"/>
  <c r="AB190" i="13" s="1"/>
  <c r="U190" i="13"/>
  <c r="P190" i="13"/>
  <c r="BD189" i="13"/>
  <c r="AI189" i="13"/>
  <c r="BA189" i="13" s="1"/>
  <c r="Z189" i="13"/>
  <c r="AB189" i="13" s="1"/>
  <c r="U189" i="13"/>
  <c r="W189" i="13" s="1"/>
  <c r="P189" i="13"/>
  <c r="BD188" i="13"/>
  <c r="BJ188" i="13" s="1"/>
  <c r="AI188" i="13"/>
  <c r="AQ188" i="13" s="1"/>
  <c r="Z188" i="13"/>
  <c r="AB188" i="13" s="1"/>
  <c r="U188" i="13"/>
  <c r="W188" i="13" s="1"/>
  <c r="P188" i="13"/>
  <c r="BD187" i="13"/>
  <c r="AI187" i="13"/>
  <c r="Z187" i="13"/>
  <c r="AB187" i="13" s="1"/>
  <c r="U187" i="13"/>
  <c r="W187" i="13" s="1"/>
  <c r="P187" i="13"/>
  <c r="BD186" i="13"/>
  <c r="AI186" i="13"/>
  <c r="AZ186" i="13" s="1"/>
  <c r="Z186" i="13"/>
  <c r="AB186" i="13" s="1"/>
  <c r="U186" i="13"/>
  <c r="W186" i="13" s="1"/>
  <c r="P186" i="13"/>
  <c r="BD184" i="13"/>
  <c r="BV184" i="13" s="1"/>
  <c r="AI184" i="13"/>
  <c r="AZ184" i="13" s="1"/>
  <c r="Z184" i="13"/>
  <c r="AB184" i="13" s="1"/>
  <c r="U184" i="13"/>
  <c r="W184" i="13" s="1"/>
  <c r="P184" i="13"/>
  <c r="BD183" i="13"/>
  <c r="BJ183" i="13" s="1"/>
  <c r="AI183" i="13"/>
  <c r="BB183" i="13" s="1"/>
  <c r="Z183" i="13"/>
  <c r="AB183" i="13" s="1"/>
  <c r="U183" i="13"/>
  <c r="W183" i="13" s="1"/>
  <c r="P183" i="13"/>
  <c r="BD182" i="13"/>
  <c r="BV182" i="13" s="1"/>
  <c r="AI182" i="13"/>
  <c r="AK182" i="13" s="1"/>
  <c r="Z182" i="13"/>
  <c r="U182" i="13"/>
  <c r="W182" i="13" s="1"/>
  <c r="P182" i="13"/>
  <c r="BD181" i="13"/>
  <c r="AI181" i="13"/>
  <c r="AY181" i="13" s="1"/>
  <c r="Z181" i="13"/>
  <c r="U181" i="13"/>
  <c r="W181" i="13" s="1"/>
  <c r="P181" i="13"/>
  <c r="BD180" i="13"/>
  <c r="AI180" i="13"/>
  <c r="AZ180" i="13" s="1"/>
  <c r="Z180" i="13"/>
  <c r="U180" i="13"/>
  <c r="W180" i="13" s="1"/>
  <c r="P180" i="13"/>
  <c r="BD179" i="13"/>
  <c r="AI179" i="13"/>
  <c r="AM179" i="13" s="1"/>
  <c r="Z179" i="13"/>
  <c r="U179" i="13"/>
  <c r="W179" i="13" s="1"/>
  <c r="P179" i="13"/>
  <c r="BD178" i="13"/>
  <c r="AI178" i="13"/>
  <c r="AJ178" i="13" s="1"/>
  <c r="Z178" i="13"/>
  <c r="U178" i="13"/>
  <c r="P178" i="13"/>
  <c r="BD177" i="13"/>
  <c r="AI177" i="13"/>
  <c r="BA177" i="13" s="1"/>
  <c r="Z177" i="13"/>
  <c r="U177" i="13"/>
  <c r="V177" i="13" s="1"/>
  <c r="X177" i="13" s="1"/>
  <c r="Y177" i="13" s="1"/>
  <c r="P177" i="13"/>
  <c r="BD176" i="13"/>
  <c r="BR176" i="13" s="1"/>
  <c r="AI176" i="13"/>
  <c r="Z176" i="13"/>
  <c r="U176" i="13"/>
  <c r="P176" i="13"/>
  <c r="BD175" i="13"/>
  <c r="AI175" i="13"/>
  <c r="AW175" i="13" s="1"/>
  <c r="Z175" i="13"/>
  <c r="AA175" i="13" s="1"/>
  <c r="AC175" i="13" s="1"/>
  <c r="AD175" i="13" s="1"/>
  <c r="U175" i="13"/>
  <c r="P175" i="13"/>
  <c r="BD174" i="13"/>
  <c r="BO174" i="13" s="1"/>
  <c r="AI174" i="13"/>
  <c r="Z174" i="13"/>
  <c r="AB174" i="13" s="1"/>
  <c r="U174" i="13"/>
  <c r="P174" i="13"/>
  <c r="BD173" i="13"/>
  <c r="BV173" i="13" s="1"/>
  <c r="AI173" i="13"/>
  <c r="Z173" i="13"/>
  <c r="U173" i="13"/>
  <c r="P173" i="13"/>
  <c r="BD172" i="13"/>
  <c r="AI172" i="13"/>
  <c r="AX172" i="13" s="1"/>
  <c r="Z172" i="13"/>
  <c r="AA172" i="13" s="1"/>
  <c r="AC172" i="13" s="1"/>
  <c r="AD172" i="13" s="1"/>
  <c r="U172" i="13"/>
  <c r="W172" i="13" s="1"/>
  <c r="P172" i="13"/>
  <c r="BD171" i="13"/>
  <c r="BT171" i="13" s="1"/>
  <c r="AI171" i="13"/>
  <c r="AX171" i="13" s="1"/>
  <c r="Z171" i="13"/>
  <c r="AA171" i="13" s="1"/>
  <c r="AC171" i="13" s="1"/>
  <c r="AD171" i="13" s="1"/>
  <c r="U171" i="13"/>
  <c r="W171" i="13" s="1"/>
  <c r="P171" i="13"/>
  <c r="BD170" i="13"/>
  <c r="BI170" i="13" s="1"/>
  <c r="AI170" i="13"/>
  <c r="Z170" i="13"/>
  <c r="AB170" i="13" s="1"/>
  <c r="U170" i="13"/>
  <c r="W170" i="13" s="1"/>
  <c r="P170" i="13"/>
  <c r="BD169" i="13"/>
  <c r="BS169" i="13" s="1"/>
  <c r="AI169" i="13"/>
  <c r="AR169" i="13" s="1"/>
  <c r="Z169" i="13"/>
  <c r="AB169" i="13" s="1"/>
  <c r="U169" i="13"/>
  <c r="P169" i="13"/>
  <c r="BD168" i="13"/>
  <c r="BV168" i="13" s="1"/>
  <c r="AI168" i="13"/>
  <c r="AR168" i="13" s="1"/>
  <c r="Z168" i="13"/>
  <c r="U168" i="13"/>
  <c r="W168" i="13" s="1"/>
  <c r="P168" i="13"/>
  <c r="BD167" i="13"/>
  <c r="BH167" i="13" s="1"/>
  <c r="AI167" i="13"/>
  <c r="AW167" i="13" s="1"/>
  <c r="Z167" i="13"/>
  <c r="AB167" i="13" s="1"/>
  <c r="U167" i="13"/>
  <c r="W167" i="13" s="1"/>
  <c r="P167" i="13"/>
  <c r="BD166" i="13"/>
  <c r="BO166" i="13" s="1"/>
  <c r="AI166" i="13"/>
  <c r="AR166" i="13" s="1"/>
  <c r="Z166" i="13"/>
  <c r="AA166" i="13" s="1"/>
  <c r="AC166" i="13" s="1"/>
  <c r="U166" i="13"/>
  <c r="P166" i="13"/>
  <c r="BD165" i="13"/>
  <c r="AI165" i="13"/>
  <c r="Z165" i="13"/>
  <c r="AA165" i="13" s="1"/>
  <c r="AC165" i="13" s="1"/>
  <c r="U165" i="13"/>
  <c r="W165" i="13" s="1"/>
  <c r="P165" i="13"/>
  <c r="BD164" i="13"/>
  <c r="BT164" i="13" s="1"/>
  <c r="AI164" i="13"/>
  <c r="AL164" i="13" s="1"/>
  <c r="Z164" i="13"/>
  <c r="U164" i="13"/>
  <c r="W164" i="13" s="1"/>
  <c r="P164" i="13"/>
  <c r="BD163" i="13"/>
  <c r="BW163" i="13" s="1"/>
  <c r="AI163" i="13"/>
  <c r="AX163" i="13" s="1"/>
  <c r="Z163" i="13"/>
  <c r="U163" i="13"/>
  <c r="W163" i="13" s="1"/>
  <c r="P163" i="13"/>
  <c r="BD162" i="13"/>
  <c r="BT162" i="13" s="1"/>
  <c r="AI162" i="13"/>
  <c r="AW162" i="13" s="1"/>
  <c r="Z162" i="13"/>
  <c r="AB162" i="13" s="1"/>
  <c r="U162" i="13"/>
  <c r="W162" i="13" s="1"/>
  <c r="P162" i="13"/>
  <c r="BD161" i="13"/>
  <c r="BT161" i="13" s="1"/>
  <c r="AI161" i="13"/>
  <c r="AX161" i="13" s="1"/>
  <c r="Z161" i="13"/>
  <c r="AB161" i="13" s="1"/>
  <c r="U161" i="13"/>
  <c r="W161" i="13" s="1"/>
  <c r="P161" i="13"/>
  <c r="BD160" i="13"/>
  <c r="AI160" i="13"/>
  <c r="AW160" i="13" s="1"/>
  <c r="Z160" i="13"/>
  <c r="U160" i="13"/>
  <c r="W160" i="13" s="1"/>
  <c r="P160" i="13"/>
  <c r="BD159" i="13"/>
  <c r="BQ159" i="13" s="1"/>
  <c r="AI159" i="13"/>
  <c r="AX159" i="13" s="1"/>
  <c r="Z159" i="13"/>
  <c r="AB159" i="13" s="1"/>
  <c r="U159" i="13"/>
  <c r="W159" i="13" s="1"/>
  <c r="P159" i="13"/>
  <c r="BD158" i="13"/>
  <c r="BT158" i="13" s="1"/>
  <c r="AI158" i="13"/>
  <c r="Z158" i="13"/>
  <c r="AB158" i="13" s="1"/>
  <c r="U158" i="13"/>
  <c r="P158" i="13"/>
  <c r="BD157" i="13"/>
  <c r="BN157" i="13" s="1"/>
  <c r="AI157" i="13"/>
  <c r="AX157" i="13" s="1"/>
  <c r="Z157" i="13"/>
  <c r="U157" i="13"/>
  <c r="W157" i="13" s="1"/>
  <c r="P157" i="13"/>
  <c r="BD156" i="13"/>
  <c r="BW156" i="13" s="1"/>
  <c r="AI156" i="13"/>
  <c r="Z156" i="13"/>
  <c r="AA156" i="13" s="1"/>
  <c r="AC156" i="13" s="1"/>
  <c r="U156" i="13"/>
  <c r="P156" i="13"/>
  <c r="BD155" i="13"/>
  <c r="AI155" i="13"/>
  <c r="Z155" i="13"/>
  <c r="U155" i="13"/>
  <c r="W155" i="13" s="1"/>
  <c r="P155" i="13"/>
  <c r="BD154" i="13"/>
  <c r="BK154" i="13" s="1"/>
  <c r="AI154" i="13"/>
  <c r="Z154" i="13"/>
  <c r="AA154" i="13" s="1"/>
  <c r="AC154" i="13" s="1"/>
  <c r="U154" i="13"/>
  <c r="W154" i="13" s="1"/>
  <c r="P154" i="13"/>
  <c r="BD153" i="13"/>
  <c r="BV153" i="13" s="1"/>
  <c r="AI153" i="13"/>
  <c r="AW153" i="13" s="1"/>
  <c r="Z153" i="13"/>
  <c r="AB153" i="13" s="1"/>
  <c r="U153" i="13"/>
  <c r="W153" i="13" s="1"/>
  <c r="P153" i="13"/>
  <c r="BD152" i="13"/>
  <c r="BK152" i="13" s="1"/>
  <c r="AI152" i="13"/>
  <c r="AR152" i="13" s="1"/>
  <c r="Z152" i="13"/>
  <c r="AB152" i="13" s="1"/>
  <c r="U152" i="13"/>
  <c r="V152" i="13" s="1"/>
  <c r="X152" i="13" s="1"/>
  <c r="Y152" i="13" s="1"/>
  <c r="P152" i="13"/>
  <c r="BD151" i="13"/>
  <c r="BV151" i="13" s="1"/>
  <c r="AI151" i="13"/>
  <c r="AR151" i="13" s="1"/>
  <c r="Z151" i="13"/>
  <c r="AB151" i="13" s="1"/>
  <c r="U151" i="13"/>
  <c r="V151" i="13" s="1"/>
  <c r="X151" i="13" s="1"/>
  <c r="Y151" i="13" s="1"/>
  <c r="P151" i="13"/>
  <c r="BD150" i="13"/>
  <c r="BK150" i="13" s="1"/>
  <c r="AI150" i="13"/>
  <c r="Z150" i="13"/>
  <c r="AB150" i="13" s="1"/>
  <c r="U150" i="13"/>
  <c r="V150" i="13" s="1"/>
  <c r="X150" i="13" s="1"/>
  <c r="Y150" i="13" s="1"/>
  <c r="P150" i="13"/>
  <c r="BD149" i="13"/>
  <c r="BU149" i="13" s="1"/>
  <c r="AI149" i="13"/>
  <c r="Z149" i="13"/>
  <c r="AB149" i="13" s="1"/>
  <c r="U149" i="13"/>
  <c r="V149" i="13" s="1"/>
  <c r="X149" i="13" s="1"/>
  <c r="Y149" i="13" s="1"/>
  <c r="P149" i="13"/>
  <c r="BD148" i="13"/>
  <c r="AI148" i="13"/>
  <c r="AX148" i="13" s="1"/>
  <c r="Z148" i="13"/>
  <c r="AB148" i="13" s="1"/>
  <c r="U148" i="13"/>
  <c r="V148" i="13" s="1"/>
  <c r="X148" i="13" s="1"/>
  <c r="Y148" i="13" s="1"/>
  <c r="P148" i="13"/>
  <c r="BD147" i="13"/>
  <c r="AI147" i="13"/>
  <c r="AS147" i="13" s="1"/>
  <c r="Z147" i="13"/>
  <c r="AB147" i="13" s="1"/>
  <c r="U147" i="13"/>
  <c r="V147" i="13" s="1"/>
  <c r="X147" i="13" s="1"/>
  <c r="Y147" i="13" s="1"/>
  <c r="P147" i="13"/>
  <c r="BD146" i="13"/>
  <c r="BR146" i="13" s="1"/>
  <c r="AI146" i="13"/>
  <c r="AT146" i="13" s="1"/>
  <c r="Z146" i="13"/>
  <c r="AB146" i="13" s="1"/>
  <c r="U146" i="13"/>
  <c r="V146" i="13" s="1"/>
  <c r="X146" i="13" s="1"/>
  <c r="Y146" i="13" s="1"/>
  <c r="P146" i="13"/>
  <c r="BD145" i="13"/>
  <c r="BK145" i="13" s="1"/>
  <c r="AI145" i="13"/>
  <c r="BA145" i="13" s="1"/>
  <c r="Z145" i="13"/>
  <c r="AB145" i="13" s="1"/>
  <c r="U145" i="13"/>
  <c r="V145" i="13" s="1"/>
  <c r="X145" i="13" s="1"/>
  <c r="Y145" i="13" s="1"/>
  <c r="P145" i="13"/>
  <c r="BD144" i="13"/>
  <c r="BV144" i="13" s="1"/>
  <c r="AI144" i="13"/>
  <c r="AS144" i="13" s="1"/>
  <c r="Z144" i="13"/>
  <c r="AB144" i="13" s="1"/>
  <c r="U144" i="13"/>
  <c r="P144" i="13"/>
  <c r="BD143" i="13"/>
  <c r="BQ143" i="13" s="1"/>
  <c r="AI143" i="13"/>
  <c r="BA143" i="13" s="1"/>
  <c r="Z143" i="13"/>
  <c r="AB143" i="13" s="1"/>
  <c r="U143" i="13"/>
  <c r="V143" i="13" s="1"/>
  <c r="X143" i="13" s="1"/>
  <c r="Y143" i="13" s="1"/>
  <c r="P143" i="13"/>
  <c r="BD142" i="13"/>
  <c r="BV142" i="13" s="1"/>
  <c r="AI142" i="13"/>
  <c r="AQ142" i="13" s="1"/>
  <c r="Z142" i="13"/>
  <c r="AB142" i="13" s="1"/>
  <c r="U142" i="13"/>
  <c r="P142" i="13"/>
  <c r="BD141" i="13"/>
  <c r="AI141" i="13"/>
  <c r="AY141" i="13" s="1"/>
  <c r="Z141" i="13"/>
  <c r="AB141" i="13" s="1"/>
  <c r="U141" i="13"/>
  <c r="P141" i="13"/>
  <c r="BD140" i="13"/>
  <c r="AI140" i="13"/>
  <c r="AK140" i="13" s="1"/>
  <c r="Z140" i="13"/>
  <c r="AB140" i="13" s="1"/>
  <c r="U140" i="13"/>
  <c r="V140" i="13" s="1"/>
  <c r="X140" i="13" s="1"/>
  <c r="Y140" i="13" s="1"/>
  <c r="P140" i="13"/>
  <c r="BD139" i="13"/>
  <c r="BV139" i="13" s="1"/>
  <c r="AI139" i="13"/>
  <c r="AT139" i="13" s="1"/>
  <c r="Z139" i="13"/>
  <c r="AB139" i="13" s="1"/>
  <c r="U139" i="13"/>
  <c r="V139" i="13" s="1"/>
  <c r="X139" i="13" s="1"/>
  <c r="Y139" i="13" s="1"/>
  <c r="P139" i="13"/>
  <c r="BD138" i="13"/>
  <c r="BV138" i="13" s="1"/>
  <c r="AI138" i="13"/>
  <c r="AL138" i="13" s="1"/>
  <c r="Z138" i="13"/>
  <c r="AB138" i="13" s="1"/>
  <c r="U138" i="13"/>
  <c r="P138" i="13"/>
  <c r="BD137" i="13"/>
  <c r="BQ137" i="13" s="1"/>
  <c r="AI137" i="13"/>
  <c r="BA137" i="13" s="1"/>
  <c r="Z137" i="13"/>
  <c r="AB137" i="13" s="1"/>
  <c r="U137" i="13"/>
  <c r="P137" i="13"/>
  <c r="BD136" i="13"/>
  <c r="BV136" i="13" s="1"/>
  <c r="AI136" i="13"/>
  <c r="AS136" i="13" s="1"/>
  <c r="Z136" i="13"/>
  <c r="AB136" i="13" s="1"/>
  <c r="U136" i="13"/>
  <c r="P136" i="13"/>
  <c r="BD135" i="13"/>
  <c r="AI135" i="13"/>
  <c r="AY135" i="13" s="1"/>
  <c r="Z135" i="13"/>
  <c r="AB135" i="13" s="1"/>
  <c r="U135" i="13"/>
  <c r="V135" i="13" s="1"/>
  <c r="X135" i="13" s="1"/>
  <c r="Y135" i="13" s="1"/>
  <c r="P135" i="13"/>
  <c r="BD134" i="13"/>
  <c r="BV134" i="13" s="1"/>
  <c r="AI134" i="13"/>
  <c r="AR134" i="13" s="1"/>
  <c r="Z134" i="13"/>
  <c r="AB134" i="13" s="1"/>
  <c r="U134" i="13"/>
  <c r="V134" i="13" s="1"/>
  <c r="X134" i="13" s="1"/>
  <c r="Y134" i="13" s="1"/>
  <c r="P134" i="13"/>
  <c r="BD133" i="13"/>
  <c r="BW133" i="13" s="1"/>
  <c r="AI133" i="13"/>
  <c r="AW133" i="13" s="1"/>
  <c r="Z133" i="13"/>
  <c r="AB133" i="13" s="1"/>
  <c r="U133" i="13"/>
  <c r="V133" i="13" s="1"/>
  <c r="X133" i="13" s="1"/>
  <c r="Y133" i="13" s="1"/>
  <c r="P133" i="13"/>
  <c r="BD132" i="13"/>
  <c r="AI132" i="13"/>
  <c r="AX132" i="13" s="1"/>
  <c r="Z132" i="13"/>
  <c r="AB132" i="13" s="1"/>
  <c r="U132" i="13"/>
  <c r="V132" i="13" s="1"/>
  <c r="X132" i="13" s="1"/>
  <c r="Y132" i="13" s="1"/>
  <c r="P132" i="13"/>
  <c r="BD131" i="13"/>
  <c r="BE131" i="13" s="1"/>
  <c r="AI131" i="13"/>
  <c r="AK131" i="13" s="1"/>
  <c r="Z131" i="13"/>
  <c r="AB131" i="13" s="1"/>
  <c r="U131" i="13"/>
  <c r="V131" i="13" s="1"/>
  <c r="X131" i="13" s="1"/>
  <c r="Y131" i="13" s="1"/>
  <c r="P131" i="13"/>
  <c r="BD130" i="13"/>
  <c r="BQ130" i="13" s="1"/>
  <c r="AI130" i="13"/>
  <c r="AZ130" i="13" s="1"/>
  <c r="Z130" i="13"/>
  <c r="AB130" i="13" s="1"/>
  <c r="U130" i="13"/>
  <c r="P130" i="13"/>
  <c r="BD129" i="13"/>
  <c r="BQ129" i="13" s="1"/>
  <c r="AI129" i="13"/>
  <c r="AX129" i="13" s="1"/>
  <c r="Z129" i="13"/>
  <c r="AB129" i="13" s="1"/>
  <c r="U129" i="13"/>
  <c r="V129" i="13" s="1"/>
  <c r="X129" i="13" s="1"/>
  <c r="Y129" i="13" s="1"/>
  <c r="P129" i="13"/>
  <c r="BD128" i="13"/>
  <c r="BV128" i="13" s="1"/>
  <c r="AI128" i="13"/>
  <c r="AM128" i="13" s="1"/>
  <c r="Z128" i="13"/>
  <c r="AB128" i="13" s="1"/>
  <c r="U128" i="13"/>
  <c r="V128" i="13" s="1"/>
  <c r="X128" i="13" s="1"/>
  <c r="Y128" i="13" s="1"/>
  <c r="P128" i="13"/>
  <c r="BD127" i="13"/>
  <c r="AI127" i="13"/>
  <c r="AY127" i="13" s="1"/>
  <c r="Z127" i="13"/>
  <c r="AB127" i="13" s="1"/>
  <c r="U127" i="13"/>
  <c r="V127" i="13" s="1"/>
  <c r="X127" i="13" s="1"/>
  <c r="Y127" i="13" s="1"/>
  <c r="P127" i="13"/>
  <c r="E235" i="13"/>
  <c r="D235" i="13"/>
  <c r="C235" i="13"/>
  <c r="B235" i="13"/>
  <c r="E234" i="13"/>
  <c r="D234" i="13"/>
  <c r="C234" i="13"/>
  <c r="B234" i="13"/>
  <c r="E233" i="13"/>
  <c r="D233" i="13"/>
  <c r="C233" i="13"/>
  <c r="B233" i="13"/>
  <c r="E232" i="13"/>
  <c r="D232" i="13"/>
  <c r="C232" i="13"/>
  <c r="B232" i="13"/>
  <c r="E231" i="13"/>
  <c r="D231" i="13"/>
  <c r="C231" i="13"/>
  <c r="B231" i="13"/>
  <c r="E230" i="13"/>
  <c r="D230" i="13"/>
  <c r="C230" i="13"/>
  <c r="B230" i="13"/>
  <c r="E229" i="13"/>
  <c r="D229" i="13"/>
  <c r="C229" i="13"/>
  <c r="B229" i="13"/>
  <c r="E228" i="13"/>
  <c r="D228" i="13"/>
  <c r="C228" i="13"/>
  <c r="B228" i="13"/>
  <c r="E227" i="13"/>
  <c r="D227" i="13"/>
  <c r="C227" i="13"/>
  <c r="B227" i="13"/>
  <c r="E226" i="13"/>
  <c r="D226" i="13"/>
  <c r="C226" i="13"/>
  <c r="B226" i="13"/>
  <c r="E225" i="13"/>
  <c r="D225" i="13"/>
  <c r="C225" i="13"/>
  <c r="B225" i="13"/>
  <c r="E224" i="13"/>
  <c r="D224" i="13"/>
  <c r="C224" i="13"/>
  <c r="B224" i="13"/>
  <c r="E223" i="13"/>
  <c r="D223" i="13"/>
  <c r="C223" i="13"/>
  <c r="B223" i="13"/>
  <c r="E222" i="13"/>
  <c r="D222" i="13"/>
  <c r="C222" i="13"/>
  <c r="B222" i="13"/>
  <c r="E221" i="13"/>
  <c r="D221" i="13"/>
  <c r="C221" i="13"/>
  <c r="B221" i="13"/>
  <c r="E220" i="13"/>
  <c r="D220" i="13"/>
  <c r="C220" i="13"/>
  <c r="B220" i="13"/>
  <c r="E219" i="13"/>
  <c r="D219" i="13"/>
  <c r="C219" i="13"/>
  <c r="B219" i="13"/>
  <c r="E218" i="13"/>
  <c r="D218" i="13"/>
  <c r="C218" i="13"/>
  <c r="B218" i="13"/>
  <c r="E217" i="13"/>
  <c r="D217" i="13"/>
  <c r="C217" i="13"/>
  <c r="B217" i="13"/>
  <c r="E216" i="13"/>
  <c r="D216" i="13"/>
  <c r="C216" i="13"/>
  <c r="B216" i="13"/>
  <c r="E215" i="13"/>
  <c r="D215" i="13"/>
  <c r="C215" i="13"/>
  <c r="B215" i="13"/>
  <c r="E214" i="13"/>
  <c r="D214" i="13"/>
  <c r="C214" i="13"/>
  <c r="B214" i="13"/>
  <c r="E213" i="13"/>
  <c r="D213" i="13"/>
  <c r="C213" i="13"/>
  <c r="B213" i="13"/>
  <c r="E212" i="13"/>
  <c r="D212" i="13"/>
  <c r="C212" i="13"/>
  <c r="B212" i="13"/>
  <c r="E211" i="13"/>
  <c r="D211" i="13"/>
  <c r="C211" i="13"/>
  <c r="B211" i="13"/>
  <c r="E210" i="13"/>
  <c r="D210" i="13"/>
  <c r="C210" i="13"/>
  <c r="B210" i="13"/>
  <c r="E209" i="13"/>
  <c r="D209" i="13"/>
  <c r="C209" i="13"/>
  <c r="B209" i="13"/>
  <c r="E208" i="13"/>
  <c r="D208" i="13"/>
  <c r="C208" i="13"/>
  <c r="B208" i="13"/>
  <c r="E207" i="13"/>
  <c r="D207" i="13"/>
  <c r="C207" i="13"/>
  <c r="B207" i="13"/>
  <c r="E206" i="13"/>
  <c r="D206" i="13"/>
  <c r="C206" i="13"/>
  <c r="B206" i="13"/>
  <c r="E205" i="13"/>
  <c r="D205" i="13"/>
  <c r="C205" i="13"/>
  <c r="B205" i="13"/>
  <c r="E204" i="13"/>
  <c r="D204" i="13"/>
  <c r="C204" i="13"/>
  <c r="B204" i="13"/>
  <c r="E203" i="13"/>
  <c r="D203" i="13"/>
  <c r="C203" i="13"/>
  <c r="B203" i="13"/>
  <c r="E202" i="13"/>
  <c r="D202" i="13"/>
  <c r="C202" i="13"/>
  <c r="B202" i="13"/>
  <c r="E201" i="13"/>
  <c r="D201" i="13"/>
  <c r="C201" i="13"/>
  <c r="B201" i="13"/>
  <c r="E200" i="13"/>
  <c r="D200" i="13"/>
  <c r="C200" i="13"/>
  <c r="B200" i="13"/>
  <c r="E199" i="13"/>
  <c r="D199" i="13"/>
  <c r="C199" i="13"/>
  <c r="B199" i="13"/>
  <c r="E198" i="13"/>
  <c r="D198" i="13"/>
  <c r="C198" i="13"/>
  <c r="B198" i="13"/>
  <c r="E197" i="13"/>
  <c r="D197" i="13"/>
  <c r="C197" i="13"/>
  <c r="B197" i="13"/>
  <c r="E196" i="13"/>
  <c r="D196" i="13"/>
  <c r="C196" i="13"/>
  <c r="B196" i="13"/>
  <c r="E195" i="13"/>
  <c r="D195" i="13"/>
  <c r="C195" i="13"/>
  <c r="B195" i="13"/>
  <c r="E194" i="13"/>
  <c r="D194" i="13"/>
  <c r="C194" i="13"/>
  <c r="B194" i="13"/>
  <c r="E193" i="13"/>
  <c r="D193" i="13"/>
  <c r="C193" i="13"/>
  <c r="B193" i="13"/>
  <c r="E192" i="13"/>
  <c r="D192" i="13"/>
  <c r="C192" i="13"/>
  <c r="B192" i="13"/>
  <c r="E191" i="13"/>
  <c r="D191" i="13"/>
  <c r="C191" i="13"/>
  <c r="B191" i="13"/>
  <c r="E190" i="13"/>
  <c r="D190" i="13"/>
  <c r="C190" i="13"/>
  <c r="B190" i="13"/>
  <c r="E189" i="13"/>
  <c r="D189" i="13"/>
  <c r="C189" i="13"/>
  <c r="B189" i="13"/>
  <c r="E188" i="13"/>
  <c r="D188" i="13"/>
  <c r="C188" i="13"/>
  <c r="B188" i="13"/>
  <c r="E187" i="13"/>
  <c r="D187" i="13"/>
  <c r="C187" i="13"/>
  <c r="E186" i="13"/>
  <c r="D186" i="13"/>
  <c r="C186" i="13"/>
  <c r="E184" i="13"/>
  <c r="D184" i="13"/>
  <c r="C184" i="13"/>
  <c r="E183" i="13"/>
  <c r="D183" i="13"/>
  <c r="C183" i="13"/>
  <c r="B183" i="13"/>
  <c r="E182" i="13"/>
  <c r="D182" i="13"/>
  <c r="C182" i="13"/>
  <c r="E181" i="13"/>
  <c r="D181" i="13"/>
  <c r="C181" i="13"/>
  <c r="E180" i="13"/>
  <c r="D180" i="13"/>
  <c r="C180" i="13"/>
  <c r="E179" i="13"/>
  <c r="D179" i="13"/>
  <c r="C179" i="13"/>
  <c r="B179" i="13"/>
  <c r="E178" i="13"/>
  <c r="D178" i="13"/>
  <c r="C178" i="13"/>
  <c r="B178" i="13"/>
  <c r="E177" i="13"/>
  <c r="D177" i="13"/>
  <c r="C177" i="13"/>
  <c r="B177" i="13"/>
  <c r="E176" i="13"/>
  <c r="D176" i="13"/>
  <c r="C176" i="13"/>
  <c r="B176" i="13"/>
  <c r="E175" i="13"/>
  <c r="D175" i="13"/>
  <c r="C175" i="13"/>
  <c r="B175" i="13"/>
  <c r="E174" i="13"/>
  <c r="D174" i="13"/>
  <c r="C174" i="13"/>
  <c r="B174" i="13"/>
  <c r="E173" i="13"/>
  <c r="D173" i="13"/>
  <c r="C173" i="13"/>
  <c r="B173" i="13"/>
  <c r="E172" i="13"/>
  <c r="D172" i="13"/>
  <c r="C172" i="13"/>
  <c r="B172" i="13"/>
  <c r="E171" i="13"/>
  <c r="D171" i="13"/>
  <c r="C171" i="13"/>
  <c r="B171" i="13"/>
  <c r="E170" i="13"/>
  <c r="D170" i="13"/>
  <c r="C170" i="13"/>
  <c r="B170" i="13"/>
  <c r="E169" i="13"/>
  <c r="D169" i="13"/>
  <c r="C169" i="13"/>
  <c r="B169" i="13"/>
  <c r="E168" i="13"/>
  <c r="D168" i="13"/>
  <c r="C168" i="13"/>
  <c r="B168" i="13"/>
  <c r="E167" i="13"/>
  <c r="D167" i="13"/>
  <c r="C167" i="13"/>
  <c r="B167" i="13"/>
  <c r="E166" i="13"/>
  <c r="D166" i="13"/>
  <c r="C166" i="13"/>
  <c r="B166" i="13"/>
  <c r="E165" i="13"/>
  <c r="D165" i="13"/>
  <c r="C165" i="13"/>
  <c r="B165" i="13"/>
  <c r="E164" i="13"/>
  <c r="D164" i="13"/>
  <c r="C164" i="13"/>
  <c r="B164" i="13"/>
  <c r="E163" i="13"/>
  <c r="D163" i="13"/>
  <c r="C163" i="13"/>
  <c r="B163" i="13"/>
  <c r="E162" i="13"/>
  <c r="D162" i="13"/>
  <c r="C162" i="13"/>
  <c r="B162" i="13"/>
  <c r="E161" i="13"/>
  <c r="D161" i="13"/>
  <c r="C161" i="13"/>
  <c r="B161" i="13"/>
  <c r="E160" i="13"/>
  <c r="D160" i="13"/>
  <c r="C160" i="13"/>
  <c r="B160" i="13"/>
  <c r="E159" i="13"/>
  <c r="D159" i="13"/>
  <c r="C159" i="13"/>
  <c r="B159" i="13"/>
  <c r="E158" i="13"/>
  <c r="D158" i="13"/>
  <c r="C158" i="13"/>
  <c r="B158" i="13"/>
  <c r="E157" i="13"/>
  <c r="D157" i="13"/>
  <c r="C157" i="13"/>
  <c r="B157" i="13"/>
  <c r="E156" i="13"/>
  <c r="D156" i="13"/>
  <c r="C156" i="13"/>
  <c r="B156" i="13"/>
  <c r="E155" i="13"/>
  <c r="D155" i="13"/>
  <c r="C155" i="13"/>
  <c r="B155" i="13"/>
  <c r="E154" i="13"/>
  <c r="D154" i="13"/>
  <c r="C154" i="13"/>
  <c r="B154" i="13"/>
  <c r="E153" i="13"/>
  <c r="D153" i="13"/>
  <c r="C153" i="13"/>
  <c r="B153" i="13"/>
  <c r="E152" i="13"/>
  <c r="D152" i="13"/>
  <c r="C152" i="13"/>
  <c r="B152" i="13"/>
  <c r="E151" i="13"/>
  <c r="D151" i="13"/>
  <c r="C151" i="13"/>
  <c r="B151" i="13"/>
  <c r="E150" i="13"/>
  <c r="D150" i="13"/>
  <c r="C150" i="13"/>
  <c r="B150" i="13"/>
  <c r="E149" i="13"/>
  <c r="D149" i="13"/>
  <c r="C149" i="13"/>
  <c r="B149" i="13"/>
  <c r="E148" i="13"/>
  <c r="D148" i="13"/>
  <c r="C148" i="13"/>
  <c r="B148" i="13"/>
  <c r="E147" i="13"/>
  <c r="D147" i="13"/>
  <c r="C147" i="13"/>
  <c r="B147" i="13"/>
  <c r="E146" i="13"/>
  <c r="D146" i="13"/>
  <c r="C146" i="13"/>
  <c r="B146" i="13"/>
  <c r="E145" i="13"/>
  <c r="D145" i="13"/>
  <c r="C145" i="13"/>
  <c r="B145" i="13"/>
  <c r="E144" i="13"/>
  <c r="D144" i="13"/>
  <c r="C144" i="13"/>
  <c r="B144" i="13"/>
  <c r="E143" i="13"/>
  <c r="D143" i="13"/>
  <c r="C143" i="13"/>
  <c r="B143" i="13"/>
  <c r="E142" i="13"/>
  <c r="D142" i="13"/>
  <c r="C142" i="13"/>
  <c r="B142" i="13"/>
  <c r="E141" i="13"/>
  <c r="D141" i="13"/>
  <c r="C141" i="13"/>
  <c r="B141" i="13"/>
  <c r="E140" i="13"/>
  <c r="D140" i="13"/>
  <c r="C140" i="13"/>
  <c r="B140" i="13"/>
  <c r="E139" i="13"/>
  <c r="D139" i="13"/>
  <c r="C139" i="13"/>
  <c r="B139" i="13"/>
  <c r="E138" i="13"/>
  <c r="D138" i="13"/>
  <c r="C138" i="13"/>
  <c r="B138" i="13"/>
  <c r="E137" i="13"/>
  <c r="D137" i="13"/>
  <c r="C137" i="13"/>
  <c r="B137" i="13"/>
  <c r="E136" i="13"/>
  <c r="D136" i="13"/>
  <c r="C136" i="13"/>
  <c r="B136" i="13"/>
  <c r="E135" i="13"/>
  <c r="D135" i="13"/>
  <c r="C135" i="13"/>
  <c r="B135" i="13"/>
  <c r="E134" i="13"/>
  <c r="D134" i="13"/>
  <c r="C134" i="13"/>
  <c r="B134" i="13"/>
  <c r="E133" i="13"/>
  <c r="D133" i="13"/>
  <c r="C133" i="13"/>
  <c r="B133" i="13"/>
  <c r="E132" i="13"/>
  <c r="D132" i="13"/>
  <c r="C132" i="13"/>
  <c r="B132" i="13"/>
  <c r="E131" i="13"/>
  <c r="D131" i="13"/>
  <c r="C131" i="13"/>
  <c r="B131" i="13"/>
  <c r="E130" i="13"/>
  <c r="D130" i="13"/>
  <c r="C130" i="13"/>
  <c r="B130" i="13"/>
  <c r="E129" i="13"/>
  <c r="D129" i="13"/>
  <c r="C129" i="13"/>
  <c r="B129" i="13"/>
  <c r="E128" i="13"/>
  <c r="D128" i="13"/>
  <c r="C128" i="13"/>
  <c r="B128" i="13"/>
  <c r="K128" i="13"/>
  <c r="K129" i="13"/>
  <c r="K130" i="13"/>
  <c r="K131" i="13"/>
  <c r="K132" i="13"/>
  <c r="K133" i="13"/>
  <c r="K134" i="13"/>
  <c r="K135" i="13"/>
  <c r="K136" i="13"/>
  <c r="K137" i="13"/>
  <c r="K138" i="13"/>
  <c r="K139" i="13"/>
  <c r="K142" i="13"/>
  <c r="K143" i="13"/>
  <c r="K144" i="13"/>
  <c r="K145" i="13"/>
  <c r="K146" i="13"/>
  <c r="K147" i="13"/>
  <c r="K148" i="13"/>
  <c r="K155" i="13"/>
  <c r="K156" i="13"/>
  <c r="K157" i="13"/>
  <c r="K158" i="13"/>
  <c r="K159" i="13"/>
  <c r="K160" i="13"/>
  <c r="K161" i="13"/>
  <c r="K162" i="13"/>
  <c r="K163" i="13"/>
  <c r="K164" i="13"/>
  <c r="K165" i="13"/>
  <c r="K166" i="13"/>
  <c r="K167" i="13"/>
  <c r="K168" i="13"/>
  <c r="K169" i="13"/>
  <c r="K170" i="13"/>
  <c r="K171" i="13"/>
  <c r="K172" i="13"/>
  <c r="K173" i="13"/>
  <c r="K174" i="13"/>
  <c r="K175" i="13"/>
  <c r="K176" i="13"/>
  <c r="K177" i="13"/>
  <c r="K178" i="13"/>
  <c r="K179" i="13"/>
  <c r="K180" i="13"/>
  <c r="K181" i="13"/>
  <c r="K182" i="13"/>
  <c r="K183" i="13"/>
  <c r="K184" i="13"/>
  <c r="K186" i="13"/>
  <c r="K187" i="13"/>
  <c r="K188" i="13"/>
  <c r="K189" i="13"/>
  <c r="K190" i="13"/>
  <c r="K191" i="13"/>
  <c r="K192" i="13"/>
  <c r="K193" i="13"/>
  <c r="K194" i="13"/>
  <c r="K195" i="13"/>
  <c r="K196" i="13"/>
  <c r="K197" i="13"/>
  <c r="K198" i="13"/>
  <c r="K199" i="13"/>
  <c r="K200" i="13"/>
  <c r="K201" i="13"/>
  <c r="K202" i="13"/>
  <c r="K203" i="13"/>
  <c r="K204" i="13"/>
  <c r="K205" i="13"/>
  <c r="K206" i="13"/>
  <c r="K207" i="13"/>
  <c r="K208" i="13"/>
  <c r="K209" i="13"/>
  <c r="K210" i="13"/>
  <c r="K211" i="13"/>
  <c r="K212" i="13"/>
  <c r="K213" i="13"/>
  <c r="K214" i="13"/>
  <c r="K215" i="13"/>
  <c r="K216" i="13"/>
  <c r="K217" i="13"/>
  <c r="K218" i="13"/>
  <c r="K219" i="13"/>
  <c r="K220" i="13"/>
  <c r="K221" i="13"/>
  <c r="K222" i="13"/>
  <c r="K223" i="13"/>
  <c r="K224" i="13"/>
  <c r="K225" i="13"/>
  <c r="K226" i="13"/>
  <c r="K227" i="13"/>
  <c r="K228" i="13"/>
  <c r="K229" i="13"/>
  <c r="K230" i="13"/>
  <c r="K231" i="13"/>
  <c r="K232" i="13"/>
  <c r="K233" i="13"/>
  <c r="K234" i="13"/>
  <c r="K235" i="13"/>
  <c r="K127" i="13"/>
  <c r="E127" i="13"/>
  <c r="D127" i="13"/>
  <c r="C127" i="13"/>
  <c r="B127" i="13"/>
  <c r="BD44" i="13"/>
  <c r="AI44" i="13"/>
  <c r="AX44" i="13" s="1"/>
  <c r="Z44" i="13"/>
  <c r="U44" i="13"/>
  <c r="W44" i="13" s="1"/>
  <c r="BD43" i="13"/>
  <c r="AI43" i="13"/>
  <c r="Z43" i="13"/>
  <c r="AB43" i="13" s="1"/>
  <c r="U43" i="13"/>
  <c r="V43" i="13" s="1"/>
  <c r="X43" i="13" s="1"/>
  <c r="Y43" i="13" s="1"/>
  <c r="BD42" i="13"/>
  <c r="BU42" i="13" s="1"/>
  <c r="AI42" i="13"/>
  <c r="AJ42" i="13" s="1"/>
  <c r="Z42" i="13"/>
  <c r="AA42" i="13" s="1"/>
  <c r="AC42" i="13" s="1"/>
  <c r="U42" i="13"/>
  <c r="BD41" i="13"/>
  <c r="BT41" i="13" s="1"/>
  <c r="AI41" i="13"/>
  <c r="AU41" i="13" s="1"/>
  <c r="Z41" i="13"/>
  <c r="AA41" i="13" s="1"/>
  <c r="AC41" i="13" s="1"/>
  <c r="U41" i="13"/>
  <c r="W41" i="13" s="1"/>
  <c r="BD40" i="13"/>
  <c r="BF40" i="13" s="1"/>
  <c r="AI40" i="13"/>
  <c r="Z40" i="13"/>
  <c r="U40" i="13"/>
  <c r="W40" i="13" s="1"/>
  <c r="BD39" i="13"/>
  <c r="BK39" i="13" s="1"/>
  <c r="AI39" i="13"/>
  <c r="AT39" i="13" s="1"/>
  <c r="Z39" i="13"/>
  <c r="U39" i="13"/>
  <c r="BD38" i="13"/>
  <c r="AI38" i="13"/>
  <c r="AW38" i="13" s="1"/>
  <c r="Z38" i="13"/>
  <c r="AA38" i="13" s="1"/>
  <c r="AC38" i="13" s="1"/>
  <c r="AD38" i="13" s="1"/>
  <c r="U38" i="13"/>
  <c r="BD37" i="13"/>
  <c r="BW37" i="13" s="1"/>
  <c r="AI37" i="13"/>
  <c r="AT37" i="13" s="1"/>
  <c r="Z37" i="13"/>
  <c r="U37" i="13"/>
  <c r="V37" i="13" s="1"/>
  <c r="X37" i="13" s="1"/>
  <c r="Y37" i="13" s="1"/>
  <c r="BD36" i="13"/>
  <c r="AI36" i="13"/>
  <c r="AU36" i="13" s="1"/>
  <c r="Z36" i="13"/>
  <c r="AA36" i="13" s="1"/>
  <c r="AC36" i="13" s="1"/>
  <c r="AD36" i="13" s="1"/>
  <c r="U36" i="13"/>
  <c r="W36" i="13" s="1"/>
  <c r="BD35" i="13"/>
  <c r="BR35" i="13" s="1"/>
  <c r="AI35" i="13"/>
  <c r="Z35" i="13"/>
  <c r="U35" i="13"/>
  <c r="W35" i="13" s="1"/>
  <c r="BD34" i="13"/>
  <c r="BJ34" i="13" s="1"/>
  <c r="AI34" i="13"/>
  <c r="AM34" i="13" s="1"/>
  <c r="Z34" i="13"/>
  <c r="U34" i="13"/>
  <c r="W34" i="13" s="1"/>
  <c r="BD33" i="13"/>
  <c r="AI33" i="13"/>
  <c r="BA33" i="13" s="1"/>
  <c r="Z33" i="13"/>
  <c r="AB33" i="13" s="1"/>
  <c r="U33" i="13"/>
  <c r="V33" i="13" s="1"/>
  <c r="X33" i="13" s="1"/>
  <c r="Y33" i="13" s="1"/>
  <c r="BD32" i="13"/>
  <c r="BM32" i="13" s="1"/>
  <c r="AI32" i="13"/>
  <c r="AL32" i="13" s="1"/>
  <c r="Z32" i="13"/>
  <c r="AB32" i="13" s="1"/>
  <c r="U32" i="13"/>
  <c r="BD31" i="13"/>
  <c r="AI31" i="13"/>
  <c r="AR31" i="13" s="1"/>
  <c r="Z31" i="13"/>
  <c r="U31" i="13"/>
  <c r="BD30" i="13"/>
  <c r="AI30" i="13"/>
  <c r="Z30" i="13"/>
  <c r="U30" i="13"/>
  <c r="W30" i="13" s="1"/>
  <c r="BD29" i="13"/>
  <c r="BP29" i="13" s="1"/>
  <c r="AI29" i="13"/>
  <c r="BB29" i="13" s="1"/>
  <c r="Z29" i="13"/>
  <c r="AA29" i="13" s="1"/>
  <c r="AC29" i="13" s="1"/>
  <c r="AD29" i="13" s="1"/>
  <c r="U29" i="13"/>
  <c r="BD28" i="13"/>
  <c r="AI28" i="13"/>
  <c r="AP28" i="13" s="1"/>
  <c r="Z28" i="13"/>
  <c r="U28" i="13"/>
  <c r="BD27" i="13"/>
  <c r="BN27" i="13" s="1"/>
  <c r="AI27" i="13"/>
  <c r="BB27" i="13" s="1"/>
  <c r="Z27" i="13"/>
  <c r="U27" i="13"/>
  <c r="BD26" i="13"/>
  <c r="BU26" i="13" s="1"/>
  <c r="AI26" i="13"/>
  <c r="AJ26" i="13" s="1"/>
  <c r="Z26" i="13"/>
  <c r="AB26" i="13" s="1"/>
  <c r="U26" i="13"/>
  <c r="W26" i="13" s="1"/>
  <c r="BD25" i="13"/>
  <c r="BU25" i="13" s="1"/>
  <c r="AI25" i="13"/>
  <c r="Z25" i="13"/>
  <c r="U25" i="13"/>
  <c r="W25" i="13" s="1"/>
  <c r="BD24" i="13"/>
  <c r="BM24" i="13" s="1"/>
  <c r="AI24" i="13"/>
  <c r="Z24" i="13"/>
  <c r="AB24" i="13" s="1"/>
  <c r="U24" i="13"/>
  <c r="BD23" i="13"/>
  <c r="BO23" i="13" s="1"/>
  <c r="AI23" i="13"/>
  <c r="Z23" i="13"/>
  <c r="U23" i="13"/>
  <c r="V23" i="13" s="1"/>
  <c r="X23" i="13" s="1"/>
  <c r="Y23" i="13" s="1"/>
  <c r="BD22" i="13"/>
  <c r="BO22" i="13" s="1"/>
  <c r="AI22" i="13"/>
  <c r="AV22" i="13" s="1"/>
  <c r="Z22" i="13"/>
  <c r="U22" i="13"/>
  <c r="V22" i="13" s="1"/>
  <c r="X22" i="13" s="1"/>
  <c r="Y22" i="13" s="1"/>
  <c r="BD21" i="13"/>
  <c r="BN21" i="13" s="1"/>
  <c r="AI21" i="13"/>
  <c r="Z21" i="13"/>
  <c r="AA21" i="13" s="1"/>
  <c r="AC21" i="13" s="1"/>
  <c r="U21" i="13"/>
  <c r="W21" i="13" s="1"/>
  <c r="BD20" i="13"/>
  <c r="BK20" i="13" s="1"/>
  <c r="AI20" i="13"/>
  <c r="Z20" i="13"/>
  <c r="U20" i="13"/>
  <c r="BD19" i="13"/>
  <c r="BI19" i="13" s="1"/>
  <c r="AI19" i="13"/>
  <c r="AX19" i="13" s="1"/>
  <c r="Z19" i="13"/>
  <c r="AB19" i="13" s="1"/>
  <c r="U19" i="13"/>
  <c r="BD18" i="13"/>
  <c r="BH18" i="13" s="1"/>
  <c r="AI18" i="13"/>
  <c r="AY18" i="13" s="1"/>
  <c r="Z18" i="13"/>
  <c r="U18" i="13"/>
  <c r="BD17" i="13"/>
  <c r="BP17" i="13" s="1"/>
  <c r="AI17" i="13"/>
  <c r="Z17" i="13"/>
  <c r="AB17" i="13" s="1"/>
  <c r="U17" i="13"/>
  <c r="W17" i="13" s="1"/>
  <c r="BD16" i="13"/>
  <c r="AI16" i="13"/>
  <c r="Z16" i="13"/>
  <c r="AB16" i="13" s="1"/>
  <c r="U16" i="13"/>
  <c r="BD15" i="13"/>
  <c r="AI15" i="13"/>
  <c r="AX15" i="13" s="1"/>
  <c r="Z15" i="13"/>
  <c r="AA15" i="13" s="1"/>
  <c r="AC15" i="13" s="1"/>
  <c r="AD15" i="13" s="1"/>
  <c r="U15" i="13"/>
  <c r="V15" i="13" s="1"/>
  <c r="X15" i="13" s="1"/>
  <c r="BD14" i="13"/>
  <c r="BQ14" i="13" s="1"/>
  <c r="AI14" i="13"/>
  <c r="AU14" i="13" s="1"/>
  <c r="Z14" i="13"/>
  <c r="U14" i="13"/>
  <c r="V14" i="13" s="1"/>
  <c r="X14" i="13" s="1"/>
  <c r="Y14" i="13" s="1"/>
  <c r="BD13" i="13"/>
  <c r="BU13" i="13" s="1"/>
  <c r="AI13" i="13"/>
  <c r="BB13" i="13" s="1"/>
  <c r="Z13" i="13"/>
  <c r="AA13" i="13" s="1"/>
  <c r="AC13" i="13" s="1"/>
  <c r="AD13" i="13" s="1"/>
  <c r="U13" i="13"/>
  <c r="V13" i="13" s="1"/>
  <c r="X13" i="13" s="1"/>
  <c r="Y13" i="13" s="1"/>
  <c r="BD12" i="13"/>
  <c r="AI12" i="13"/>
  <c r="AU12" i="13" s="1"/>
  <c r="Z12" i="13"/>
  <c r="U12" i="13"/>
  <c r="V12" i="13" s="1"/>
  <c r="X12" i="13" s="1"/>
  <c r="Y12" i="13" s="1"/>
  <c r="BD11" i="13"/>
  <c r="AI11" i="13"/>
  <c r="AU11" i="13" s="1"/>
  <c r="Z11" i="13"/>
  <c r="U11" i="13"/>
  <c r="W11" i="13" s="1"/>
  <c r="BD10" i="13"/>
  <c r="BV10" i="13" s="1"/>
  <c r="AI10" i="13"/>
  <c r="AZ10" i="13" s="1"/>
  <c r="Z10" i="13"/>
  <c r="AB10" i="13" s="1"/>
  <c r="U10" i="13"/>
  <c r="V10" i="13" s="1"/>
  <c r="X10" i="13" s="1"/>
  <c r="Y10" i="13" s="1"/>
  <c r="BD9" i="13"/>
  <c r="AI9" i="13"/>
  <c r="AS9" i="13" s="1"/>
  <c r="Z9" i="13"/>
  <c r="AA9" i="13" s="1"/>
  <c r="AC9" i="13" s="1"/>
  <c r="AD9" i="13" s="1"/>
  <c r="U9" i="13"/>
  <c r="V9" i="13" s="1"/>
  <c r="X9" i="13" s="1"/>
  <c r="Y9" i="13" s="1"/>
  <c r="BD8" i="13"/>
  <c r="BP8" i="13" s="1"/>
  <c r="AI8" i="13"/>
  <c r="BA8" i="13" s="1"/>
  <c r="Z8" i="13"/>
  <c r="AA8" i="13" s="1"/>
  <c r="AC8" i="13" s="1"/>
  <c r="U8" i="13"/>
  <c r="BD7" i="13"/>
  <c r="AI7" i="13"/>
  <c r="AV7" i="13" s="1"/>
  <c r="Z7" i="13"/>
  <c r="AB7" i="13" s="1"/>
  <c r="U7" i="13"/>
  <c r="V7" i="13" s="1"/>
  <c r="X7" i="13" s="1"/>
  <c r="Y7" i="13" s="1"/>
  <c r="BD6" i="13"/>
  <c r="BV6" i="13" s="1"/>
  <c r="AI6" i="13"/>
  <c r="AV6" i="13" s="1"/>
  <c r="Z6" i="13"/>
  <c r="AB6" i="13" s="1"/>
  <c r="U6" i="13"/>
  <c r="W6" i="13" s="1"/>
  <c r="BD5" i="13"/>
  <c r="BQ5" i="13" s="1"/>
  <c r="AI5" i="13"/>
  <c r="AZ5" i="13" s="1"/>
  <c r="Z5" i="13"/>
  <c r="AA5" i="13" s="1"/>
  <c r="AC5" i="13" s="1"/>
  <c r="U5" i="13"/>
  <c r="E42" i="13"/>
  <c r="D42" i="13"/>
  <c r="C42" i="13"/>
  <c r="B42" i="13"/>
  <c r="E41" i="13"/>
  <c r="D41" i="13"/>
  <c r="C41" i="13"/>
  <c r="B41" i="13"/>
  <c r="E40" i="13"/>
  <c r="D40" i="13"/>
  <c r="C40" i="13"/>
  <c r="B40" i="13"/>
  <c r="E39" i="13"/>
  <c r="D39" i="13"/>
  <c r="C39" i="13"/>
  <c r="B39" i="13"/>
  <c r="E38" i="13"/>
  <c r="D38" i="13"/>
  <c r="C38" i="13"/>
  <c r="B38" i="13"/>
  <c r="E37" i="13"/>
  <c r="D37" i="13"/>
  <c r="C37" i="13"/>
  <c r="B37" i="13"/>
  <c r="E36" i="13"/>
  <c r="D36" i="13"/>
  <c r="C36" i="13"/>
  <c r="B36" i="13"/>
  <c r="E35" i="13"/>
  <c r="D35" i="13"/>
  <c r="C35" i="13"/>
  <c r="B35" i="13"/>
  <c r="E34" i="13"/>
  <c r="D34" i="13"/>
  <c r="C34" i="13"/>
  <c r="B34" i="13"/>
  <c r="E33" i="13"/>
  <c r="D33" i="13"/>
  <c r="C33" i="13"/>
  <c r="B33" i="13"/>
  <c r="E32" i="13"/>
  <c r="D32" i="13"/>
  <c r="C32" i="13"/>
  <c r="B32" i="13"/>
  <c r="E31" i="13"/>
  <c r="D31" i="13"/>
  <c r="C31" i="13"/>
  <c r="B31" i="13"/>
  <c r="E30" i="13"/>
  <c r="D30" i="13"/>
  <c r="C30" i="13"/>
  <c r="B30" i="13"/>
  <c r="E29" i="13"/>
  <c r="D29" i="13"/>
  <c r="C29" i="13"/>
  <c r="B29" i="13"/>
  <c r="E28" i="13"/>
  <c r="D28" i="13"/>
  <c r="C28" i="13"/>
  <c r="B28" i="13"/>
  <c r="E27" i="13"/>
  <c r="D27" i="13"/>
  <c r="C27" i="13"/>
  <c r="B27" i="13"/>
  <c r="E26" i="13"/>
  <c r="D26" i="13"/>
  <c r="C26" i="13"/>
  <c r="B26" i="13"/>
  <c r="E25" i="13"/>
  <c r="D25" i="13"/>
  <c r="C25" i="13"/>
  <c r="B25" i="13"/>
  <c r="E24" i="13"/>
  <c r="D24" i="13"/>
  <c r="C24" i="13"/>
  <c r="B24" i="13"/>
  <c r="E23" i="13"/>
  <c r="D23" i="13"/>
  <c r="C23" i="13"/>
  <c r="B23" i="13"/>
  <c r="E22" i="13"/>
  <c r="D22" i="13"/>
  <c r="C22" i="13"/>
  <c r="B22" i="13"/>
  <c r="E21" i="13"/>
  <c r="D21" i="13"/>
  <c r="C21" i="13"/>
  <c r="B21" i="13"/>
  <c r="E20" i="13"/>
  <c r="D20" i="13"/>
  <c r="C20" i="13"/>
  <c r="B20" i="13"/>
  <c r="E19" i="13"/>
  <c r="D19" i="13"/>
  <c r="C19" i="13"/>
  <c r="B19" i="13"/>
  <c r="E18" i="13"/>
  <c r="D18" i="13"/>
  <c r="C18" i="13"/>
  <c r="B18" i="13"/>
  <c r="E17" i="13"/>
  <c r="D17" i="13"/>
  <c r="C17" i="13"/>
  <c r="B17" i="13"/>
  <c r="E16" i="13"/>
  <c r="D16" i="13"/>
  <c r="C16" i="13"/>
  <c r="B16" i="13"/>
  <c r="E15" i="13"/>
  <c r="D15" i="13"/>
  <c r="C15" i="13"/>
  <c r="B15" i="13"/>
  <c r="E14" i="13"/>
  <c r="D14" i="13"/>
  <c r="C14" i="13"/>
  <c r="B14" i="13"/>
  <c r="E13" i="13"/>
  <c r="D13" i="13"/>
  <c r="C13" i="13"/>
  <c r="B13" i="13"/>
  <c r="E12" i="13"/>
  <c r="D12" i="13"/>
  <c r="C12" i="13"/>
  <c r="B12" i="13"/>
  <c r="E11" i="13"/>
  <c r="D11" i="13"/>
  <c r="C11" i="13"/>
  <c r="B11" i="13"/>
  <c r="E10" i="13"/>
  <c r="D10" i="13"/>
  <c r="C10" i="13"/>
  <c r="B10" i="13"/>
  <c r="E9" i="13"/>
  <c r="D9" i="13"/>
  <c r="C9" i="13"/>
  <c r="B9" i="13"/>
  <c r="E8" i="13"/>
  <c r="D8" i="13"/>
  <c r="C8" i="13"/>
  <c r="B8" i="13"/>
  <c r="E7" i="13"/>
  <c r="D7" i="13"/>
  <c r="C7" i="13"/>
  <c r="B7" i="13"/>
  <c r="E6" i="13"/>
  <c r="D6" i="13"/>
  <c r="C6" i="13"/>
  <c r="B6" i="13"/>
  <c r="E5" i="13"/>
  <c r="D5" i="13"/>
  <c r="C5" i="13"/>
  <c r="B5" i="13"/>
  <c r="K29" i="13"/>
  <c r="K30" i="13"/>
  <c r="K31" i="13"/>
  <c r="K32" i="13"/>
  <c r="K33" i="13"/>
  <c r="K34" i="13"/>
  <c r="K35" i="13"/>
  <c r="K36" i="13"/>
  <c r="K38" i="13"/>
  <c r="P29" i="13"/>
  <c r="P30" i="13"/>
  <c r="P31" i="13"/>
  <c r="P32" i="13"/>
  <c r="P33" i="13"/>
  <c r="P34" i="13"/>
  <c r="P35" i="13"/>
  <c r="P36" i="13"/>
  <c r="P37" i="13"/>
  <c r="P38" i="13"/>
  <c r="K5" i="13"/>
  <c r="K6" i="13"/>
  <c r="K7" i="13"/>
  <c r="K8" i="13"/>
  <c r="K9" i="13"/>
  <c r="K10" i="13"/>
  <c r="K11" i="13"/>
  <c r="K12" i="13"/>
  <c r="K13" i="13"/>
  <c r="K14" i="13"/>
  <c r="K15" i="13"/>
  <c r="K16" i="13"/>
  <c r="K17" i="13"/>
  <c r="K18" i="13"/>
  <c r="K19" i="13"/>
  <c r="K20" i="13"/>
  <c r="K21" i="13"/>
  <c r="K22" i="13"/>
  <c r="K23" i="13"/>
  <c r="K24" i="13"/>
  <c r="K25" i="13"/>
  <c r="K26" i="13"/>
  <c r="K27" i="13"/>
  <c r="K28" i="13"/>
  <c r="K39" i="13"/>
  <c r="K40" i="13"/>
  <c r="K41" i="13"/>
  <c r="K42" i="13"/>
  <c r="P5" i="13"/>
  <c r="P6" i="13"/>
  <c r="P7" i="13"/>
  <c r="P8" i="13"/>
  <c r="P9" i="13"/>
  <c r="P10" i="13"/>
  <c r="P11" i="13"/>
  <c r="P12" i="13"/>
  <c r="P13" i="13"/>
  <c r="P14" i="13"/>
  <c r="P15" i="13"/>
  <c r="P16" i="13"/>
  <c r="P17" i="13"/>
  <c r="P18" i="13"/>
  <c r="P19" i="13"/>
  <c r="P20" i="13"/>
  <c r="P21" i="13"/>
  <c r="P22" i="13"/>
  <c r="P23" i="13"/>
  <c r="P24" i="13"/>
  <c r="P25" i="13"/>
  <c r="P26" i="13"/>
  <c r="P27" i="13"/>
  <c r="P28" i="13"/>
  <c r="P39" i="13"/>
  <c r="P40" i="13"/>
  <c r="P41" i="13"/>
  <c r="P42" i="13"/>
  <c r="AF112" i="13" l="1"/>
  <c r="AA234" i="13"/>
  <c r="AC234" i="13" s="1"/>
  <c r="AD234" i="13" s="1"/>
  <c r="AJ177" i="13"/>
  <c r="W216" i="13"/>
  <c r="AK231" i="13"/>
  <c r="AK219" i="13"/>
  <c r="BQ224" i="13"/>
  <c r="V172" i="13"/>
  <c r="X172" i="13" s="1"/>
  <c r="Y172" i="13" s="1"/>
  <c r="AG172" i="13" s="1"/>
  <c r="AX167" i="13"/>
  <c r="BS173" i="13"/>
  <c r="BI206" i="13"/>
  <c r="BS207" i="13"/>
  <c r="BJ208" i="13"/>
  <c r="BS209" i="13"/>
  <c r="AQ177" i="13"/>
  <c r="AW191" i="13"/>
  <c r="AA201" i="13"/>
  <c r="AC201" i="13" s="1"/>
  <c r="AD201" i="13" s="1"/>
  <c r="AJ214" i="13"/>
  <c r="AT225" i="13"/>
  <c r="AV140" i="13"/>
  <c r="AK214" i="13"/>
  <c r="AV225" i="13"/>
  <c r="AL199" i="13"/>
  <c r="AB206" i="13"/>
  <c r="AL217" i="13"/>
  <c r="AV222" i="13"/>
  <c r="BG226" i="13"/>
  <c r="AK227" i="13"/>
  <c r="AR229" i="13"/>
  <c r="AN217" i="13"/>
  <c r="BP226" i="13"/>
  <c r="AL227" i="13"/>
  <c r="AR167" i="13"/>
  <c r="AS217" i="13"/>
  <c r="AM219" i="13"/>
  <c r="AA174" i="13"/>
  <c r="AC174" i="13" s="1"/>
  <c r="AD174" i="13" s="1"/>
  <c r="AA215" i="13"/>
  <c r="AC215" i="13" s="1"/>
  <c r="AF215" i="13" s="1"/>
  <c r="W217" i="13"/>
  <c r="AE217" i="13" s="1"/>
  <c r="BO231" i="13"/>
  <c r="BH234" i="13"/>
  <c r="BJ184" i="13"/>
  <c r="BM197" i="13"/>
  <c r="AN206" i="13"/>
  <c r="BG212" i="13"/>
  <c r="AT219" i="13"/>
  <c r="AN27" i="13"/>
  <c r="BP184" i="13"/>
  <c r="BE152" i="13"/>
  <c r="BE156" i="13"/>
  <c r="AL169" i="13"/>
  <c r="BU176" i="13"/>
  <c r="AP177" i="13"/>
  <c r="AX188" i="13"/>
  <c r="BS197" i="13"/>
  <c r="AN199" i="13"/>
  <c r="AP203" i="13"/>
  <c r="AP206" i="13"/>
  <c r="AJ213" i="13"/>
  <c r="AX216" i="13"/>
  <c r="BR234" i="13"/>
  <c r="AX199" i="13"/>
  <c r="AZ206" i="13"/>
  <c r="AQ213" i="13"/>
  <c r="AM225" i="13"/>
  <c r="W129" i="13"/>
  <c r="AE129" i="13" s="1"/>
  <c r="BK134" i="13"/>
  <c r="BW152" i="13"/>
  <c r="BN156" i="13"/>
  <c r="AX213" i="13"/>
  <c r="AK135" i="13"/>
  <c r="AR153" i="13"/>
  <c r="BH156" i="13"/>
  <c r="BQ164" i="13"/>
  <c r="AS128" i="13"/>
  <c r="W134" i="13"/>
  <c r="AE134" i="13" s="1"/>
  <c r="AM146" i="13"/>
  <c r="AL167" i="13"/>
  <c r="V168" i="13"/>
  <c r="X168" i="13" s="1"/>
  <c r="Y168" i="13" s="1"/>
  <c r="AB171" i="13"/>
  <c r="AE171" i="13" s="1"/>
  <c r="AA190" i="13"/>
  <c r="AC190" i="13" s="1"/>
  <c r="BG197" i="13"/>
  <c r="AK199" i="13"/>
  <c r="AN146" i="13"/>
  <c r="AR146" i="13"/>
  <c r="AV146" i="13"/>
  <c r="AP212" i="13"/>
  <c r="AA213" i="13"/>
  <c r="AC213" i="13" s="1"/>
  <c r="AD213" i="13" s="1"/>
  <c r="BG168" i="13"/>
  <c r="BE173" i="13"/>
  <c r="AV177" i="13"/>
  <c r="AV179" i="13"/>
  <c r="AP201" i="13"/>
  <c r="AJ203" i="13"/>
  <c r="AW203" i="13"/>
  <c r="AX209" i="13"/>
  <c r="AQ214" i="13"/>
  <c r="AT227" i="13"/>
  <c r="AL231" i="13"/>
  <c r="BQ231" i="13"/>
  <c r="BS233" i="13"/>
  <c r="AN234" i="13"/>
  <c r="BT234" i="13"/>
  <c r="BS168" i="13"/>
  <c r="BO19" i="13"/>
  <c r="BG35" i="13"/>
  <c r="W139" i="13"/>
  <c r="AE139" i="13" s="1"/>
  <c r="BW168" i="13"/>
  <c r="BQ170" i="13"/>
  <c r="BW173" i="13"/>
  <c r="AS179" i="13"/>
  <c r="AV203" i="13"/>
  <c r="AA17" i="13"/>
  <c r="AC17" i="13" s="1"/>
  <c r="AD17" i="13" s="1"/>
  <c r="BR39" i="13"/>
  <c r="AT129" i="13"/>
  <c r="AY133" i="13"/>
  <c r="AB166" i="13"/>
  <c r="BH29" i="13"/>
  <c r="BN35" i="13"/>
  <c r="BS39" i="13"/>
  <c r="AW129" i="13"/>
  <c r="BB137" i="13"/>
  <c r="AK143" i="13"/>
  <c r="BM146" i="13"/>
  <c r="AT148" i="13"/>
  <c r="AX151" i="13"/>
  <c r="V154" i="13"/>
  <c r="X154" i="13" s="1"/>
  <c r="Y154" i="13" s="1"/>
  <c r="BH168" i="13"/>
  <c r="BG173" i="13"/>
  <c r="BB179" i="13"/>
  <c r="AK203" i="13"/>
  <c r="AX203" i="13"/>
  <c r="AR214" i="13"/>
  <c r="AP231" i="13"/>
  <c r="AU234" i="13"/>
  <c r="AP129" i="13"/>
  <c r="AR157" i="13"/>
  <c r="AP148" i="13"/>
  <c r="AB165" i="13"/>
  <c r="AE165" i="13" s="1"/>
  <c r="BV29" i="13"/>
  <c r="AY148" i="13"/>
  <c r="AX162" i="13"/>
  <c r="BI168" i="13"/>
  <c r="BH173" i="13"/>
  <c r="AV188" i="13"/>
  <c r="AA194" i="13"/>
  <c r="AC194" i="13" s="1"/>
  <c r="AD194" i="13" s="1"/>
  <c r="AG194" i="13" s="1"/>
  <c r="AL203" i="13"/>
  <c r="BB203" i="13"/>
  <c r="AT205" i="13"/>
  <c r="AX214" i="13"/>
  <c r="AW231" i="13"/>
  <c r="BB234" i="13"/>
  <c r="BA34" i="13"/>
  <c r="AL148" i="13"/>
  <c r="BE168" i="13"/>
  <c r="BR19" i="13"/>
  <c r="BI35" i="13"/>
  <c r="W132" i="13"/>
  <c r="AE132" i="13" s="1"/>
  <c r="BW134" i="13"/>
  <c r="BW139" i="13"/>
  <c r="AY140" i="13"/>
  <c r="BE144" i="13"/>
  <c r="BQ145" i="13"/>
  <c r="BN168" i="13"/>
  <c r="BI173" i="13"/>
  <c r="AN203" i="13"/>
  <c r="AY231" i="13"/>
  <c r="AT142" i="13"/>
  <c r="BQ142" i="13"/>
  <c r="BW142" i="13"/>
  <c r="AJ18" i="13"/>
  <c r="AJ10" i="13"/>
  <c r="BS10" i="13"/>
  <c r="AS221" i="13"/>
  <c r="BV229" i="13"/>
  <c r="AO5" i="13"/>
  <c r="AA19" i="13"/>
  <c r="AC19" i="13" s="1"/>
  <c r="AD19" i="13" s="1"/>
  <c r="AK28" i="13"/>
  <c r="AR39" i="13"/>
  <c r="AL127" i="13"/>
  <c r="W128" i="13"/>
  <c r="AE128" i="13" s="1"/>
  <c r="BE128" i="13"/>
  <c r="AR130" i="13"/>
  <c r="AN135" i="13"/>
  <c r="BE136" i="13"/>
  <c r="AK137" i="13"/>
  <c r="BB142" i="13"/>
  <c r="AM143" i="13"/>
  <c r="BQ144" i="13"/>
  <c r="AX145" i="13"/>
  <c r="W151" i="13"/>
  <c r="AE151" i="13" s="1"/>
  <c r="BK151" i="13"/>
  <c r="AJ152" i="13"/>
  <c r="AB156" i="13"/>
  <c r="AA158" i="13"/>
  <c r="AC158" i="13" s="1"/>
  <c r="AD158" i="13" s="1"/>
  <c r="V162" i="13"/>
  <c r="X162" i="13" s="1"/>
  <c r="Y162" i="13" s="1"/>
  <c r="V167" i="13"/>
  <c r="X167" i="13" s="1"/>
  <c r="Y167" i="13" s="1"/>
  <c r="AA170" i="13"/>
  <c r="AC170" i="13" s="1"/>
  <c r="AD170" i="13" s="1"/>
  <c r="BK171" i="13"/>
  <c r="BM174" i="13"/>
  <c r="AL175" i="13"/>
  <c r="AM180" i="13"/>
  <c r="AJ189" i="13"/>
  <c r="BB189" i="13"/>
  <c r="AK198" i="13"/>
  <c r="AQ201" i="13"/>
  <c r="W203" i="13"/>
  <c r="BO206" i="13"/>
  <c r="W210" i="13"/>
  <c r="BG210" i="13"/>
  <c r="W215" i="13"/>
  <c r="AE215" i="13" s="1"/>
  <c r="BG215" i="13"/>
  <c r="BJ216" i="13"/>
  <c r="AJ220" i="13"/>
  <c r="AJ221" i="13"/>
  <c r="AT221" i="13"/>
  <c r="AA226" i="13"/>
  <c r="AC226" i="13" s="1"/>
  <c r="AD226" i="13" s="1"/>
  <c r="AG226" i="13" s="1"/>
  <c r="BE229" i="13"/>
  <c r="AM230" i="13"/>
  <c r="AM7" i="13"/>
  <c r="AX10" i="13"/>
  <c r="BL26" i="13"/>
  <c r="AO27" i="13"/>
  <c r="AB38" i="13"/>
  <c r="BA5" i="13"/>
  <c r="AO7" i="13"/>
  <c r="AW8" i="13"/>
  <c r="AY13" i="13"/>
  <c r="BR26" i="13"/>
  <c r="AZ27" i="13"/>
  <c r="AM127" i="13"/>
  <c r="BK128" i="13"/>
  <c r="W133" i="13"/>
  <c r="AE133" i="13" s="1"/>
  <c r="BQ133" i="13"/>
  <c r="AP135" i="13"/>
  <c r="BQ136" i="13"/>
  <c r="AM137" i="13"/>
  <c r="BE138" i="13"/>
  <c r="AR143" i="13"/>
  <c r="W147" i="13"/>
  <c r="AE147" i="13" s="1"/>
  <c r="BE150" i="13"/>
  <c r="BW151" i="13"/>
  <c r="AL152" i="13"/>
  <c r="BE153" i="13"/>
  <c r="BH157" i="13"/>
  <c r="AL159" i="13"/>
  <c r="AR161" i="13"/>
  <c r="V163" i="13"/>
  <c r="X163" i="13" s="1"/>
  <c r="Y163" i="13" s="1"/>
  <c r="V164" i="13"/>
  <c r="X164" i="13" s="1"/>
  <c r="Y164" i="13" s="1"/>
  <c r="BH166" i="13"/>
  <c r="BU167" i="13"/>
  <c r="BG169" i="13"/>
  <c r="V171" i="13"/>
  <c r="X171" i="13" s="1"/>
  <c r="Y171" i="13" s="1"/>
  <c r="AG171" i="13" s="1"/>
  <c r="AR175" i="13"/>
  <c r="W177" i="13"/>
  <c r="AK181" i="13"/>
  <c r="AS183" i="13"/>
  <c r="AJ188" i="13"/>
  <c r="BP188" i="13"/>
  <c r="AM189" i="13"/>
  <c r="AQ190" i="13"/>
  <c r="AA191" i="13"/>
  <c r="AC191" i="13" s="1"/>
  <c r="AD191" i="13" s="1"/>
  <c r="BI195" i="13"/>
  <c r="AQ197" i="13"/>
  <c r="AL198" i="13"/>
  <c r="AP199" i="13"/>
  <c r="AZ201" i="13"/>
  <c r="BU206" i="13"/>
  <c r="BG207" i="13"/>
  <c r="BG209" i="13"/>
  <c r="BJ210" i="13"/>
  <c r="AA212" i="13"/>
  <c r="AC212" i="13" s="1"/>
  <c r="AD212" i="13" s="1"/>
  <c r="AA214" i="13"/>
  <c r="AC214" i="13" s="1"/>
  <c r="AD214" i="13" s="1"/>
  <c r="BJ215" i="13"/>
  <c r="BM216" i="13"/>
  <c r="AK220" i="13"/>
  <c r="AK221" i="13"/>
  <c r="AV221" i="13"/>
  <c r="BI222" i="13"/>
  <c r="AJ223" i="13"/>
  <c r="AJ224" i="13"/>
  <c r="BG229" i="13"/>
  <c r="AP230" i="13"/>
  <c r="BE233" i="13"/>
  <c r="AP18" i="13"/>
  <c r="AU29" i="13"/>
  <c r="AS39" i="13"/>
  <c r="BL6" i="13"/>
  <c r="AU7" i="13"/>
  <c r="AX8" i="13"/>
  <c r="AL11" i="13"/>
  <c r="BI18" i="13"/>
  <c r="BO21" i="13"/>
  <c r="AZ28" i="13"/>
  <c r="BA29" i="13"/>
  <c r="BE146" i="13"/>
  <c r="BI150" i="13"/>
  <c r="AX152" i="13"/>
  <c r="BW153" i="13"/>
  <c r="BI166" i="13"/>
  <c r="BQ168" i="13"/>
  <c r="AA169" i="13"/>
  <c r="AC169" i="13" s="1"/>
  <c r="AD169" i="13" s="1"/>
  <c r="BH169" i="13"/>
  <c r="AL172" i="13"/>
  <c r="BN173" i="13"/>
  <c r="BF176" i="13"/>
  <c r="BB177" i="13"/>
  <c r="AV178" i="13"/>
  <c r="AJ179" i="13"/>
  <c r="AT181" i="13"/>
  <c r="AY183" i="13"/>
  <c r="AN188" i="13"/>
  <c r="AN189" i="13"/>
  <c r="BM195" i="13"/>
  <c r="AR198" i="13"/>
  <c r="AT199" i="13"/>
  <c r="AZ202" i="13"/>
  <c r="AT203" i="13"/>
  <c r="BG203" i="13"/>
  <c r="AL205" i="13"/>
  <c r="BB206" i="13"/>
  <c r="BO207" i="13"/>
  <c r="AA208" i="13"/>
  <c r="AC208" i="13" s="1"/>
  <c r="AD208" i="13" s="1"/>
  <c r="BJ209" i="13"/>
  <c r="BM210" i="13"/>
  <c r="BS215" i="13"/>
  <c r="BV216" i="13"/>
  <c r="AA217" i="13"/>
  <c r="AC217" i="13" s="1"/>
  <c r="AF217" i="13" s="1"/>
  <c r="AT217" i="13"/>
  <c r="AR220" i="13"/>
  <c r="AL221" i="13"/>
  <c r="AX221" i="13"/>
  <c r="AA222" i="13"/>
  <c r="AC222" i="13" s="1"/>
  <c r="AF222" i="13" s="1"/>
  <c r="BO222" i="13"/>
  <c r="AS223" i="13"/>
  <c r="AV224" i="13"/>
  <c r="AT226" i="13"/>
  <c r="BB227" i="13"/>
  <c r="AN228" i="13"/>
  <c r="BJ229" i="13"/>
  <c r="W230" i="13"/>
  <c r="BB230" i="13"/>
  <c r="BB231" i="13"/>
  <c r="BG233" i="13"/>
  <c r="AG235" i="13"/>
  <c r="AX189" i="13"/>
  <c r="AT13" i="13"/>
  <c r="AB41" i="13"/>
  <c r="AE41" i="13" s="1"/>
  <c r="BI6" i="13"/>
  <c r="AW28" i="13"/>
  <c r="AV127" i="13"/>
  <c r="BW128" i="13"/>
  <c r="AK129" i="13"/>
  <c r="AT132" i="13"/>
  <c r="W135" i="13"/>
  <c r="AE135" i="13" s="1"/>
  <c r="AR135" i="13"/>
  <c r="BW136" i="13"/>
  <c r="AN137" i="13"/>
  <c r="BQ138" i="13"/>
  <c r="BE142" i="13"/>
  <c r="W143" i="13"/>
  <c r="AE143" i="13" s="1"/>
  <c r="AY143" i="13"/>
  <c r="BE145" i="13"/>
  <c r="BR10" i="13"/>
  <c r="AQ11" i="13"/>
  <c r="BM18" i="13"/>
  <c r="BI39" i="13"/>
  <c r="AP128" i="13"/>
  <c r="AN129" i="13"/>
  <c r="AV132" i="13"/>
  <c r="BE134" i="13"/>
  <c r="AV135" i="13"/>
  <c r="AT137" i="13"/>
  <c r="BQ139" i="13"/>
  <c r="BK142" i="13"/>
  <c r="BB143" i="13"/>
  <c r="W145" i="13"/>
  <c r="AE145" i="13" s="1"/>
  <c r="BI146" i="13"/>
  <c r="BO150" i="13"/>
  <c r="BN166" i="13"/>
  <c r="BQ173" i="13"/>
  <c r="BJ176" i="13"/>
  <c r="AQ179" i="13"/>
  <c r="AQ189" i="13"/>
  <c r="BV195" i="13"/>
  <c r="AT198" i="13"/>
  <c r="AW199" i="13"/>
  <c r="BS210" i="13"/>
  <c r="AX217" i="13"/>
  <c r="AS220" i="13"/>
  <c r="AM221" i="13"/>
  <c r="AZ221" i="13"/>
  <c r="AP228" i="13"/>
  <c r="BQ229" i="13"/>
  <c r="BJ233" i="13"/>
  <c r="BB135" i="13"/>
  <c r="AY137" i="13"/>
  <c r="AE159" i="13"/>
  <c r="AT189" i="13"/>
  <c r="W205" i="13"/>
  <c r="AE205" i="13" s="1"/>
  <c r="BG206" i="13"/>
  <c r="AR209" i="13"/>
  <c r="BV210" i="13"/>
  <c r="AK217" i="13"/>
  <c r="BB217" i="13"/>
  <c r="AA220" i="13"/>
  <c r="AC220" i="13" s="1"/>
  <c r="AZ220" i="13"/>
  <c r="AA221" i="13"/>
  <c r="AC221" i="13" s="1"/>
  <c r="AF221" i="13" s="1"/>
  <c r="AN221" i="13"/>
  <c r="BE224" i="13"/>
  <c r="AL225" i="13"/>
  <c r="BF226" i="13"/>
  <c r="BS229" i="13"/>
  <c r="BL230" i="13"/>
  <c r="BG231" i="13"/>
  <c r="AA233" i="13"/>
  <c r="AC233" i="13" s="1"/>
  <c r="AD233" i="13" s="1"/>
  <c r="AG233" i="13" s="1"/>
  <c r="BQ233" i="13"/>
  <c r="AU235" i="13"/>
  <c r="AR221" i="13"/>
  <c r="BB221" i="13"/>
  <c r="BI221" i="13"/>
  <c r="BM221" i="13"/>
  <c r="AR219" i="13"/>
  <c r="BM219" i="13"/>
  <c r="BS219" i="13"/>
  <c r="BI219" i="13"/>
  <c r="AW219" i="13"/>
  <c r="AJ219" i="13"/>
  <c r="BB219" i="13"/>
  <c r="AR204" i="13"/>
  <c r="AL204" i="13"/>
  <c r="BB204" i="13"/>
  <c r="BR12" i="13"/>
  <c r="BL12" i="13"/>
  <c r="BK12" i="13"/>
  <c r="BE12" i="13"/>
  <c r="AY16" i="13"/>
  <c r="AQ16" i="13"/>
  <c r="AN16" i="13"/>
  <c r="AK16" i="13"/>
  <c r="BB16" i="13"/>
  <c r="AJ16" i="13"/>
  <c r="BS12" i="13"/>
  <c r="AT16" i="13"/>
  <c r="BA23" i="13"/>
  <c r="AR23" i="13"/>
  <c r="AM23" i="13"/>
  <c r="BB23" i="13"/>
  <c r="AL23" i="13"/>
  <c r="AY23" i="13"/>
  <c r="AK23" i="13"/>
  <c r="AR24" i="13"/>
  <c r="AY24" i="13"/>
  <c r="AQ24" i="13"/>
  <c r="AN24" i="13"/>
  <c r="AB40" i="13"/>
  <c r="AE40" i="13" s="1"/>
  <c r="AA40" i="13"/>
  <c r="AC40" i="13" s="1"/>
  <c r="AD40" i="13" s="1"/>
  <c r="BV141" i="13"/>
  <c r="BW141" i="13"/>
  <c r="BQ141" i="13"/>
  <c r="BE141" i="13"/>
  <c r="AA6" i="13"/>
  <c r="AC6" i="13" s="1"/>
  <c r="AD6" i="13" s="1"/>
  <c r="BA10" i="13"/>
  <c r="AS10" i="13"/>
  <c r="AQ10" i="13"/>
  <c r="AM10" i="13"/>
  <c r="BB10" i="13"/>
  <c r="AL10" i="13"/>
  <c r="BW11" i="13"/>
  <c r="BM11" i="13"/>
  <c r="BF11" i="13"/>
  <c r="AX16" i="13"/>
  <c r="AA20" i="13"/>
  <c r="AC20" i="13" s="1"/>
  <c r="AD20" i="13" s="1"/>
  <c r="AB20" i="13"/>
  <c r="AT22" i="13"/>
  <c r="AT23" i="13"/>
  <c r="AV30" i="13"/>
  <c r="AO30" i="13"/>
  <c r="BW38" i="13"/>
  <c r="BP38" i="13"/>
  <c r="AW44" i="13"/>
  <c r="AS44" i="13"/>
  <c r="AL44" i="13"/>
  <c r="AK44" i="13"/>
  <c r="BV131" i="13"/>
  <c r="BW131" i="13"/>
  <c r="BQ131" i="13"/>
  <c r="BK131" i="13"/>
  <c r="AW158" i="13"/>
  <c r="AL158" i="13"/>
  <c r="AR158" i="13"/>
  <c r="AX158" i="13"/>
  <c r="AB203" i="13"/>
  <c r="AA203" i="13"/>
  <c r="AC203" i="13" s="1"/>
  <c r="AF203" i="13" s="1"/>
  <c r="AV23" i="13"/>
  <c r="AY26" i="13"/>
  <c r="BB26" i="13"/>
  <c r="V130" i="13"/>
  <c r="X130" i="13" s="1"/>
  <c r="Y130" i="13" s="1"/>
  <c r="W130" i="13"/>
  <c r="AE130" i="13" s="1"/>
  <c r="BA140" i="13"/>
  <c r="AT140" i="13"/>
  <c r="AR140" i="13"/>
  <c r="AN140" i="13"/>
  <c r="BB140" i="13"/>
  <c r="AM140" i="13"/>
  <c r="V142" i="13"/>
  <c r="X142" i="13" s="1"/>
  <c r="Y142" i="13" s="1"/>
  <c r="W142" i="13"/>
  <c r="AE142" i="13" s="1"/>
  <c r="AA163" i="13"/>
  <c r="AC163" i="13" s="1"/>
  <c r="AD163" i="13" s="1"/>
  <c r="AB163" i="13"/>
  <c r="AE163" i="13" s="1"/>
  <c r="BM175" i="13"/>
  <c r="BQ175" i="13"/>
  <c r="BI175" i="13"/>
  <c r="BS175" i="13"/>
  <c r="BA211" i="13"/>
  <c r="AZ211" i="13"/>
  <c r="AR211" i="13"/>
  <c r="AJ211" i="13"/>
  <c r="AY211" i="13"/>
  <c r="AN211" i="13"/>
  <c r="AT211" i="13"/>
  <c r="AK211" i="13"/>
  <c r="AV211" i="13"/>
  <c r="BB211" i="13"/>
  <c r="AS211" i="13"/>
  <c r="AQ211" i="13"/>
  <c r="AM211" i="13"/>
  <c r="AL211" i="13"/>
  <c r="BA22" i="13"/>
  <c r="AR22" i="13"/>
  <c r="AN22" i="13"/>
  <c r="AZ22" i="13"/>
  <c r="AM22" i="13"/>
  <c r="AX22" i="13"/>
  <c r="AL22" i="13"/>
  <c r="AX131" i="13"/>
  <c r="BB131" i="13"/>
  <c r="AT131" i="13"/>
  <c r="AS131" i="13"/>
  <c r="AL131" i="13"/>
  <c r="AJ22" i="13"/>
  <c r="BP31" i="13"/>
  <c r="BV31" i="13"/>
  <c r="BK31" i="13"/>
  <c r="AA35" i="13"/>
  <c r="AC35" i="13" s="1"/>
  <c r="AD35" i="13" s="1"/>
  <c r="AB35" i="13"/>
  <c r="AX43" i="13"/>
  <c r="AW43" i="13"/>
  <c r="AN43" i="13"/>
  <c r="BW44" i="13"/>
  <c r="BR44" i="13"/>
  <c r="BL44" i="13"/>
  <c r="BF44" i="13"/>
  <c r="AT133" i="13"/>
  <c r="AP133" i="13"/>
  <c r="AN133" i="13"/>
  <c r="AL133" i="13"/>
  <c r="V137" i="13"/>
  <c r="X137" i="13" s="1"/>
  <c r="Y137" i="13" s="1"/>
  <c r="W137" i="13"/>
  <c r="AE137" i="13" s="1"/>
  <c r="V175" i="13"/>
  <c r="X175" i="13" s="1"/>
  <c r="Y175" i="13" s="1"/>
  <c r="AG175" i="13" s="1"/>
  <c r="W175" i="13"/>
  <c r="BA210" i="13"/>
  <c r="AS210" i="13"/>
  <c r="AJ210" i="13"/>
  <c r="AY210" i="13"/>
  <c r="AL210" i="13"/>
  <c r="AR210" i="13"/>
  <c r="AX210" i="13"/>
  <c r="AT210" i="13"/>
  <c r="AQ210" i="13"/>
  <c r="AM210" i="13"/>
  <c r="BB210" i="13"/>
  <c r="AK210" i="13"/>
  <c r="AX211" i="13"/>
  <c r="BO223" i="13"/>
  <c r="BJ223" i="13"/>
  <c r="BG223" i="13"/>
  <c r="BB233" i="13"/>
  <c r="AT233" i="13"/>
  <c r="AQ233" i="13"/>
  <c r="AM233" i="13"/>
  <c r="BR9" i="13"/>
  <c r="BP9" i="13"/>
  <c r="BH9" i="13"/>
  <c r="BU33" i="13"/>
  <c r="BR33" i="13"/>
  <c r="BI33" i="13"/>
  <c r="BH33" i="13"/>
  <c r="BU36" i="13"/>
  <c r="BO36" i="13"/>
  <c r="BI36" i="13"/>
  <c r="BF36" i="13"/>
  <c r="AZ138" i="13"/>
  <c r="AS138" i="13"/>
  <c r="AR138" i="13"/>
  <c r="AS141" i="13"/>
  <c r="AR141" i="13"/>
  <c r="AP141" i="13"/>
  <c r="AK141" i="13"/>
  <c r="BV147" i="13"/>
  <c r="BF147" i="13"/>
  <c r="BS147" i="13"/>
  <c r="BR147" i="13"/>
  <c r="BO147" i="13"/>
  <c r="BK147" i="13"/>
  <c r="BI147" i="13"/>
  <c r="BA194" i="13"/>
  <c r="AT194" i="13"/>
  <c r="AJ194" i="13"/>
  <c r="AX194" i="13"/>
  <c r="AN194" i="13"/>
  <c r="AV194" i="13"/>
  <c r="AK194" i="13"/>
  <c r="AR194" i="13"/>
  <c r="AP194" i="13"/>
  <c r="AL194" i="13"/>
  <c r="BB194" i="13"/>
  <c r="BW170" i="13"/>
  <c r="BB178" i="13"/>
  <c r="BM193" i="13"/>
  <c r="BJ193" i="13"/>
  <c r="AQ207" i="13"/>
  <c r="AR207" i="13"/>
  <c r="BV232" i="13"/>
  <c r="BQ232" i="13"/>
  <c r="BO232" i="13"/>
  <c r="BJ232" i="13"/>
  <c r="BI232" i="13"/>
  <c r="BW232" i="13"/>
  <c r="BF232" i="13"/>
  <c r="BS232" i="13"/>
  <c r="BO6" i="13"/>
  <c r="AG13" i="13"/>
  <c r="AS18" i="13"/>
  <c r="BQ18" i="13"/>
  <c r="BT26" i="13"/>
  <c r="AT27" i="13"/>
  <c r="BS35" i="13"/>
  <c r="AT127" i="13"/>
  <c r="AW128" i="13"/>
  <c r="BQ128" i="13"/>
  <c r="BQ134" i="13"/>
  <c r="AR137" i="13"/>
  <c r="BW138" i="13"/>
  <c r="AN143" i="13"/>
  <c r="AL144" i="13"/>
  <c r="BW144" i="13"/>
  <c r="AJ145" i="13"/>
  <c r="BV145" i="13"/>
  <c r="BW145" i="13"/>
  <c r="W146" i="13"/>
  <c r="AE146" i="13" s="1"/>
  <c r="AN147" i="13"/>
  <c r="W148" i="13"/>
  <c r="AE148" i="13" s="1"/>
  <c r="AW151" i="13"/>
  <c r="AJ151" i="13"/>
  <c r="V155" i="13"/>
  <c r="X155" i="13" s="1"/>
  <c r="Y155" i="13" s="1"/>
  <c r="BK156" i="13"/>
  <c r="AW157" i="13"/>
  <c r="AL157" i="13"/>
  <c r="V159" i="13"/>
  <c r="X159" i="13" s="1"/>
  <c r="Y159" i="13" s="1"/>
  <c r="BN159" i="13"/>
  <c r="AL160" i="13"/>
  <c r="V161" i="13"/>
  <c r="X161" i="13" s="1"/>
  <c r="Y161" i="13" s="1"/>
  <c r="BN161" i="13"/>
  <c r="AA162" i="13"/>
  <c r="AC162" i="13" s="1"/>
  <c r="AD162" i="13" s="1"/>
  <c r="AA167" i="13"/>
  <c r="AC167" i="13" s="1"/>
  <c r="AD167" i="13" s="1"/>
  <c r="BN169" i="13"/>
  <c r="V170" i="13"/>
  <c r="X170" i="13" s="1"/>
  <c r="Y170" i="13" s="1"/>
  <c r="BE170" i="13"/>
  <c r="BM171" i="13"/>
  <c r="BO171" i="13"/>
  <c r="BK174" i="13"/>
  <c r="BT174" i="13"/>
  <c r="BG174" i="13"/>
  <c r="AV184" i="13"/>
  <c r="BA188" i="13"/>
  <c r="AT188" i="13"/>
  <c r="BB188" i="13"/>
  <c r="AM188" i="13"/>
  <c r="BA190" i="13"/>
  <c r="AK190" i="13"/>
  <c r="BG194" i="13"/>
  <c r="BI194" i="13"/>
  <c r="AN195" i="13"/>
  <c r="AA197" i="13"/>
  <c r="AC197" i="13" s="1"/>
  <c r="AD197" i="13" s="1"/>
  <c r="BA198" i="13"/>
  <c r="BB198" i="13"/>
  <c r="AP198" i="13"/>
  <c r="AV198" i="13"/>
  <c r="AJ198" i="13"/>
  <c r="AN198" i="13"/>
  <c r="AX198" i="13"/>
  <c r="BS201" i="13"/>
  <c r="BJ201" i="13"/>
  <c r="BM202" i="13"/>
  <c r="BA205" i="13"/>
  <c r="AW205" i="13"/>
  <c r="AK205" i="13"/>
  <c r="BB205" i="13"/>
  <c r="AJ205" i="13"/>
  <c r="AR205" i="13"/>
  <c r="AK207" i="13"/>
  <c r="AN208" i="13"/>
  <c r="AB209" i="13"/>
  <c r="AA209" i="13"/>
  <c r="AC209" i="13" s="1"/>
  <c r="AD209" i="13" s="1"/>
  <c r="AG209" i="13" s="1"/>
  <c r="V225" i="13"/>
  <c r="X225" i="13" s="1"/>
  <c r="Y225" i="13" s="1"/>
  <c r="W225" i="13"/>
  <c r="AE225" i="13" s="1"/>
  <c r="BB145" i="13"/>
  <c r="BW162" i="13"/>
  <c r="BE162" i="13"/>
  <c r="BQ167" i="13"/>
  <c r="BI167" i="13"/>
  <c r="BA178" i="13"/>
  <c r="AS178" i="13"/>
  <c r="AW178" i="13"/>
  <c r="AK178" i="13"/>
  <c r="BA182" i="13"/>
  <c r="AP182" i="13"/>
  <c r="AV202" i="13"/>
  <c r="AJ202" i="13"/>
  <c r="BB202" i="13"/>
  <c r="AL202" i="13"/>
  <c r="AT202" i="13"/>
  <c r="BQ6" i="13"/>
  <c r="BT18" i="13"/>
  <c r="AX128" i="13"/>
  <c r="AP144" i="13"/>
  <c r="AM145" i="13"/>
  <c r="BV149" i="13"/>
  <c r="BI149" i="13"/>
  <c r="BT159" i="13"/>
  <c r="AR160" i="13"/>
  <c r="BV166" i="13"/>
  <c r="BT166" i="13"/>
  <c r="BG166" i="13"/>
  <c r="BQ166" i="13"/>
  <c r="BK167" i="13"/>
  <c r="BO169" i="13"/>
  <c r="BH170" i="13"/>
  <c r="W173" i="13"/>
  <c r="V173" i="13"/>
  <c r="X173" i="13" s="1"/>
  <c r="Y173" i="13" s="1"/>
  <c r="AM178" i="13"/>
  <c r="AT182" i="13"/>
  <c r="BA183" i="13"/>
  <c r="AN183" i="13"/>
  <c r="AW183" i="13"/>
  <c r="V192" i="13"/>
  <c r="X192" i="13" s="1"/>
  <c r="Y192" i="13" s="1"/>
  <c r="W192" i="13"/>
  <c r="AE192" i="13" s="1"/>
  <c r="V193" i="13"/>
  <c r="X193" i="13" s="1"/>
  <c r="Y193" i="13" s="1"/>
  <c r="W193" i="13"/>
  <c r="AE193" i="13" s="1"/>
  <c r="AP195" i="13"/>
  <c r="BU196" i="13"/>
  <c r="BO196" i="13"/>
  <c r="BG196" i="13"/>
  <c r="BB200" i="13"/>
  <c r="AW200" i="13"/>
  <c r="AN202" i="13"/>
  <c r="AZ207" i="13"/>
  <c r="BA209" i="13"/>
  <c r="AZ209" i="13"/>
  <c r="AL209" i="13"/>
  <c r="AK209" i="13"/>
  <c r="AS209" i="13"/>
  <c r="BA215" i="13"/>
  <c r="AQ215" i="13"/>
  <c r="AZ215" i="13"/>
  <c r="AL215" i="13"/>
  <c r="AX215" i="13"/>
  <c r="AJ215" i="13"/>
  <c r="AK215" i="13"/>
  <c r="AY215" i="13"/>
  <c r="BA216" i="13"/>
  <c r="AT216" i="13"/>
  <c r="AK216" i="13"/>
  <c r="AS216" i="13"/>
  <c r="AJ216" i="13"/>
  <c r="AZ216" i="13"/>
  <c r="AQ216" i="13"/>
  <c r="AY216" i="13"/>
  <c r="AM216" i="13"/>
  <c r="V219" i="13"/>
  <c r="X219" i="13" s="1"/>
  <c r="Y219" i="13" s="1"/>
  <c r="W219" i="13"/>
  <c r="BG225" i="13"/>
  <c r="BO225" i="13"/>
  <c r="BJ225" i="13"/>
  <c r="AW147" i="13"/>
  <c r="AJ147" i="13"/>
  <c r="AB5" i="13"/>
  <c r="V6" i="13"/>
  <c r="X6" i="13" s="1"/>
  <c r="Y6" i="13" s="1"/>
  <c r="BE6" i="13"/>
  <c r="BT6" i="13"/>
  <c r="AL8" i="13"/>
  <c r="W9" i="13"/>
  <c r="BG10" i="13"/>
  <c r="AJ13" i="13"/>
  <c r="BF18" i="13"/>
  <c r="BG26" i="13"/>
  <c r="AL29" i="13"/>
  <c r="BI41" i="13"/>
  <c r="AK128" i="13"/>
  <c r="BB128" i="13"/>
  <c r="BK129" i="13"/>
  <c r="AK132" i="13"/>
  <c r="AV137" i="13"/>
  <c r="BE139" i="13"/>
  <c r="W140" i="13"/>
  <c r="AE140" i="13" s="1"/>
  <c r="AM142" i="13"/>
  <c r="AT143" i="13"/>
  <c r="AZ144" i="13"/>
  <c r="AQ145" i="13"/>
  <c r="AW146" i="13"/>
  <c r="AZ146" i="13"/>
  <c r="AK146" i="13"/>
  <c r="BV146" i="13"/>
  <c r="BW146" i="13"/>
  <c r="AX147" i="13"/>
  <c r="AW148" i="13"/>
  <c r="AN148" i="13"/>
  <c r="BE149" i="13"/>
  <c r="BV152" i="13"/>
  <c r="BQ152" i="13"/>
  <c r="V153" i="13"/>
  <c r="X153" i="13" s="1"/>
  <c r="Y153" i="13" s="1"/>
  <c r="BV154" i="13"/>
  <c r="BW154" i="13"/>
  <c r="AW156" i="13"/>
  <c r="AR156" i="13"/>
  <c r="BK158" i="13"/>
  <c r="AW159" i="13"/>
  <c r="AR159" i="13"/>
  <c r="AX160" i="13"/>
  <c r="AW161" i="13"/>
  <c r="AL161" i="13"/>
  <c r="AL162" i="13"/>
  <c r="BQ163" i="13"/>
  <c r="V165" i="13"/>
  <c r="X165" i="13" s="1"/>
  <c r="Y165" i="13" s="1"/>
  <c r="BE166" i="13"/>
  <c r="BM167" i="13"/>
  <c r="AW172" i="13"/>
  <c r="AR172" i="13"/>
  <c r="W174" i="13"/>
  <c r="AE174" i="13" s="1"/>
  <c r="V174" i="13"/>
  <c r="X174" i="13" s="1"/>
  <c r="Y174" i="13" s="1"/>
  <c r="AN178" i="13"/>
  <c r="AQ180" i="13"/>
  <c r="AV180" i="13"/>
  <c r="AY182" i="13"/>
  <c r="AJ183" i="13"/>
  <c r="AV186" i="13"/>
  <c r="BP187" i="13"/>
  <c r="BJ187" i="13"/>
  <c r="BA191" i="13"/>
  <c r="AK191" i="13"/>
  <c r="BS196" i="13"/>
  <c r="BM199" i="13"/>
  <c r="AL200" i="13"/>
  <c r="AQ202" i="13"/>
  <c r="AN205" i="13"/>
  <c r="AJ209" i="13"/>
  <c r="W211" i="13"/>
  <c r="AE211" i="13" s="1"/>
  <c r="V212" i="13"/>
  <c r="X212" i="13" s="1"/>
  <c r="Y212" i="13" s="1"/>
  <c r="W212" i="13"/>
  <c r="AE212" i="13" s="1"/>
  <c r="AR215" i="13"/>
  <c r="AL216" i="13"/>
  <c r="V218" i="13"/>
  <c r="X218" i="13" s="1"/>
  <c r="Y218" i="13" s="1"/>
  <c r="W218" i="13"/>
  <c r="BT220" i="13"/>
  <c r="BI220" i="13"/>
  <c r="BG220" i="13"/>
  <c r="BS220" i="13"/>
  <c r="BM220" i="13"/>
  <c r="BQ161" i="13"/>
  <c r="BW161" i="13"/>
  <c r="BV170" i="13"/>
  <c r="BN170" i="13"/>
  <c r="BS170" i="13"/>
  <c r="BG170" i="13"/>
  <c r="BS172" i="13"/>
  <c r="BM172" i="13"/>
  <c r="BR180" i="13"/>
  <c r="BL180" i="13"/>
  <c r="BA195" i="13"/>
  <c r="AR195" i="13"/>
  <c r="AJ195" i="13"/>
  <c r="AW195" i="13"/>
  <c r="BA196" i="13"/>
  <c r="AL196" i="13"/>
  <c r="AP208" i="13"/>
  <c r="AM208" i="13"/>
  <c r="AX208" i="13"/>
  <c r="BS218" i="13"/>
  <c r="BJ218" i="13"/>
  <c r="BG218" i="13"/>
  <c r="BF6" i="13"/>
  <c r="BW6" i="13"/>
  <c r="AN8" i="13"/>
  <c r="BI10" i="13"/>
  <c r="AM13" i="13"/>
  <c r="BI26" i="13"/>
  <c r="AO29" i="13"/>
  <c r="BS41" i="13"/>
  <c r="AM132" i="13"/>
  <c r="BK139" i="13"/>
  <c r="AV143" i="13"/>
  <c r="AT145" i="13"/>
  <c r="BB147" i="13"/>
  <c r="BO149" i="13"/>
  <c r="BV150" i="13"/>
  <c r="BW150" i="13"/>
  <c r="AW152" i="13"/>
  <c r="AP152" i="13"/>
  <c r="AE153" i="13"/>
  <c r="BV156" i="13"/>
  <c r="BQ156" i="13"/>
  <c r="BT157" i="13"/>
  <c r="BQ157" i="13"/>
  <c r="AR162" i="13"/>
  <c r="BH164" i="13"/>
  <c r="BF164" i="13"/>
  <c r="AE167" i="13"/>
  <c r="BT167" i="13"/>
  <c r="BV169" i="13"/>
  <c r="BI169" i="13"/>
  <c r="BQ169" i="13"/>
  <c r="BE169" i="13"/>
  <c r="BW169" i="13"/>
  <c r="BO170" i="13"/>
  <c r="AT178" i="13"/>
  <c r="BA181" i="13"/>
  <c r="AP181" i="13"/>
  <c r="AP183" i="13"/>
  <c r="BA192" i="13"/>
  <c r="AN192" i="13"/>
  <c r="BA193" i="13"/>
  <c r="AL193" i="13"/>
  <c r="BB195" i="13"/>
  <c r="AW202" i="13"/>
  <c r="AB204" i="13"/>
  <c r="AA204" i="13"/>
  <c r="AC204" i="13" s="1"/>
  <c r="AD204" i="13" s="1"/>
  <c r="AG204" i="13" s="1"/>
  <c r="AQ209" i="13"/>
  <c r="AS215" i="13"/>
  <c r="AR216" i="13"/>
  <c r="AB218" i="13"/>
  <c r="AA218" i="13"/>
  <c r="AC218" i="13" s="1"/>
  <c r="AD218" i="13" s="1"/>
  <c r="BO168" i="13"/>
  <c r="BO173" i="13"/>
  <c r="AX175" i="13"/>
  <c r="BO176" i="13"/>
  <c r="AV189" i="13"/>
  <c r="BO197" i="13"/>
  <c r="BJ197" i="13"/>
  <c r="AQ206" i="13"/>
  <c r="BM209" i="13"/>
  <c r="BO213" i="13"/>
  <c r="BJ213" i="13"/>
  <c r="BO214" i="13"/>
  <c r="BJ214" i="13"/>
  <c r="BG214" i="13"/>
  <c r="AP222" i="13"/>
  <c r="AN222" i="13"/>
  <c r="AX222" i="13"/>
  <c r="AM222" i="13"/>
  <c r="AW222" i="13"/>
  <c r="AL222" i="13"/>
  <c r="AB229" i="13"/>
  <c r="AA229" i="13"/>
  <c r="AC229" i="13" s="1"/>
  <c r="AD229" i="13" s="1"/>
  <c r="V227" i="13"/>
  <c r="X227" i="13" s="1"/>
  <c r="Y227" i="13" s="1"/>
  <c r="W227" i="13"/>
  <c r="AE227" i="13" s="1"/>
  <c r="BU195" i="13"/>
  <c r="BJ195" i="13"/>
  <c r="AX201" i="13"/>
  <c r="AK201" i="13"/>
  <c r="BS206" i="13"/>
  <c r="BJ206" i="13"/>
  <c r="BV206" i="13"/>
  <c r="V214" i="13"/>
  <c r="X214" i="13" s="1"/>
  <c r="Y214" i="13" s="1"/>
  <c r="W214" i="13"/>
  <c r="AE214" i="13" s="1"/>
  <c r="BB223" i="13"/>
  <c r="AP223" i="13"/>
  <c r="AX223" i="13"/>
  <c r="AN223" i="13"/>
  <c r="AW223" i="13"/>
  <c r="AM223" i="13"/>
  <c r="AV223" i="13"/>
  <c r="AL223" i="13"/>
  <c r="AX224" i="13"/>
  <c r="AT224" i="13"/>
  <c r="AR224" i="13"/>
  <c r="AM224" i="13"/>
  <c r="AK224" i="13"/>
  <c r="BV228" i="13"/>
  <c r="BO228" i="13"/>
  <c r="BJ228" i="13"/>
  <c r="BG228" i="13"/>
  <c r="BA232" i="13"/>
  <c r="BB232" i="13"/>
  <c r="AQ232" i="13"/>
  <c r="AZ232" i="13"/>
  <c r="AN232" i="13"/>
  <c r="AX232" i="13"/>
  <c r="AM232" i="13"/>
  <c r="AV232" i="13"/>
  <c r="AL232" i="13"/>
  <c r="AT232" i="13"/>
  <c r="AJ232" i="13"/>
  <c r="AV226" i="13"/>
  <c r="BP230" i="13"/>
  <c r="AW234" i="13"/>
  <c r="AV199" i="13"/>
  <c r="AR203" i="13"/>
  <c r="AY214" i="13"/>
  <c r="BM215" i="13"/>
  <c r="BS216" i="13"/>
  <c r="AM217" i="13"/>
  <c r="AV217" i="13"/>
  <c r="AL219" i="13"/>
  <c r="AZ219" i="13"/>
  <c r="BO219" i="13"/>
  <c r="BB220" i="13"/>
  <c r="AQ221" i="13"/>
  <c r="AY221" i="13"/>
  <c r="BO221" i="13"/>
  <c r="AN225" i="13"/>
  <c r="AX225" i="13"/>
  <c r="AK226" i="13"/>
  <c r="AW226" i="13"/>
  <c r="BO226" i="13"/>
  <c r="AS227" i="13"/>
  <c r="AS228" i="13"/>
  <c r="BI229" i="13"/>
  <c r="BU229" i="13"/>
  <c r="AS230" i="13"/>
  <c r="BE230" i="13"/>
  <c r="BQ230" i="13"/>
  <c r="W231" i="13"/>
  <c r="AE231" i="13" s="1"/>
  <c r="AM231" i="13"/>
  <c r="AZ231" i="13"/>
  <c r="BV231" i="13"/>
  <c r="BI233" i="13"/>
  <c r="BV233" i="13"/>
  <c r="AJ234" i="13"/>
  <c r="AY234" i="13"/>
  <c r="AM235" i="13"/>
  <c r="AQ225" i="13"/>
  <c r="AY225" i="13"/>
  <c r="AM226" i="13"/>
  <c r="AX226" i="13"/>
  <c r="AV228" i="13"/>
  <c r="AT230" i="13"/>
  <c r="BG230" i="13"/>
  <c r="BS230" i="13"/>
  <c r="AQ217" i="13"/>
  <c r="AY217" i="13"/>
  <c r="W224" i="13"/>
  <c r="AE224" i="13" s="1"/>
  <c r="AJ225" i="13"/>
  <c r="AR225" i="13"/>
  <c r="AZ225" i="13"/>
  <c r="AN226" i="13"/>
  <c r="BS226" i="13"/>
  <c r="AA227" i="13"/>
  <c r="AC227" i="13" s="1"/>
  <c r="AD227" i="13" s="1"/>
  <c r="AK228" i="13"/>
  <c r="AW228" i="13"/>
  <c r="BL229" i="13"/>
  <c r="AK230" i="13"/>
  <c r="AW230" i="13"/>
  <c r="BI230" i="13"/>
  <c r="BV230" i="13"/>
  <c r="AR231" i="13"/>
  <c r="BL233" i="13"/>
  <c r="AO234" i="13"/>
  <c r="W235" i="13"/>
  <c r="BG216" i="13"/>
  <c r="AJ217" i="13"/>
  <c r="AR217" i="13"/>
  <c r="AZ217" i="13"/>
  <c r="AS219" i="13"/>
  <c r="BG219" i="13"/>
  <c r="BG222" i="13"/>
  <c r="AA223" i="13"/>
  <c r="AC223" i="13" s="1"/>
  <c r="AD223" i="13" s="1"/>
  <c r="AK225" i="13"/>
  <c r="AS225" i="13"/>
  <c r="BB225" i="13"/>
  <c r="BE226" i="13"/>
  <c r="AL228" i="13"/>
  <c r="AL230" i="13"/>
  <c r="BJ230" i="13"/>
  <c r="BW230" i="13"/>
  <c r="BP233" i="13"/>
  <c r="AP234" i="13"/>
  <c r="BB31" i="13"/>
  <c r="BO43" i="13"/>
  <c r="BK43" i="13"/>
  <c r="BJ43" i="13"/>
  <c r="BI43" i="13"/>
  <c r="BE43" i="13"/>
  <c r="AL5" i="13"/>
  <c r="AU5" i="13"/>
  <c r="AR8" i="13"/>
  <c r="BM10" i="13"/>
  <c r="BH21" i="13"/>
  <c r="BO30" i="13"/>
  <c r="BT30" i="13"/>
  <c r="BE30" i="13"/>
  <c r="BS32" i="13"/>
  <c r="BW32" i="13"/>
  <c r="BH32" i="13"/>
  <c r="BV32" i="13"/>
  <c r="BG32" i="13"/>
  <c r="BQ32" i="13"/>
  <c r="BF32" i="13"/>
  <c r="BP32" i="13"/>
  <c r="BE32" i="13"/>
  <c r="AY42" i="13"/>
  <c r="BB42" i="13"/>
  <c r="AS42" i="13"/>
  <c r="V138" i="13"/>
  <c r="X138" i="13" s="1"/>
  <c r="Y138" i="13" s="1"/>
  <c r="W138" i="13"/>
  <c r="AE138" i="13" s="1"/>
  <c r="BA31" i="13"/>
  <c r="AY31" i="13"/>
  <c r="AM31" i="13"/>
  <c r="AT31" i="13"/>
  <c r="AK31" i="13"/>
  <c r="AS31" i="13"/>
  <c r="AJ31" i="13"/>
  <c r="AM5" i="13"/>
  <c r="AW5" i="13"/>
  <c r="BB7" i="13"/>
  <c r="AJ8" i="13"/>
  <c r="AT8" i="13"/>
  <c r="BE10" i="13"/>
  <c r="BO10" i="13"/>
  <c r="AN12" i="13"/>
  <c r="AF15" i="13"/>
  <c r="AE17" i="13"/>
  <c r="BJ17" i="13"/>
  <c r="BK21" i="13"/>
  <c r="V31" i="13"/>
  <c r="X31" i="13" s="1"/>
  <c r="Y31" i="13" s="1"/>
  <c r="W31" i="13"/>
  <c r="AX31" i="13"/>
  <c r="AN5" i="13"/>
  <c r="AY5" i="13"/>
  <c r="BH6" i="13"/>
  <c r="BS6" i="13"/>
  <c r="AK7" i="13"/>
  <c r="AK8" i="13"/>
  <c r="AV8" i="13"/>
  <c r="BF9" i="13"/>
  <c r="AT10" i="13"/>
  <c r="BF10" i="13"/>
  <c r="BQ10" i="13"/>
  <c r="BP11" i="13"/>
  <c r="AO13" i="13"/>
  <c r="W15" i="13"/>
  <c r="AM16" i="13"/>
  <c r="V18" i="13"/>
  <c r="X18" i="13" s="1"/>
  <c r="Y18" i="13" s="1"/>
  <c r="W18" i="13"/>
  <c r="BV18" i="13"/>
  <c r="BO18" i="13"/>
  <c r="BE18" i="13"/>
  <c r="BW18" i="13"/>
  <c r="BL18" i="13"/>
  <c r="BS18" i="13"/>
  <c r="BU19" i="13"/>
  <c r="BL19" i="13"/>
  <c r="BF19" i="13"/>
  <c r="W23" i="13"/>
  <c r="AU25" i="13"/>
  <c r="AL25" i="13"/>
  <c r="AZ31" i="13"/>
  <c r="BN32" i="13"/>
  <c r="AU34" i="13"/>
  <c r="AZ34" i="13"/>
  <c r="AQ34" i="13"/>
  <c r="AO34" i="13"/>
  <c r="AN34" i="13"/>
  <c r="AP36" i="13"/>
  <c r="AB39" i="13"/>
  <c r="AA39" i="13"/>
  <c r="AC39" i="13" s="1"/>
  <c r="AQ17" i="13"/>
  <c r="AW17" i="13"/>
  <c r="AN17" i="13"/>
  <c r="BV132" i="13"/>
  <c r="BW132" i="13"/>
  <c r="BQ132" i="13"/>
  <c r="BK132" i="13"/>
  <c r="BE132" i="13"/>
  <c r="AS5" i="13"/>
  <c r="W12" i="13"/>
  <c r="AB13" i="13"/>
  <c r="AB15" i="13"/>
  <c r="AA16" i="13"/>
  <c r="AC16" i="13" s="1"/>
  <c r="AD16" i="13" s="1"/>
  <c r="BS16" i="13"/>
  <c r="BM16" i="13"/>
  <c r="AK17" i="13"/>
  <c r="BN20" i="13"/>
  <c r="BQ20" i="13"/>
  <c r="BS21" i="13"/>
  <c r="BT21" i="13"/>
  <c r="BI21" i="13"/>
  <c r="BQ21" i="13"/>
  <c r="BF21" i="13"/>
  <c r="BR21" i="13"/>
  <c r="AA24" i="13"/>
  <c r="AC24" i="13" s="1"/>
  <c r="AD24" i="13" s="1"/>
  <c r="W27" i="13"/>
  <c r="V27" i="13"/>
  <c r="X27" i="13" s="1"/>
  <c r="Y27" i="13" s="1"/>
  <c r="AB29" i="13"/>
  <c r="AL31" i="13"/>
  <c r="W33" i="13"/>
  <c r="AE33" i="13" s="1"/>
  <c r="V36" i="13"/>
  <c r="X36" i="13" s="1"/>
  <c r="Y36" i="13" s="1"/>
  <c r="AG36" i="13" s="1"/>
  <c r="AU38" i="13"/>
  <c r="W42" i="13"/>
  <c r="V42" i="13"/>
  <c r="X42" i="13" s="1"/>
  <c r="Y42" i="13" s="1"/>
  <c r="BV43" i="13"/>
  <c r="BA134" i="13"/>
  <c r="AZ134" i="13"/>
  <c r="AS134" i="13"/>
  <c r="AL134" i="13"/>
  <c r="AV134" i="13"/>
  <c r="AN134" i="13"/>
  <c r="BB134" i="13"/>
  <c r="AQ134" i="13"/>
  <c r="AY134" i="13"/>
  <c r="AP134" i="13"/>
  <c r="AX134" i="13"/>
  <c r="AM134" i="13"/>
  <c r="AW134" i="13"/>
  <c r="AK134" i="13"/>
  <c r="AT134" i="13"/>
  <c r="AJ134" i="13"/>
  <c r="AK5" i="13"/>
  <c r="AT5" i="13"/>
  <c r="BM6" i="13"/>
  <c r="AS7" i="13"/>
  <c r="AP8" i="13"/>
  <c r="BB8" i="13"/>
  <c r="BQ9" i="13"/>
  <c r="BK10" i="13"/>
  <c r="BW10" i="13"/>
  <c r="AZ13" i="13"/>
  <c r="BB14" i="13"/>
  <c r="BA16" i="13"/>
  <c r="AV16" i="13"/>
  <c r="AR16" i="13"/>
  <c r="BJ16" i="13"/>
  <c r="AT17" i="13"/>
  <c r="BE20" i="13"/>
  <c r="BE21" i="13"/>
  <c r="BW21" i="13"/>
  <c r="AZ24" i="13"/>
  <c r="AM24" i="13"/>
  <c r="AW24" i="13"/>
  <c r="BL24" i="13"/>
  <c r="V26" i="13"/>
  <c r="X26" i="13" s="1"/>
  <c r="Y26" i="13" s="1"/>
  <c r="AQ31" i="13"/>
  <c r="BP37" i="13"/>
  <c r="AA43" i="13"/>
  <c r="AC43" i="13" s="1"/>
  <c r="AD43" i="13" s="1"/>
  <c r="AG43" i="13" s="1"/>
  <c r="BW43" i="13"/>
  <c r="BV127" i="13"/>
  <c r="BK127" i="13"/>
  <c r="BW127" i="13"/>
  <c r="BQ127" i="13"/>
  <c r="BE127" i="13"/>
  <c r="BA130" i="13"/>
  <c r="AX130" i="13"/>
  <c r="AQ130" i="13"/>
  <c r="AJ130" i="13"/>
  <c r="AY130" i="13"/>
  <c r="AP130" i="13"/>
  <c r="AW130" i="13"/>
  <c r="AN130" i="13"/>
  <c r="AV130" i="13"/>
  <c r="AM130" i="13"/>
  <c r="AT130" i="13"/>
  <c r="AL130" i="13"/>
  <c r="BB130" i="13"/>
  <c r="AS130" i="13"/>
  <c r="AK130" i="13"/>
  <c r="AW150" i="13"/>
  <c r="AR150" i="13"/>
  <c r="BB150" i="13"/>
  <c r="AP150" i="13"/>
  <c r="AY150" i="13"/>
  <c r="AM150" i="13"/>
  <c r="AX150" i="13"/>
  <c r="AL150" i="13"/>
  <c r="AV150" i="13"/>
  <c r="AJ150" i="13"/>
  <c r="W169" i="13"/>
  <c r="AE169" i="13" s="1"/>
  <c r="V169" i="13"/>
  <c r="X169" i="13" s="1"/>
  <c r="Y169" i="13" s="1"/>
  <c r="BA136" i="13"/>
  <c r="AV136" i="13"/>
  <c r="AN136" i="13"/>
  <c r="BB136" i="13"/>
  <c r="AT136" i="13"/>
  <c r="AM136" i="13"/>
  <c r="AX136" i="13"/>
  <c r="AQ136" i="13"/>
  <c r="AJ136" i="13"/>
  <c r="AW136" i="13"/>
  <c r="BA139" i="13"/>
  <c r="AZ139" i="13"/>
  <c r="AS139" i="13"/>
  <c r="AL139" i="13"/>
  <c r="AY139" i="13"/>
  <c r="AR139" i="13"/>
  <c r="AK139" i="13"/>
  <c r="AV139" i="13"/>
  <c r="AN139" i="13"/>
  <c r="AW139" i="13"/>
  <c r="V141" i="13"/>
  <c r="X141" i="13" s="1"/>
  <c r="Y141" i="13" s="1"/>
  <c r="W141" i="13"/>
  <c r="AE141" i="13" s="1"/>
  <c r="BV148" i="13"/>
  <c r="BS148" i="13"/>
  <c r="BK148" i="13"/>
  <c r="BR148" i="13"/>
  <c r="BI148" i="13"/>
  <c r="BQ148" i="13"/>
  <c r="BG148" i="13"/>
  <c r="BO148" i="13"/>
  <c r="BF148" i="13"/>
  <c r="BW148" i="13"/>
  <c r="BM148" i="13"/>
  <c r="BE148" i="13"/>
  <c r="AW149" i="13"/>
  <c r="AY149" i="13"/>
  <c r="AP149" i="13"/>
  <c r="AX149" i="13"/>
  <c r="AN149" i="13"/>
  <c r="AV149" i="13"/>
  <c r="AM149" i="13"/>
  <c r="AT149" i="13"/>
  <c r="AL149" i="13"/>
  <c r="BB149" i="13"/>
  <c r="AS149" i="13"/>
  <c r="AJ149" i="13"/>
  <c r="AS150" i="13"/>
  <c r="BV155" i="13"/>
  <c r="BK155" i="13"/>
  <c r="BW155" i="13"/>
  <c r="BQ155" i="13"/>
  <c r="BH155" i="13"/>
  <c r="BE155" i="13"/>
  <c r="BV160" i="13"/>
  <c r="BK160" i="13"/>
  <c r="BH160" i="13"/>
  <c r="BW160" i="13"/>
  <c r="BT160" i="13"/>
  <c r="BQ160" i="13"/>
  <c r="BN160" i="13"/>
  <c r="BE160" i="13"/>
  <c r="W176" i="13"/>
  <c r="V176" i="13"/>
  <c r="X176" i="13" s="1"/>
  <c r="Y176" i="13" s="1"/>
  <c r="AB196" i="13"/>
  <c r="AA196" i="13"/>
  <c r="AC196" i="13" s="1"/>
  <c r="AF196" i="13" s="1"/>
  <c r="AB198" i="13"/>
  <c r="AA198" i="13"/>
  <c r="AC198" i="13" s="1"/>
  <c r="AF198" i="13" s="1"/>
  <c r="BN26" i="13"/>
  <c r="AV29" i="13"/>
  <c r="BO35" i="13"/>
  <c r="BB39" i="13"/>
  <c r="W127" i="13"/>
  <c r="AE127" i="13" s="1"/>
  <c r="AN127" i="13"/>
  <c r="AW127" i="13"/>
  <c r="BA128" i="13"/>
  <c r="AV128" i="13"/>
  <c r="AN128" i="13"/>
  <c r="AQ128" i="13"/>
  <c r="AY128" i="13"/>
  <c r="BA129" i="13"/>
  <c r="AZ129" i="13"/>
  <c r="AS129" i="13"/>
  <c r="AL129" i="13"/>
  <c r="AQ129" i="13"/>
  <c r="AY129" i="13"/>
  <c r="BV130" i="13"/>
  <c r="BK130" i="13"/>
  <c r="W131" i="13"/>
  <c r="AE131" i="13" s="1"/>
  <c r="AM131" i="13"/>
  <c r="AW131" i="13"/>
  <c r="AN132" i="13"/>
  <c r="AW132" i="13"/>
  <c r="BA133" i="13"/>
  <c r="AX133" i="13"/>
  <c r="AQ133" i="13"/>
  <c r="AJ133" i="13"/>
  <c r="AR133" i="13"/>
  <c r="AZ133" i="13"/>
  <c r="BV135" i="13"/>
  <c r="BK135" i="13"/>
  <c r="BE135" i="13"/>
  <c r="BW135" i="13"/>
  <c r="AK136" i="13"/>
  <c r="AY136" i="13"/>
  <c r="BA138" i="13"/>
  <c r="AV138" i="13"/>
  <c r="AN138" i="13"/>
  <c r="BB138" i="13"/>
  <c r="AT138" i="13"/>
  <c r="AM138" i="13"/>
  <c r="AX138" i="13"/>
  <c r="AQ138" i="13"/>
  <c r="AJ138" i="13"/>
  <c r="AW138" i="13"/>
  <c r="AJ139" i="13"/>
  <c r="AX139" i="13"/>
  <c r="BA142" i="13"/>
  <c r="AZ142" i="13"/>
  <c r="AS142" i="13"/>
  <c r="AL142" i="13"/>
  <c r="AY142" i="13"/>
  <c r="AR142" i="13"/>
  <c r="AK142" i="13"/>
  <c r="AV142" i="13"/>
  <c r="AN142" i="13"/>
  <c r="AW142" i="13"/>
  <c r="V144" i="13"/>
  <c r="X144" i="13" s="1"/>
  <c r="Y144" i="13" s="1"/>
  <c r="W144" i="13"/>
  <c r="AE144" i="13" s="1"/>
  <c r="AR144" i="13"/>
  <c r="BL148" i="13"/>
  <c r="AR149" i="13"/>
  <c r="AA160" i="13"/>
  <c r="AC160" i="13" s="1"/>
  <c r="AD160" i="13" s="1"/>
  <c r="AB160" i="13"/>
  <c r="AE160" i="13" s="1"/>
  <c r="BB18" i="13"/>
  <c r="AQ22" i="13"/>
  <c r="AY22" i="13"/>
  <c r="AN23" i="13"/>
  <c r="AZ23" i="13"/>
  <c r="BF26" i="13"/>
  <c r="BO26" i="13"/>
  <c r="AJ28" i="13"/>
  <c r="AK29" i="13"/>
  <c r="AZ29" i="13"/>
  <c r="V30" i="13"/>
  <c r="X30" i="13" s="1"/>
  <c r="Y30" i="13" s="1"/>
  <c r="BG31" i="13"/>
  <c r="AA32" i="13"/>
  <c r="AC32" i="13" s="1"/>
  <c r="AD32" i="13" s="1"/>
  <c r="AA33" i="13"/>
  <c r="AC33" i="13" s="1"/>
  <c r="AD33" i="13" s="1"/>
  <c r="AG33" i="13" s="1"/>
  <c r="BE35" i="13"/>
  <c r="BQ35" i="13"/>
  <c r="AB36" i="13"/>
  <c r="AE36" i="13" s="1"/>
  <c r="W37" i="13"/>
  <c r="V44" i="13"/>
  <c r="X44" i="13" s="1"/>
  <c r="Y44" i="13" s="1"/>
  <c r="AP127" i="13"/>
  <c r="AJ128" i="13"/>
  <c r="AR128" i="13"/>
  <c r="AZ128" i="13"/>
  <c r="AJ129" i="13"/>
  <c r="AR129" i="13"/>
  <c r="BB129" i="13"/>
  <c r="BE130" i="13"/>
  <c r="AP131" i="13"/>
  <c r="AP132" i="13"/>
  <c r="AK133" i="13"/>
  <c r="AS133" i="13"/>
  <c r="BB133" i="13"/>
  <c r="BA135" i="13"/>
  <c r="AX135" i="13"/>
  <c r="AQ135" i="13"/>
  <c r="AJ135" i="13"/>
  <c r="AZ135" i="13"/>
  <c r="AS135" i="13"/>
  <c r="AL135" i="13"/>
  <c r="AT135" i="13"/>
  <c r="BQ135" i="13"/>
  <c r="AL136" i="13"/>
  <c r="AZ136" i="13"/>
  <c r="BV137" i="13"/>
  <c r="BK137" i="13"/>
  <c r="BE137" i="13"/>
  <c r="BW137" i="13"/>
  <c r="AK138" i="13"/>
  <c r="AY138" i="13"/>
  <c r="AM139" i="13"/>
  <c r="BB139" i="13"/>
  <c r="BA141" i="13"/>
  <c r="AV141" i="13"/>
  <c r="AN141" i="13"/>
  <c r="BB141" i="13"/>
  <c r="AT141" i="13"/>
  <c r="AM141" i="13"/>
  <c r="AX141" i="13"/>
  <c r="AQ141" i="13"/>
  <c r="AJ141" i="13"/>
  <c r="AW141" i="13"/>
  <c r="AJ142" i="13"/>
  <c r="AX142" i="13"/>
  <c r="BU148" i="13"/>
  <c r="AZ149" i="13"/>
  <c r="W156" i="13"/>
  <c r="V156" i="13"/>
  <c r="X156" i="13" s="1"/>
  <c r="Y156" i="13" s="1"/>
  <c r="W158" i="13"/>
  <c r="AE158" i="13" s="1"/>
  <c r="V158" i="13"/>
  <c r="X158" i="13" s="1"/>
  <c r="Y158" i="13" s="1"/>
  <c r="AA164" i="13"/>
  <c r="AC164" i="13" s="1"/>
  <c r="AD164" i="13" s="1"/>
  <c r="AB164" i="13"/>
  <c r="AE164" i="13" s="1"/>
  <c r="V178" i="13"/>
  <c r="X178" i="13" s="1"/>
  <c r="Y178" i="13" s="1"/>
  <c r="W178" i="13"/>
  <c r="BA127" i="13"/>
  <c r="AX127" i="13"/>
  <c r="AQ127" i="13"/>
  <c r="AJ127" i="13"/>
  <c r="AR127" i="13"/>
  <c r="AZ127" i="13"/>
  <c r="BV129" i="13"/>
  <c r="BW129" i="13"/>
  <c r="BA131" i="13"/>
  <c r="AV131" i="13"/>
  <c r="AN131" i="13"/>
  <c r="AQ131" i="13"/>
  <c r="AY131" i="13"/>
  <c r="BA132" i="13"/>
  <c r="AZ132" i="13"/>
  <c r="AS132" i="13"/>
  <c r="AL132" i="13"/>
  <c r="AQ132" i="13"/>
  <c r="AY132" i="13"/>
  <c r="BV133" i="13"/>
  <c r="BK133" i="13"/>
  <c r="AP136" i="13"/>
  <c r="AP139" i="13"/>
  <c r="BV140" i="13"/>
  <c r="BK140" i="13"/>
  <c r="BE140" i="13"/>
  <c r="BW140" i="13"/>
  <c r="BA144" i="13"/>
  <c r="AV144" i="13"/>
  <c r="AN144" i="13"/>
  <c r="BB144" i="13"/>
  <c r="AT144" i="13"/>
  <c r="AM144" i="13"/>
  <c r="AX144" i="13"/>
  <c r="AQ144" i="13"/>
  <c r="AJ144" i="13"/>
  <c r="AW144" i="13"/>
  <c r="AW154" i="13"/>
  <c r="AX154" i="13"/>
  <c r="AR154" i="13"/>
  <c r="AL154" i="13"/>
  <c r="BV165" i="13"/>
  <c r="BQ165" i="13"/>
  <c r="BN165" i="13"/>
  <c r="BW165" i="13"/>
  <c r="BT165" i="13"/>
  <c r="BK165" i="13"/>
  <c r="BH165" i="13"/>
  <c r="BE165" i="13"/>
  <c r="AW170" i="13"/>
  <c r="AX170" i="13"/>
  <c r="AR170" i="13"/>
  <c r="AL170" i="13"/>
  <c r="AK22" i="13"/>
  <c r="AS22" i="13"/>
  <c r="BB22" i="13"/>
  <c r="AS23" i="13"/>
  <c r="BH26" i="13"/>
  <c r="BS26" i="13"/>
  <c r="AN29" i="13"/>
  <c r="BO31" i="13"/>
  <c r="BH35" i="13"/>
  <c r="BW35" i="13"/>
  <c r="BH36" i="13"/>
  <c r="AJ39" i="13"/>
  <c r="BM41" i="13"/>
  <c r="AQ43" i="13"/>
  <c r="AK127" i="13"/>
  <c r="AS127" i="13"/>
  <c r="BB127" i="13"/>
  <c r="AL128" i="13"/>
  <c r="AT128" i="13"/>
  <c r="AM129" i="13"/>
  <c r="AV129" i="13"/>
  <c r="BE129" i="13"/>
  <c r="BW130" i="13"/>
  <c r="AJ131" i="13"/>
  <c r="AR131" i="13"/>
  <c r="AZ131" i="13"/>
  <c r="AJ132" i="13"/>
  <c r="AR132" i="13"/>
  <c r="BB132" i="13"/>
  <c r="AM133" i="13"/>
  <c r="AV133" i="13"/>
  <c r="BE133" i="13"/>
  <c r="AM135" i="13"/>
  <c r="AW135" i="13"/>
  <c r="V136" i="13"/>
  <c r="X136" i="13" s="1"/>
  <c r="Y136" i="13" s="1"/>
  <c r="W136" i="13"/>
  <c r="AE136" i="13" s="1"/>
  <c r="AR136" i="13"/>
  <c r="AP138" i="13"/>
  <c r="AQ139" i="13"/>
  <c r="BQ140" i="13"/>
  <c r="AL141" i="13"/>
  <c r="AZ141" i="13"/>
  <c r="AP142" i="13"/>
  <c r="BV143" i="13"/>
  <c r="BK143" i="13"/>
  <c r="BE143" i="13"/>
  <c r="BW143" i="13"/>
  <c r="AK144" i="13"/>
  <c r="AY144" i="13"/>
  <c r="AB155" i="13"/>
  <c r="AE155" i="13" s="1"/>
  <c r="AA155" i="13"/>
  <c r="AC155" i="13" s="1"/>
  <c r="AD155" i="13" s="1"/>
  <c r="AA157" i="13"/>
  <c r="AC157" i="13" s="1"/>
  <c r="AD157" i="13" s="1"/>
  <c r="AB157" i="13"/>
  <c r="AE157" i="13" s="1"/>
  <c r="BA187" i="13"/>
  <c r="AT187" i="13"/>
  <c r="AK187" i="13"/>
  <c r="BB187" i="13"/>
  <c r="AS187" i="13"/>
  <c r="AJ187" i="13"/>
  <c r="AY187" i="13"/>
  <c r="AP187" i="13"/>
  <c r="AW187" i="13"/>
  <c r="AN187" i="13"/>
  <c r="AZ187" i="13"/>
  <c r="AV187" i="13"/>
  <c r="AQ187" i="13"/>
  <c r="AM187" i="13"/>
  <c r="BK136" i="13"/>
  <c r="AL137" i="13"/>
  <c r="AS137" i="13"/>
  <c r="AZ137" i="13"/>
  <c r="BK138" i="13"/>
  <c r="AL140" i="13"/>
  <c r="AS140" i="13"/>
  <c r="AZ140" i="13"/>
  <c r="BK141" i="13"/>
  <c r="AL143" i="13"/>
  <c r="AS143" i="13"/>
  <c r="AZ143" i="13"/>
  <c r="BK144" i="13"/>
  <c r="AN145" i="13"/>
  <c r="AV145" i="13"/>
  <c r="AL146" i="13"/>
  <c r="AS146" i="13"/>
  <c r="BB146" i="13"/>
  <c r="BK146" i="13"/>
  <c r="BS146" i="13"/>
  <c r="AP147" i="13"/>
  <c r="AY147" i="13"/>
  <c r="BG147" i="13"/>
  <c r="BQ147" i="13"/>
  <c r="AM148" i="13"/>
  <c r="AV148" i="13"/>
  <c r="BK149" i="13"/>
  <c r="BW149" i="13"/>
  <c r="BF150" i="13"/>
  <c r="AL151" i="13"/>
  <c r="BQ151" i="13"/>
  <c r="AX153" i="13"/>
  <c r="BQ154" i="13"/>
  <c r="AX156" i="13"/>
  <c r="BK157" i="13"/>
  <c r="AW163" i="13"/>
  <c r="AR163" i="13"/>
  <c r="AL163" i="13"/>
  <c r="BT163" i="13"/>
  <c r="W166" i="13"/>
  <c r="V166" i="13"/>
  <c r="X166" i="13" s="1"/>
  <c r="Y166" i="13" s="1"/>
  <c r="BV167" i="13"/>
  <c r="BO167" i="13"/>
  <c r="BG167" i="13"/>
  <c r="BW167" i="13"/>
  <c r="BN167" i="13"/>
  <c r="BE167" i="13"/>
  <c r="BS167" i="13"/>
  <c r="AE170" i="13"/>
  <c r="BQ172" i="13"/>
  <c r="AB173" i="13"/>
  <c r="AA173" i="13"/>
  <c r="AC173" i="13" s="1"/>
  <c r="AD173" i="13" s="1"/>
  <c r="BR178" i="13"/>
  <c r="BL178" i="13"/>
  <c r="BA197" i="13"/>
  <c r="AX197" i="13"/>
  <c r="AP197" i="13"/>
  <c r="AW197" i="13"/>
  <c r="AN197" i="13"/>
  <c r="AV197" i="13"/>
  <c r="AL197" i="13"/>
  <c r="AT197" i="13"/>
  <c r="AK197" i="13"/>
  <c r="BB197" i="13"/>
  <c r="AR197" i="13"/>
  <c r="AJ197" i="13"/>
  <c r="AP145" i="13"/>
  <c r="AW145" i="13"/>
  <c r="BL146" i="13"/>
  <c r="BU146" i="13"/>
  <c r="AR147" i="13"/>
  <c r="AZ147" i="13"/>
  <c r="BL149" i="13"/>
  <c r="BV158" i="13"/>
  <c r="BH158" i="13"/>
  <c r="BW158" i="13"/>
  <c r="BE158" i="13"/>
  <c r="BV162" i="13"/>
  <c r="BK162" i="13"/>
  <c r="BH162" i="13"/>
  <c r="AW164" i="13"/>
  <c r="AX164" i="13"/>
  <c r="AR164" i="13"/>
  <c r="AB168" i="13"/>
  <c r="AE168" i="13" s="1"/>
  <c r="AA168" i="13"/>
  <c r="AC168" i="13" s="1"/>
  <c r="AD168" i="13" s="1"/>
  <c r="AW171" i="13"/>
  <c r="AR171" i="13"/>
  <c r="AL171" i="13"/>
  <c r="AB176" i="13"/>
  <c r="AA176" i="13"/>
  <c r="AC176" i="13" s="1"/>
  <c r="AD176" i="13" s="1"/>
  <c r="V191" i="13"/>
  <c r="X191" i="13" s="1"/>
  <c r="Y191" i="13" s="1"/>
  <c r="W191" i="13"/>
  <c r="AE191" i="13" s="1"/>
  <c r="AW155" i="13"/>
  <c r="AL155" i="13"/>
  <c r="BV163" i="13"/>
  <c r="BN163" i="13"/>
  <c r="BK163" i="13"/>
  <c r="BV172" i="13"/>
  <c r="BT172" i="13"/>
  <c r="BK172" i="13"/>
  <c r="BO172" i="13"/>
  <c r="BG172" i="13"/>
  <c r="BW172" i="13"/>
  <c r="BN172" i="13"/>
  <c r="BE172" i="13"/>
  <c r="BU172" i="13"/>
  <c r="AW173" i="13"/>
  <c r="AL173" i="13"/>
  <c r="AX173" i="13"/>
  <c r="AW174" i="13"/>
  <c r="AR174" i="13"/>
  <c r="AL174" i="13"/>
  <c r="BJ177" i="13"/>
  <c r="BF177" i="13"/>
  <c r="BR177" i="13"/>
  <c r="BP177" i="13"/>
  <c r="BA184" i="13"/>
  <c r="AY184" i="13"/>
  <c r="AP184" i="13"/>
  <c r="AW184" i="13"/>
  <c r="AN184" i="13"/>
  <c r="AT184" i="13"/>
  <c r="AK184" i="13"/>
  <c r="BB184" i="13"/>
  <c r="AS184" i="13"/>
  <c r="AJ184" i="13"/>
  <c r="BA186" i="13"/>
  <c r="AT186" i="13"/>
  <c r="AK186" i="13"/>
  <c r="BB186" i="13"/>
  <c r="AS186" i="13"/>
  <c r="AJ186" i="13"/>
  <c r="AY186" i="13"/>
  <c r="AP186" i="13"/>
  <c r="AW186" i="13"/>
  <c r="AN186" i="13"/>
  <c r="V201" i="13"/>
  <c r="X201" i="13" s="1"/>
  <c r="Y201" i="13" s="1"/>
  <c r="W201" i="13"/>
  <c r="AE201" i="13" s="1"/>
  <c r="AP137" i="13"/>
  <c r="AW137" i="13"/>
  <c r="AP140" i="13"/>
  <c r="AW140" i="13"/>
  <c r="AP143" i="13"/>
  <c r="AW143" i="13"/>
  <c r="AK145" i="13"/>
  <c r="AR145" i="13"/>
  <c r="AY145" i="13"/>
  <c r="AP146" i="13"/>
  <c r="AX146" i="13"/>
  <c r="BF146" i="13"/>
  <c r="BO146" i="13"/>
  <c r="AL147" i="13"/>
  <c r="AT147" i="13"/>
  <c r="BL147" i="13"/>
  <c r="BU147" i="13"/>
  <c r="AR148" i="13"/>
  <c r="AZ148" i="13"/>
  <c r="W149" i="13"/>
  <c r="AE149" i="13" s="1"/>
  <c r="BF149" i="13"/>
  <c r="BQ149" i="13"/>
  <c r="W150" i="13"/>
  <c r="AE150" i="13" s="1"/>
  <c r="BK153" i="13"/>
  <c r="AR155" i="13"/>
  <c r="BN158" i="13"/>
  <c r="BV159" i="13"/>
  <c r="BH159" i="13"/>
  <c r="BW159" i="13"/>
  <c r="BE159" i="13"/>
  <c r="AA161" i="13"/>
  <c r="AC161" i="13" s="1"/>
  <c r="BV161" i="13"/>
  <c r="BK161" i="13"/>
  <c r="BH161" i="13"/>
  <c r="BN162" i="13"/>
  <c r="BE163" i="13"/>
  <c r="BV164" i="13"/>
  <c r="BN164" i="13"/>
  <c r="BK164" i="13"/>
  <c r="BW164" i="13"/>
  <c r="AW165" i="13"/>
  <c r="AX165" i="13"/>
  <c r="AR165" i="13"/>
  <c r="AW166" i="13"/>
  <c r="AX166" i="13"/>
  <c r="AW168" i="13"/>
  <c r="AX168" i="13"/>
  <c r="BV171" i="13"/>
  <c r="BW171" i="13"/>
  <c r="BN171" i="13"/>
  <c r="BE171" i="13"/>
  <c r="BS171" i="13"/>
  <c r="BI171" i="13"/>
  <c r="BQ171" i="13"/>
  <c r="BH171" i="13"/>
  <c r="BU171" i="13"/>
  <c r="AB172" i="13"/>
  <c r="AE172" i="13" s="1"/>
  <c r="BH172" i="13"/>
  <c r="AR173" i="13"/>
  <c r="AX174" i="13"/>
  <c r="BV175" i="13"/>
  <c r="BT175" i="13"/>
  <c r="BK175" i="13"/>
  <c r="BO175" i="13"/>
  <c r="BG175" i="13"/>
  <c r="BW175" i="13"/>
  <c r="BN175" i="13"/>
  <c r="BE175" i="13"/>
  <c r="BU175" i="13"/>
  <c r="AZ176" i="13"/>
  <c r="AL176" i="13"/>
  <c r="AX176" i="13"/>
  <c r="BL177" i="13"/>
  <c r="AM184" i="13"/>
  <c r="AM186" i="13"/>
  <c r="AJ137" i="13"/>
  <c r="AQ137" i="13"/>
  <c r="AX137" i="13"/>
  <c r="AJ140" i="13"/>
  <c r="AQ140" i="13"/>
  <c r="AX140" i="13"/>
  <c r="AJ143" i="13"/>
  <c r="AQ143" i="13"/>
  <c r="AX143" i="13"/>
  <c r="AL145" i="13"/>
  <c r="AS145" i="13"/>
  <c r="AZ145" i="13"/>
  <c r="AJ146" i="13"/>
  <c r="AQ146" i="13"/>
  <c r="AY146" i="13"/>
  <c r="BG146" i="13"/>
  <c r="BQ146" i="13"/>
  <c r="AM147" i="13"/>
  <c r="AV147" i="13"/>
  <c r="BE147" i="13"/>
  <c r="BM147" i="13"/>
  <c r="BW147" i="13"/>
  <c r="AJ148" i="13"/>
  <c r="AS148" i="13"/>
  <c r="BB148" i="13"/>
  <c r="BG149" i="13"/>
  <c r="BR149" i="13"/>
  <c r="BQ150" i="13"/>
  <c r="BE151" i="13"/>
  <c r="W152" i="13"/>
  <c r="AE152" i="13" s="1"/>
  <c r="AL153" i="13"/>
  <c r="BQ153" i="13"/>
  <c r="AB154" i="13"/>
  <c r="AE154" i="13" s="1"/>
  <c r="BE154" i="13"/>
  <c r="AX155" i="13"/>
  <c r="AL156" i="13"/>
  <c r="V157" i="13"/>
  <c r="X157" i="13" s="1"/>
  <c r="Y157" i="13" s="1"/>
  <c r="BV157" i="13"/>
  <c r="BW157" i="13"/>
  <c r="BE157" i="13"/>
  <c r="BQ158" i="13"/>
  <c r="AA159" i="13"/>
  <c r="AC159" i="13" s="1"/>
  <c r="BK159" i="13"/>
  <c r="V160" i="13"/>
  <c r="X160" i="13" s="1"/>
  <c r="Y160" i="13" s="1"/>
  <c r="BE161" i="13"/>
  <c r="BQ162" i="13"/>
  <c r="BH163" i="13"/>
  <c r="BE164" i="13"/>
  <c r="AL165" i="13"/>
  <c r="AL166" i="13"/>
  <c r="AL168" i="13"/>
  <c r="AW169" i="13"/>
  <c r="AX169" i="13"/>
  <c r="BG171" i="13"/>
  <c r="BI172" i="13"/>
  <c r="BV174" i="13"/>
  <c r="BW174" i="13"/>
  <c r="BN174" i="13"/>
  <c r="BE174" i="13"/>
  <c r="BS174" i="13"/>
  <c r="BI174" i="13"/>
  <c r="BQ174" i="13"/>
  <c r="BH174" i="13"/>
  <c r="BU174" i="13"/>
  <c r="AB175" i="13"/>
  <c r="BH175" i="13"/>
  <c r="AR176" i="13"/>
  <c r="BA179" i="13"/>
  <c r="AT179" i="13"/>
  <c r="AK179" i="13"/>
  <c r="AY179" i="13"/>
  <c r="AP179" i="13"/>
  <c r="AW179" i="13"/>
  <c r="AN179" i="13"/>
  <c r="AZ179" i="13"/>
  <c r="BA180" i="13"/>
  <c r="AT180" i="13"/>
  <c r="AK180" i="13"/>
  <c r="BB180" i="13"/>
  <c r="AS180" i="13"/>
  <c r="AJ180" i="13"/>
  <c r="AY180" i="13"/>
  <c r="AP180" i="13"/>
  <c r="AW180" i="13"/>
  <c r="AN180" i="13"/>
  <c r="AQ184" i="13"/>
  <c r="AQ186" i="13"/>
  <c r="V190" i="13"/>
  <c r="X190" i="13" s="1"/>
  <c r="Y190" i="13" s="1"/>
  <c r="W190" i="13"/>
  <c r="AE190" i="13" s="1"/>
  <c r="V213" i="13"/>
  <c r="X213" i="13" s="1"/>
  <c r="Y213" i="13" s="1"/>
  <c r="W213" i="13"/>
  <c r="AE213" i="13" s="1"/>
  <c r="BT156" i="13"/>
  <c r="BK166" i="13"/>
  <c r="BW166" i="13"/>
  <c r="BK168" i="13"/>
  <c r="BT168" i="13"/>
  <c r="BK169" i="13"/>
  <c r="BT169" i="13"/>
  <c r="BK170" i="13"/>
  <c r="BT170" i="13"/>
  <c r="BK173" i="13"/>
  <c r="BT173" i="13"/>
  <c r="AK177" i="13"/>
  <c r="AW177" i="13"/>
  <c r="AP178" i="13"/>
  <c r="AY178" i="13"/>
  <c r="AM181" i="13"/>
  <c r="AV181" i="13"/>
  <c r="AM182" i="13"/>
  <c r="AV182" i="13"/>
  <c r="AK183" i="13"/>
  <c r="AT183" i="13"/>
  <c r="BV187" i="13"/>
  <c r="AK188" i="13"/>
  <c r="AR188" i="13"/>
  <c r="AY188" i="13"/>
  <c r="BV188" i="13"/>
  <c r="AK189" i="13"/>
  <c r="AR189" i="13"/>
  <c r="AY189" i="13"/>
  <c r="AN190" i="13"/>
  <c r="AZ190" i="13"/>
  <c r="AN191" i="13"/>
  <c r="AZ191" i="13"/>
  <c r="AP192" i="13"/>
  <c r="BB192" i="13"/>
  <c r="AN193" i="13"/>
  <c r="AW193" i="13"/>
  <c r="BO193" i="13"/>
  <c r="BM194" i="13"/>
  <c r="AK195" i="13"/>
  <c r="AT195" i="13"/>
  <c r="BS195" i="13"/>
  <c r="AN196" i="13"/>
  <c r="AW196" i="13"/>
  <c r="BI196" i="13"/>
  <c r="AQ199" i="13"/>
  <c r="AZ199" i="13"/>
  <c r="BS199" i="13"/>
  <c r="AN200" i="13"/>
  <c r="AX200" i="13"/>
  <c r="AL201" i="13"/>
  <c r="AW201" i="13"/>
  <c r="BM201" i="13"/>
  <c r="AB202" i="13"/>
  <c r="AA202" i="13"/>
  <c r="AC202" i="13" s="1"/>
  <c r="AF202" i="13" s="1"/>
  <c r="BJ203" i="13"/>
  <c r="AQ204" i="13"/>
  <c r="BA206" i="13"/>
  <c r="AV206" i="13"/>
  <c r="AL206" i="13"/>
  <c r="AT206" i="13"/>
  <c r="AK206" i="13"/>
  <c r="AW206" i="13"/>
  <c r="AL207" i="13"/>
  <c r="BB207" i="13"/>
  <c r="BA208" i="13"/>
  <c r="BB208" i="13"/>
  <c r="AR208" i="13"/>
  <c r="AK208" i="13"/>
  <c r="AZ208" i="13"/>
  <c r="AQ208" i="13"/>
  <c r="AJ208" i="13"/>
  <c r="AV208" i="13"/>
  <c r="AV212" i="13"/>
  <c r="BM166" i="13"/>
  <c r="BM168" i="13"/>
  <c r="BU168" i="13"/>
  <c r="BM169" i="13"/>
  <c r="BU169" i="13"/>
  <c r="BM170" i="13"/>
  <c r="BU170" i="13"/>
  <c r="BM173" i="13"/>
  <c r="BU173" i="13"/>
  <c r="AM177" i="13"/>
  <c r="AY177" i="13"/>
  <c r="AQ178" i="13"/>
  <c r="AZ178" i="13"/>
  <c r="AN181" i="13"/>
  <c r="AW181" i="13"/>
  <c r="AN182" i="13"/>
  <c r="AW182" i="13"/>
  <c r="AM183" i="13"/>
  <c r="AV183" i="13"/>
  <c r="AL188" i="13"/>
  <c r="AS188" i="13"/>
  <c r="AZ188" i="13"/>
  <c r="AL189" i="13"/>
  <c r="AS189" i="13"/>
  <c r="AZ189" i="13"/>
  <c r="AP190" i="13"/>
  <c r="BB190" i="13"/>
  <c r="AP191" i="13"/>
  <c r="BB191" i="13"/>
  <c r="AA192" i="13"/>
  <c r="AC192" i="13" s="1"/>
  <c r="AD192" i="13" s="1"/>
  <c r="AQ192" i="13"/>
  <c r="AA193" i="13"/>
  <c r="AC193" i="13" s="1"/>
  <c r="AD193" i="13" s="1"/>
  <c r="AP193" i="13"/>
  <c r="AX193" i="13"/>
  <c r="BV193" i="13"/>
  <c r="AQ194" i="13"/>
  <c r="AZ194" i="13"/>
  <c r="BO194" i="13"/>
  <c r="AA195" i="13"/>
  <c r="AC195" i="13" s="1"/>
  <c r="AD195" i="13" s="1"/>
  <c r="AL195" i="13"/>
  <c r="AV195" i="13"/>
  <c r="BG195" i="13"/>
  <c r="AP196" i="13"/>
  <c r="AX196" i="13"/>
  <c r="BM196" i="13"/>
  <c r="AQ198" i="13"/>
  <c r="AZ198" i="13"/>
  <c r="W199" i="13"/>
  <c r="AE199" i="13" s="1"/>
  <c r="AJ199" i="13"/>
  <c r="AR199" i="13"/>
  <c r="BB199" i="13"/>
  <c r="BV199" i="13"/>
  <c r="AA200" i="13"/>
  <c r="AC200" i="13" s="1"/>
  <c r="AF200" i="13" s="1"/>
  <c r="AP200" i="13"/>
  <c r="AN201" i="13"/>
  <c r="BA202" i="13"/>
  <c r="AX202" i="13"/>
  <c r="AP202" i="13"/>
  <c r="AR202" i="13"/>
  <c r="BM204" i="13"/>
  <c r="AA205" i="13"/>
  <c r="AC205" i="13" s="1"/>
  <c r="AD205" i="13" s="1"/>
  <c r="AG205" i="13" s="1"/>
  <c r="AJ206" i="13"/>
  <c r="AX206" i="13"/>
  <c r="BM207" i="13"/>
  <c r="BI207" i="13"/>
  <c r="AL208" i="13"/>
  <c r="AW208" i="13"/>
  <c r="BO211" i="13"/>
  <c r="BS211" i="13"/>
  <c r="BM211" i="13"/>
  <c r="BJ211" i="13"/>
  <c r="BG211" i="13"/>
  <c r="BO217" i="13"/>
  <c r="BV217" i="13"/>
  <c r="BS217" i="13"/>
  <c r="BM217" i="13"/>
  <c r="BJ217" i="13"/>
  <c r="BG217" i="13"/>
  <c r="V220" i="13"/>
  <c r="X220" i="13" s="1"/>
  <c r="Y220" i="13" s="1"/>
  <c r="W220" i="13"/>
  <c r="AE220" i="13" s="1"/>
  <c r="BA229" i="13"/>
  <c r="AX229" i="13"/>
  <c r="AQ229" i="13"/>
  <c r="AJ229" i="13"/>
  <c r="AY229" i="13"/>
  <c r="AP229" i="13"/>
  <c r="AW229" i="13"/>
  <c r="AN229" i="13"/>
  <c r="AV229" i="13"/>
  <c r="AM229" i="13"/>
  <c r="AT229" i="13"/>
  <c r="AL229" i="13"/>
  <c r="BB229" i="13"/>
  <c r="AS229" i="13"/>
  <c r="AK229" i="13"/>
  <c r="AT192" i="13"/>
  <c r="AQ193" i="13"/>
  <c r="AZ193" i="13"/>
  <c r="AQ196" i="13"/>
  <c r="AZ196" i="13"/>
  <c r="BA200" i="13"/>
  <c r="AZ200" i="13"/>
  <c r="AQ200" i="13"/>
  <c r="AR200" i="13"/>
  <c r="BA204" i="13"/>
  <c r="AX204" i="13"/>
  <c r="AP204" i="13"/>
  <c r="AW204" i="13"/>
  <c r="AN204" i="13"/>
  <c r="AT204" i="13"/>
  <c r="V206" i="13"/>
  <c r="X206" i="13" s="1"/>
  <c r="Y206" i="13" s="1"/>
  <c r="W206" i="13"/>
  <c r="AB207" i="13"/>
  <c r="AA207" i="13"/>
  <c r="AC207" i="13" s="1"/>
  <c r="AD207" i="13" s="1"/>
  <c r="AG207" i="13" s="1"/>
  <c r="AB210" i="13"/>
  <c r="AA210" i="13"/>
  <c r="AC210" i="13" s="1"/>
  <c r="AF210" i="13" s="1"/>
  <c r="AB216" i="13"/>
  <c r="AA216" i="13"/>
  <c r="AC216" i="13" s="1"/>
  <c r="AD216" i="13" s="1"/>
  <c r="AG216" i="13" s="1"/>
  <c r="BA218" i="13"/>
  <c r="BB218" i="13"/>
  <c r="AV218" i="13"/>
  <c r="AN218" i="13"/>
  <c r="AT218" i="13"/>
  <c r="AM218" i="13"/>
  <c r="AZ218" i="13"/>
  <c r="AS218" i="13"/>
  <c r="AL218" i="13"/>
  <c r="AY218" i="13"/>
  <c r="AR218" i="13"/>
  <c r="AK218" i="13"/>
  <c r="AX218" i="13"/>
  <c r="AQ218" i="13"/>
  <c r="AJ218" i="13"/>
  <c r="AQ181" i="13"/>
  <c r="AZ181" i="13"/>
  <c r="AQ182" i="13"/>
  <c r="AZ182" i="13"/>
  <c r="AE188" i="13"/>
  <c r="AT190" i="13"/>
  <c r="AT191" i="13"/>
  <c r="AJ192" i="13"/>
  <c r="AV192" i="13"/>
  <c r="AJ193" i="13"/>
  <c r="AR193" i="13"/>
  <c r="BB193" i="13"/>
  <c r="BU194" i="13"/>
  <c r="AJ196" i="13"/>
  <c r="AR196" i="13"/>
  <c r="BB196" i="13"/>
  <c r="W198" i="13"/>
  <c r="BG199" i="13"/>
  <c r="AJ200" i="13"/>
  <c r="AT200" i="13"/>
  <c r="BM200" i="13"/>
  <c r="BO201" i="13"/>
  <c r="BV201" i="13"/>
  <c r="AJ204" i="13"/>
  <c r="AV204" i="13"/>
  <c r="BA207" i="13"/>
  <c r="AX207" i="13"/>
  <c r="AP207" i="13"/>
  <c r="AW207" i="13"/>
  <c r="AN207" i="13"/>
  <c r="AT207" i="13"/>
  <c r="BO208" i="13"/>
  <c r="BV208" i="13"/>
  <c r="BS208" i="13"/>
  <c r="W209" i="13"/>
  <c r="AA211" i="13"/>
  <c r="AC211" i="13" s="1"/>
  <c r="AF211" i="13" s="1"/>
  <c r="BA212" i="13"/>
  <c r="BB212" i="13"/>
  <c r="AT212" i="13"/>
  <c r="AM212" i="13"/>
  <c r="AZ212" i="13"/>
  <c r="AS212" i="13"/>
  <c r="AL212" i="13"/>
  <c r="AY212" i="13"/>
  <c r="AR212" i="13"/>
  <c r="AK212" i="13"/>
  <c r="AX212" i="13"/>
  <c r="AQ212" i="13"/>
  <c r="AJ212" i="13"/>
  <c r="AP218" i="13"/>
  <c r="BQ227" i="13"/>
  <c r="BG227" i="13"/>
  <c r="BO227" i="13"/>
  <c r="BL227" i="13"/>
  <c r="BW227" i="13"/>
  <c r="BJ227" i="13"/>
  <c r="BV227" i="13"/>
  <c r="BI227" i="13"/>
  <c r="BS227" i="13"/>
  <c r="BE227" i="13"/>
  <c r="AS177" i="13"/>
  <c r="AJ181" i="13"/>
  <c r="AS181" i="13"/>
  <c r="BB181" i="13"/>
  <c r="AJ182" i="13"/>
  <c r="AS182" i="13"/>
  <c r="BB182" i="13"/>
  <c r="AQ183" i="13"/>
  <c r="AZ183" i="13"/>
  <c r="AP188" i="13"/>
  <c r="AW188" i="13"/>
  <c r="AP189" i="13"/>
  <c r="AW189" i="13"/>
  <c r="AJ190" i="13"/>
  <c r="AV190" i="13"/>
  <c r="AJ191" i="13"/>
  <c r="AV191" i="13"/>
  <c r="AK192" i="13"/>
  <c r="AW192" i="13"/>
  <c r="AK193" i="13"/>
  <c r="AT193" i="13"/>
  <c r="AQ195" i="13"/>
  <c r="AZ195" i="13"/>
  <c r="AK196" i="13"/>
  <c r="AT196" i="13"/>
  <c r="BM198" i="13"/>
  <c r="AA199" i="13"/>
  <c r="AC199" i="13" s="1"/>
  <c r="AD199" i="13" s="1"/>
  <c r="AG199" i="13" s="1"/>
  <c r="BJ199" i="13"/>
  <c r="W200" i="13"/>
  <c r="AE200" i="13" s="1"/>
  <c r="AK200" i="13"/>
  <c r="AV200" i="13"/>
  <c r="BA201" i="13"/>
  <c r="BB201" i="13"/>
  <c r="AR201" i="13"/>
  <c r="AJ201" i="13"/>
  <c r="AT201" i="13"/>
  <c r="BG201" i="13"/>
  <c r="W202" i="13"/>
  <c r="BO203" i="13"/>
  <c r="BV203" i="13"/>
  <c r="BS203" i="13"/>
  <c r="W204" i="13"/>
  <c r="AK204" i="13"/>
  <c r="AZ204" i="13"/>
  <c r="AJ207" i="13"/>
  <c r="AV207" i="13"/>
  <c r="BG208" i="13"/>
  <c r="AN212" i="13"/>
  <c r="AW218" i="13"/>
  <c r="BP227" i="13"/>
  <c r="AB230" i="13"/>
  <c r="AA230" i="13"/>
  <c r="AC230" i="13" s="1"/>
  <c r="AF230" i="13" s="1"/>
  <c r="AQ203" i="13"/>
  <c r="AZ203" i="13"/>
  <c r="AP205" i="13"/>
  <c r="AX205" i="13"/>
  <c r="AM209" i="13"/>
  <c r="AT209" i="13"/>
  <c r="BB209" i="13"/>
  <c r="BV209" i="13"/>
  <c r="AN210" i="13"/>
  <c r="AV210" i="13"/>
  <c r="AP211" i="13"/>
  <c r="AW211" i="13"/>
  <c r="BJ212" i="13"/>
  <c r="AK213" i="13"/>
  <c r="AR213" i="13"/>
  <c r="AY213" i="13"/>
  <c r="BM213" i="13"/>
  <c r="AL214" i="13"/>
  <c r="AS214" i="13"/>
  <c r="AZ214" i="13"/>
  <c r="BS214" i="13"/>
  <c r="AM215" i="13"/>
  <c r="AT215" i="13"/>
  <c r="BB215" i="13"/>
  <c r="BV215" i="13"/>
  <c r="AN216" i="13"/>
  <c r="AV216" i="13"/>
  <c r="AP217" i="13"/>
  <c r="AW217" i="13"/>
  <c r="BM218" i="13"/>
  <c r="AB219" i="13"/>
  <c r="AA219" i="13"/>
  <c r="AC219" i="13" s="1"/>
  <c r="AP219" i="13"/>
  <c r="AL220" i="13"/>
  <c r="AT220" i="13"/>
  <c r="BS221" i="13"/>
  <c r="BA222" i="13"/>
  <c r="AY222" i="13"/>
  <c r="AR222" i="13"/>
  <c r="AK222" i="13"/>
  <c r="AQ222" i="13"/>
  <c r="AZ222" i="13"/>
  <c r="BS222" i="13"/>
  <c r="BQ223" i="13"/>
  <c r="AN224" i="13"/>
  <c r="AW224" i="13"/>
  <c r="BG224" i="13"/>
  <c r="BS224" i="13"/>
  <c r="BQ225" i="13"/>
  <c r="BA226" i="13"/>
  <c r="AZ226" i="13"/>
  <c r="AS226" i="13"/>
  <c r="AL226" i="13"/>
  <c r="AQ226" i="13"/>
  <c r="AY226" i="13"/>
  <c r="BJ226" i="13"/>
  <c r="BU226" i="13"/>
  <c r="AM227" i="13"/>
  <c r="AV227" i="13"/>
  <c r="BA228" i="13"/>
  <c r="BB228" i="13"/>
  <c r="AT228" i="13"/>
  <c r="AM228" i="13"/>
  <c r="AQ228" i="13"/>
  <c r="AY228" i="13"/>
  <c r="BQ228" i="13"/>
  <c r="BA230" i="13"/>
  <c r="AV230" i="13"/>
  <c r="AN230" i="13"/>
  <c r="AQ230" i="13"/>
  <c r="AY230" i="13"/>
  <c r="BA233" i="13"/>
  <c r="AZ233" i="13"/>
  <c r="AS233" i="13"/>
  <c r="AL233" i="13"/>
  <c r="AY233" i="13"/>
  <c r="AR233" i="13"/>
  <c r="AK233" i="13"/>
  <c r="AV233" i="13"/>
  <c r="AN233" i="13"/>
  <c r="AW233" i="13"/>
  <c r="AQ205" i="13"/>
  <c r="AZ205" i="13"/>
  <c r="AN209" i="13"/>
  <c r="AV209" i="13"/>
  <c r="AP210" i="13"/>
  <c r="AW210" i="13"/>
  <c r="BM212" i="13"/>
  <c r="AL213" i="13"/>
  <c r="AS213" i="13"/>
  <c r="AZ213" i="13"/>
  <c r="BS213" i="13"/>
  <c r="AM214" i="13"/>
  <c r="AT214" i="13"/>
  <c r="BB214" i="13"/>
  <c r="BV214" i="13"/>
  <c r="AN215" i="13"/>
  <c r="AV215" i="13"/>
  <c r="AP216" i="13"/>
  <c r="AW216" i="13"/>
  <c r="BA219" i="13"/>
  <c r="AV219" i="13"/>
  <c r="AN219" i="13"/>
  <c r="AQ219" i="13"/>
  <c r="AY219" i="13"/>
  <c r="AM220" i="13"/>
  <c r="AW220" i="13"/>
  <c r="AJ222" i="13"/>
  <c r="AS222" i="13"/>
  <c r="BB222" i="13"/>
  <c r="BA223" i="13"/>
  <c r="AY223" i="13"/>
  <c r="AR223" i="13"/>
  <c r="AK223" i="13"/>
  <c r="AQ223" i="13"/>
  <c r="AZ223" i="13"/>
  <c r="BV223" i="13"/>
  <c r="AA224" i="13"/>
  <c r="AC224" i="13" s="1"/>
  <c r="AF224" i="13" s="1"/>
  <c r="AP224" i="13"/>
  <c r="BI224" i="13"/>
  <c r="BW224" i="13"/>
  <c r="BV225" i="13"/>
  <c r="AJ226" i="13"/>
  <c r="AR226" i="13"/>
  <c r="BB226" i="13"/>
  <c r="BL226" i="13"/>
  <c r="AN227" i="13"/>
  <c r="AW227" i="13"/>
  <c r="AJ228" i="13"/>
  <c r="AR228" i="13"/>
  <c r="AZ228" i="13"/>
  <c r="BW229" i="13"/>
  <c r="BO229" i="13"/>
  <c r="BF229" i="13"/>
  <c r="BM229" i="13"/>
  <c r="AJ230" i="13"/>
  <c r="AR230" i="13"/>
  <c r="AZ230" i="13"/>
  <c r="BA231" i="13"/>
  <c r="AV231" i="13"/>
  <c r="AN231" i="13"/>
  <c r="AX231" i="13"/>
  <c r="AQ231" i="13"/>
  <c r="AJ231" i="13"/>
  <c r="AS231" i="13"/>
  <c r="AJ233" i="13"/>
  <c r="AX233" i="13"/>
  <c r="AP209" i="13"/>
  <c r="AW209" i="13"/>
  <c r="BS212" i="13"/>
  <c r="AM213" i="13"/>
  <c r="AT213" i="13"/>
  <c r="BB213" i="13"/>
  <c r="BV213" i="13"/>
  <c r="AN214" i="13"/>
  <c r="AV214" i="13"/>
  <c r="AP215" i="13"/>
  <c r="AW215" i="13"/>
  <c r="AP220" i="13"/>
  <c r="BT221" i="13"/>
  <c r="BG221" i="13"/>
  <c r="BT222" i="13"/>
  <c r="BM222" i="13"/>
  <c r="BA224" i="13"/>
  <c r="AZ224" i="13"/>
  <c r="AS224" i="13"/>
  <c r="AL224" i="13"/>
  <c r="AQ224" i="13"/>
  <c r="AY224" i="13"/>
  <c r="BL224" i="13"/>
  <c r="BQ226" i="13"/>
  <c r="BI226" i="13"/>
  <c r="BM226" i="13"/>
  <c r="BW226" i="13"/>
  <c r="AP227" i="13"/>
  <c r="BN235" i="13"/>
  <c r="BL235" i="13"/>
  <c r="BJ235" i="13"/>
  <c r="BU235" i="13"/>
  <c r="BI235" i="13"/>
  <c r="BS235" i="13"/>
  <c r="BG235" i="13"/>
  <c r="BV212" i="13"/>
  <c r="AN213" i="13"/>
  <c r="AV213" i="13"/>
  <c r="AP214" i="13"/>
  <c r="AW214" i="13"/>
  <c r="BO218" i="13"/>
  <c r="BV218" i="13"/>
  <c r="BA220" i="13"/>
  <c r="AV220" i="13"/>
  <c r="AN220" i="13"/>
  <c r="AQ220" i="13"/>
  <c r="AY220" i="13"/>
  <c r="V223" i="13"/>
  <c r="X223" i="13" s="1"/>
  <c r="Y223" i="13" s="1"/>
  <c r="W223" i="13"/>
  <c r="AE223" i="13" s="1"/>
  <c r="BA227" i="13"/>
  <c r="AX227" i="13"/>
  <c r="AQ227" i="13"/>
  <c r="AJ227" i="13"/>
  <c r="AR227" i="13"/>
  <c r="AZ227" i="13"/>
  <c r="AA232" i="13"/>
  <c r="AC232" i="13" s="1"/>
  <c r="W233" i="13"/>
  <c r="AE233" i="13" s="1"/>
  <c r="AP233" i="13"/>
  <c r="BR235" i="13"/>
  <c r="AP213" i="13"/>
  <c r="AW213" i="13"/>
  <c r="BV224" i="13"/>
  <c r="BJ224" i="13"/>
  <c r="BP224" i="13"/>
  <c r="V228" i="13"/>
  <c r="X228" i="13" s="1"/>
  <c r="Y228" i="13" s="1"/>
  <c r="W228" i="13"/>
  <c r="AE228" i="13" s="1"/>
  <c r="BU219" i="13"/>
  <c r="BU220" i="13"/>
  <c r="AP221" i="13"/>
  <c r="AW221" i="13"/>
  <c r="AP225" i="13"/>
  <c r="AW225" i="13"/>
  <c r="AK232" i="13"/>
  <c r="AR232" i="13"/>
  <c r="AY232" i="13"/>
  <c r="BG232" i="13"/>
  <c r="BP232" i="13"/>
  <c r="AK234" i="13"/>
  <c r="AV234" i="13"/>
  <c r="AN235" i="13"/>
  <c r="AV235" i="13"/>
  <c r="AO235" i="13"/>
  <c r="AY235" i="13"/>
  <c r="AQ235" i="13"/>
  <c r="AZ235" i="13"/>
  <c r="BL232" i="13"/>
  <c r="BU232" i="13"/>
  <c r="AJ235" i="13"/>
  <c r="AS235" i="13"/>
  <c r="BA235" i="13"/>
  <c r="AP232" i="13"/>
  <c r="AW232" i="13"/>
  <c r="BE232" i="13"/>
  <c r="BM232" i="13"/>
  <c r="AK235" i="13"/>
  <c r="AT235" i="13"/>
  <c r="AE234" i="13"/>
  <c r="AE184" i="13"/>
  <c r="AE161" i="13"/>
  <c r="AE162" i="13"/>
  <c r="AD154" i="13"/>
  <c r="AD156" i="13"/>
  <c r="AD166" i="13"/>
  <c r="AD165" i="13"/>
  <c r="BU179" i="13"/>
  <c r="BO179" i="13"/>
  <c r="BI179" i="13"/>
  <c r="BT179" i="13"/>
  <c r="BN179" i="13"/>
  <c r="BH179" i="13"/>
  <c r="BS179" i="13"/>
  <c r="BM179" i="13"/>
  <c r="BG179" i="13"/>
  <c r="BW179" i="13"/>
  <c r="BQ179" i="13"/>
  <c r="BK179" i="13"/>
  <c r="BE179" i="13"/>
  <c r="BV179" i="13"/>
  <c r="BU181" i="13"/>
  <c r="BO181" i="13"/>
  <c r="BI181" i="13"/>
  <c r="BT181" i="13"/>
  <c r="BN181" i="13"/>
  <c r="BH181" i="13"/>
  <c r="BS181" i="13"/>
  <c r="BM181" i="13"/>
  <c r="BG181" i="13"/>
  <c r="BW181" i="13"/>
  <c r="BQ181" i="13"/>
  <c r="BK181" i="13"/>
  <c r="BE181" i="13"/>
  <c r="BV181" i="13"/>
  <c r="BU186" i="13"/>
  <c r="BO186" i="13"/>
  <c r="BI186" i="13"/>
  <c r="BT186" i="13"/>
  <c r="BN186" i="13"/>
  <c r="BH186" i="13"/>
  <c r="BS186" i="13"/>
  <c r="BM186" i="13"/>
  <c r="BG186" i="13"/>
  <c r="BR186" i="13"/>
  <c r="BL186" i="13"/>
  <c r="BF186" i="13"/>
  <c r="BW186" i="13"/>
  <c r="BQ186" i="13"/>
  <c r="BK186" i="13"/>
  <c r="BE186" i="13"/>
  <c r="BT191" i="13"/>
  <c r="BN191" i="13"/>
  <c r="BH191" i="13"/>
  <c r="BR191" i="13"/>
  <c r="BL191" i="13"/>
  <c r="BF191" i="13"/>
  <c r="BW191" i="13"/>
  <c r="BQ191" i="13"/>
  <c r="BK191" i="13"/>
  <c r="BE191" i="13"/>
  <c r="BO191" i="13"/>
  <c r="BM191" i="13"/>
  <c r="BV191" i="13"/>
  <c r="BJ191" i="13"/>
  <c r="BU191" i="13"/>
  <c r="BI191" i="13"/>
  <c r="BS191" i="13"/>
  <c r="BG191" i="13"/>
  <c r="V195" i="13"/>
  <c r="X195" i="13" s="1"/>
  <c r="Y195" i="13" s="1"/>
  <c r="W195" i="13"/>
  <c r="AE195" i="13" s="1"/>
  <c r="BT205" i="13"/>
  <c r="BN205" i="13"/>
  <c r="BH205" i="13"/>
  <c r="BR205" i="13"/>
  <c r="BL205" i="13"/>
  <c r="BF205" i="13"/>
  <c r="BW205" i="13"/>
  <c r="BQ205" i="13"/>
  <c r="BK205" i="13"/>
  <c r="BE205" i="13"/>
  <c r="BO205" i="13"/>
  <c r="BM205" i="13"/>
  <c r="BV205" i="13"/>
  <c r="BJ205" i="13"/>
  <c r="BU205" i="13"/>
  <c r="BI205" i="13"/>
  <c r="BS205" i="13"/>
  <c r="BG205" i="13"/>
  <c r="BF127" i="13"/>
  <c r="BL127" i="13"/>
  <c r="BR127" i="13"/>
  <c r="BF128" i="13"/>
  <c r="BL128" i="13"/>
  <c r="BR128" i="13"/>
  <c r="BF129" i="13"/>
  <c r="BL129" i="13"/>
  <c r="BR129" i="13"/>
  <c r="BF130" i="13"/>
  <c r="BL130" i="13"/>
  <c r="BR130" i="13"/>
  <c r="BF131" i="13"/>
  <c r="BL131" i="13"/>
  <c r="BR131" i="13"/>
  <c r="BF132" i="13"/>
  <c r="BL132" i="13"/>
  <c r="BR132" i="13"/>
  <c r="BF133" i="13"/>
  <c r="BL133" i="13"/>
  <c r="BR133" i="13"/>
  <c r="BF134" i="13"/>
  <c r="BL134" i="13"/>
  <c r="BR134" i="13"/>
  <c r="BF135" i="13"/>
  <c r="BL135" i="13"/>
  <c r="BR135" i="13"/>
  <c r="BF136" i="13"/>
  <c r="BL136" i="13"/>
  <c r="BR136" i="13"/>
  <c r="BF137" i="13"/>
  <c r="BL137" i="13"/>
  <c r="BR137" i="13"/>
  <c r="BF138" i="13"/>
  <c r="BL138" i="13"/>
  <c r="BR138" i="13"/>
  <c r="BF139" i="13"/>
  <c r="BL139" i="13"/>
  <c r="BR139" i="13"/>
  <c r="BF140" i="13"/>
  <c r="BL140" i="13"/>
  <c r="BR140" i="13"/>
  <c r="BF141" i="13"/>
  <c r="BL141" i="13"/>
  <c r="BR141" i="13"/>
  <c r="BF142" i="13"/>
  <c r="BL142" i="13"/>
  <c r="BR142" i="13"/>
  <c r="BF143" i="13"/>
  <c r="BL143" i="13"/>
  <c r="BR143" i="13"/>
  <c r="BF144" i="13"/>
  <c r="BL144" i="13"/>
  <c r="BR144" i="13"/>
  <c r="BF145" i="13"/>
  <c r="BL145" i="13"/>
  <c r="BR145" i="13"/>
  <c r="BL150" i="13"/>
  <c r="BR150" i="13"/>
  <c r="AM151" i="13"/>
  <c r="AS151" i="13"/>
  <c r="AY151" i="13"/>
  <c r="BF151" i="13"/>
  <c r="BL151" i="13"/>
  <c r="BR151" i="13"/>
  <c r="AM152" i="13"/>
  <c r="AS152" i="13"/>
  <c r="AY152" i="13"/>
  <c r="BF152" i="13"/>
  <c r="BL152" i="13"/>
  <c r="BR152" i="13"/>
  <c r="AM153" i="13"/>
  <c r="AS153" i="13"/>
  <c r="AY153" i="13"/>
  <c r="BF153" i="13"/>
  <c r="BL153" i="13"/>
  <c r="BR153" i="13"/>
  <c r="AM154" i="13"/>
  <c r="AS154" i="13"/>
  <c r="AY154" i="13"/>
  <c r="BF154" i="13"/>
  <c r="BL154" i="13"/>
  <c r="BR154" i="13"/>
  <c r="AM155" i="13"/>
  <c r="AS155" i="13"/>
  <c r="AY155" i="13"/>
  <c r="BF155" i="13"/>
  <c r="BL155" i="13"/>
  <c r="BR155" i="13"/>
  <c r="AM156" i="13"/>
  <c r="AS156" i="13"/>
  <c r="AY156" i="13"/>
  <c r="BF156" i="13"/>
  <c r="BL156" i="13"/>
  <c r="BR156" i="13"/>
  <c r="AM157" i="13"/>
  <c r="AS157" i="13"/>
  <c r="AY157" i="13"/>
  <c r="BF157" i="13"/>
  <c r="BL157" i="13"/>
  <c r="BR157" i="13"/>
  <c r="AM158" i="13"/>
  <c r="AS158" i="13"/>
  <c r="AY158" i="13"/>
  <c r="BF158" i="13"/>
  <c r="BL158" i="13"/>
  <c r="BR158" i="13"/>
  <c r="AM159" i="13"/>
  <c r="AS159" i="13"/>
  <c r="AY159" i="13"/>
  <c r="BF159" i="13"/>
  <c r="BL159" i="13"/>
  <c r="BR159" i="13"/>
  <c r="AM160" i="13"/>
  <c r="AS160" i="13"/>
  <c r="AY160" i="13"/>
  <c r="BF160" i="13"/>
  <c r="BL160" i="13"/>
  <c r="BR160" i="13"/>
  <c r="AM161" i="13"/>
  <c r="AS161" i="13"/>
  <c r="AY161" i="13"/>
  <c r="BF161" i="13"/>
  <c r="BL161" i="13"/>
  <c r="BR161" i="13"/>
  <c r="AM162" i="13"/>
  <c r="AS162" i="13"/>
  <c r="AY162" i="13"/>
  <c r="BF162" i="13"/>
  <c r="BL162" i="13"/>
  <c r="BR162" i="13"/>
  <c r="AM163" i="13"/>
  <c r="AS163" i="13"/>
  <c r="AY163" i="13"/>
  <c r="BF163" i="13"/>
  <c r="BL163" i="13"/>
  <c r="BR163" i="13"/>
  <c r="AM164" i="13"/>
  <c r="AS164" i="13"/>
  <c r="AY164" i="13"/>
  <c r="BL164" i="13"/>
  <c r="BR164" i="13"/>
  <c r="AM165" i="13"/>
  <c r="AS165" i="13"/>
  <c r="AY165" i="13"/>
  <c r="BF165" i="13"/>
  <c r="BL165" i="13"/>
  <c r="BR165" i="13"/>
  <c r="AM166" i="13"/>
  <c r="AS166" i="13"/>
  <c r="AY166" i="13"/>
  <c r="BF166" i="13"/>
  <c r="BL166" i="13"/>
  <c r="BR166" i="13"/>
  <c r="AM167" i="13"/>
  <c r="AS167" i="13"/>
  <c r="AY167" i="13"/>
  <c r="BF167" i="13"/>
  <c r="BL167" i="13"/>
  <c r="BR167" i="13"/>
  <c r="AM168" i="13"/>
  <c r="AS168" i="13"/>
  <c r="AY168" i="13"/>
  <c r="BF168" i="13"/>
  <c r="BL168" i="13"/>
  <c r="BR168" i="13"/>
  <c r="AM169" i="13"/>
  <c r="AS169" i="13"/>
  <c r="AY169" i="13"/>
  <c r="BF169" i="13"/>
  <c r="BL169" i="13"/>
  <c r="BR169" i="13"/>
  <c r="AM170" i="13"/>
  <c r="AS170" i="13"/>
  <c r="AY170" i="13"/>
  <c r="BF170" i="13"/>
  <c r="BL170" i="13"/>
  <c r="BR170" i="13"/>
  <c r="AM171" i="13"/>
  <c r="AS171" i="13"/>
  <c r="AY171" i="13"/>
  <c r="BF171" i="13"/>
  <c r="BL171" i="13"/>
  <c r="BR171" i="13"/>
  <c r="AM172" i="13"/>
  <c r="AS172" i="13"/>
  <c r="AY172" i="13"/>
  <c r="BF172" i="13"/>
  <c r="BL172" i="13"/>
  <c r="BR172" i="13"/>
  <c r="AM173" i="13"/>
  <c r="AS173" i="13"/>
  <c r="AY173" i="13"/>
  <c r="BF173" i="13"/>
  <c r="BL173" i="13"/>
  <c r="BR173" i="13"/>
  <c r="AM174" i="13"/>
  <c r="AS174" i="13"/>
  <c r="AY174" i="13"/>
  <c r="BF174" i="13"/>
  <c r="BL174" i="13"/>
  <c r="BR174" i="13"/>
  <c r="AM175" i="13"/>
  <c r="AS175" i="13"/>
  <c r="AY175" i="13"/>
  <c r="BF175" i="13"/>
  <c r="BL175" i="13"/>
  <c r="BR175" i="13"/>
  <c r="AM176" i="13"/>
  <c r="AS176" i="13"/>
  <c r="AY176" i="13"/>
  <c r="BH176" i="13"/>
  <c r="BP176" i="13"/>
  <c r="BP178" i="13"/>
  <c r="AB179" i="13"/>
  <c r="AE179" i="13" s="1"/>
  <c r="AA179" i="13"/>
  <c r="AC179" i="13" s="1"/>
  <c r="BF179" i="13"/>
  <c r="BP180" i="13"/>
  <c r="AB181" i="13"/>
  <c r="AE181" i="13" s="1"/>
  <c r="AA181" i="13"/>
  <c r="AC181" i="13" s="1"/>
  <c r="BF181" i="13"/>
  <c r="BU184" i="13"/>
  <c r="BO184" i="13"/>
  <c r="BI184" i="13"/>
  <c r="BT184" i="13"/>
  <c r="BN184" i="13"/>
  <c r="BH184" i="13"/>
  <c r="BS184" i="13"/>
  <c r="BM184" i="13"/>
  <c r="BG184" i="13"/>
  <c r="BR184" i="13"/>
  <c r="BL184" i="13"/>
  <c r="BF184" i="13"/>
  <c r="BW184" i="13"/>
  <c r="BQ184" i="13"/>
  <c r="BK184" i="13"/>
  <c r="BE184" i="13"/>
  <c r="BJ186" i="13"/>
  <c r="AE187" i="13"/>
  <c r="BU188" i="13"/>
  <c r="BO188" i="13"/>
  <c r="BI188" i="13"/>
  <c r="BT188" i="13"/>
  <c r="BN188" i="13"/>
  <c r="BH188" i="13"/>
  <c r="BS188" i="13"/>
  <c r="BM188" i="13"/>
  <c r="BG188" i="13"/>
  <c r="BR188" i="13"/>
  <c r="BL188" i="13"/>
  <c r="BF188" i="13"/>
  <c r="BW188" i="13"/>
  <c r="BQ188" i="13"/>
  <c r="BK188" i="13"/>
  <c r="BE188" i="13"/>
  <c r="BP191" i="13"/>
  <c r="BT192" i="13"/>
  <c r="BN192" i="13"/>
  <c r="BH192" i="13"/>
  <c r="BR192" i="13"/>
  <c r="BL192" i="13"/>
  <c r="BF192" i="13"/>
  <c r="BW192" i="13"/>
  <c r="BQ192" i="13"/>
  <c r="BK192" i="13"/>
  <c r="BE192" i="13"/>
  <c r="BO192" i="13"/>
  <c r="BM192" i="13"/>
  <c r="BV192" i="13"/>
  <c r="BJ192" i="13"/>
  <c r="BU192" i="13"/>
  <c r="BI192" i="13"/>
  <c r="BS192" i="13"/>
  <c r="BG192" i="13"/>
  <c r="V197" i="13"/>
  <c r="X197" i="13" s="1"/>
  <c r="Y197" i="13" s="1"/>
  <c r="W197" i="13"/>
  <c r="AE197" i="13" s="1"/>
  <c r="BP205" i="13"/>
  <c r="AA127" i="13"/>
  <c r="AC127" i="13" s="1"/>
  <c r="BG127" i="13"/>
  <c r="BM127" i="13"/>
  <c r="BS127" i="13"/>
  <c r="AA128" i="13"/>
  <c r="AC128" i="13" s="1"/>
  <c r="BG128" i="13"/>
  <c r="BM128" i="13"/>
  <c r="BS128" i="13"/>
  <c r="AA129" i="13"/>
  <c r="AC129" i="13" s="1"/>
  <c r="BG129" i="13"/>
  <c r="BM129" i="13"/>
  <c r="BS129" i="13"/>
  <c r="AA130" i="13"/>
  <c r="AC130" i="13" s="1"/>
  <c r="BG130" i="13"/>
  <c r="BM130" i="13"/>
  <c r="BS130" i="13"/>
  <c r="AA131" i="13"/>
  <c r="AC131" i="13" s="1"/>
  <c r="BG131" i="13"/>
  <c r="BM131" i="13"/>
  <c r="BS131" i="13"/>
  <c r="AA132" i="13"/>
  <c r="AC132" i="13" s="1"/>
  <c r="BG132" i="13"/>
  <c r="BM132" i="13"/>
  <c r="BS132" i="13"/>
  <c r="AA133" i="13"/>
  <c r="AC133" i="13" s="1"/>
  <c r="BG133" i="13"/>
  <c r="BM133" i="13"/>
  <c r="BS133" i="13"/>
  <c r="AA134" i="13"/>
  <c r="AC134" i="13" s="1"/>
  <c r="BG134" i="13"/>
  <c r="BM134" i="13"/>
  <c r="BS134" i="13"/>
  <c r="AA135" i="13"/>
  <c r="AC135" i="13" s="1"/>
  <c r="BG135" i="13"/>
  <c r="BM135" i="13"/>
  <c r="BS135" i="13"/>
  <c r="AA136" i="13"/>
  <c r="AC136" i="13" s="1"/>
  <c r="BG136" i="13"/>
  <c r="BM136" i="13"/>
  <c r="BS136" i="13"/>
  <c r="AA137" i="13"/>
  <c r="AC137" i="13" s="1"/>
  <c r="BG137" i="13"/>
  <c r="BM137" i="13"/>
  <c r="BS137" i="13"/>
  <c r="AA138" i="13"/>
  <c r="AC138" i="13" s="1"/>
  <c r="BG138" i="13"/>
  <c r="BM138" i="13"/>
  <c r="BS138" i="13"/>
  <c r="AA139" i="13"/>
  <c r="AC139" i="13" s="1"/>
  <c r="BG139" i="13"/>
  <c r="BM139" i="13"/>
  <c r="BS139" i="13"/>
  <c r="AA140" i="13"/>
  <c r="AC140" i="13" s="1"/>
  <c r="BG140" i="13"/>
  <c r="BM140" i="13"/>
  <c r="BS140" i="13"/>
  <c r="AA141" i="13"/>
  <c r="AC141" i="13" s="1"/>
  <c r="BG141" i="13"/>
  <c r="BM141" i="13"/>
  <c r="BS141" i="13"/>
  <c r="AA142" i="13"/>
  <c r="AC142" i="13" s="1"/>
  <c r="BG142" i="13"/>
  <c r="BM142" i="13"/>
  <c r="BS142" i="13"/>
  <c r="AA143" i="13"/>
  <c r="AC143" i="13" s="1"/>
  <c r="BG143" i="13"/>
  <c r="BM143" i="13"/>
  <c r="BS143" i="13"/>
  <c r="AA144" i="13"/>
  <c r="AC144" i="13" s="1"/>
  <c r="BG144" i="13"/>
  <c r="BM144" i="13"/>
  <c r="BS144" i="13"/>
  <c r="AA145" i="13"/>
  <c r="AC145" i="13" s="1"/>
  <c r="BG145" i="13"/>
  <c r="BM145" i="13"/>
  <c r="BS145" i="13"/>
  <c r="AA146" i="13"/>
  <c r="AC146" i="13" s="1"/>
  <c r="AA147" i="13"/>
  <c r="AC147" i="13" s="1"/>
  <c r="AA148" i="13"/>
  <c r="AC148" i="13" s="1"/>
  <c r="AA149" i="13"/>
  <c r="AC149" i="13" s="1"/>
  <c r="BM149" i="13"/>
  <c r="BS149" i="13"/>
  <c r="AA150" i="13"/>
  <c r="AC150" i="13" s="1"/>
  <c r="AN150" i="13"/>
  <c r="AT150" i="13"/>
  <c r="AZ150" i="13"/>
  <c r="BG150" i="13"/>
  <c r="BM150" i="13"/>
  <c r="BS150" i="13"/>
  <c r="AA151" i="13"/>
  <c r="AC151" i="13" s="1"/>
  <c r="AN151" i="13"/>
  <c r="AT151" i="13"/>
  <c r="AZ151" i="13"/>
  <c r="BG151" i="13"/>
  <c r="BM151" i="13"/>
  <c r="BS151" i="13"/>
  <c r="AA152" i="13"/>
  <c r="AC152" i="13" s="1"/>
  <c r="AN152" i="13"/>
  <c r="AT152" i="13"/>
  <c r="AZ152" i="13"/>
  <c r="BG152" i="13"/>
  <c r="BM152" i="13"/>
  <c r="BS152" i="13"/>
  <c r="AA153" i="13"/>
  <c r="AC153" i="13" s="1"/>
  <c r="AN153" i="13"/>
  <c r="AT153" i="13"/>
  <c r="AZ153" i="13"/>
  <c r="BG153" i="13"/>
  <c r="BM153" i="13"/>
  <c r="BS153" i="13"/>
  <c r="AN154" i="13"/>
  <c r="AT154" i="13"/>
  <c r="AZ154" i="13"/>
  <c r="BG154" i="13"/>
  <c r="BM154" i="13"/>
  <c r="BS154" i="13"/>
  <c r="AN155" i="13"/>
  <c r="AT155" i="13"/>
  <c r="AZ155" i="13"/>
  <c r="BG155" i="13"/>
  <c r="BM155" i="13"/>
  <c r="BS155" i="13"/>
  <c r="AN156" i="13"/>
  <c r="AT156" i="13"/>
  <c r="AZ156" i="13"/>
  <c r="BG156" i="13"/>
  <c r="BM156" i="13"/>
  <c r="BS156" i="13"/>
  <c r="AN157" i="13"/>
  <c r="AT157" i="13"/>
  <c r="AZ157" i="13"/>
  <c r="BG157" i="13"/>
  <c r="BM157" i="13"/>
  <c r="BS157" i="13"/>
  <c r="AN158" i="13"/>
  <c r="AT158" i="13"/>
  <c r="AZ158" i="13"/>
  <c r="BG158" i="13"/>
  <c r="BM158" i="13"/>
  <c r="BS158" i="13"/>
  <c r="AN159" i="13"/>
  <c r="AT159" i="13"/>
  <c r="AZ159" i="13"/>
  <c r="BG159" i="13"/>
  <c r="BM159" i="13"/>
  <c r="BS159" i="13"/>
  <c r="AN160" i="13"/>
  <c r="AT160" i="13"/>
  <c r="AZ160" i="13"/>
  <c r="BG160" i="13"/>
  <c r="BM160" i="13"/>
  <c r="BS160" i="13"/>
  <c r="AN161" i="13"/>
  <c r="AT161" i="13"/>
  <c r="AZ161" i="13"/>
  <c r="BG161" i="13"/>
  <c r="BM161" i="13"/>
  <c r="BS161" i="13"/>
  <c r="AN162" i="13"/>
  <c r="AT162" i="13"/>
  <c r="AZ162" i="13"/>
  <c r="BG162" i="13"/>
  <c r="BM162" i="13"/>
  <c r="BS162" i="13"/>
  <c r="AN163" i="13"/>
  <c r="AT163" i="13"/>
  <c r="AZ163" i="13"/>
  <c r="BG163" i="13"/>
  <c r="BM163" i="13"/>
  <c r="BS163" i="13"/>
  <c r="AN164" i="13"/>
  <c r="AT164" i="13"/>
  <c r="AZ164" i="13"/>
  <c r="BG164" i="13"/>
  <c r="BM164" i="13"/>
  <c r="BS164" i="13"/>
  <c r="AN165" i="13"/>
  <c r="AT165" i="13"/>
  <c r="AZ165" i="13"/>
  <c r="BG165" i="13"/>
  <c r="BM165" i="13"/>
  <c r="BS165" i="13"/>
  <c r="AN166" i="13"/>
  <c r="AT166" i="13"/>
  <c r="AZ166" i="13"/>
  <c r="BS166" i="13"/>
  <c r="AN167" i="13"/>
  <c r="AT167" i="13"/>
  <c r="AZ167" i="13"/>
  <c r="AN168" i="13"/>
  <c r="AT168" i="13"/>
  <c r="AZ168" i="13"/>
  <c r="AN169" i="13"/>
  <c r="AT169" i="13"/>
  <c r="AZ169" i="13"/>
  <c r="AN170" i="13"/>
  <c r="AT170" i="13"/>
  <c r="AZ170" i="13"/>
  <c r="AN171" i="13"/>
  <c r="AT171" i="13"/>
  <c r="AZ171" i="13"/>
  <c r="AN172" i="13"/>
  <c r="AT172" i="13"/>
  <c r="AZ172" i="13"/>
  <c r="AN173" i="13"/>
  <c r="AT173" i="13"/>
  <c r="AZ173" i="13"/>
  <c r="AN174" i="13"/>
  <c r="AT174" i="13"/>
  <c r="AZ174" i="13"/>
  <c r="AN175" i="13"/>
  <c r="AT175" i="13"/>
  <c r="AZ175" i="13"/>
  <c r="AN176" i="13"/>
  <c r="AT176" i="13"/>
  <c r="BA176" i="13"/>
  <c r="BI176" i="13"/>
  <c r="BJ179" i="13"/>
  <c r="BJ181" i="13"/>
  <c r="BU183" i="13"/>
  <c r="BO183" i="13"/>
  <c r="BI183" i="13"/>
  <c r="BT183" i="13"/>
  <c r="BN183" i="13"/>
  <c r="BH183" i="13"/>
  <c r="BS183" i="13"/>
  <c r="BM183" i="13"/>
  <c r="BG183" i="13"/>
  <c r="BR183" i="13"/>
  <c r="BL183" i="13"/>
  <c r="BF183" i="13"/>
  <c r="BW183" i="13"/>
  <c r="BQ183" i="13"/>
  <c r="BK183" i="13"/>
  <c r="BE183" i="13"/>
  <c r="AE186" i="13"/>
  <c r="BP186" i="13"/>
  <c r="AE189" i="13"/>
  <c r="AD206" i="13"/>
  <c r="AO127" i="13"/>
  <c r="AU127" i="13"/>
  <c r="BH127" i="13"/>
  <c r="BN127" i="13"/>
  <c r="BT127" i="13"/>
  <c r="AO128" i="13"/>
  <c r="AU128" i="13"/>
  <c r="BH128" i="13"/>
  <c r="BN128" i="13"/>
  <c r="BT128" i="13"/>
  <c r="AO129" i="13"/>
  <c r="AU129" i="13"/>
  <c r="BH129" i="13"/>
  <c r="BN129" i="13"/>
  <c r="BT129" i="13"/>
  <c r="AO130" i="13"/>
  <c r="AU130" i="13"/>
  <c r="BH130" i="13"/>
  <c r="BN130" i="13"/>
  <c r="BT130" i="13"/>
  <c r="AO131" i="13"/>
  <c r="AU131" i="13"/>
  <c r="BH131" i="13"/>
  <c r="BN131" i="13"/>
  <c r="BT131" i="13"/>
  <c r="AO132" i="13"/>
  <c r="AU132" i="13"/>
  <c r="BH132" i="13"/>
  <c r="BN132" i="13"/>
  <c r="BT132" i="13"/>
  <c r="AO133" i="13"/>
  <c r="AU133" i="13"/>
  <c r="BH133" i="13"/>
  <c r="BN133" i="13"/>
  <c r="BT133" i="13"/>
  <c r="AO134" i="13"/>
  <c r="AU134" i="13"/>
  <c r="BH134" i="13"/>
  <c r="BN134" i="13"/>
  <c r="BT134" i="13"/>
  <c r="AO135" i="13"/>
  <c r="AU135" i="13"/>
  <c r="BH135" i="13"/>
  <c r="BN135" i="13"/>
  <c r="BT135" i="13"/>
  <c r="AO136" i="13"/>
  <c r="AU136" i="13"/>
  <c r="BH136" i="13"/>
  <c r="BN136" i="13"/>
  <c r="BT136" i="13"/>
  <c r="AO137" i="13"/>
  <c r="AU137" i="13"/>
  <c r="BH137" i="13"/>
  <c r="BN137" i="13"/>
  <c r="BT137" i="13"/>
  <c r="AO138" i="13"/>
  <c r="AU138" i="13"/>
  <c r="BH138" i="13"/>
  <c r="BN138" i="13"/>
  <c r="BT138" i="13"/>
  <c r="AO139" i="13"/>
  <c r="AU139" i="13"/>
  <c r="BH139" i="13"/>
  <c r="BN139" i="13"/>
  <c r="BT139" i="13"/>
  <c r="AO140" i="13"/>
  <c r="AU140" i="13"/>
  <c r="BH140" i="13"/>
  <c r="BN140" i="13"/>
  <c r="BT140" i="13"/>
  <c r="AO141" i="13"/>
  <c r="AU141" i="13"/>
  <c r="BH141" i="13"/>
  <c r="BN141" i="13"/>
  <c r="BT141" i="13"/>
  <c r="AO142" i="13"/>
  <c r="AU142" i="13"/>
  <c r="BH142" i="13"/>
  <c r="BN142" i="13"/>
  <c r="BT142" i="13"/>
  <c r="AO143" i="13"/>
  <c r="AU143" i="13"/>
  <c r="BH143" i="13"/>
  <c r="BN143" i="13"/>
  <c r="BT143" i="13"/>
  <c r="AO144" i="13"/>
  <c r="AU144" i="13"/>
  <c r="BH144" i="13"/>
  <c r="BN144" i="13"/>
  <c r="BT144" i="13"/>
  <c r="AO145" i="13"/>
  <c r="AU145" i="13"/>
  <c r="BH145" i="13"/>
  <c r="BN145" i="13"/>
  <c r="BT145" i="13"/>
  <c r="AO146" i="13"/>
  <c r="AU146" i="13"/>
  <c r="BA146" i="13"/>
  <c r="BH146" i="13"/>
  <c r="BN146" i="13"/>
  <c r="BT146" i="13"/>
  <c r="AO147" i="13"/>
  <c r="AU147" i="13"/>
  <c r="BA147" i="13"/>
  <c r="BH147" i="13"/>
  <c r="BN147" i="13"/>
  <c r="BT147" i="13"/>
  <c r="AO148" i="13"/>
  <c r="AU148" i="13"/>
  <c r="BA148" i="13"/>
  <c r="BH148" i="13"/>
  <c r="BN148" i="13"/>
  <c r="BT148" i="13"/>
  <c r="AO149" i="13"/>
  <c r="AU149" i="13"/>
  <c r="BA149" i="13"/>
  <c r="BH149" i="13"/>
  <c r="BN149" i="13"/>
  <c r="BT149" i="13"/>
  <c r="AO150" i="13"/>
  <c r="AU150" i="13"/>
  <c r="BA150" i="13"/>
  <c r="BH150" i="13"/>
  <c r="BN150" i="13"/>
  <c r="BT150" i="13"/>
  <c r="AO151" i="13"/>
  <c r="AU151" i="13"/>
  <c r="BA151" i="13"/>
  <c r="BH151" i="13"/>
  <c r="BN151" i="13"/>
  <c r="BT151" i="13"/>
  <c r="AO152" i="13"/>
  <c r="AU152" i="13"/>
  <c r="BA152" i="13"/>
  <c r="BH152" i="13"/>
  <c r="BN152" i="13"/>
  <c r="BT152" i="13"/>
  <c r="AO153" i="13"/>
  <c r="AU153" i="13"/>
  <c r="BA153" i="13"/>
  <c r="BH153" i="13"/>
  <c r="BN153" i="13"/>
  <c r="BT153" i="13"/>
  <c r="AO154" i="13"/>
  <c r="AU154" i="13"/>
  <c r="BA154" i="13"/>
  <c r="BH154" i="13"/>
  <c r="BN154" i="13"/>
  <c r="BT154" i="13"/>
  <c r="AO155" i="13"/>
  <c r="AU155" i="13"/>
  <c r="BA155" i="13"/>
  <c r="BN155" i="13"/>
  <c r="BT155" i="13"/>
  <c r="AO156" i="13"/>
  <c r="AU156" i="13"/>
  <c r="BA156" i="13"/>
  <c r="AO157" i="13"/>
  <c r="AU157" i="13"/>
  <c r="BA157" i="13"/>
  <c r="AO158" i="13"/>
  <c r="AU158" i="13"/>
  <c r="BA158" i="13"/>
  <c r="AO159" i="13"/>
  <c r="AU159" i="13"/>
  <c r="BA159" i="13"/>
  <c r="AO160" i="13"/>
  <c r="AU160" i="13"/>
  <c r="BA160" i="13"/>
  <c r="AO161" i="13"/>
  <c r="AU161" i="13"/>
  <c r="BA161" i="13"/>
  <c r="AO162" i="13"/>
  <c r="AU162" i="13"/>
  <c r="BA162" i="13"/>
  <c r="AO163" i="13"/>
  <c r="AU163" i="13"/>
  <c r="BA163" i="13"/>
  <c r="AO164" i="13"/>
  <c r="AU164" i="13"/>
  <c r="BA164" i="13"/>
  <c r="AO165" i="13"/>
  <c r="AU165" i="13"/>
  <c r="BA165" i="13"/>
  <c r="AO166" i="13"/>
  <c r="AU166" i="13"/>
  <c r="BA166" i="13"/>
  <c r="AO167" i="13"/>
  <c r="AU167" i="13"/>
  <c r="BA167" i="13"/>
  <c r="AO168" i="13"/>
  <c r="AU168" i="13"/>
  <c r="BA168" i="13"/>
  <c r="AO169" i="13"/>
  <c r="AU169" i="13"/>
  <c r="BA169" i="13"/>
  <c r="AO170" i="13"/>
  <c r="AU170" i="13"/>
  <c r="BA170" i="13"/>
  <c r="AO171" i="13"/>
  <c r="AU171" i="13"/>
  <c r="BA171" i="13"/>
  <c r="AO172" i="13"/>
  <c r="AU172" i="13"/>
  <c r="BA172" i="13"/>
  <c r="AO173" i="13"/>
  <c r="AU173" i="13"/>
  <c r="BA173" i="13"/>
  <c r="AO174" i="13"/>
  <c r="AU174" i="13"/>
  <c r="BA174" i="13"/>
  <c r="AO175" i="13"/>
  <c r="AU175" i="13"/>
  <c r="BA175" i="13"/>
  <c r="AO176" i="13"/>
  <c r="AU176" i="13"/>
  <c r="BB176" i="13"/>
  <c r="AB177" i="13"/>
  <c r="AA177" i="13"/>
  <c r="AC177" i="13" s="1"/>
  <c r="BU178" i="13"/>
  <c r="BO178" i="13"/>
  <c r="BI178" i="13"/>
  <c r="BT178" i="13"/>
  <c r="BN178" i="13"/>
  <c r="BH178" i="13"/>
  <c r="BS178" i="13"/>
  <c r="BM178" i="13"/>
  <c r="BG178" i="13"/>
  <c r="BW178" i="13"/>
  <c r="BQ178" i="13"/>
  <c r="BK178" i="13"/>
  <c r="BE178" i="13"/>
  <c r="BV178" i="13"/>
  <c r="BL179" i="13"/>
  <c r="BU180" i="13"/>
  <c r="BO180" i="13"/>
  <c r="BI180" i="13"/>
  <c r="BT180" i="13"/>
  <c r="BN180" i="13"/>
  <c r="BH180" i="13"/>
  <c r="BS180" i="13"/>
  <c r="BM180" i="13"/>
  <c r="BG180" i="13"/>
  <c r="BW180" i="13"/>
  <c r="BQ180" i="13"/>
  <c r="BK180" i="13"/>
  <c r="BE180" i="13"/>
  <c r="BV180" i="13"/>
  <c r="BL181" i="13"/>
  <c r="BU182" i="13"/>
  <c r="BO182" i="13"/>
  <c r="BI182" i="13"/>
  <c r="BT182" i="13"/>
  <c r="BN182" i="13"/>
  <c r="BH182" i="13"/>
  <c r="BS182" i="13"/>
  <c r="BM182" i="13"/>
  <c r="BG182" i="13"/>
  <c r="BR182" i="13"/>
  <c r="BL182" i="13"/>
  <c r="BF182" i="13"/>
  <c r="BW182" i="13"/>
  <c r="BQ182" i="13"/>
  <c r="BK182" i="13"/>
  <c r="BE182" i="13"/>
  <c r="BV186" i="13"/>
  <c r="BT189" i="13"/>
  <c r="BR189" i="13"/>
  <c r="BW189" i="13"/>
  <c r="BQ189" i="13"/>
  <c r="BO189" i="13"/>
  <c r="BI189" i="13"/>
  <c r="BN189" i="13"/>
  <c r="BH189" i="13"/>
  <c r="BV189" i="13"/>
  <c r="BM189" i="13"/>
  <c r="BG189" i="13"/>
  <c r="BU189" i="13"/>
  <c r="BL189" i="13"/>
  <c r="BF189" i="13"/>
  <c r="BS189" i="13"/>
  <c r="BK189" i="13"/>
  <c r="BE189" i="13"/>
  <c r="BI127" i="13"/>
  <c r="BO127" i="13"/>
  <c r="BU127" i="13"/>
  <c r="BI128" i="13"/>
  <c r="BO128" i="13"/>
  <c r="BU128" i="13"/>
  <c r="BI129" i="13"/>
  <c r="BO129" i="13"/>
  <c r="BU129" i="13"/>
  <c r="BI130" i="13"/>
  <c r="BO130" i="13"/>
  <c r="BU130" i="13"/>
  <c r="BI131" i="13"/>
  <c r="BO131" i="13"/>
  <c r="BU131" i="13"/>
  <c r="BI132" i="13"/>
  <c r="BO132" i="13"/>
  <c r="BU132" i="13"/>
  <c r="BI133" i="13"/>
  <c r="BO133" i="13"/>
  <c r="BU133" i="13"/>
  <c r="BI134" i="13"/>
  <c r="BO134" i="13"/>
  <c r="BU134" i="13"/>
  <c r="BI135" i="13"/>
  <c r="BO135" i="13"/>
  <c r="BU135" i="13"/>
  <c r="BI136" i="13"/>
  <c r="BO136" i="13"/>
  <c r="BU136" i="13"/>
  <c r="BI137" i="13"/>
  <c r="BO137" i="13"/>
  <c r="BU137" i="13"/>
  <c r="BI138" i="13"/>
  <c r="BO138" i="13"/>
  <c r="BU138" i="13"/>
  <c r="BI139" i="13"/>
  <c r="BO139" i="13"/>
  <c r="BU139" i="13"/>
  <c r="BI140" i="13"/>
  <c r="BO140" i="13"/>
  <c r="BU140" i="13"/>
  <c r="BI141" i="13"/>
  <c r="BO141" i="13"/>
  <c r="BU141" i="13"/>
  <c r="BI142" i="13"/>
  <c r="BO142" i="13"/>
  <c r="BU142" i="13"/>
  <c r="BI143" i="13"/>
  <c r="BO143" i="13"/>
  <c r="BU143" i="13"/>
  <c r="BI144" i="13"/>
  <c r="BO144" i="13"/>
  <c r="BU144" i="13"/>
  <c r="BI145" i="13"/>
  <c r="BO145" i="13"/>
  <c r="BU145" i="13"/>
  <c r="BU150" i="13"/>
  <c r="AP151" i="13"/>
  <c r="AV151" i="13"/>
  <c r="BB151" i="13"/>
  <c r="BI151" i="13"/>
  <c r="BO151" i="13"/>
  <c r="BU151" i="13"/>
  <c r="AV152" i="13"/>
  <c r="BB152" i="13"/>
  <c r="BI152" i="13"/>
  <c r="BO152" i="13"/>
  <c r="BU152" i="13"/>
  <c r="AJ153" i="13"/>
  <c r="AP153" i="13"/>
  <c r="AV153" i="13"/>
  <c r="BB153" i="13"/>
  <c r="BI153" i="13"/>
  <c r="BO153" i="13"/>
  <c r="BU153" i="13"/>
  <c r="AJ154" i="13"/>
  <c r="AP154" i="13"/>
  <c r="AV154" i="13"/>
  <c r="BB154" i="13"/>
  <c r="BI154" i="13"/>
  <c r="BO154" i="13"/>
  <c r="BU154" i="13"/>
  <c r="AJ155" i="13"/>
  <c r="AP155" i="13"/>
  <c r="AV155" i="13"/>
  <c r="BB155" i="13"/>
  <c r="BI155" i="13"/>
  <c r="BO155" i="13"/>
  <c r="BU155" i="13"/>
  <c r="AJ156" i="13"/>
  <c r="AP156" i="13"/>
  <c r="AV156" i="13"/>
  <c r="BB156" i="13"/>
  <c r="BI156" i="13"/>
  <c r="BO156" i="13"/>
  <c r="BU156" i="13"/>
  <c r="AJ157" i="13"/>
  <c r="AP157" i="13"/>
  <c r="AV157" i="13"/>
  <c r="BB157" i="13"/>
  <c r="BI157" i="13"/>
  <c r="BO157" i="13"/>
  <c r="BU157" i="13"/>
  <c r="AJ158" i="13"/>
  <c r="AP158" i="13"/>
  <c r="AV158" i="13"/>
  <c r="BB158" i="13"/>
  <c r="BI158" i="13"/>
  <c r="BO158" i="13"/>
  <c r="BU158" i="13"/>
  <c r="AJ159" i="13"/>
  <c r="AP159" i="13"/>
  <c r="AV159" i="13"/>
  <c r="BB159" i="13"/>
  <c r="BI159" i="13"/>
  <c r="BO159" i="13"/>
  <c r="BU159" i="13"/>
  <c r="AJ160" i="13"/>
  <c r="AP160" i="13"/>
  <c r="AV160" i="13"/>
  <c r="BB160" i="13"/>
  <c r="BI160" i="13"/>
  <c r="BO160" i="13"/>
  <c r="BU160" i="13"/>
  <c r="AJ161" i="13"/>
  <c r="AP161" i="13"/>
  <c r="AV161" i="13"/>
  <c r="BB161" i="13"/>
  <c r="BI161" i="13"/>
  <c r="BO161" i="13"/>
  <c r="BU161" i="13"/>
  <c r="AJ162" i="13"/>
  <c r="AP162" i="13"/>
  <c r="AV162" i="13"/>
  <c r="BB162" i="13"/>
  <c r="BI162" i="13"/>
  <c r="BO162" i="13"/>
  <c r="BU162" i="13"/>
  <c r="AJ163" i="13"/>
  <c r="AP163" i="13"/>
  <c r="AV163" i="13"/>
  <c r="BB163" i="13"/>
  <c r="BI163" i="13"/>
  <c r="BO163" i="13"/>
  <c r="BU163" i="13"/>
  <c r="AJ164" i="13"/>
  <c r="AP164" i="13"/>
  <c r="AV164" i="13"/>
  <c r="BB164" i="13"/>
  <c r="BI164" i="13"/>
  <c r="BO164" i="13"/>
  <c r="BU164" i="13"/>
  <c r="AJ165" i="13"/>
  <c r="AP165" i="13"/>
  <c r="AV165" i="13"/>
  <c r="BB165" i="13"/>
  <c r="BI165" i="13"/>
  <c r="BO165" i="13"/>
  <c r="BU165" i="13"/>
  <c r="AJ166" i="13"/>
  <c r="AP166" i="13"/>
  <c r="AV166" i="13"/>
  <c r="BB166" i="13"/>
  <c r="BU166" i="13"/>
  <c r="AJ167" i="13"/>
  <c r="AP167" i="13"/>
  <c r="AV167" i="13"/>
  <c r="BB167" i="13"/>
  <c r="AJ168" i="13"/>
  <c r="AP168" i="13"/>
  <c r="AV168" i="13"/>
  <c r="BB168" i="13"/>
  <c r="AJ169" i="13"/>
  <c r="AP169" i="13"/>
  <c r="AV169" i="13"/>
  <c r="BB169" i="13"/>
  <c r="AJ170" i="13"/>
  <c r="AP170" i="13"/>
  <c r="AV170" i="13"/>
  <c r="BB170" i="13"/>
  <c r="AJ171" i="13"/>
  <c r="AP171" i="13"/>
  <c r="AV171" i="13"/>
  <c r="BB171" i="13"/>
  <c r="AJ172" i="13"/>
  <c r="AP172" i="13"/>
  <c r="AV172" i="13"/>
  <c r="BB172" i="13"/>
  <c r="AJ173" i="13"/>
  <c r="AP173" i="13"/>
  <c r="AV173" i="13"/>
  <c r="BB173" i="13"/>
  <c r="AJ174" i="13"/>
  <c r="AP174" i="13"/>
  <c r="AV174" i="13"/>
  <c r="BB174" i="13"/>
  <c r="AJ175" i="13"/>
  <c r="AP175" i="13"/>
  <c r="AV175" i="13"/>
  <c r="BB175" i="13"/>
  <c r="AJ176" i="13"/>
  <c r="AP176" i="13"/>
  <c r="AV176" i="13"/>
  <c r="BT176" i="13"/>
  <c r="BN176" i="13"/>
  <c r="BS176" i="13"/>
  <c r="BM176" i="13"/>
  <c r="BG176" i="13"/>
  <c r="BW176" i="13"/>
  <c r="BQ176" i="13"/>
  <c r="BK176" i="13"/>
  <c r="BV176" i="13"/>
  <c r="AB178" i="13"/>
  <c r="AA178" i="13"/>
  <c r="AC178" i="13" s="1"/>
  <c r="BF178" i="13"/>
  <c r="BP179" i="13"/>
  <c r="AB180" i="13"/>
  <c r="AE180" i="13" s="1"/>
  <c r="AA180" i="13"/>
  <c r="AC180" i="13" s="1"/>
  <c r="BF180" i="13"/>
  <c r="BP181" i="13"/>
  <c r="AB182" i="13"/>
  <c r="AE182" i="13" s="1"/>
  <c r="AA182" i="13"/>
  <c r="AC182" i="13" s="1"/>
  <c r="BJ182" i="13"/>
  <c r="AE183" i="13"/>
  <c r="BP183" i="13"/>
  <c r="BJ189" i="13"/>
  <c r="BJ127" i="13"/>
  <c r="BP127" i="13"/>
  <c r="BJ128" i="13"/>
  <c r="BP128" i="13"/>
  <c r="BJ129" i="13"/>
  <c r="BP129" i="13"/>
  <c r="BJ130" i="13"/>
  <c r="BP130" i="13"/>
  <c r="BJ131" i="13"/>
  <c r="BP131" i="13"/>
  <c r="BJ132" i="13"/>
  <c r="BP132" i="13"/>
  <c r="BJ133" i="13"/>
  <c r="BP133" i="13"/>
  <c r="BJ134" i="13"/>
  <c r="BP134" i="13"/>
  <c r="BJ135" i="13"/>
  <c r="BP135" i="13"/>
  <c r="BJ136" i="13"/>
  <c r="BP136" i="13"/>
  <c r="BJ137" i="13"/>
  <c r="BP137" i="13"/>
  <c r="BJ138" i="13"/>
  <c r="BP138" i="13"/>
  <c r="BJ139" i="13"/>
  <c r="BP139" i="13"/>
  <c r="BJ140" i="13"/>
  <c r="BP140" i="13"/>
  <c r="BJ141" i="13"/>
  <c r="BP141" i="13"/>
  <c r="BJ142" i="13"/>
  <c r="BP142" i="13"/>
  <c r="BJ143" i="13"/>
  <c r="BP143" i="13"/>
  <c r="BJ144" i="13"/>
  <c r="BP144" i="13"/>
  <c r="BJ145" i="13"/>
  <c r="BP145" i="13"/>
  <c r="BJ146" i="13"/>
  <c r="BP146" i="13"/>
  <c r="AK147" i="13"/>
  <c r="AQ147" i="13"/>
  <c r="BJ147" i="13"/>
  <c r="BP147" i="13"/>
  <c r="AK148" i="13"/>
  <c r="AQ148" i="13"/>
  <c r="BJ148" i="13"/>
  <c r="BP148" i="13"/>
  <c r="AK149" i="13"/>
  <c r="AQ149" i="13"/>
  <c r="BJ149" i="13"/>
  <c r="BP149" i="13"/>
  <c r="AK150" i="13"/>
  <c r="AQ150" i="13"/>
  <c r="BJ150" i="13"/>
  <c r="BP150" i="13"/>
  <c r="AK151" i="13"/>
  <c r="AQ151" i="13"/>
  <c r="BJ151" i="13"/>
  <c r="BP151" i="13"/>
  <c r="AK152" i="13"/>
  <c r="AQ152" i="13"/>
  <c r="BJ152" i="13"/>
  <c r="BP152" i="13"/>
  <c r="AK153" i="13"/>
  <c r="AQ153" i="13"/>
  <c r="BJ153" i="13"/>
  <c r="BP153" i="13"/>
  <c r="AK154" i="13"/>
  <c r="AQ154" i="13"/>
  <c r="BJ154" i="13"/>
  <c r="BP154" i="13"/>
  <c r="AK155" i="13"/>
  <c r="AQ155" i="13"/>
  <c r="BJ155" i="13"/>
  <c r="BP155" i="13"/>
  <c r="AK156" i="13"/>
  <c r="AQ156" i="13"/>
  <c r="BJ156" i="13"/>
  <c r="BP156" i="13"/>
  <c r="AK157" i="13"/>
  <c r="AQ157" i="13"/>
  <c r="BJ157" i="13"/>
  <c r="BP157" i="13"/>
  <c r="AK158" i="13"/>
  <c r="AQ158" i="13"/>
  <c r="BJ158" i="13"/>
  <c r="BP158" i="13"/>
  <c r="AK159" i="13"/>
  <c r="AQ159" i="13"/>
  <c r="BJ159" i="13"/>
  <c r="BP159" i="13"/>
  <c r="AK160" i="13"/>
  <c r="AQ160" i="13"/>
  <c r="BJ160" i="13"/>
  <c r="BP160" i="13"/>
  <c r="AK161" i="13"/>
  <c r="AQ161" i="13"/>
  <c r="BJ161" i="13"/>
  <c r="BP161" i="13"/>
  <c r="AK162" i="13"/>
  <c r="AQ162" i="13"/>
  <c r="BJ162" i="13"/>
  <c r="BP162" i="13"/>
  <c r="AK163" i="13"/>
  <c r="AQ163" i="13"/>
  <c r="BJ163" i="13"/>
  <c r="BP163" i="13"/>
  <c r="AK164" i="13"/>
  <c r="AQ164" i="13"/>
  <c r="BJ164" i="13"/>
  <c r="BP164" i="13"/>
  <c r="AK165" i="13"/>
  <c r="AQ165" i="13"/>
  <c r="BJ165" i="13"/>
  <c r="BP165" i="13"/>
  <c r="AK166" i="13"/>
  <c r="AQ166" i="13"/>
  <c r="BJ166" i="13"/>
  <c r="BP166" i="13"/>
  <c r="AK167" i="13"/>
  <c r="AQ167" i="13"/>
  <c r="BJ167" i="13"/>
  <c r="BP167" i="13"/>
  <c r="AK168" i="13"/>
  <c r="AQ168" i="13"/>
  <c r="BJ168" i="13"/>
  <c r="BP168" i="13"/>
  <c r="AK169" i="13"/>
  <c r="AQ169" i="13"/>
  <c r="BJ169" i="13"/>
  <c r="BP169" i="13"/>
  <c r="AK170" i="13"/>
  <c r="AQ170" i="13"/>
  <c r="BJ170" i="13"/>
  <c r="BP170" i="13"/>
  <c r="AK171" i="13"/>
  <c r="AQ171" i="13"/>
  <c r="BJ171" i="13"/>
  <c r="BP171" i="13"/>
  <c r="AK172" i="13"/>
  <c r="AQ172" i="13"/>
  <c r="BJ172" i="13"/>
  <c r="BP172" i="13"/>
  <c r="AK173" i="13"/>
  <c r="AQ173" i="13"/>
  <c r="BJ173" i="13"/>
  <c r="BP173" i="13"/>
  <c r="AK174" i="13"/>
  <c r="AQ174" i="13"/>
  <c r="BJ174" i="13"/>
  <c r="BP174" i="13"/>
  <c r="AK175" i="13"/>
  <c r="AQ175" i="13"/>
  <c r="BJ175" i="13"/>
  <c r="BP175" i="13"/>
  <c r="AK176" i="13"/>
  <c r="AQ176" i="13"/>
  <c r="AW176" i="13"/>
  <c r="BE176" i="13"/>
  <c r="BL176" i="13"/>
  <c r="BU177" i="13"/>
  <c r="BO177" i="13"/>
  <c r="BI177" i="13"/>
  <c r="BT177" i="13"/>
  <c r="BN177" i="13"/>
  <c r="BH177" i="13"/>
  <c r="BS177" i="13"/>
  <c r="BM177" i="13"/>
  <c r="BG177" i="13"/>
  <c r="BW177" i="13"/>
  <c r="BQ177" i="13"/>
  <c r="BK177" i="13"/>
  <c r="BE177" i="13"/>
  <c r="BV177" i="13"/>
  <c r="BJ178" i="13"/>
  <c r="BR179" i="13"/>
  <c r="BJ180" i="13"/>
  <c r="BR181" i="13"/>
  <c r="BP182" i="13"/>
  <c r="BV183" i="13"/>
  <c r="BU187" i="13"/>
  <c r="BO187" i="13"/>
  <c r="BI187" i="13"/>
  <c r="BT187" i="13"/>
  <c r="BN187" i="13"/>
  <c r="BH187" i="13"/>
  <c r="BS187" i="13"/>
  <c r="BM187" i="13"/>
  <c r="BG187" i="13"/>
  <c r="BR187" i="13"/>
  <c r="BL187" i="13"/>
  <c r="BF187" i="13"/>
  <c r="BW187" i="13"/>
  <c r="BQ187" i="13"/>
  <c r="BK187" i="13"/>
  <c r="BE187" i="13"/>
  <c r="BP189" i="13"/>
  <c r="BT190" i="13"/>
  <c r="BN190" i="13"/>
  <c r="BH190" i="13"/>
  <c r="BR190" i="13"/>
  <c r="BL190" i="13"/>
  <c r="BF190" i="13"/>
  <c r="BW190" i="13"/>
  <c r="BQ190" i="13"/>
  <c r="BK190" i="13"/>
  <c r="BE190" i="13"/>
  <c r="BO190" i="13"/>
  <c r="BM190" i="13"/>
  <c r="BV190" i="13"/>
  <c r="BJ190" i="13"/>
  <c r="BU190" i="13"/>
  <c r="BI190" i="13"/>
  <c r="BS190" i="13"/>
  <c r="BG190" i="13"/>
  <c r="V208" i="13"/>
  <c r="X208" i="13" s="1"/>
  <c r="Y208" i="13" s="1"/>
  <c r="W208" i="13"/>
  <c r="AE208" i="13" s="1"/>
  <c r="AL177" i="13"/>
  <c r="AR177" i="13"/>
  <c r="AX177" i="13"/>
  <c r="AL178" i="13"/>
  <c r="AR178" i="13"/>
  <c r="AX178" i="13"/>
  <c r="AL179" i="13"/>
  <c r="AR179" i="13"/>
  <c r="AX179" i="13"/>
  <c r="AL180" i="13"/>
  <c r="AR180" i="13"/>
  <c r="AX180" i="13"/>
  <c r="AL181" i="13"/>
  <c r="AR181" i="13"/>
  <c r="AX181" i="13"/>
  <c r="AL182" i="13"/>
  <c r="AR182" i="13"/>
  <c r="AX182" i="13"/>
  <c r="AL183" i="13"/>
  <c r="AR183" i="13"/>
  <c r="AX183" i="13"/>
  <c r="AL184" i="13"/>
  <c r="AR184" i="13"/>
  <c r="AX184" i="13"/>
  <c r="AL186" i="13"/>
  <c r="AR186" i="13"/>
  <c r="AX186" i="13"/>
  <c r="AL187" i="13"/>
  <c r="AR187" i="13"/>
  <c r="AX187" i="13"/>
  <c r="BT194" i="13"/>
  <c r="BN194" i="13"/>
  <c r="BH194" i="13"/>
  <c r="BR194" i="13"/>
  <c r="BL194" i="13"/>
  <c r="BF194" i="13"/>
  <c r="BW194" i="13"/>
  <c r="BQ194" i="13"/>
  <c r="BK194" i="13"/>
  <c r="BE194" i="13"/>
  <c r="BP194" i="13"/>
  <c r="BT196" i="13"/>
  <c r="BN196" i="13"/>
  <c r="BH196" i="13"/>
  <c r="BR196" i="13"/>
  <c r="BL196" i="13"/>
  <c r="BF196" i="13"/>
  <c r="BW196" i="13"/>
  <c r="BQ196" i="13"/>
  <c r="BK196" i="13"/>
  <c r="BE196" i="13"/>
  <c r="BP196" i="13"/>
  <c r="BI197" i="13"/>
  <c r="BU197" i="13"/>
  <c r="BI199" i="13"/>
  <c r="BU199" i="13"/>
  <c r="BI201" i="13"/>
  <c r="BU201" i="13"/>
  <c r="BI203" i="13"/>
  <c r="BU203" i="13"/>
  <c r="BT207" i="13"/>
  <c r="BN207" i="13"/>
  <c r="BH207" i="13"/>
  <c r="BR207" i="13"/>
  <c r="BL207" i="13"/>
  <c r="BF207" i="13"/>
  <c r="BW207" i="13"/>
  <c r="BQ207" i="13"/>
  <c r="BK207" i="13"/>
  <c r="BE207" i="13"/>
  <c r="BP207" i="13"/>
  <c r="BI208" i="13"/>
  <c r="BU208" i="13"/>
  <c r="BI209" i="13"/>
  <c r="BU209" i="13"/>
  <c r="BI210" i="13"/>
  <c r="BU210" i="13"/>
  <c r="BI211" i="13"/>
  <c r="BU211" i="13"/>
  <c r="BI212" i="13"/>
  <c r="BU212" i="13"/>
  <c r="BI213" i="13"/>
  <c r="BU213" i="13"/>
  <c r="BI214" i="13"/>
  <c r="BU214" i="13"/>
  <c r="BI215" i="13"/>
  <c r="BU215" i="13"/>
  <c r="BI216" i="13"/>
  <c r="BU216" i="13"/>
  <c r="BI217" i="13"/>
  <c r="BU217" i="13"/>
  <c r="BI218" i="13"/>
  <c r="BU218" i="13"/>
  <c r="BT198" i="13"/>
  <c r="BN198" i="13"/>
  <c r="BH198" i="13"/>
  <c r="BR198" i="13"/>
  <c r="BL198" i="13"/>
  <c r="BF198" i="13"/>
  <c r="BW198" i="13"/>
  <c r="BQ198" i="13"/>
  <c r="BK198" i="13"/>
  <c r="BE198" i="13"/>
  <c r="BP198" i="13"/>
  <c r="BT200" i="13"/>
  <c r="BN200" i="13"/>
  <c r="BH200" i="13"/>
  <c r="BR200" i="13"/>
  <c r="BL200" i="13"/>
  <c r="BF200" i="13"/>
  <c r="BW200" i="13"/>
  <c r="BQ200" i="13"/>
  <c r="BK200" i="13"/>
  <c r="BE200" i="13"/>
  <c r="BP200" i="13"/>
  <c r="BT202" i="13"/>
  <c r="BN202" i="13"/>
  <c r="BH202" i="13"/>
  <c r="BR202" i="13"/>
  <c r="BL202" i="13"/>
  <c r="BF202" i="13"/>
  <c r="BW202" i="13"/>
  <c r="BQ202" i="13"/>
  <c r="BK202" i="13"/>
  <c r="BE202" i="13"/>
  <c r="BP202" i="13"/>
  <c r="BT204" i="13"/>
  <c r="BN204" i="13"/>
  <c r="BH204" i="13"/>
  <c r="BR204" i="13"/>
  <c r="BL204" i="13"/>
  <c r="BF204" i="13"/>
  <c r="BW204" i="13"/>
  <c r="BQ204" i="13"/>
  <c r="BK204" i="13"/>
  <c r="BE204" i="13"/>
  <c r="BP204" i="13"/>
  <c r="AN177" i="13"/>
  <c r="AT177" i="13"/>
  <c r="AZ177" i="13"/>
  <c r="AA183" i="13"/>
  <c r="AC183" i="13" s="1"/>
  <c r="AA184" i="13"/>
  <c r="AC184" i="13" s="1"/>
  <c r="AA186" i="13"/>
  <c r="AC186" i="13" s="1"/>
  <c r="AA187" i="13"/>
  <c r="AC187" i="13" s="1"/>
  <c r="AA188" i="13"/>
  <c r="AC188" i="13" s="1"/>
  <c r="AA189" i="13"/>
  <c r="AC189" i="13" s="1"/>
  <c r="BT193" i="13"/>
  <c r="BN193" i="13"/>
  <c r="BH193" i="13"/>
  <c r="BR193" i="13"/>
  <c r="BL193" i="13"/>
  <c r="BF193" i="13"/>
  <c r="BW193" i="13"/>
  <c r="BQ193" i="13"/>
  <c r="BK193" i="13"/>
  <c r="BE193" i="13"/>
  <c r="BP193" i="13"/>
  <c r="W194" i="13"/>
  <c r="AE194" i="13" s="1"/>
  <c r="BG198" i="13"/>
  <c r="BS198" i="13"/>
  <c r="BG200" i="13"/>
  <c r="BS200" i="13"/>
  <c r="BG202" i="13"/>
  <c r="BS202" i="13"/>
  <c r="BG204" i="13"/>
  <c r="BS204" i="13"/>
  <c r="W221" i="13"/>
  <c r="AE221" i="13" s="1"/>
  <c r="AF235" i="13"/>
  <c r="AO177" i="13"/>
  <c r="AU177" i="13"/>
  <c r="AO178" i="13"/>
  <c r="AU178" i="13"/>
  <c r="V179" i="13"/>
  <c r="X179" i="13" s="1"/>
  <c r="Y179" i="13" s="1"/>
  <c r="AO179" i="13"/>
  <c r="AU179" i="13"/>
  <c r="V180" i="13"/>
  <c r="X180" i="13" s="1"/>
  <c r="Y180" i="13" s="1"/>
  <c r="AO180" i="13"/>
  <c r="AU180" i="13"/>
  <c r="V181" i="13"/>
  <c r="X181" i="13" s="1"/>
  <c r="Y181" i="13" s="1"/>
  <c r="AO181" i="13"/>
  <c r="AU181" i="13"/>
  <c r="V182" i="13"/>
  <c r="X182" i="13" s="1"/>
  <c r="Y182" i="13" s="1"/>
  <c r="AO182" i="13"/>
  <c r="AU182" i="13"/>
  <c r="V183" i="13"/>
  <c r="X183" i="13" s="1"/>
  <c r="Y183" i="13" s="1"/>
  <c r="AO183" i="13"/>
  <c r="AU183" i="13"/>
  <c r="V184" i="13"/>
  <c r="X184" i="13" s="1"/>
  <c r="Y184" i="13" s="1"/>
  <c r="AO184" i="13"/>
  <c r="AU184" i="13"/>
  <c r="V186" i="13"/>
  <c r="X186" i="13" s="1"/>
  <c r="Y186" i="13" s="1"/>
  <c r="AO186" i="13"/>
  <c r="AU186" i="13"/>
  <c r="V187" i="13"/>
  <c r="X187" i="13" s="1"/>
  <c r="Y187" i="13" s="1"/>
  <c r="AO187" i="13"/>
  <c r="AU187" i="13"/>
  <c r="V188" i="13"/>
  <c r="X188" i="13" s="1"/>
  <c r="Y188" i="13" s="1"/>
  <c r="AO188" i="13"/>
  <c r="AU188" i="13"/>
  <c r="V189" i="13"/>
  <c r="X189" i="13" s="1"/>
  <c r="Y189" i="13" s="1"/>
  <c r="AO189" i="13"/>
  <c r="AU189" i="13"/>
  <c r="BG193" i="13"/>
  <c r="BS193" i="13"/>
  <c r="BJ194" i="13"/>
  <c r="BV194" i="13"/>
  <c r="BT195" i="13"/>
  <c r="BN195" i="13"/>
  <c r="BH195" i="13"/>
  <c r="BR195" i="13"/>
  <c r="BL195" i="13"/>
  <c r="BF195" i="13"/>
  <c r="BW195" i="13"/>
  <c r="BQ195" i="13"/>
  <c r="BK195" i="13"/>
  <c r="BE195" i="13"/>
  <c r="BP195" i="13"/>
  <c r="W196" i="13"/>
  <c r="BJ196" i="13"/>
  <c r="BV196" i="13"/>
  <c r="BI198" i="13"/>
  <c r="BU198" i="13"/>
  <c r="BI200" i="13"/>
  <c r="BU200" i="13"/>
  <c r="BI202" i="13"/>
  <c r="BU202" i="13"/>
  <c r="BI204" i="13"/>
  <c r="BU204" i="13"/>
  <c r="BT206" i="13"/>
  <c r="BN206" i="13"/>
  <c r="BH206" i="13"/>
  <c r="BR206" i="13"/>
  <c r="BL206" i="13"/>
  <c r="BF206" i="13"/>
  <c r="BW206" i="13"/>
  <c r="BQ206" i="13"/>
  <c r="BK206" i="13"/>
  <c r="BE206" i="13"/>
  <c r="BP206" i="13"/>
  <c r="W207" i="13"/>
  <c r="BJ207" i="13"/>
  <c r="BV207" i="13"/>
  <c r="W222" i="13"/>
  <c r="AE222" i="13" s="1"/>
  <c r="BI193" i="13"/>
  <c r="BU193" i="13"/>
  <c r="BT197" i="13"/>
  <c r="BN197" i="13"/>
  <c r="BH197" i="13"/>
  <c r="BR197" i="13"/>
  <c r="BL197" i="13"/>
  <c r="BF197" i="13"/>
  <c r="BW197" i="13"/>
  <c r="BQ197" i="13"/>
  <c r="BK197" i="13"/>
  <c r="BE197" i="13"/>
  <c r="BP197" i="13"/>
  <c r="BJ198" i="13"/>
  <c r="BV198" i="13"/>
  <c r="BT199" i="13"/>
  <c r="BN199" i="13"/>
  <c r="BH199" i="13"/>
  <c r="BR199" i="13"/>
  <c r="BL199" i="13"/>
  <c r="BF199" i="13"/>
  <c r="BW199" i="13"/>
  <c r="BQ199" i="13"/>
  <c r="BK199" i="13"/>
  <c r="BE199" i="13"/>
  <c r="BP199" i="13"/>
  <c r="BJ200" i="13"/>
  <c r="BV200" i="13"/>
  <c r="BT201" i="13"/>
  <c r="BN201" i="13"/>
  <c r="BH201" i="13"/>
  <c r="BR201" i="13"/>
  <c r="BL201" i="13"/>
  <c r="BF201" i="13"/>
  <c r="BW201" i="13"/>
  <c r="BQ201" i="13"/>
  <c r="BK201" i="13"/>
  <c r="BE201" i="13"/>
  <c r="BP201" i="13"/>
  <c r="BJ202" i="13"/>
  <c r="BV202" i="13"/>
  <c r="BT203" i="13"/>
  <c r="BN203" i="13"/>
  <c r="BH203" i="13"/>
  <c r="BR203" i="13"/>
  <c r="BL203" i="13"/>
  <c r="BF203" i="13"/>
  <c r="BW203" i="13"/>
  <c r="BQ203" i="13"/>
  <c r="BK203" i="13"/>
  <c r="BE203" i="13"/>
  <c r="BP203" i="13"/>
  <c r="BJ204" i="13"/>
  <c r="BV204" i="13"/>
  <c r="BT208" i="13"/>
  <c r="BN208" i="13"/>
  <c r="BH208" i="13"/>
  <c r="BR208" i="13"/>
  <c r="BL208" i="13"/>
  <c r="BF208" i="13"/>
  <c r="BW208" i="13"/>
  <c r="BQ208" i="13"/>
  <c r="BK208" i="13"/>
  <c r="BE208" i="13"/>
  <c r="BP208" i="13"/>
  <c r="BT209" i="13"/>
  <c r="BN209" i="13"/>
  <c r="BH209" i="13"/>
  <c r="BR209" i="13"/>
  <c r="BL209" i="13"/>
  <c r="BF209" i="13"/>
  <c r="BW209" i="13"/>
  <c r="BQ209" i="13"/>
  <c r="BK209" i="13"/>
  <c r="BE209" i="13"/>
  <c r="BP209" i="13"/>
  <c r="BT210" i="13"/>
  <c r="BN210" i="13"/>
  <c r="BH210" i="13"/>
  <c r="BR210" i="13"/>
  <c r="BL210" i="13"/>
  <c r="BF210" i="13"/>
  <c r="BW210" i="13"/>
  <c r="BQ210" i="13"/>
  <c r="BK210" i="13"/>
  <c r="BE210" i="13"/>
  <c r="BP210" i="13"/>
  <c r="BT211" i="13"/>
  <c r="BN211" i="13"/>
  <c r="BH211" i="13"/>
  <c r="BR211" i="13"/>
  <c r="BL211" i="13"/>
  <c r="BF211" i="13"/>
  <c r="BW211" i="13"/>
  <c r="BQ211" i="13"/>
  <c r="BK211" i="13"/>
  <c r="BE211" i="13"/>
  <c r="BP211" i="13"/>
  <c r="BT212" i="13"/>
  <c r="BN212" i="13"/>
  <c r="BH212" i="13"/>
  <c r="BR212" i="13"/>
  <c r="BL212" i="13"/>
  <c r="BF212" i="13"/>
  <c r="BW212" i="13"/>
  <c r="BQ212" i="13"/>
  <c r="BK212" i="13"/>
  <c r="BE212" i="13"/>
  <c r="BP212" i="13"/>
  <c r="BT213" i="13"/>
  <c r="BN213" i="13"/>
  <c r="BH213" i="13"/>
  <c r="BR213" i="13"/>
  <c r="BL213" i="13"/>
  <c r="BF213" i="13"/>
  <c r="BW213" i="13"/>
  <c r="BQ213" i="13"/>
  <c r="BK213" i="13"/>
  <c r="BE213" i="13"/>
  <c r="BP213" i="13"/>
  <c r="BT214" i="13"/>
  <c r="BN214" i="13"/>
  <c r="BH214" i="13"/>
  <c r="BR214" i="13"/>
  <c r="BL214" i="13"/>
  <c r="BF214" i="13"/>
  <c r="BW214" i="13"/>
  <c r="BQ214" i="13"/>
  <c r="BK214" i="13"/>
  <c r="BE214" i="13"/>
  <c r="BP214" i="13"/>
  <c r="BT215" i="13"/>
  <c r="BN215" i="13"/>
  <c r="BH215" i="13"/>
  <c r="BR215" i="13"/>
  <c r="BL215" i="13"/>
  <c r="BF215" i="13"/>
  <c r="BW215" i="13"/>
  <c r="BQ215" i="13"/>
  <c r="BK215" i="13"/>
  <c r="BE215" i="13"/>
  <c r="BP215" i="13"/>
  <c r="BT216" i="13"/>
  <c r="BN216" i="13"/>
  <c r="BH216" i="13"/>
  <c r="BR216" i="13"/>
  <c r="BL216" i="13"/>
  <c r="BF216" i="13"/>
  <c r="BW216" i="13"/>
  <c r="BQ216" i="13"/>
  <c r="BK216" i="13"/>
  <c r="BE216" i="13"/>
  <c r="BP216" i="13"/>
  <c r="BT217" i="13"/>
  <c r="BN217" i="13"/>
  <c r="BH217" i="13"/>
  <c r="BR217" i="13"/>
  <c r="BL217" i="13"/>
  <c r="BF217" i="13"/>
  <c r="BW217" i="13"/>
  <c r="BQ217" i="13"/>
  <c r="BK217" i="13"/>
  <c r="BE217" i="13"/>
  <c r="BP217" i="13"/>
  <c r="BT218" i="13"/>
  <c r="BN218" i="13"/>
  <c r="BH218" i="13"/>
  <c r="BR218" i="13"/>
  <c r="BL218" i="13"/>
  <c r="BF218" i="13"/>
  <c r="BW218" i="13"/>
  <c r="BQ218" i="13"/>
  <c r="BK218" i="13"/>
  <c r="BE218" i="13"/>
  <c r="BP218" i="13"/>
  <c r="AG229" i="13"/>
  <c r="BJ219" i="13"/>
  <c r="BP219" i="13"/>
  <c r="BV219" i="13"/>
  <c r="BJ220" i="13"/>
  <c r="BP220" i="13"/>
  <c r="BV220" i="13"/>
  <c r="BJ221" i="13"/>
  <c r="BP221" i="13"/>
  <c r="BV221" i="13"/>
  <c r="BJ222" i="13"/>
  <c r="BP222" i="13"/>
  <c r="BV222" i="13"/>
  <c r="BT223" i="13"/>
  <c r="BN223" i="13"/>
  <c r="BH223" i="13"/>
  <c r="BK223" i="13"/>
  <c r="BR223" i="13"/>
  <c r="BT225" i="13"/>
  <c r="BN225" i="13"/>
  <c r="BH225" i="13"/>
  <c r="BK225" i="13"/>
  <c r="BR225" i="13"/>
  <c r="BT228" i="13"/>
  <c r="BN228" i="13"/>
  <c r="BH228" i="13"/>
  <c r="BK228" i="13"/>
  <c r="BR228" i="13"/>
  <c r="BT231" i="13"/>
  <c r="BN231" i="13"/>
  <c r="BH231" i="13"/>
  <c r="BK231" i="13"/>
  <c r="BR231" i="13"/>
  <c r="BW234" i="13"/>
  <c r="BQ234" i="13"/>
  <c r="BK234" i="13"/>
  <c r="BE234" i="13"/>
  <c r="BP234" i="13"/>
  <c r="BI234" i="13"/>
  <c r="BM234" i="13"/>
  <c r="BU234" i="13"/>
  <c r="AL190" i="13"/>
  <c r="AR190" i="13"/>
  <c r="AX190" i="13"/>
  <c r="AL191" i="13"/>
  <c r="AR191" i="13"/>
  <c r="AX191" i="13"/>
  <c r="AL192" i="13"/>
  <c r="AR192" i="13"/>
  <c r="AX192" i="13"/>
  <c r="BE219" i="13"/>
  <c r="BK219" i="13"/>
  <c r="BQ219" i="13"/>
  <c r="BW219" i="13"/>
  <c r="BE220" i="13"/>
  <c r="BK220" i="13"/>
  <c r="BQ220" i="13"/>
  <c r="BW220" i="13"/>
  <c r="BE221" i="13"/>
  <c r="BK221" i="13"/>
  <c r="BQ221" i="13"/>
  <c r="BW221" i="13"/>
  <c r="BE222" i="13"/>
  <c r="BK222" i="13"/>
  <c r="BQ222" i="13"/>
  <c r="BW222" i="13"/>
  <c r="BE223" i="13"/>
  <c r="BL223" i="13"/>
  <c r="BS223" i="13"/>
  <c r="AA225" i="13"/>
  <c r="AC225" i="13" s="1"/>
  <c r="BE225" i="13"/>
  <c r="BL225" i="13"/>
  <c r="BS225" i="13"/>
  <c r="W226" i="13"/>
  <c r="AE226" i="13" s="1"/>
  <c r="AA228" i="13"/>
  <c r="AC228" i="13" s="1"/>
  <c r="BE228" i="13"/>
  <c r="BL228" i="13"/>
  <c r="BS228" i="13"/>
  <c r="W229" i="13"/>
  <c r="AA231" i="13"/>
  <c r="AC231" i="13" s="1"/>
  <c r="BE231" i="13"/>
  <c r="BL231" i="13"/>
  <c r="BS231" i="13"/>
  <c r="W232" i="13"/>
  <c r="AE232" i="13" s="1"/>
  <c r="BF234" i="13"/>
  <c r="BN234" i="13"/>
  <c r="BV234" i="13"/>
  <c r="AM190" i="13"/>
  <c r="AS190" i="13"/>
  <c r="AY190" i="13"/>
  <c r="AM191" i="13"/>
  <c r="AS191" i="13"/>
  <c r="AY191" i="13"/>
  <c r="AM192" i="13"/>
  <c r="AS192" i="13"/>
  <c r="AY192" i="13"/>
  <c r="AM193" i="13"/>
  <c r="AS193" i="13"/>
  <c r="AY193" i="13"/>
  <c r="AM194" i="13"/>
  <c r="AS194" i="13"/>
  <c r="AY194" i="13"/>
  <c r="AM195" i="13"/>
  <c r="AS195" i="13"/>
  <c r="AY195" i="13"/>
  <c r="AM196" i="13"/>
  <c r="AS196" i="13"/>
  <c r="AY196" i="13"/>
  <c r="AM197" i="13"/>
  <c r="AS197" i="13"/>
  <c r="AY197" i="13"/>
  <c r="AM198" i="13"/>
  <c r="AS198" i="13"/>
  <c r="AY198" i="13"/>
  <c r="AM199" i="13"/>
  <c r="AS199" i="13"/>
  <c r="AY199" i="13"/>
  <c r="AM200" i="13"/>
  <c r="AS200" i="13"/>
  <c r="AY200" i="13"/>
  <c r="AM201" i="13"/>
  <c r="AS201" i="13"/>
  <c r="AY201" i="13"/>
  <c r="AM202" i="13"/>
  <c r="AS202" i="13"/>
  <c r="AY202" i="13"/>
  <c r="AM203" i="13"/>
  <c r="AS203" i="13"/>
  <c r="AY203" i="13"/>
  <c r="AM204" i="13"/>
  <c r="AS204" i="13"/>
  <c r="AY204" i="13"/>
  <c r="AM205" i="13"/>
  <c r="AS205" i="13"/>
  <c r="AY205" i="13"/>
  <c r="AM206" i="13"/>
  <c r="AS206" i="13"/>
  <c r="AY206" i="13"/>
  <c r="AM207" i="13"/>
  <c r="AS207" i="13"/>
  <c r="AY207" i="13"/>
  <c r="AS208" i="13"/>
  <c r="AY208" i="13"/>
  <c r="BF219" i="13"/>
  <c r="BL219" i="13"/>
  <c r="BR219" i="13"/>
  <c r="BF220" i="13"/>
  <c r="BL220" i="13"/>
  <c r="BR220" i="13"/>
  <c r="BF221" i="13"/>
  <c r="BL221" i="13"/>
  <c r="BR221" i="13"/>
  <c r="BF222" i="13"/>
  <c r="BL222" i="13"/>
  <c r="BR222" i="13"/>
  <c r="BF223" i="13"/>
  <c r="BM223" i="13"/>
  <c r="BU223" i="13"/>
  <c r="BT224" i="13"/>
  <c r="BN224" i="13"/>
  <c r="BH224" i="13"/>
  <c r="BK224" i="13"/>
  <c r="BR224" i="13"/>
  <c r="BF225" i="13"/>
  <c r="BM225" i="13"/>
  <c r="BU225" i="13"/>
  <c r="BT227" i="13"/>
  <c r="BN227" i="13"/>
  <c r="BH227" i="13"/>
  <c r="BK227" i="13"/>
  <c r="BR227" i="13"/>
  <c r="BF228" i="13"/>
  <c r="BM228" i="13"/>
  <c r="BU228" i="13"/>
  <c r="BT230" i="13"/>
  <c r="BN230" i="13"/>
  <c r="BH230" i="13"/>
  <c r="BK230" i="13"/>
  <c r="BR230" i="13"/>
  <c r="BF231" i="13"/>
  <c r="BM231" i="13"/>
  <c r="BU231" i="13"/>
  <c r="BW233" i="13"/>
  <c r="BT233" i="13"/>
  <c r="BN233" i="13"/>
  <c r="BH233" i="13"/>
  <c r="BK233" i="13"/>
  <c r="BR233" i="13"/>
  <c r="V234" i="13"/>
  <c r="X234" i="13" s="1"/>
  <c r="Y234" i="13" s="1"/>
  <c r="BG234" i="13"/>
  <c r="BO234" i="13"/>
  <c r="AB235" i="13"/>
  <c r="AO190" i="13"/>
  <c r="AU190" i="13"/>
  <c r="AO191" i="13"/>
  <c r="AU191" i="13"/>
  <c r="AO192" i="13"/>
  <c r="AU192" i="13"/>
  <c r="AO193" i="13"/>
  <c r="AU193" i="13"/>
  <c r="AO194" i="13"/>
  <c r="AU194" i="13"/>
  <c r="AO195" i="13"/>
  <c r="AU195" i="13"/>
  <c r="AO196" i="13"/>
  <c r="AU196" i="13"/>
  <c r="AO197" i="13"/>
  <c r="AU197" i="13"/>
  <c r="AO198" i="13"/>
  <c r="AU198" i="13"/>
  <c r="AO199" i="13"/>
  <c r="AU199" i="13"/>
  <c r="AO200" i="13"/>
  <c r="AU200" i="13"/>
  <c r="AO201" i="13"/>
  <c r="AU201" i="13"/>
  <c r="AO202" i="13"/>
  <c r="AU202" i="13"/>
  <c r="AO203" i="13"/>
  <c r="AU203" i="13"/>
  <c r="AO204" i="13"/>
  <c r="AU204" i="13"/>
  <c r="AO205" i="13"/>
  <c r="AU205" i="13"/>
  <c r="AO206" i="13"/>
  <c r="AU206" i="13"/>
  <c r="AO207" i="13"/>
  <c r="AU207" i="13"/>
  <c r="AO208" i="13"/>
  <c r="AU208" i="13"/>
  <c r="AO209" i="13"/>
  <c r="AU209" i="13"/>
  <c r="AO210" i="13"/>
  <c r="AU210" i="13"/>
  <c r="AO211" i="13"/>
  <c r="AU211" i="13"/>
  <c r="AO212" i="13"/>
  <c r="AU212" i="13"/>
  <c r="AO213" i="13"/>
  <c r="AU213" i="13"/>
  <c r="AO214" i="13"/>
  <c r="AU214" i="13"/>
  <c r="AO215" i="13"/>
  <c r="AU215" i="13"/>
  <c r="AO216" i="13"/>
  <c r="AU216" i="13"/>
  <c r="AO217" i="13"/>
  <c r="AU217" i="13"/>
  <c r="AO218" i="13"/>
  <c r="AU218" i="13"/>
  <c r="AO219" i="13"/>
  <c r="AU219" i="13"/>
  <c r="BH219" i="13"/>
  <c r="BN219" i="13"/>
  <c r="AO220" i="13"/>
  <c r="AU220" i="13"/>
  <c r="BH220" i="13"/>
  <c r="BN220" i="13"/>
  <c r="AO221" i="13"/>
  <c r="AU221" i="13"/>
  <c r="BH221" i="13"/>
  <c r="BN221" i="13"/>
  <c r="AO222" i="13"/>
  <c r="AU222" i="13"/>
  <c r="BH222" i="13"/>
  <c r="BN222" i="13"/>
  <c r="AO223" i="13"/>
  <c r="AU223" i="13"/>
  <c r="BI223" i="13"/>
  <c r="BP223" i="13"/>
  <c r="BW223" i="13"/>
  <c r="BF224" i="13"/>
  <c r="BM224" i="13"/>
  <c r="BU224" i="13"/>
  <c r="BI225" i="13"/>
  <c r="BP225" i="13"/>
  <c r="BW225" i="13"/>
  <c r="BT226" i="13"/>
  <c r="BN226" i="13"/>
  <c r="BH226" i="13"/>
  <c r="BK226" i="13"/>
  <c r="BR226" i="13"/>
  <c r="BF227" i="13"/>
  <c r="BM227" i="13"/>
  <c r="BU227" i="13"/>
  <c r="BI228" i="13"/>
  <c r="BP228" i="13"/>
  <c r="BW228" i="13"/>
  <c r="BT229" i="13"/>
  <c r="BN229" i="13"/>
  <c r="BH229" i="13"/>
  <c r="BK229" i="13"/>
  <c r="BR229" i="13"/>
  <c r="BF230" i="13"/>
  <c r="BM230" i="13"/>
  <c r="BU230" i="13"/>
  <c r="BI231" i="13"/>
  <c r="BP231" i="13"/>
  <c r="BW231" i="13"/>
  <c r="BT232" i="13"/>
  <c r="BN232" i="13"/>
  <c r="BH232" i="13"/>
  <c r="BK232" i="13"/>
  <c r="BR232" i="13"/>
  <c r="BF233" i="13"/>
  <c r="BM233" i="13"/>
  <c r="BU233" i="13"/>
  <c r="AX234" i="13"/>
  <c r="AR234" i="13"/>
  <c r="AL234" i="13"/>
  <c r="BA234" i="13"/>
  <c r="AT234" i="13"/>
  <c r="AM234" i="13"/>
  <c r="AQ234" i="13"/>
  <c r="AZ234" i="13"/>
  <c r="BJ234" i="13"/>
  <c r="BS234" i="13"/>
  <c r="BW235" i="13"/>
  <c r="BQ235" i="13"/>
  <c r="BK235" i="13"/>
  <c r="BE235" i="13"/>
  <c r="BV235" i="13"/>
  <c r="BO235" i="13"/>
  <c r="BH235" i="13"/>
  <c r="BT235" i="13"/>
  <c r="BM235" i="13"/>
  <c r="BF235" i="13"/>
  <c r="BP235" i="13"/>
  <c r="AO224" i="13"/>
  <c r="AU224" i="13"/>
  <c r="AO225" i="13"/>
  <c r="AU225" i="13"/>
  <c r="AO226" i="13"/>
  <c r="AU226" i="13"/>
  <c r="AO227" i="13"/>
  <c r="AU227" i="13"/>
  <c r="AO228" i="13"/>
  <c r="AU228" i="13"/>
  <c r="AO229" i="13"/>
  <c r="AU229" i="13"/>
  <c r="AO230" i="13"/>
  <c r="AU230" i="13"/>
  <c r="AO231" i="13"/>
  <c r="AU231" i="13"/>
  <c r="AO232" i="13"/>
  <c r="AU232" i="13"/>
  <c r="AO233" i="13"/>
  <c r="AU233" i="13"/>
  <c r="AX235" i="13"/>
  <c r="AR235" i="13"/>
  <c r="AL235" i="13"/>
  <c r="AP235" i="13"/>
  <c r="AW235" i="13"/>
  <c r="W5" i="13"/>
  <c r="V5" i="13"/>
  <c r="X5" i="13" s="1"/>
  <c r="Y5" i="13" s="1"/>
  <c r="AB8" i="13"/>
  <c r="BV12" i="13"/>
  <c r="BU12" i="13"/>
  <c r="BN12" i="13"/>
  <c r="BG12" i="13"/>
  <c r="BT12" i="13"/>
  <c r="BM12" i="13"/>
  <c r="BF12" i="13"/>
  <c r="BQ12" i="13"/>
  <c r="BI12" i="13"/>
  <c r="BW12" i="13"/>
  <c r="BO12" i="13"/>
  <c r="BH12" i="13"/>
  <c r="AB14" i="13"/>
  <c r="AA14" i="13"/>
  <c r="AC14" i="13" s="1"/>
  <c r="AF14" i="13" s="1"/>
  <c r="BU7" i="13"/>
  <c r="BH7" i="13"/>
  <c r="BS15" i="13"/>
  <c r="BQ15" i="13"/>
  <c r="BH15" i="13"/>
  <c r="BO15" i="13"/>
  <c r="BF15" i="13"/>
  <c r="BW15" i="13"/>
  <c r="BN15" i="13"/>
  <c r="BU15" i="13"/>
  <c r="BT15" i="13"/>
  <c r="BK15" i="13"/>
  <c r="BR15" i="13"/>
  <c r="BI15" i="13"/>
  <c r="BP7" i="13"/>
  <c r="W10" i="13"/>
  <c r="AE10" i="13" s="1"/>
  <c r="AB12" i="13"/>
  <c r="AA12" i="13"/>
  <c r="AC12" i="13" s="1"/>
  <c r="AD12" i="13" s="1"/>
  <c r="AG12" i="13" s="1"/>
  <c r="Y15" i="13"/>
  <c r="AG15" i="13" s="1"/>
  <c r="BE15" i="13"/>
  <c r="V8" i="13"/>
  <c r="X8" i="13" s="1"/>
  <c r="Y8" i="13" s="1"/>
  <c r="W8" i="13"/>
  <c r="BW14" i="13"/>
  <c r="BH14" i="13"/>
  <c r="BT14" i="13"/>
  <c r="BE14" i="13"/>
  <c r="BM14" i="13"/>
  <c r="BJ14" i="13"/>
  <c r="BL15" i="13"/>
  <c r="W7" i="13"/>
  <c r="AE7" i="13" s="1"/>
  <c r="AB11" i="13"/>
  <c r="AE11" i="13" s="1"/>
  <c r="AA11" i="13"/>
  <c r="AC11" i="13" s="1"/>
  <c r="BO14" i="13"/>
  <c r="AM19" i="13"/>
  <c r="AV19" i="13"/>
  <c r="AA25" i="13"/>
  <c r="AC25" i="13" s="1"/>
  <c r="AB25" i="13"/>
  <c r="AE25" i="13" s="1"/>
  <c r="AT25" i="13"/>
  <c r="BG25" i="13"/>
  <c r="BS25" i="13"/>
  <c r="AU26" i="13"/>
  <c r="BI27" i="13"/>
  <c r="BU27" i="13"/>
  <c r="W32" i="13"/>
  <c r="AE32" i="13" s="1"/>
  <c r="V32" i="13"/>
  <c r="X32" i="13" s="1"/>
  <c r="Y32" i="13" s="1"/>
  <c r="BV33" i="13"/>
  <c r="BS33" i="13"/>
  <c r="BL33" i="13"/>
  <c r="BE33" i="13"/>
  <c r="BT33" i="13"/>
  <c r="BM33" i="13"/>
  <c r="BF33" i="13"/>
  <c r="BO33" i="13"/>
  <c r="AA34" i="13"/>
  <c r="AC34" i="13" s="1"/>
  <c r="AD34" i="13" s="1"/>
  <c r="AB34" i="13"/>
  <c r="AE34" i="13" s="1"/>
  <c r="BB35" i="13"/>
  <c r="AP35" i="13"/>
  <c r="AY36" i="13"/>
  <c r="AM36" i="13"/>
  <c r="AO36" i="13"/>
  <c r="AQ37" i="13"/>
  <c r="AY38" i="13"/>
  <c r="AL38" i="13"/>
  <c r="AS38" i="13"/>
  <c r="AM38" i="13"/>
  <c r="AZ40" i="13"/>
  <c r="AK40" i="13"/>
  <c r="AT40" i="13"/>
  <c r="AM40" i="13"/>
  <c r="BK6" i="13"/>
  <c r="BR6" i="13"/>
  <c r="BT9" i="13"/>
  <c r="AK10" i="13"/>
  <c r="AR10" i="13"/>
  <c r="AY10" i="13"/>
  <c r="V11" i="13"/>
  <c r="X11" i="13" s="1"/>
  <c r="Y11" i="13" s="1"/>
  <c r="BH11" i="13"/>
  <c r="BB12" i="13"/>
  <c r="AK13" i="13"/>
  <c r="AV13" i="13"/>
  <c r="W14" i="13"/>
  <c r="AN14" i="13"/>
  <c r="AP16" i="13"/>
  <c r="AW16" i="13"/>
  <c r="BG16" i="13"/>
  <c r="V17" i="13"/>
  <c r="X17" i="13" s="1"/>
  <c r="Y17" i="13" s="1"/>
  <c r="AZ17" i="13"/>
  <c r="AM18" i="13"/>
  <c r="BK18" i="13"/>
  <c r="BR18" i="13"/>
  <c r="AN19" i="13"/>
  <c r="AW19" i="13"/>
  <c r="BH20" i="13"/>
  <c r="V21" i="13"/>
  <c r="X21" i="13" s="1"/>
  <c r="Y21" i="13" s="1"/>
  <c r="BK25" i="13"/>
  <c r="BT25" i="13"/>
  <c r="AA26" i="13"/>
  <c r="AC26" i="13" s="1"/>
  <c r="AU27" i="13"/>
  <c r="AL27" i="13"/>
  <c r="AV27" i="13"/>
  <c r="AM27" i="13"/>
  <c r="BA27" i="13"/>
  <c r="BK27" i="13"/>
  <c r="BW27" i="13"/>
  <c r="BG33" i="13"/>
  <c r="BQ33" i="13"/>
  <c r="V35" i="13"/>
  <c r="X35" i="13" s="1"/>
  <c r="Y35" i="13" s="1"/>
  <c r="AK36" i="13"/>
  <c r="AR37" i="13"/>
  <c r="AK38" i="13"/>
  <c r="AL39" i="13"/>
  <c r="BV39" i="13"/>
  <c r="BW39" i="13"/>
  <c r="BM39" i="13"/>
  <c r="BE39" i="13"/>
  <c r="BQ39" i="13"/>
  <c r="BG39" i="13"/>
  <c r="BO39" i="13"/>
  <c r="BF39" i="13"/>
  <c r="BU39" i="13"/>
  <c r="AU40" i="13"/>
  <c r="BK41" i="13"/>
  <c r="AP43" i="13"/>
  <c r="AP19" i="13"/>
  <c r="AY19" i="13"/>
  <c r="AB22" i="13"/>
  <c r="AA22" i="13"/>
  <c r="AC22" i="13" s="1"/>
  <c r="AF22" i="13" s="1"/>
  <c r="AY25" i="13"/>
  <c r="AN25" i="13"/>
  <c r="AZ25" i="13"/>
  <c r="AO25" i="13"/>
  <c r="AX25" i="13"/>
  <c r="BL25" i="13"/>
  <c r="AP26" i="13"/>
  <c r="AT26" i="13"/>
  <c r="AZ26" i="13"/>
  <c r="BL34" i="13"/>
  <c r="BM34" i="13"/>
  <c r="AB37" i="13"/>
  <c r="AA37" i="13"/>
  <c r="AC37" i="13" s="1"/>
  <c r="AD37" i="13" s="1"/>
  <c r="AG37" i="13" s="1"/>
  <c r="W38" i="13"/>
  <c r="V38" i="13"/>
  <c r="X38" i="13" s="1"/>
  <c r="Y38" i="13" s="1"/>
  <c r="AG38" i="13" s="1"/>
  <c r="BT40" i="13"/>
  <c r="BN40" i="13"/>
  <c r="AZ41" i="13"/>
  <c r="AJ41" i="13"/>
  <c r="AT41" i="13"/>
  <c r="AL41" i="13"/>
  <c r="BA20" i="13"/>
  <c r="AL20" i="13"/>
  <c r="BV25" i="13"/>
  <c r="BW25" i="13"/>
  <c r="BO25" i="13"/>
  <c r="BH25" i="13"/>
  <c r="BQ25" i="13"/>
  <c r="BI25" i="13"/>
  <c r="BM25" i="13"/>
  <c r="BV27" i="13"/>
  <c r="BS27" i="13"/>
  <c r="BL27" i="13"/>
  <c r="BE27" i="13"/>
  <c r="BT27" i="13"/>
  <c r="BM27" i="13"/>
  <c r="BF27" i="13"/>
  <c r="BO27" i="13"/>
  <c r="AB28" i="13"/>
  <c r="AA28" i="13"/>
  <c r="AC28" i="13" s="1"/>
  <c r="AD28" i="13" s="1"/>
  <c r="BA37" i="13"/>
  <c r="AV37" i="13"/>
  <c r="AL37" i="13"/>
  <c r="AX37" i="13"/>
  <c r="AP37" i="13"/>
  <c r="AW37" i="13"/>
  <c r="AN37" i="13"/>
  <c r="AZ37" i="13"/>
  <c r="BJ42" i="13"/>
  <c r="BR42" i="13"/>
  <c r="BL42" i="13"/>
  <c r="AQ19" i="13"/>
  <c r="AZ19" i="13"/>
  <c r="AR5" i="13"/>
  <c r="AE6" i="13"/>
  <c r="BG6" i="13"/>
  <c r="BN6" i="13"/>
  <c r="BU6" i="13"/>
  <c r="AW7" i="13"/>
  <c r="AQ8" i="13"/>
  <c r="AZ8" i="13"/>
  <c r="AF9" i="13"/>
  <c r="BK9" i="13"/>
  <c r="AN10" i="13"/>
  <c r="AV10" i="13"/>
  <c r="BL10" i="13"/>
  <c r="BU10" i="13"/>
  <c r="AZ11" i="13"/>
  <c r="BT11" i="13"/>
  <c r="AQ13" i="13"/>
  <c r="BA13" i="13"/>
  <c r="AL16" i="13"/>
  <c r="AS16" i="13"/>
  <c r="AZ16" i="13"/>
  <c r="BP16" i="13"/>
  <c r="BM17" i="13"/>
  <c r="AV18" i="13"/>
  <c r="BG18" i="13"/>
  <c r="BN18" i="13"/>
  <c r="BU18" i="13"/>
  <c r="AJ19" i="13"/>
  <c r="AS19" i="13"/>
  <c r="BB19" i="13"/>
  <c r="AU20" i="13"/>
  <c r="BT20" i="13"/>
  <c r="AB21" i="13"/>
  <c r="AE21" i="13" s="1"/>
  <c r="BB24" i="13"/>
  <c r="AS24" i="13"/>
  <c r="AK24" i="13"/>
  <c r="AT24" i="13"/>
  <c r="AL24" i="13"/>
  <c r="AX24" i="13"/>
  <c r="V25" i="13"/>
  <c r="X25" i="13" s="1"/>
  <c r="Y25" i="13" s="1"/>
  <c r="AM25" i="13"/>
  <c r="BE25" i="13"/>
  <c r="BN25" i="13"/>
  <c r="AM26" i="13"/>
  <c r="AS27" i="13"/>
  <c r="BG27" i="13"/>
  <c r="BQ27" i="13"/>
  <c r="AQ28" i="13"/>
  <c r="AV28" i="13"/>
  <c r="AP30" i="13"/>
  <c r="AW32" i="13"/>
  <c r="AZ32" i="13"/>
  <c r="AP33" i="13"/>
  <c r="BK33" i="13"/>
  <c r="BW33" i="13"/>
  <c r="BP34" i="13"/>
  <c r="AE35" i="13"/>
  <c r="AV36" i="13"/>
  <c r="AJ37" i="13"/>
  <c r="BB37" i="13"/>
  <c r="BT38" i="13"/>
  <c r="BE38" i="13"/>
  <c r="BN38" i="13"/>
  <c r="BF38" i="13"/>
  <c r="BL39" i="13"/>
  <c r="BB41" i="13"/>
  <c r="BI42" i="13"/>
  <c r="BB44" i="13"/>
  <c r="AY44" i="13"/>
  <c r="AM44" i="13"/>
  <c r="AR44" i="13"/>
  <c r="AQ44" i="13"/>
  <c r="AP10" i="13"/>
  <c r="AW10" i="13"/>
  <c r="AS13" i="13"/>
  <c r="BS17" i="13"/>
  <c r="AK19" i="13"/>
  <c r="AT19" i="13"/>
  <c r="BW20" i="13"/>
  <c r="BA21" i="13"/>
  <c r="AR21" i="13"/>
  <c r="AR25" i="13"/>
  <c r="BF25" i="13"/>
  <c r="BR25" i="13"/>
  <c r="AO26" i="13"/>
  <c r="BH27" i="13"/>
  <c r="BR27" i="13"/>
  <c r="V29" i="13"/>
  <c r="X29" i="13" s="1"/>
  <c r="Y29" i="13" s="1"/>
  <c r="AG29" i="13" s="1"/>
  <c r="W29" i="13"/>
  <c r="AE29" i="13" s="1"/>
  <c r="AT33" i="13"/>
  <c r="BN33" i="13"/>
  <c r="BV34" i="13"/>
  <c r="AW36" i="13"/>
  <c r="AK37" i="13"/>
  <c r="BU37" i="13"/>
  <c r="BE37" i="13"/>
  <c r="BO37" i="13"/>
  <c r="BG37" i="13"/>
  <c r="AW39" i="13"/>
  <c r="AV39" i="13"/>
  <c r="AM39" i="13"/>
  <c r="AY39" i="13"/>
  <c r="AP39" i="13"/>
  <c r="AX39" i="13"/>
  <c r="AN39" i="13"/>
  <c r="AZ39" i="13"/>
  <c r="BR41" i="13"/>
  <c r="BW41" i="13"/>
  <c r="BN41" i="13"/>
  <c r="BE41" i="13"/>
  <c r="BQ41" i="13"/>
  <c r="BH41" i="13"/>
  <c r="BO41" i="13"/>
  <c r="BG41" i="13"/>
  <c r="BU41" i="13"/>
  <c r="BT42" i="13"/>
  <c r="BA43" i="13"/>
  <c r="BB43" i="13"/>
  <c r="AR43" i="13"/>
  <c r="AJ43" i="13"/>
  <c r="AV43" i="13"/>
  <c r="AL43" i="13"/>
  <c r="AT43" i="13"/>
  <c r="AK43" i="13"/>
  <c r="AZ43" i="13"/>
  <c r="BL21" i="13"/>
  <c r="BU21" i="13"/>
  <c r="AP22" i="13"/>
  <c r="AW22" i="13"/>
  <c r="AJ23" i="13"/>
  <c r="AQ23" i="13"/>
  <c r="AX23" i="13"/>
  <c r="AT29" i="13"/>
  <c r="AP31" i="13"/>
  <c r="AW31" i="13"/>
  <c r="BL32" i="13"/>
  <c r="BT32" i="13"/>
  <c r="AW34" i="13"/>
  <c r="BM35" i="13"/>
  <c r="BU35" i="13"/>
  <c r="BR36" i="13"/>
  <c r="BU43" i="13"/>
  <c r="AP23" i="13"/>
  <c r="AW23" i="13"/>
  <c r="BM26" i="13"/>
  <c r="BV26" i="13"/>
  <c r="AR29" i="13"/>
  <c r="AN31" i="13"/>
  <c r="AV31" i="13"/>
  <c r="BJ32" i="13"/>
  <c r="BK35" i="13"/>
  <c r="BT35" i="13"/>
  <c r="BP36" i="13"/>
  <c r="BQ43" i="13"/>
  <c r="AD5" i="13"/>
  <c r="BH5" i="13"/>
  <c r="BW5" i="13"/>
  <c r="BS8" i="13"/>
  <c r="AX9" i="13"/>
  <c r="BJ5" i="13"/>
  <c r="AJ6" i="13"/>
  <c r="AR6" i="13"/>
  <c r="AY6" i="13"/>
  <c r="AN7" i="13"/>
  <c r="BF7" i="13"/>
  <c r="BO7" i="13"/>
  <c r="BK8" i="13"/>
  <c r="BU8" i="13"/>
  <c r="AQ9" i="13"/>
  <c r="AY9" i="13"/>
  <c r="BJ9" i="13"/>
  <c r="AN11" i="13"/>
  <c r="BU11" i="13"/>
  <c r="BO11" i="13"/>
  <c r="BI11" i="13"/>
  <c r="BS11" i="13"/>
  <c r="BL11" i="13"/>
  <c r="BE11" i="13"/>
  <c r="BQ11" i="13"/>
  <c r="BJ11" i="13"/>
  <c r="BV11" i="13"/>
  <c r="BN11" i="13"/>
  <c r="BG11" i="13"/>
  <c r="BR11" i="13"/>
  <c r="AL12" i="13"/>
  <c r="AZ12" i="13"/>
  <c r="BP13" i="13"/>
  <c r="AK14" i="13"/>
  <c r="AZ14" i="13"/>
  <c r="W20" i="13"/>
  <c r="V20" i="13"/>
  <c r="X20" i="13" s="1"/>
  <c r="Y20" i="13" s="1"/>
  <c r="AR20" i="13"/>
  <c r="AL21" i="13"/>
  <c r="BU5" i="13"/>
  <c r="BO5" i="13"/>
  <c r="BI5" i="13"/>
  <c r="AZ15" i="13"/>
  <c r="AT15" i="13"/>
  <c r="AN15" i="13"/>
  <c r="AW15" i="13"/>
  <c r="AQ15" i="13"/>
  <c r="AK15" i="13"/>
  <c r="AV15" i="13"/>
  <c r="AM15" i="13"/>
  <c r="BB15" i="13"/>
  <c r="AS15" i="13"/>
  <c r="AJ15" i="13"/>
  <c r="AY15" i="13"/>
  <c r="AP15" i="13"/>
  <c r="AA18" i="13"/>
  <c r="AC18" i="13" s="1"/>
  <c r="AB18" i="13"/>
  <c r="BR5" i="13"/>
  <c r="AL6" i="13"/>
  <c r="AZ6" i="13"/>
  <c r="BV8" i="13"/>
  <c r="AR9" i="13"/>
  <c r="BS13" i="13"/>
  <c r="BE5" i="13"/>
  <c r="BL5" i="13"/>
  <c r="BS5" i="13"/>
  <c r="AM6" i="13"/>
  <c r="AT6" i="13"/>
  <c r="BA6" i="13"/>
  <c r="AA7" i="13"/>
  <c r="AC7" i="13" s="1"/>
  <c r="AZ7" i="13"/>
  <c r="AT7" i="13"/>
  <c r="AX7" i="13"/>
  <c r="AR7" i="13"/>
  <c r="AL7" i="13"/>
  <c r="AP7" i="13"/>
  <c r="AY7" i="13"/>
  <c r="BI7" i="13"/>
  <c r="BR7" i="13"/>
  <c r="AD8" i="13"/>
  <c r="BE8" i="13"/>
  <c r="BO8" i="13"/>
  <c r="BW8" i="13"/>
  <c r="AK9" i="13"/>
  <c r="BU9" i="13"/>
  <c r="BO9" i="13"/>
  <c r="BI9" i="13"/>
  <c r="BS9" i="13"/>
  <c r="BM9" i="13"/>
  <c r="BG9" i="13"/>
  <c r="BL9" i="13"/>
  <c r="BV9" i="13"/>
  <c r="AA10" i="13"/>
  <c r="AC10" i="13" s="1"/>
  <c r="AS11" i="13"/>
  <c r="AP12" i="13"/>
  <c r="W13" i="13"/>
  <c r="AE13" i="13" s="1"/>
  <c r="BG13" i="13"/>
  <c r="AP14" i="13"/>
  <c r="AL15" i="13"/>
  <c r="BU17" i="13"/>
  <c r="BO17" i="13"/>
  <c r="BI17" i="13"/>
  <c r="BR17" i="13"/>
  <c r="BL17" i="13"/>
  <c r="BF17" i="13"/>
  <c r="BQ17" i="13"/>
  <c r="BH17" i="13"/>
  <c r="BW17" i="13"/>
  <c r="BN17" i="13"/>
  <c r="BE17" i="13"/>
  <c r="BT17" i="13"/>
  <c r="BK17" i="13"/>
  <c r="BV17" i="13"/>
  <c r="AU21" i="13"/>
  <c r="BK5" i="13"/>
  <c r="BM8" i="13"/>
  <c r="BB9" i="13"/>
  <c r="AV9" i="13"/>
  <c r="AP9" i="13"/>
  <c r="AJ9" i="13"/>
  <c r="AZ9" i="13"/>
  <c r="AT9" i="13"/>
  <c r="AN9" i="13"/>
  <c r="BA9" i="13"/>
  <c r="BW13" i="13"/>
  <c r="BQ13" i="13"/>
  <c r="BK13" i="13"/>
  <c r="BE13" i="13"/>
  <c r="BT13" i="13"/>
  <c r="BM13" i="13"/>
  <c r="BF13" i="13"/>
  <c r="BR13" i="13"/>
  <c r="BJ13" i="13"/>
  <c r="BV13" i="13"/>
  <c r="BO13" i="13"/>
  <c r="BH13" i="13"/>
  <c r="BA15" i="13"/>
  <c r="BB5" i="13"/>
  <c r="AV5" i="13"/>
  <c r="AP5" i="13"/>
  <c r="AJ5" i="13"/>
  <c r="AQ5" i="13"/>
  <c r="AX5" i="13"/>
  <c r="BF5" i="13"/>
  <c r="BM5" i="13"/>
  <c r="BT5" i="13"/>
  <c r="AN6" i="13"/>
  <c r="AU6" i="13"/>
  <c r="BB6" i="13"/>
  <c r="AJ7" i="13"/>
  <c r="AQ7" i="13"/>
  <c r="BA7" i="13"/>
  <c r="BJ7" i="13"/>
  <c r="BT7" i="13"/>
  <c r="BG8" i="13"/>
  <c r="AB9" i="13"/>
  <c r="AL9" i="13"/>
  <c r="AU9" i="13"/>
  <c r="BE9" i="13"/>
  <c r="BN9" i="13"/>
  <c r="BW9" i="13"/>
  <c r="BK11" i="13"/>
  <c r="AS12" i="13"/>
  <c r="AF13" i="13"/>
  <c r="BI13" i="13"/>
  <c r="AR14" i="13"/>
  <c r="AO15" i="13"/>
  <c r="BT16" i="13"/>
  <c r="BN16" i="13"/>
  <c r="BH16" i="13"/>
  <c r="BW16" i="13"/>
  <c r="BQ16" i="13"/>
  <c r="BK16" i="13"/>
  <c r="BE16" i="13"/>
  <c r="BR16" i="13"/>
  <c r="BI16" i="13"/>
  <c r="BO16" i="13"/>
  <c r="BF16" i="13"/>
  <c r="BU16" i="13"/>
  <c r="BL16" i="13"/>
  <c r="BV16" i="13"/>
  <c r="BG17" i="13"/>
  <c r="AD21" i="13"/>
  <c r="AS6" i="13"/>
  <c r="BT8" i="13"/>
  <c r="BN8" i="13"/>
  <c r="BH8" i="13"/>
  <c r="BR8" i="13"/>
  <c r="BL8" i="13"/>
  <c r="BF8" i="13"/>
  <c r="BG5" i="13"/>
  <c r="BN5" i="13"/>
  <c r="BV5" i="13"/>
  <c r="AO6" i="13"/>
  <c r="BL7" i="13"/>
  <c r="BI8" i="13"/>
  <c r="BQ8" i="13"/>
  <c r="AG9" i="13"/>
  <c r="AM9" i="13"/>
  <c r="AW9" i="13"/>
  <c r="BB11" i="13"/>
  <c r="AV11" i="13"/>
  <c r="AP11" i="13"/>
  <c r="AJ11" i="13"/>
  <c r="AW11" i="13"/>
  <c r="AO11" i="13"/>
  <c r="BA11" i="13"/>
  <c r="AT11" i="13"/>
  <c r="AM11" i="13"/>
  <c r="AY11" i="13"/>
  <c r="AR11" i="13"/>
  <c r="AK11" i="13"/>
  <c r="AX11" i="13"/>
  <c r="BL13" i="13"/>
  <c r="AR15" i="13"/>
  <c r="V16" i="13"/>
  <c r="X16" i="13" s="1"/>
  <c r="Y16" i="13" s="1"/>
  <c r="W16" i="13"/>
  <c r="AE16" i="13" s="1"/>
  <c r="AY20" i="13"/>
  <c r="AS20" i="13"/>
  <c r="AM20" i="13"/>
  <c r="BB20" i="13"/>
  <c r="AV20" i="13"/>
  <c r="AP20" i="13"/>
  <c r="AJ20" i="13"/>
  <c r="AZ20" i="13"/>
  <c r="AQ20" i="13"/>
  <c r="AX20" i="13"/>
  <c r="AO20" i="13"/>
  <c r="AW20" i="13"/>
  <c r="AN20" i="13"/>
  <c r="AT20" i="13"/>
  <c r="AK20" i="13"/>
  <c r="BS22" i="13"/>
  <c r="BM22" i="13"/>
  <c r="BG22" i="13"/>
  <c r="BW22" i="13"/>
  <c r="BP22" i="13"/>
  <c r="BI22" i="13"/>
  <c r="BT22" i="13"/>
  <c r="BL22" i="13"/>
  <c r="BE22" i="13"/>
  <c r="BN22" i="13"/>
  <c r="BV22" i="13"/>
  <c r="BK22" i="13"/>
  <c r="BU22" i="13"/>
  <c r="BJ22" i="13"/>
  <c r="BR22" i="13"/>
  <c r="BH22" i="13"/>
  <c r="BQ22" i="13"/>
  <c r="BF22" i="13"/>
  <c r="BT23" i="13"/>
  <c r="BN23" i="13"/>
  <c r="BH23" i="13"/>
  <c r="BS23" i="13"/>
  <c r="BU23" i="13"/>
  <c r="BL23" i="13"/>
  <c r="BE23" i="13"/>
  <c r="BP23" i="13"/>
  <c r="BI23" i="13"/>
  <c r="BM23" i="13"/>
  <c r="BW23" i="13"/>
  <c r="BK23" i="13"/>
  <c r="BV23" i="13"/>
  <c r="BJ23" i="13"/>
  <c r="BR23" i="13"/>
  <c r="BG23" i="13"/>
  <c r="BQ23" i="13"/>
  <c r="BF23" i="13"/>
  <c r="BP5" i="13"/>
  <c r="AW6" i="13"/>
  <c r="AQ6" i="13"/>
  <c r="AK6" i="13"/>
  <c r="AP6" i="13"/>
  <c r="AX6" i="13"/>
  <c r="BS7" i="13"/>
  <c r="BM7" i="13"/>
  <c r="BG7" i="13"/>
  <c r="BW7" i="13"/>
  <c r="BQ7" i="13"/>
  <c r="BK7" i="13"/>
  <c r="BE7" i="13"/>
  <c r="BN7" i="13"/>
  <c r="BV7" i="13"/>
  <c r="BJ8" i="13"/>
  <c r="AO9" i="13"/>
  <c r="AW12" i="13"/>
  <c r="AQ12" i="13"/>
  <c r="AK12" i="13"/>
  <c r="BA12" i="13"/>
  <c r="AT12" i="13"/>
  <c r="AM12" i="13"/>
  <c r="AY12" i="13"/>
  <c r="AR12" i="13"/>
  <c r="AJ12" i="13"/>
  <c r="AV12" i="13"/>
  <c r="AO12" i="13"/>
  <c r="AX12" i="13"/>
  <c r="BN13" i="13"/>
  <c r="AY14" i="13"/>
  <c r="AS14" i="13"/>
  <c r="AM14" i="13"/>
  <c r="BA14" i="13"/>
  <c r="AT14" i="13"/>
  <c r="AL14" i="13"/>
  <c r="AX14" i="13"/>
  <c r="AQ14" i="13"/>
  <c r="AJ14" i="13"/>
  <c r="AV14" i="13"/>
  <c r="AO14" i="13"/>
  <c r="AW14" i="13"/>
  <c r="AU15" i="13"/>
  <c r="V19" i="13"/>
  <c r="X19" i="13" s="1"/>
  <c r="Y19" i="13" s="1"/>
  <c r="W19" i="13"/>
  <c r="AE19" i="13" s="1"/>
  <c r="AZ21" i="13"/>
  <c r="AT21" i="13"/>
  <c r="AN21" i="13"/>
  <c r="AW21" i="13"/>
  <c r="AQ21" i="13"/>
  <c r="AK21" i="13"/>
  <c r="AY21" i="13"/>
  <c r="AP21" i="13"/>
  <c r="AX21" i="13"/>
  <c r="AO21" i="13"/>
  <c r="AV21" i="13"/>
  <c r="AM21" i="13"/>
  <c r="BB21" i="13"/>
  <c r="AS21" i="13"/>
  <c r="AJ21" i="13"/>
  <c r="BR14" i="13"/>
  <c r="BL14" i="13"/>
  <c r="BF14" i="13"/>
  <c r="BU14" i="13"/>
  <c r="BK14" i="13"/>
  <c r="BS14" i="13"/>
  <c r="BB17" i="13"/>
  <c r="AV17" i="13"/>
  <c r="AP17" i="13"/>
  <c r="AJ17" i="13"/>
  <c r="AY17" i="13"/>
  <c r="AS17" i="13"/>
  <c r="AM17" i="13"/>
  <c r="AR17" i="13"/>
  <c r="BA17" i="13"/>
  <c r="AW18" i="13"/>
  <c r="AQ18" i="13"/>
  <c r="AK18" i="13"/>
  <c r="AZ18" i="13"/>
  <c r="AT18" i="13"/>
  <c r="AN18" i="13"/>
  <c r="AR18" i="13"/>
  <c r="BA18" i="13"/>
  <c r="BW19" i="13"/>
  <c r="BQ19" i="13"/>
  <c r="BK19" i="13"/>
  <c r="BE19" i="13"/>
  <c r="BT19" i="13"/>
  <c r="BN19" i="13"/>
  <c r="BH19" i="13"/>
  <c r="BM19" i="13"/>
  <c r="BV19" i="13"/>
  <c r="BR20" i="13"/>
  <c r="BL20" i="13"/>
  <c r="BF20" i="13"/>
  <c r="BU20" i="13"/>
  <c r="BO20" i="13"/>
  <c r="BI20" i="13"/>
  <c r="BM20" i="13"/>
  <c r="BV20" i="13"/>
  <c r="W28" i="13"/>
  <c r="V28" i="13"/>
  <c r="X28" i="13" s="1"/>
  <c r="Y28" i="13" s="1"/>
  <c r="AA30" i="13"/>
  <c r="AC30" i="13" s="1"/>
  <c r="AB30" i="13"/>
  <c r="AE30" i="13" s="1"/>
  <c r="AB23" i="13"/>
  <c r="AE23" i="13" s="1"/>
  <c r="AA23" i="13"/>
  <c r="AC23" i="13" s="1"/>
  <c r="BU24" i="13"/>
  <c r="BO24" i="13"/>
  <c r="BI24" i="13"/>
  <c r="BT24" i="13"/>
  <c r="BN24" i="13"/>
  <c r="BH24" i="13"/>
  <c r="BS24" i="13"/>
  <c r="BK24" i="13"/>
  <c r="BP24" i="13"/>
  <c r="BF24" i="13"/>
  <c r="BQ24" i="13"/>
  <c r="BW28" i="13"/>
  <c r="BQ28" i="13"/>
  <c r="BK28" i="13"/>
  <c r="BE28" i="13"/>
  <c r="BR28" i="13"/>
  <c r="BJ28" i="13"/>
  <c r="BP28" i="13"/>
  <c r="BI28" i="13"/>
  <c r="BV28" i="13"/>
  <c r="BM28" i="13"/>
  <c r="BU28" i="13"/>
  <c r="BL28" i="13"/>
  <c r="BT28" i="13"/>
  <c r="BH28" i="13"/>
  <c r="BS28" i="13"/>
  <c r="BG28" i="13"/>
  <c r="BO28" i="13"/>
  <c r="BF28" i="13"/>
  <c r="BJ6" i="13"/>
  <c r="BP6" i="13"/>
  <c r="AM8" i="13"/>
  <c r="AS8" i="13"/>
  <c r="AY8" i="13"/>
  <c r="AO10" i="13"/>
  <c r="AU10" i="13"/>
  <c r="BH10" i="13"/>
  <c r="BN10" i="13"/>
  <c r="BT10" i="13"/>
  <c r="AN13" i="13"/>
  <c r="AU13" i="13"/>
  <c r="BG14" i="13"/>
  <c r="BN14" i="13"/>
  <c r="BV14" i="13"/>
  <c r="AL17" i="13"/>
  <c r="AU17" i="13"/>
  <c r="AL18" i="13"/>
  <c r="AU18" i="13"/>
  <c r="BG19" i="13"/>
  <c r="BP19" i="13"/>
  <c r="BG20" i="13"/>
  <c r="BP20" i="13"/>
  <c r="BE24" i="13"/>
  <c r="BR24" i="13"/>
  <c r="BN28" i="13"/>
  <c r="BG24" i="13"/>
  <c r="BV24" i="13"/>
  <c r="AO8" i="13"/>
  <c r="AU8" i="13"/>
  <c r="BJ10" i="13"/>
  <c r="BP10" i="13"/>
  <c r="AX13" i="13"/>
  <c r="AR13" i="13"/>
  <c r="AL13" i="13"/>
  <c r="AP13" i="13"/>
  <c r="AW13" i="13"/>
  <c r="BI14" i="13"/>
  <c r="BP14" i="13"/>
  <c r="AO17" i="13"/>
  <c r="AX17" i="13"/>
  <c r="AO18" i="13"/>
  <c r="AX18" i="13"/>
  <c r="BJ19" i="13"/>
  <c r="BS19" i="13"/>
  <c r="BJ20" i="13"/>
  <c r="BS20" i="13"/>
  <c r="W22" i="13"/>
  <c r="BJ24" i="13"/>
  <c r="BW24" i="13"/>
  <c r="AE26" i="13"/>
  <c r="BJ15" i="13"/>
  <c r="BP15" i="13"/>
  <c r="BV15" i="13"/>
  <c r="AO19" i="13"/>
  <c r="AU19" i="13"/>
  <c r="BA19" i="13"/>
  <c r="BJ21" i="13"/>
  <c r="BP21" i="13"/>
  <c r="BV21" i="13"/>
  <c r="W24" i="13"/>
  <c r="AE24" i="13" s="1"/>
  <c r="V24" i="13"/>
  <c r="X24" i="13" s="1"/>
  <c r="AX26" i="13"/>
  <c r="AR26" i="13"/>
  <c r="AL26" i="13"/>
  <c r="AW26" i="13"/>
  <c r="AQ26" i="13"/>
  <c r="AK26" i="13"/>
  <c r="AS26" i="13"/>
  <c r="BA26" i="13"/>
  <c r="AX28" i="13"/>
  <c r="AR28" i="13"/>
  <c r="AL28" i="13"/>
  <c r="BB28" i="13"/>
  <c r="AU28" i="13"/>
  <c r="AN28" i="13"/>
  <c r="BA28" i="13"/>
  <c r="AT28" i="13"/>
  <c r="AM28" i="13"/>
  <c r="AS28" i="13"/>
  <c r="BI29" i="13"/>
  <c r="BW29" i="13"/>
  <c r="AR30" i="13"/>
  <c r="BH30" i="13"/>
  <c r="BV30" i="13"/>
  <c r="AO32" i="13"/>
  <c r="AX33" i="13"/>
  <c r="AV35" i="13"/>
  <c r="AB27" i="13"/>
  <c r="AA27" i="13"/>
  <c r="AC27" i="13" s="1"/>
  <c r="BK29" i="13"/>
  <c r="BK30" i="13"/>
  <c r="BT31" i="13"/>
  <c r="BN31" i="13"/>
  <c r="BH31" i="13"/>
  <c r="BU31" i="13"/>
  <c r="BM31" i="13"/>
  <c r="BF31" i="13"/>
  <c r="BS31" i="13"/>
  <c r="BL31" i="13"/>
  <c r="BE31" i="13"/>
  <c r="BQ31" i="13"/>
  <c r="BJ31" i="13"/>
  <c r="BR31" i="13"/>
  <c r="AQ32" i="13"/>
  <c r="BO29" i="13"/>
  <c r="AZ30" i="13"/>
  <c r="AT30" i="13"/>
  <c r="AN30" i="13"/>
  <c r="BB30" i="13"/>
  <c r="AU30" i="13"/>
  <c r="AM30" i="13"/>
  <c r="BA30" i="13"/>
  <c r="AS30" i="13"/>
  <c r="AL30" i="13"/>
  <c r="AX30" i="13"/>
  <c r="AQ30" i="13"/>
  <c r="AJ30" i="13"/>
  <c r="AW30" i="13"/>
  <c r="BL30" i="13"/>
  <c r="AS32" i="13"/>
  <c r="AW33" i="13"/>
  <c r="AQ33" i="13"/>
  <c r="AK33" i="13"/>
  <c r="BB33" i="13"/>
  <c r="AU33" i="13"/>
  <c r="AN33" i="13"/>
  <c r="AZ33" i="13"/>
  <c r="AS33" i="13"/>
  <c r="AL33" i="13"/>
  <c r="AY33" i="13"/>
  <c r="AR33" i="13"/>
  <c r="AJ33" i="13"/>
  <c r="AV33" i="13"/>
  <c r="AO33" i="13"/>
  <c r="BJ12" i="13"/>
  <c r="BP12" i="13"/>
  <c r="BG15" i="13"/>
  <c r="BM15" i="13"/>
  <c r="AO16" i="13"/>
  <c r="AU16" i="13"/>
  <c r="BJ18" i="13"/>
  <c r="BP18" i="13"/>
  <c r="AL19" i="13"/>
  <c r="AR19" i="13"/>
  <c r="BG21" i="13"/>
  <c r="BM21" i="13"/>
  <c r="AO22" i="13"/>
  <c r="AU22" i="13"/>
  <c r="AW25" i="13"/>
  <c r="AQ25" i="13"/>
  <c r="AK25" i="13"/>
  <c r="BB25" i="13"/>
  <c r="AV25" i="13"/>
  <c r="AP25" i="13"/>
  <c r="AJ25" i="13"/>
  <c r="AS25" i="13"/>
  <c r="BA25" i="13"/>
  <c r="AN26" i="13"/>
  <c r="AV26" i="13"/>
  <c r="AO28" i="13"/>
  <c r="AY28" i="13"/>
  <c r="AK30" i="13"/>
  <c r="AY30" i="13"/>
  <c r="BI31" i="13"/>
  <c r="BW31" i="13"/>
  <c r="AM33" i="13"/>
  <c r="BR29" i="13"/>
  <c r="BL29" i="13"/>
  <c r="BF29" i="13"/>
  <c r="BU29" i="13"/>
  <c r="BN29" i="13"/>
  <c r="BG29" i="13"/>
  <c r="BT29" i="13"/>
  <c r="BM29" i="13"/>
  <c r="BE29" i="13"/>
  <c r="BQ29" i="13"/>
  <c r="BJ29" i="13"/>
  <c r="BS29" i="13"/>
  <c r="BS30" i="13"/>
  <c r="BM30" i="13"/>
  <c r="BG30" i="13"/>
  <c r="BQ30" i="13"/>
  <c r="BJ30" i="13"/>
  <c r="BW30" i="13"/>
  <c r="BP30" i="13"/>
  <c r="BI30" i="13"/>
  <c r="BU30" i="13"/>
  <c r="BN30" i="13"/>
  <c r="BF30" i="13"/>
  <c r="BR30" i="13"/>
  <c r="AB31" i="13"/>
  <c r="AA31" i="13"/>
  <c r="AC31" i="13" s="1"/>
  <c r="BB32" i="13"/>
  <c r="AV32" i="13"/>
  <c r="AP32" i="13"/>
  <c r="AJ32" i="13"/>
  <c r="AU32" i="13"/>
  <c r="AN32" i="13"/>
  <c r="BA32" i="13"/>
  <c r="AT32" i="13"/>
  <c r="AM32" i="13"/>
  <c r="AY32" i="13"/>
  <c r="AR32" i="13"/>
  <c r="AK32" i="13"/>
  <c r="AX32" i="13"/>
  <c r="AY35" i="13"/>
  <c r="AS35" i="13"/>
  <c r="AM35" i="13"/>
  <c r="AW35" i="13"/>
  <c r="AQ35" i="13"/>
  <c r="AK35" i="13"/>
  <c r="AX35" i="13"/>
  <c r="AO35" i="13"/>
  <c r="AU35" i="13"/>
  <c r="AL35" i="13"/>
  <c r="AR35" i="13"/>
  <c r="BA35" i="13"/>
  <c r="AN35" i="13"/>
  <c r="AZ35" i="13"/>
  <c r="AJ35" i="13"/>
  <c r="AT35" i="13"/>
  <c r="AD41" i="13"/>
  <c r="V34" i="13"/>
  <c r="X34" i="13" s="1"/>
  <c r="Y34" i="13" s="1"/>
  <c r="AD42" i="13"/>
  <c r="AO24" i="13"/>
  <c r="AU24" i="13"/>
  <c r="BA24" i="13"/>
  <c r="BJ26" i="13"/>
  <c r="BP26" i="13"/>
  <c r="BW26" i="13"/>
  <c r="AW27" i="13"/>
  <c r="AQ27" i="13"/>
  <c r="AK27" i="13"/>
  <c r="AP27" i="13"/>
  <c r="AX27" i="13"/>
  <c r="AY29" i="13"/>
  <c r="AS29" i="13"/>
  <c r="AM29" i="13"/>
  <c r="AP29" i="13"/>
  <c r="AW29" i="13"/>
  <c r="AX34" i="13"/>
  <c r="BB34" i="13"/>
  <c r="AY34" i="13"/>
  <c r="AR34" i="13"/>
  <c r="AL34" i="13"/>
  <c r="AV34" i="13"/>
  <c r="AP34" i="13"/>
  <c r="AJ34" i="13"/>
  <c r="AS34" i="13"/>
  <c r="BW34" i="13"/>
  <c r="BQ34" i="13"/>
  <c r="BK34" i="13"/>
  <c r="BE34" i="13"/>
  <c r="BU34" i="13"/>
  <c r="BO34" i="13"/>
  <c r="BI34" i="13"/>
  <c r="BR34" i="13"/>
  <c r="BH34" i="13"/>
  <c r="BN34" i="13"/>
  <c r="BF34" i="13"/>
  <c r="BS34" i="13"/>
  <c r="AD39" i="13"/>
  <c r="AO23" i="13"/>
  <c r="AU23" i="13"/>
  <c r="AJ24" i="13"/>
  <c r="AP24" i="13"/>
  <c r="AV24" i="13"/>
  <c r="BJ25" i="13"/>
  <c r="BP25" i="13"/>
  <c r="BE26" i="13"/>
  <c r="BK26" i="13"/>
  <c r="BQ26" i="13"/>
  <c r="AJ27" i="13"/>
  <c r="AR27" i="13"/>
  <c r="AY27" i="13"/>
  <c r="AJ29" i="13"/>
  <c r="AQ29" i="13"/>
  <c r="AX29" i="13"/>
  <c r="BU32" i="13"/>
  <c r="BO32" i="13"/>
  <c r="BI32" i="13"/>
  <c r="BK32" i="13"/>
  <c r="BR32" i="13"/>
  <c r="AK34" i="13"/>
  <c r="AT34" i="13"/>
  <c r="BG34" i="13"/>
  <c r="BT34" i="13"/>
  <c r="V39" i="13"/>
  <c r="X39" i="13" s="1"/>
  <c r="Y39" i="13" s="1"/>
  <c r="W39" i="13"/>
  <c r="AE39" i="13" s="1"/>
  <c r="AB44" i="13"/>
  <c r="AE44" i="13" s="1"/>
  <c r="AA44" i="13"/>
  <c r="AC44" i="13" s="1"/>
  <c r="AZ36" i="13"/>
  <c r="AT36" i="13"/>
  <c r="AN36" i="13"/>
  <c r="AX36" i="13"/>
  <c r="AR36" i="13"/>
  <c r="AL36" i="13"/>
  <c r="AQ36" i="13"/>
  <c r="BA36" i="13"/>
  <c r="BJ36" i="13"/>
  <c r="BT36" i="13"/>
  <c r="BI37" i="13"/>
  <c r="BQ37" i="13"/>
  <c r="AO38" i="13"/>
  <c r="AX38" i="13"/>
  <c r="BH38" i="13"/>
  <c r="BQ38" i="13"/>
  <c r="AN40" i="13"/>
  <c r="AW40" i="13"/>
  <c r="BG40" i="13"/>
  <c r="BP40" i="13"/>
  <c r="V41" i="13"/>
  <c r="X41" i="13" s="1"/>
  <c r="Y41" i="13" s="1"/>
  <c r="AN41" i="13"/>
  <c r="AV41" i="13"/>
  <c r="AB42" i="13"/>
  <c r="AK42" i="13"/>
  <c r="AU42" i="13"/>
  <c r="BS42" i="13"/>
  <c r="BM42" i="13"/>
  <c r="BG42" i="13"/>
  <c r="BW42" i="13"/>
  <c r="BQ42" i="13"/>
  <c r="BK42" i="13"/>
  <c r="BE42" i="13"/>
  <c r="BN42" i="13"/>
  <c r="BV42" i="13"/>
  <c r="AJ36" i="13"/>
  <c r="AS36" i="13"/>
  <c r="BB36" i="13"/>
  <c r="BL36" i="13"/>
  <c r="BJ37" i="13"/>
  <c r="BS37" i="13"/>
  <c r="AQ38" i="13"/>
  <c r="BJ38" i="13"/>
  <c r="BR38" i="13"/>
  <c r="V40" i="13"/>
  <c r="X40" i="13" s="1"/>
  <c r="Y40" i="13" s="1"/>
  <c r="AO40" i="13"/>
  <c r="AY40" i="13"/>
  <c r="BH40" i="13"/>
  <c r="BR40" i="13"/>
  <c r="AO41" i="13"/>
  <c r="AX41" i="13"/>
  <c r="AM42" i="13"/>
  <c r="AV42" i="13"/>
  <c r="BF42" i="13"/>
  <c r="BO42" i="13"/>
  <c r="BS36" i="13"/>
  <c r="BM36" i="13"/>
  <c r="BG36" i="13"/>
  <c r="BW36" i="13"/>
  <c r="BQ36" i="13"/>
  <c r="BK36" i="13"/>
  <c r="BE36" i="13"/>
  <c r="BN36" i="13"/>
  <c r="BV36" i="13"/>
  <c r="BK37" i="13"/>
  <c r="BB38" i="13"/>
  <c r="AV38" i="13"/>
  <c r="AP38" i="13"/>
  <c r="AJ38" i="13"/>
  <c r="AZ38" i="13"/>
  <c r="AT38" i="13"/>
  <c r="AN38" i="13"/>
  <c r="AR38" i="13"/>
  <c r="BA38" i="13"/>
  <c r="BK38" i="13"/>
  <c r="AQ40" i="13"/>
  <c r="BJ40" i="13"/>
  <c r="BS40" i="13"/>
  <c r="AP41" i="13"/>
  <c r="AO42" i="13"/>
  <c r="AW42" i="13"/>
  <c r="BH42" i="13"/>
  <c r="BP42" i="13"/>
  <c r="W43" i="13"/>
  <c r="AE43" i="13" s="1"/>
  <c r="BT43" i="13"/>
  <c r="BN43" i="13"/>
  <c r="BH43" i="13"/>
  <c r="BS43" i="13"/>
  <c r="BM43" i="13"/>
  <c r="BG43" i="13"/>
  <c r="BR43" i="13"/>
  <c r="BL43" i="13"/>
  <c r="BF43" i="13"/>
  <c r="BP43" i="13"/>
  <c r="BJ27" i="13"/>
  <c r="BP27" i="13"/>
  <c r="AO31" i="13"/>
  <c r="AU31" i="13"/>
  <c r="BJ33" i="13"/>
  <c r="BP33" i="13"/>
  <c r="BT37" i="13"/>
  <c r="BN37" i="13"/>
  <c r="BH37" i="13"/>
  <c r="BR37" i="13"/>
  <c r="BL37" i="13"/>
  <c r="BF37" i="13"/>
  <c r="BM37" i="13"/>
  <c r="BV37" i="13"/>
  <c r="BU38" i="13"/>
  <c r="BO38" i="13"/>
  <c r="BI38" i="13"/>
  <c r="BS38" i="13"/>
  <c r="BM38" i="13"/>
  <c r="BG38" i="13"/>
  <c r="BL38" i="13"/>
  <c r="BV38" i="13"/>
  <c r="AX40" i="13"/>
  <c r="AR40" i="13"/>
  <c r="AL40" i="13"/>
  <c r="BB40" i="13"/>
  <c r="AV40" i="13"/>
  <c r="AP40" i="13"/>
  <c r="AJ40" i="13"/>
  <c r="AS40" i="13"/>
  <c r="BA40" i="13"/>
  <c r="BL40" i="13"/>
  <c r="AY41" i="13"/>
  <c r="AS41" i="13"/>
  <c r="AM41" i="13"/>
  <c r="AW41" i="13"/>
  <c r="AQ41" i="13"/>
  <c r="AK41" i="13"/>
  <c r="AR41" i="13"/>
  <c r="BA41" i="13"/>
  <c r="AP42" i="13"/>
  <c r="BW40" i="13"/>
  <c r="BQ40" i="13"/>
  <c r="BK40" i="13"/>
  <c r="BE40" i="13"/>
  <c r="BU40" i="13"/>
  <c r="BO40" i="13"/>
  <c r="BI40" i="13"/>
  <c r="BM40" i="13"/>
  <c r="BV40" i="13"/>
  <c r="AZ42" i="13"/>
  <c r="AT42" i="13"/>
  <c r="AN42" i="13"/>
  <c r="AX42" i="13"/>
  <c r="AR42" i="13"/>
  <c r="AL42" i="13"/>
  <c r="AQ42" i="13"/>
  <c r="BA42" i="13"/>
  <c r="BJ35" i="13"/>
  <c r="BP35" i="13"/>
  <c r="BV35" i="13"/>
  <c r="AM37" i="13"/>
  <c r="AS37" i="13"/>
  <c r="AY37" i="13"/>
  <c r="AO39" i="13"/>
  <c r="AU39" i="13"/>
  <c r="BA39" i="13"/>
  <c r="BH39" i="13"/>
  <c r="BN39" i="13"/>
  <c r="BT39" i="13"/>
  <c r="BJ41" i="13"/>
  <c r="BP41" i="13"/>
  <c r="BV41" i="13"/>
  <c r="AM43" i="13"/>
  <c r="AS43" i="13"/>
  <c r="AY43" i="13"/>
  <c r="AN44" i="13"/>
  <c r="AT44" i="13"/>
  <c r="AZ44" i="13"/>
  <c r="BG44" i="13"/>
  <c r="BM44" i="13"/>
  <c r="BS44" i="13"/>
  <c r="AO44" i="13"/>
  <c r="AU44" i="13"/>
  <c r="BA44" i="13"/>
  <c r="BH44" i="13"/>
  <c r="BN44" i="13"/>
  <c r="BT44" i="13"/>
  <c r="BF35" i="13"/>
  <c r="BL35" i="13"/>
  <c r="AO37" i="13"/>
  <c r="AU37" i="13"/>
  <c r="AK39" i="13"/>
  <c r="AQ39" i="13"/>
  <c r="BJ39" i="13"/>
  <c r="BP39" i="13"/>
  <c r="BF41" i="13"/>
  <c r="BL41" i="13"/>
  <c r="AO43" i="13"/>
  <c r="AU43" i="13"/>
  <c r="AJ44" i="13"/>
  <c r="AP44" i="13"/>
  <c r="AV44" i="13"/>
  <c r="BI44" i="13"/>
  <c r="BO44" i="13"/>
  <c r="BU44" i="13"/>
  <c r="BJ44" i="13"/>
  <c r="BP44" i="13"/>
  <c r="BV44" i="13"/>
  <c r="BE44" i="13"/>
  <c r="BK44" i="13"/>
  <c r="BQ44" i="13"/>
  <c r="AG17" i="13" l="1"/>
  <c r="AF226" i="13"/>
  <c r="AF154" i="13"/>
  <c r="AE229" i="13"/>
  <c r="AD203" i="13"/>
  <c r="AG203" i="13" s="1"/>
  <c r="AE42" i="13"/>
  <c r="AE230" i="13"/>
  <c r="AG174" i="13"/>
  <c r="AE12" i="13"/>
  <c r="AG155" i="13"/>
  <c r="AG167" i="13"/>
  <c r="AF43" i="13"/>
  <c r="AE20" i="13"/>
  <c r="AF229" i="13"/>
  <c r="AG193" i="13"/>
  <c r="AG42" i="13"/>
  <c r="AE9" i="13"/>
  <c r="AE37" i="13"/>
  <c r="AF42" i="13"/>
  <c r="AE216" i="13"/>
  <c r="AG154" i="13"/>
  <c r="AE206" i="13"/>
  <c r="AF175" i="13"/>
  <c r="AF171" i="13"/>
  <c r="AG168" i="13"/>
  <c r="AF159" i="13"/>
  <c r="AF193" i="13"/>
  <c r="AF194" i="13"/>
  <c r="AE204" i="13"/>
  <c r="AG227" i="13"/>
  <c r="AD210" i="13"/>
  <c r="AG210" i="13" s="1"/>
  <c r="AE31" i="13"/>
  <c r="AE235" i="13"/>
  <c r="AD196" i="13"/>
  <c r="AG196" i="13" s="1"/>
  <c r="AD215" i="13"/>
  <c r="AG215" i="13" s="1"/>
  <c r="AE38" i="13"/>
  <c r="AE27" i="13"/>
  <c r="AE203" i="13"/>
  <c r="AD200" i="13"/>
  <c r="AG200" i="13" s="1"/>
  <c r="AD202" i="13"/>
  <c r="AG202" i="13" s="1"/>
  <c r="AE207" i="13"/>
  <c r="AE219" i="13"/>
  <c r="AF190" i="13"/>
  <c r="AF227" i="13"/>
  <c r="AE5" i="13"/>
  <c r="AF204" i="13"/>
  <c r="AE209" i="13"/>
  <c r="AF174" i="13"/>
  <c r="AG212" i="13"/>
  <c r="AF33" i="13"/>
  <c r="AD190" i="13"/>
  <c r="AG190" i="13" s="1"/>
  <c r="AF212" i="13"/>
  <c r="AF172" i="13"/>
  <c r="AE177" i="13"/>
  <c r="AD222" i="13"/>
  <c r="AG222" i="13" s="1"/>
  <c r="AF161" i="13"/>
  <c r="AE218" i="13"/>
  <c r="AG35" i="13"/>
  <c r="AF205" i="13"/>
  <c r="AD217" i="13"/>
  <c r="AG217" i="13" s="1"/>
  <c r="AD224" i="13"/>
  <c r="AG224" i="13" s="1"/>
  <c r="AD22" i="13"/>
  <c r="AG22" i="13" s="1"/>
  <c r="AF199" i="13"/>
  <c r="AE15" i="13"/>
  <c r="AG213" i="13"/>
  <c r="AG201" i="13"/>
  <c r="AF166" i="13"/>
  <c r="AD159" i="13"/>
  <c r="AG159" i="13" s="1"/>
  <c r="AF213" i="13"/>
  <c r="AF201" i="13"/>
  <c r="AG166" i="13"/>
  <c r="AF155" i="13"/>
  <c r="AF192" i="13"/>
  <c r="AF164" i="13"/>
  <c r="AG164" i="13"/>
  <c r="AG191" i="13"/>
  <c r="AF168" i="13"/>
  <c r="AE166" i="13"/>
  <c r="AF191" i="13"/>
  <c r="AF176" i="13"/>
  <c r="AE173" i="13"/>
  <c r="AG162" i="13"/>
  <c r="AG170" i="13"/>
  <c r="AF220" i="13"/>
  <c r="AE202" i="13"/>
  <c r="AF37" i="13"/>
  <c r="AG16" i="13"/>
  <c r="AF17" i="13"/>
  <c r="AD220" i="13"/>
  <c r="AG220" i="13" s="1"/>
  <c r="AF36" i="13"/>
  <c r="AE18" i="13"/>
  <c r="AG208" i="13"/>
  <c r="AF170" i="13"/>
  <c r="AF158" i="13"/>
  <c r="AE196" i="13"/>
  <c r="AG214" i="13"/>
  <c r="AG158" i="13"/>
  <c r="AF214" i="13"/>
  <c r="AF162" i="13"/>
  <c r="AG157" i="13"/>
  <c r="AG169" i="13"/>
  <c r="AF169" i="13"/>
  <c r="AE198" i="13"/>
  <c r="AF20" i="13"/>
  <c r="AF216" i="13"/>
  <c r="AF157" i="13"/>
  <c r="AG163" i="13"/>
  <c r="AE210" i="13"/>
  <c r="AG218" i="13"/>
  <c r="AD221" i="13"/>
  <c r="AG221" i="13" s="1"/>
  <c r="AF29" i="13"/>
  <c r="AG8" i="13"/>
  <c r="AF218" i="13"/>
  <c r="AE156" i="13"/>
  <c r="AG223" i="13"/>
  <c r="AF223" i="13"/>
  <c r="AG32" i="13"/>
  <c r="AF38" i="13"/>
  <c r="AF173" i="13"/>
  <c r="AG20" i="13"/>
  <c r="AG21" i="13"/>
  <c r="AF6" i="13"/>
  <c r="AD211" i="13"/>
  <c r="AG211" i="13" s="1"/>
  <c r="AG206" i="13"/>
  <c r="AF165" i="13"/>
  <c r="AD161" i="13"/>
  <c r="AG161" i="13" s="1"/>
  <c r="AF21" i="13"/>
  <c r="AD230" i="13"/>
  <c r="AG230" i="13" s="1"/>
  <c r="AE178" i="13"/>
  <c r="AG195" i="13"/>
  <c r="AG165" i="13"/>
  <c r="AF160" i="13"/>
  <c r="AE28" i="13"/>
  <c r="AG5" i="13"/>
  <c r="AF195" i="13"/>
  <c r="AD198" i="13"/>
  <c r="AG198" i="13" s="1"/>
  <c r="AG160" i="13"/>
  <c r="AF233" i="13"/>
  <c r="AG192" i="13"/>
  <c r="AE175" i="13"/>
  <c r="AF5" i="13"/>
  <c r="AF209" i="13"/>
  <c r="AF167" i="13"/>
  <c r="AF219" i="13"/>
  <c r="AF35" i="13"/>
  <c r="AG6" i="13"/>
  <c r="AG197" i="13"/>
  <c r="AF32" i="13"/>
  <c r="AE22" i="13"/>
  <c r="AF12" i="13"/>
  <c r="AE14" i="13"/>
  <c r="AF197" i="13"/>
  <c r="AG176" i="13"/>
  <c r="AD14" i="13"/>
  <c r="AG14" i="13" s="1"/>
  <c r="AF207" i="13"/>
  <c r="AD219" i="13"/>
  <c r="AG219" i="13" s="1"/>
  <c r="AF156" i="13"/>
  <c r="AF163" i="13"/>
  <c r="AE176" i="13"/>
  <c r="AG156" i="13"/>
  <c r="AG173" i="13"/>
  <c r="AF28" i="13"/>
  <c r="AF206" i="13"/>
  <c r="AD232" i="13"/>
  <c r="AG232" i="13" s="1"/>
  <c r="AF232" i="13"/>
  <c r="AF208" i="13"/>
  <c r="AF231" i="13"/>
  <c r="AD231" i="13"/>
  <c r="AG231" i="13" s="1"/>
  <c r="AF187" i="13"/>
  <c r="AD187" i="13"/>
  <c r="AG187" i="13" s="1"/>
  <c r="AF234" i="13"/>
  <c r="AD151" i="13"/>
  <c r="AG151" i="13" s="1"/>
  <c r="AF151" i="13"/>
  <c r="AD147" i="13"/>
  <c r="AG147" i="13" s="1"/>
  <c r="AF147" i="13"/>
  <c r="AF186" i="13"/>
  <c r="AD186" i="13"/>
  <c r="AG186" i="13" s="1"/>
  <c r="AG234" i="13"/>
  <c r="AD182" i="13"/>
  <c r="AG182" i="13" s="1"/>
  <c r="AF182" i="13"/>
  <c r="AD150" i="13"/>
  <c r="AG150" i="13" s="1"/>
  <c r="AF150" i="13"/>
  <c r="AD146" i="13"/>
  <c r="AG146" i="13" s="1"/>
  <c r="AF146" i="13"/>
  <c r="AD143" i="13"/>
  <c r="AG143" i="13" s="1"/>
  <c r="AF143" i="13"/>
  <c r="AD140" i="13"/>
  <c r="AG140" i="13" s="1"/>
  <c r="AF140" i="13"/>
  <c r="AD137" i="13"/>
  <c r="AG137" i="13" s="1"/>
  <c r="AF137" i="13"/>
  <c r="AD135" i="13"/>
  <c r="AG135" i="13" s="1"/>
  <c r="AF135" i="13"/>
  <c r="AD132" i="13"/>
  <c r="AG132" i="13" s="1"/>
  <c r="AF132" i="13"/>
  <c r="AD129" i="13"/>
  <c r="AG129" i="13" s="1"/>
  <c r="AF129" i="13"/>
  <c r="AF179" i="13"/>
  <c r="AD179" i="13"/>
  <c r="AG179" i="13" s="1"/>
  <c r="AF184" i="13"/>
  <c r="AD184" i="13"/>
  <c r="AG184" i="13" s="1"/>
  <c r="AF183" i="13"/>
  <c r="AD183" i="13"/>
  <c r="AG183" i="13" s="1"/>
  <c r="AD178" i="13"/>
  <c r="AG178" i="13" s="1"/>
  <c r="AF178" i="13"/>
  <c r="AD144" i="13"/>
  <c r="AG144" i="13" s="1"/>
  <c r="AF144" i="13"/>
  <c r="AD141" i="13"/>
  <c r="AG141" i="13" s="1"/>
  <c r="AF141" i="13"/>
  <c r="AD138" i="13"/>
  <c r="AG138" i="13" s="1"/>
  <c r="AF138" i="13"/>
  <c r="AD136" i="13"/>
  <c r="AG136" i="13" s="1"/>
  <c r="AF136" i="13"/>
  <c r="AD133" i="13"/>
  <c r="AG133" i="13" s="1"/>
  <c r="AF133" i="13"/>
  <c r="AD130" i="13"/>
  <c r="AG130" i="13" s="1"/>
  <c r="AF130" i="13"/>
  <c r="AD127" i="13"/>
  <c r="AG127" i="13" s="1"/>
  <c r="AF127" i="13"/>
  <c r="AF181" i="13"/>
  <c r="AD181" i="13"/>
  <c r="AG181" i="13" s="1"/>
  <c r="AF225" i="13"/>
  <c r="AD225" i="13"/>
  <c r="AG225" i="13" s="1"/>
  <c r="AF189" i="13"/>
  <c r="AD189" i="13"/>
  <c r="AG189" i="13" s="1"/>
  <c r="AF177" i="13"/>
  <c r="AD177" i="13"/>
  <c r="AG177" i="13" s="1"/>
  <c r="AD153" i="13"/>
  <c r="AG153" i="13" s="1"/>
  <c r="AF153" i="13"/>
  <c r="AD149" i="13"/>
  <c r="AG149" i="13" s="1"/>
  <c r="AF149" i="13"/>
  <c r="AF228" i="13"/>
  <c r="AD228" i="13"/>
  <c r="AG228" i="13" s="1"/>
  <c r="AF188" i="13"/>
  <c r="AD188" i="13"/>
  <c r="AG188" i="13" s="1"/>
  <c r="AD180" i="13"/>
  <c r="AG180" i="13" s="1"/>
  <c r="AF180" i="13"/>
  <c r="AD152" i="13"/>
  <c r="AG152" i="13" s="1"/>
  <c r="AF152" i="13"/>
  <c r="AD148" i="13"/>
  <c r="AG148" i="13" s="1"/>
  <c r="AF148" i="13"/>
  <c r="AD145" i="13"/>
  <c r="AG145" i="13" s="1"/>
  <c r="AF145" i="13"/>
  <c r="AD142" i="13"/>
  <c r="AG142" i="13" s="1"/>
  <c r="AF142" i="13"/>
  <c r="AD139" i="13"/>
  <c r="AG139" i="13" s="1"/>
  <c r="AF139" i="13"/>
  <c r="AD134" i="13"/>
  <c r="AG134" i="13" s="1"/>
  <c r="AF134" i="13"/>
  <c r="AD131" i="13"/>
  <c r="AG131" i="13" s="1"/>
  <c r="AF131" i="13"/>
  <c r="AD128" i="13"/>
  <c r="AG128" i="13" s="1"/>
  <c r="AF128" i="13"/>
  <c r="AE8" i="13"/>
  <c r="AF8" i="13"/>
  <c r="AF11" i="13"/>
  <c r="AD11" i="13"/>
  <c r="AG11" i="13" s="1"/>
  <c r="AD26" i="13"/>
  <c r="AG26" i="13" s="1"/>
  <c r="AF26" i="13"/>
  <c r="AD25" i="13"/>
  <c r="AG25" i="13" s="1"/>
  <c r="AF25" i="13"/>
  <c r="AF34" i="13"/>
  <c r="AG19" i="13"/>
  <c r="AF44" i="13"/>
  <c r="AD44" i="13"/>
  <c r="AG44" i="13" s="1"/>
  <c r="AG41" i="13"/>
  <c r="AG34" i="13"/>
  <c r="AF23" i="13"/>
  <c r="AD23" i="13"/>
  <c r="AG23" i="13" s="1"/>
  <c r="AD18" i="13"/>
  <c r="AG18" i="13" s="1"/>
  <c r="AF18" i="13"/>
  <c r="AF41" i="13"/>
  <c r="AD27" i="13"/>
  <c r="AG27" i="13" s="1"/>
  <c r="AF27" i="13"/>
  <c r="AF39" i="13"/>
  <c r="AG40" i="13"/>
  <c r="AF24" i="13"/>
  <c r="Y24" i="13"/>
  <c r="AG24" i="13" s="1"/>
  <c r="AG39" i="13"/>
  <c r="AF40" i="13"/>
  <c r="AF31" i="13"/>
  <c r="AD31" i="13"/>
  <c r="AG31" i="13" s="1"/>
  <c r="AG28" i="13"/>
  <c r="AD30" i="13"/>
  <c r="AG30" i="13" s="1"/>
  <c r="AF30" i="13"/>
  <c r="AF7" i="13"/>
  <c r="AD7" i="13"/>
  <c r="AG7" i="13" s="1"/>
  <c r="AF16" i="13"/>
  <c r="AD10" i="13"/>
  <c r="AG10" i="13" s="1"/>
  <c r="AF10" i="13"/>
  <c r="AF19" i="13"/>
  <c r="BD99" i="13" l="1"/>
  <c r="BW99" i="13" s="1"/>
  <c r="AI99" i="13"/>
  <c r="BB99" i="13" s="1"/>
  <c r="Z99" i="13"/>
  <c r="AA99" i="13" s="1"/>
  <c r="AC99" i="13" s="1"/>
  <c r="U99" i="13"/>
  <c r="W99" i="13" s="1"/>
  <c r="P99" i="13"/>
  <c r="K99" i="13"/>
  <c r="E99" i="13"/>
  <c r="D99" i="13"/>
  <c r="C99" i="13"/>
  <c r="B99" i="13"/>
  <c r="BD47" i="13"/>
  <c r="BW47" i="13" s="1"/>
  <c r="AI47" i="13"/>
  <c r="AX47" i="13" s="1"/>
  <c r="Z47" i="13"/>
  <c r="AB47" i="13" s="1"/>
  <c r="U47" i="13"/>
  <c r="W47" i="13" s="1"/>
  <c r="P47" i="13"/>
  <c r="K47" i="13"/>
  <c r="E47" i="13"/>
  <c r="D47" i="13"/>
  <c r="C47" i="13"/>
  <c r="B47" i="13"/>
  <c r="BD46" i="13"/>
  <c r="BV46" i="13" s="1"/>
  <c r="AI46" i="13"/>
  <c r="AW46" i="13" s="1"/>
  <c r="Z46" i="13"/>
  <c r="AB46" i="13" s="1"/>
  <c r="U46" i="13"/>
  <c r="V46" i="13" s="1"/>
  <c r="X46" i="13" s="1"/>
  <c r="P46" i="13"/>
  <c r="K46" i="13"/>
  <c r="E46" i="13"/>
  <c r="D46" i="13"/>
  <c r="C46" i="13"/>
  <c r="B46" i="13"/>
  <c r="BD45" i="13"/>
  <c r="BU45" i="13" s="1"/>
  <c r="AI45" i="13"/>
  <c r="BB45" i="13" s="1"/>
  <c r="Z45" i="13"/>
  <c r="AA45" i="13" s="1"/>
  <c r="AC45" i="13" s="1"/>
  <c r="U45" i="13"/>
  <c r="W45" i="13" s="1"/>
  <c r="P45" i="13"/>
  <c r="E45" i="13"/>
  <c r="D45" i="13"/>
  <c r="C45" i="13"/>
  <c r="B45" i="13"/>
  <c r="AS47" i="13" l="1"/>
  <c r="BW46" i="13"/>
  <c r="AR46" i="13"/>
  <c r="AY46" i="13"/>
  <c r="AQ47" i="13"/>
  <c r="AN99" i="13"/>
  <c r="AQ99" i="13"/>
  <c r="AS99" i="13"/>
  <c r="AX99" i="13"/>
  <c r="AK99" i="13"/>
  <c r="AY99" i="13"/>
  <c r="AL99" i="13"/>
  <c r="AT99" i="13"/>
  <c r="BL99" i="13"/>
  <c r="BM99" i="13"/>
  <c r="BF99" i="13"/>
  <c r="AM99" i="13"/>
  <c r="AW99" i="13"/>
  <c r="BG99" i="13"/>
  <c r="AR99" i="13"/>
  <c r="AZ99" i="13"/>
  <c r="BR99" i="13"/>
  <c r="BS99" i="13"/>
  <c r="V99" i="13"/>
  <c r="X99" i="13" s="1"/>
  <c r="AB99" i="13"/>
  <c r="AE99" i="13" s="1"/>
  <c r="AO99" i="13"/>
  <c r="AU99" i="13"/>
  <c r="BA99" i="13"/>
  <c r="BH99" i="13"/>
  <c r="BN99" i="13"/>
  <c r="BT99" i="13"/>
  <c r="AJ99" i="13"/>
  <c r="AP99" i="13"/>
  <c r="AV99" i="13"/>
  <c r="BI99" i="13"/>
  <c r="BO99" i="13"/>
  <c r="BU99" i="13"/>
  <c r="BJ99" i="13"/>
  <c r="BP99" i="13"/>
  <c r="BV99" i="13"/>
  <c r="BE99" i="13"/>
  <c r="BK99" i="13"/>
  <c r="BQ99" i="13"/>
  <c r="AB45" i="13"/>
  <c r="AE45" i="13" s="1"/>
  <c r="BB46" i="13"/>
  <c r="AE47" i="13"/>
  <c r="AW47" i="13"/>
  <c r="W46" i="13"/>
  <c r="AE46" i="13" s="1"/>
  <c r="AW45" i="13"/>
  <c r="AM46" i="13"/>
  <c r="BK46" i="13"/>
  <c r="AK47" i="13"/>
  <c r="V45" i="13"/>
  <c r="X45" i="13" s="1"/>
  <c r="AP46" i="13"/>
  <c r="BL46" i="13"/>
  <c r="AM47" i="13"/>
  <c r="BO46" i="13"/>
  <c r="AS46" i="13"/>
  <c r="BQ46" i="13"/>
  <c r="AJ46" i="13"/>
  <c r="AV46" i="13"/>
  <c r="BF46" i="13"/>
  <c r="BR46" i="13"/>
  <c r="BE46" i="13"/>
  <c r="AL46" i="13"/>
  <c r="AX46" i="13"/>
  <c r="BI46" i="13"/>
  <c r="BU46" i="13"/>
  <c r="AY47" i="13"/>
  <c r="BF47" i="13"/>
  <c r="BL47" i="13"/>
  <c r="BR47" i="13"/>
  <c r="AK45" i="13"/>
  <c r="AQ45" i="13"/>
  <c r="AA47" i="13"/>
  <c r="AC47" i="13" s="1"/>
  <c r="AN47" i="13"/>
  <c r="AT47" i="13"/>
  <c r="AZ47" i="13"/>
  <c r="BG47" i="13"/>
  <c r="BM47" i="13"/>
  <c r="BS47" i="13"/>
  <c r="BJ45" i="13"/>
  <c r="BP45" i="13"/>
  <c r="BV45" i="13"/>
  <c r="AR45" i="13"/>
  <c r="BE45" i="13"/>
  <c r="BW45" i="13"/>
  <c r="AM45" i="13"/>
  <c r="AS45" i="13"/>
  <c r="AY45" i="13"/>
  <c r="BF45" i="13"/>
  <c r="BL45" i="13"/>
  <c r="BR45" i="13"/>
  <c r="AA46" i="13"/>
  <c r="AC46" i="13" s="1"/>
  <c r="AN46" i="13"/>
  <c r="AT46" i="13"/>
  <c r="AZ46" i="13"/>
  <c r="BG46" i="13"/>
  <c r="BM46" i="13"/>
  <c r="BS46" i="13"/>
  <c r="V47" i="13"/>
  <c r="X47" i="13" s="1"/>
  <c r="AO47" i="13"/>
  <c r="AU47" i="13"/>
  <c r="BA47" i="13"/>
  <c r="BH47" i="13"/>
  <c r="BN47" i="13"/>
  <c r="BT47" i="13"/>
  <c r="AL45" i="13"/>
  <c r="AX45" i="13"/>
  <c r="BK45" i="13"/>
  <c r="BQ45" i="13"/>
  <c r="AN45" i="13"/>
  <c r="AT45" i="13"/>
  <c r="AZ45" i="13"/>
  <c r="BG45" i="13"/>
  <c r="BM45" i="13"/>
  <c r="BS45" i="13"/>
  <c r="AO46" i="13"/>
  <c r="AU46" i="13"/>
  <c r="BA46" i="13"/>
  <c r="BH46" i="13"/>
  <c r="BN46" i="13"/>
  <c r="BT46" i="13"/>
  <c r="AJ47" i="13"/>
  <c r="AP47" i="13"/>
  <c r="AV47" i="13"/>
  <c r="BB47" i="13"/>
  <c r="BI47" i="13"/>
  <c r="BO47" i="13"/>
  <c r="BU47" i="13"/>
  <c r="BJ47" i="13"/>
  <c r="BP47" i="13"/>
  <c r="BV47" i="13"/>
  <c r="AO45" i="13"/>
  <c r="AU45" i="13"/>
  <c r="BA45" i="13"/>
  <c r="BH45" i="13"/>
  <c r="BN45" i="13"/>
  <c r="BT45" i="13"/>
  <c r="AJ45" i="13"/>
  <c r="AP45" i="13"/>
  <c r="AV45" i="13"/>
  <c r="BI45" i="13"/>
  <c r="BO45" i="13"/>
  <c r="AK46" i="13"/>
  <c r="AQ46" i="13"/>
  <c r="BJ46" i="13"/>
  <c r="BP46" i="13"/>
  <c r="AL47" i="13"/>
  <c r="AR47" i="13"/>
  <c r="BE47" i="13"/>
  <c r="BK47" i="13"/>
  <c r="BQ47" i="13"/>
  <c r="B254" i="29"/>
  <c r="B253" i="29"/>
  <c r="B252" i="29"/>
  <c r="B251" i="29"/>
  <c r="B250" i="29"/>
  <c r="B249" i="29"/>
  <c r="B248" i="29"/>
  <c r="B247" i="29"/>
  <c r="B246" i="29"/>
  <c r="B245" i="29"/>
  <c r="B244" i="29"/>
  <c r="B243" i="29"/>
  <c r="B242" i="29"/>
  <c r="B241" i="29"/>
  <c r="B240" i="29"/>
  <c r="B239" i="29"/>
  <c r="B238" i="29"/>
  <c r="B237" i="29"/>
  <c r="B236" i="29"/>
  <c r="B235" i="29"/>
  <c r="B234" i="29"/>
  <c r="B233" i="29"/>
  <c r="B232" i="29"/>
  <c r="B231" i="29"/>
  <c r="B230" i="29"/>
  <c r="B229" i="29"/>
  <c r="B228" i="29"/>
  <c r="B227" i="29"/>
  <c r="B226" i="29"/>
  <c r="B225" i="29"/>
  <c r="B224" i="29"/>
  <c r="B223" i="29"/>
  <c r="B222" i="29"/>
  <c r="B221" i="29"/>
  <c r="B220" i="29"/>
  <c r="B219" i="29"/>
  <c r="AF45" i="13" l="1"/>
  <c r="AF99" i="13"/>
  <c r="AF46" i="13"/>
  <c r="AF47" i="13"/>
  <c r="I32" i="2"/>
  <c r="K32" i="2" s="1"/>
  <c r="M32" i="2" s="1"/>
  <c r="O32" i="2" s="1"/>
  <c r="Q32" i="2" s="1"/>
  <c r="I25" i="2"/>
  <c r="K25" i="2" s="1"/>
  <c r="M25" i="2" s="1"/>
  <c r="O25" i="2" s="1"/>
  <c r="Q25" i="2" s="1"/>
  <c r="I23" i="2"/>
  <c r="K23" i="2" s="1"/>
  <c r="M23" i="2" s="1"/>
  <c r="I22" i="2"/>
  <c r="K22" i="2" s="1"/>
  <c r="I21" i="2"/>
  <c r="K21" i="2" s="1"/>
  <c r="M21" i="2" s="1"/>
  <c r="O21" i="2" s="1"/>
  <c r="Q21" i="2" s="1"/>
  <c r="M22" i="2" l="1"/>
  <c r="O22" i="2" s="1"/>
  <c r="Q22" i="2" s="1"/>
  <c r="O23" i="2"/>
  <c r="G26" i="22"/>
  <c r="G27" i="22"/>
  <c r="Q23" i="2" l="1"/>
  <c r="B758" i="29"/>
  <c r="B757" i="29"/>
  <c r="B756" i="29"/>
  <c r="B755" i="29"/>
  <c r="B754" i="29"/>
  <c r="B753" i="29"/>
  <c r="B752" i="29"/>
  <c r="B751" i="29"/>
  <c r="B750" i="29"/>
  <c r="B749" i="29"/>
  <c r="B748" i="29"/>
  <c r="B747" i="29"/>
  <c r="B746" i="29"/>
  <c r="B745" i="29"/>
  <c r="B744" i="29"/>
  <c r="B743" i="29"/>
  <c r="B742" i="29"/>
  <c r="B741" i="29"/>
  <c r="B740" i="29"/>
  <c r="B739" i="29"/>
  <c r="B738" i="29"/>
  <c r="B737" i="29"/>
  <c r="B736" i="29"/>
  <c r="B735" i="29"/>
  <c r="B734" i="29"/>
  <c r="B733" i="29"/>
  <c r="B732" i="29"/>
  <c r="B731" i="29"/>
  <c r="B730" i="29"/>
  <c r="B729" i="29"/>
  <c r="B728" i="29"/>
  <c r="B727" i="29"/>
  <c r="B726" i="29"/>
  <c r="B725" i="29"/>
  <c r="B724" i="29"/>
  <c r="B723" i="29"/>
  <c r="B722" i="29"/>
  <c r="B721" i="29"/>
  <c r="B720" i="29"/>
  <c r="B719" i="29"/>
  <c r="B718" i="29"/>
  <c r="B717" i="29"/>
  <c r="B716" i="29"/>
  <c r="B715" i="29"/>
  <c r="B714" i="29"/>
  <c r="B713" i="29"/>
  <c r="B712" i="29"/>
  <c r="B711" i="29"/>
  <c r="B710" i="29"/>
  <c r="B709" i="29"/>
  <c r="B708" i="29"/>
  <c r="B707" i="29"/>
  <c r="B706" i="29"/>
  <c r="B705" i="29"/>
  <c r="B704" i="29"/>
  <c r="B703" i="29"/>
  <c r="B702" i="29"/>
  <c r="B701" i="29"/>
  <c r="B700" i="29"/>
  <c r="B699" i="29"/>
  <c r="B698" i="29"/>
  <c r="B697" i="29"/>
  <c r="B696" i="29"/>
  <c r="B695" i="29"/>
  <c r="B694" i="29"/>
  <c r="B693" i="29"/>
  <c r="B692" i="29"/>
  <c r="B691" i="29"/>
  <c r="B690" i="29"/>
  <c r="B689" i="29"/>
  <c r="B688" i="29"/>
  <c r="B687" i="29"/>
  <c r="B686" i="29"/>
  <c r="B685" i="29"/>
  <c r="B684" i="29"/>
  <c r="B683" i="29"/>
  <c r="B682" i="29"/>
  <c r="B681" i="29"/>
  <c r="B680" i="29"/>
  <c r="B679" i="29"/>
  <c r="B678" i="29"/>
  <c r="B677" i="29"/>
  <c r="B676" i="29"/>
  <c r="B675" i="29"/>
  <c r="B674" i="29"/>
  <c r="B673" i="29"/>
  <c r="B672" i="29"/>
  <c r="B671" i="29"/>
  <c r="B670" i="29"/>
  <c r="B669" i="29"/>
  <c r="B668" i="29"/>
  <c r="B667" i="29"/>
  <c r="B666" i="29"/>
  <c r="B665" i="29"/>
  <c r="B664" i="29"/>
  <c r="B663" i="29"/>
  <c r="B662" i="29"/>
  <c r="B661" i="29"/>
  <c r="B660" i="29"/>
  <c r="B659" i="29"/>
  <c r="B658" i="29"/>
  <c r="B657" i="29"/>
  <c r="B656" i="29"/>
  <c r="B655" i="29"/>
  <c r="B654" i="29"/>
  <c r="B653" i="29"/>
  <c r="B652" i="29"/>
  <c r="B651" i="29"/>
  <c r="B650" i="29"/>
  <c r="B649" i="29"/>
  <c r="B648" i="29"/>
  <c r="B647" i="29"/>
  <c r="B646" i="29"/>
  <c r="B645" i="29"/>
  <c r="B644" i="29"/>
  <c r="B643" i="29"/>
  <c r="B642" i="29"/>
  <c r="B641" i="29"/>
  <c r="B640" i="29"/>
  <c r="B639" i="29"/>
  <c r="B638" i="29"/>
  <c r="B637" i="29"/>
  <c r="B636" i="29"/>
  <c r="B635" i="29"/>
  <c r="B634" i="29"/>
  <c r="B633" i="29"/>
  <c r="B632" i="29"/>
  <c r="B631" i="29"/>
  <c r="B630" i="29"/>
  <c r="B629" i="29"/>
  <c r="B628" i="29"/>
  <c r="B627" i="29"/>
  <c r="B626" i="29"/>
  <c r="B625" i="29"/>
  <c r="B624" i="29"/>
  <c r="B623" i="29"/>
  <c r="B622" i="29"/>
  <c r="B621" i="29"/>
  <c r="B620" i="29"/>
  <c r="B619" i="29"/>
  <c r="B618" i="29"/>
  <c r="B617" i="29"/>
  <c r="B616" i="29"/>
  <c r="B615" i="29"/>
  <c r="B614" i="29"/>
  <c r="B613" i="29"/>
  <c r="B612" i="29"/>
  <c r="B611" i="29"/>
  <c r="B610" i="29"/>
  <c r="B609" i="29"/>
  <c r="B608" i="29"/>
  <c r="B607" i="29"/>
  <c r="B606" i="29"/>
  <c r="B605" i="29"/>
  <c r="B604" i="29"/>
  <c r="B603" i="29"/>
  <c r="B602" i="29"/>
  <c r="B601" i="29"/>
  <c r="B600" i="29"/>
  <c r="B599" i="29"/>
  <c r="B598" i="29"/>
  <c r="B597" i="29"/>
  <c r="B596" i="29"/>
  <c r="B595" i="29"/>
  <c r="B594" i="29"/>
  <c r="B593" i="29"/>
  <c r="B592" i="29"/>
  <c r="B591" i="29"/>
  <c r="B590" i="29"/>
  <c r="B589" i="29"/>
  <c r="B588" i="29"/>
  <c r="B587" i="29"/>
  <c r="B586" i="29"/>
  <c r="B585" i="29"/>
  <c r="B584" i="29"/>
  <c r="B583" i="29"/>
  <c r="B582" i="29"/>
  <c r="B581" i="29"/>
  <c r="B580" i="29"/>
  <c r="B579" i="29"/>
  <c r="B578" i="29"/>
  <c r="B577" i="29"/>
  <c r="B576" i="29"/>
  <c r="B575" i="29"/>
  <c r="B574" i="29"/>
  <c r="B573" i="29"/>
  <c r="B572" i="29"/>
  <c r="B571" i="29"/>
  <c r="B570" i="29"/>
  <c r="B569" i="29"/>
  <c r="B568" i="29"/>
  <c r="B567" i="29"/>
  <c r="B566" i="29"/>
  <c r="B565" i="29"/>
  <c r="B564" i="29"/>
  <c r="B563" i="29"/>
  <c r="B562" i="29"/>
  <c r="B561" i="29"/>
  <c r="B560" i="29"/>
  <c r="B559" i="29"/>
  <c r="B558" i="29"/>
  <c r="B557" i="29"/>
  <c r="B556" i="29"/>
  <c r="B555" i="29"/>
  <c r="B554" i="29"/>
  <c r="B553" i="29"/>
  <c r="B552" i="29"/>
  <c r="B551" i="29"/>
  <c r="B550" i="29"/>
  <c r="B549" i="29"/>
  <c r="B548" i="29"/>
  <c r="B547" i="29"/>
  <c r="B546" i="29"/>
  <c r="B545" i="29"/>
  <c r="B544" i="29"/>
  <c r="B543" i="29"/>
  <c r="B542" i="29"/>
  <c r="B541" i="29"/>
  <c r="B540" i="29"/>
  <c r="B539" i="29"/>
  <c r="B538" i="29"/>
  <c r="B537" i="29"/>
  <c r="B536" i="29"/>
  <c r="B535" i="29"/>
  <c r="B534" i="29"/>
  <c r="B533" i="29"/>
  <c r="B532" i="29"/>
  <c r="B531" i="29"/>
  <c r="B530" i="29"/>
  <c r="B529" i="29"/>
  <c r="B528" i="29"/>
  <c r="B527" i="29"/>
  <c r="B526" i="29"/>
  <c r="B525" i="29"/>
  <c r="B524" i="29"/>
  <c r="B523" i="29"/>
  <c r="B522" i="29"/>
  <c r="B521" i="29"/>
  <c r="B520" i="29"/>
  <c r="B519" i="29"/>
  <c r="B518" i="29"/>
  <c r="B517" i="29"/>
  <c r="B516" i="29"/>
  <c r="B515" i="29"/>
  <c r="B514" i="29"/>
  <c r="B513" i="29"/>
  <c r="B512" i="29"/>
  <c r="B511" i="29"/>
  <c r="B510" i="29"/>
  <c r="B509" i="29"/>
  <c r="B508" i="29"/>
  <c r="B507" i="29"/>
  <c r="B506" i="29"/>
  <c r="B505" i="29"/>
  <c r="B504" i="29"/>
  <c r="B503" i="29"/>
  <c r="B502" i="29"/>
  <c r="B501" i="29"/>
  <c r="B500" i="29"/>
  <c r="B499" i="29"/>
  <c r="B498" i="29"/>
  <c r="B497" i="29"/>
  <c r="B496" i="29"/>
  <c r="B495" i="29"/>
  <c r="B494" i="29"/>
  <c r="B493" i="29"/>
  <c r="B492" i="29"/>
  <c r="B491" i="29"/>
  <c r="B490" i="29"/>
  <c r="B489" i="29"/>
  <c r="B488" i="29"/>
  <c r="B487" i="29"/>
  <c r="B486" i="29"/>
  <c r="B485" i="29"/>
  <c r="B484" i="29"/>
  <c r="B483" i="29"/>
  <c r="B482" i="29"/>
  <c r="B481" i="29"/>
  <c r="B480" i="29"/>
  <c r="B479" i="29"/>
  <c r="B478" i="29"/>
  <c r="B477" i="29"/>
  <c r="B476" i="29"/>
  <c r="B475" i="29"/>
  <c r="B474" i="29"/>
  <c r="B473" i="29"/>
  <c r="B472" i="29"/>
  <c r="B471" i="29"/>
  <c r="B470" i="29"/>
  <c r="B469" i="29"/>
  <c r="B468" i="29"/>
  <c r="B467" i="29"/>
  <c r="B466" i="29"/>
  <c r="B465" i="29"/>
  <c r="B464" i="29"/>
  <c r="B463" i="29"/>
  <c r="B462" i="29"/>
  <c r="B461" i="29"/>
  <c r="B460" i="29"/>
  <c r="B459" i="29"/>
  <c r="B458" i="29"/>
  <c r="B457" i="29"/>
  <c r="B456" i="29"/>
  <c r="B455" i="29"/>
  <c r="B454" i="29"/>
  <c r="B453" i="29"/>
  <c r="B452" i="29"/>
  <c r="B451" i="29"/>
  <c r="B450" i="29"/>
  <c r="B449" i="29"/>
  <c r="B448" i="29"/>
  <c r="B447" i="29"/>
  <c r="B446" i="29"/>
  <c r="B445" i="29"/>
  <c r="B444" i="29"/>
  <c r="B443" i="29"/>
  <c r="B442" i="29"/>
  <c r="B441" i="29"/>
  <c r="B440" i="29"/>
  <c r="B439" i="29"/>
  <c r="B438" i="29"/>
  <c r="B437" i="29"/>
  <c r="B436" i="29"/>
  <c r="B435" i="29"/>
  <c r="B434" i="29"/>
  <c r="B433" i="29"/>
  <c r="B432" i="29"/>
  <c r="B431" i="29"/>
  <c r="B430" i="29"/>
  <c r="B429" i="29"/>
  <c r="B428" i="29"/>
  <c r="B427" i="29"/>
  <c r="B426" i="29"/>
  <c r="B425" i="29"/>
  <c r="B424" i="29"/>
  <c r="B423" i="29"/>
  <c r="B422" i="29"/>
  <c r="B421" i="29"/>
  <c r="B420" i="29"/>
  <c r="B419" i="29"/>
  <c r="B418" i="29"/>
  <c r="B417" i="29"/>
  <c r="B416" i="29"/>
  <c r="B415" i="29"/>
  <c r="B414" i="29"/>
  <c r="B413" i="29"/>
  <c r="B412" i="29"/>
  <c r="B411" i="29"/>
  <c r="B410" i="29"/>
  <c r="B409" i="29"/>
  <c r="B408" i="29"/>
  <c r="B407" i="29"/>
  <c r="B406" i="29"/>
  <c r="B405" i="29"/>
  <c r="B404" i="29"/>
  <c r="B403" i="29"/>
  <c r="B402" i="29"/>
  <c r="B401" i="29"/>
  <c r="B400" i="29"/>
  <c r="B399" i="29"/>
  <c r="B398" i="29"/>
  <c r="B397" i="29"/>
  <c r="B396" i="29"/>
  <c r="B395" i="29"/>
  <c r="B394" i="29"/>
  <c r="B393" i="29"/>
  <c r="B392" i="29"/>
  <c r="B391" i="29"/>
  <c r="B390" i="29"/>
  <c r="B389" i="29"/>
  <c r="B388" i="29"/>
  <c r="B387" i="29"/>
  <c r="B386" i="29"/>
  <c r="B385" i="29"/>
  <c r="B384" i="29"/>
  <c r="B383" i="29"/>
  <c r="B382" i="29"/>
  <c r="B381" i="29"/>
  <c r="B380" i="29"/>
  <c r="B379" i="29"/>
  <c r="B378" i="29"/>
  <c r="B377" i="29"/>
  <c r="B376" i="29"/>
  <c r="B375" i="29"/>
  <c r="B374" i="29"/>
  <c r="B373" i="29"/>
  <c r="B372" i="29"/>
  <c r="B371" i="29"/>
  <c r="B370" i="29"/>
  <c r="B369" i="29"/>
  <c r="B368" i="29"/>
  <c r="B367" i="29"/>
  <c r="B366" i="29"/>
  <c r="B365" i="29"/>
  <c r="B364" i="29"/>
  <c r="B363" i="29"/>
  <c r="B362" i="29"/>
  <c r="B361" i="29"/>
  <c r="B360" i="29"/>
  <c r="B359" i="29"/>
  <c r="B358" i="29"/>
  <c r="B357" i="29"/>
  <c r="B356" i="29"/>
  <c r="B355" i="29"/>
  <c r="B354" i="29"/>
  <c r="B353" i="29"/>
  <c r="B352" i="29"/>
  <c r="B351" i="29"/>
  <c r="B350" i="29"/>
  <c r="B349" i="29"/>
  <c r="B348" i="29"/>
  <c r="B347" i="29"/>
  <c r="B346" i="29"/>
  <c r="B345" i="29"/>
  <c r="B344" i="29"/>
  <c r="B343" i="29"/>
  <c r="B342" i="29"/>
  <c r="B341" i="29"/>
  <c r="B340" i="29"/>
  <c r="B339" i="29"/>
  <c r="B338" i="29"/>
  <c r="B337" i="29"/>
  <c r="B336" i="29"/>
  <c r="B335" i="29"/>
  <c r="B334" i="29"/>
  <c r="B333" i="29"/>
  <c r="B332" i="29"/>
  <c r="B331" i="29"/>
  <c r="B330" i="29"/>
  <c r="B329" i="29"/>
  <c r="B328" i="29"/>
  <c r="B327" i="29"/>
  <c r="B326" i="29"/>
  <c r="B325" i="29"/>
  <c r="B324" i="29"/>
  <c r="B323" i="29"/>
  <c r="B322" i="29"/>
  <c r="B321" i="29"/>
  <c r="B320" i="29"/>
  <c r="B319" i="29"/>
  <c r="B318" i="29"/>
  <c r="B317" i="29"/>
  <c r="B316" i="29"/>
  <c r="B315" i="29"/>
  <c r="B314" i="29"/>
  <c r="B313" i="29"/>
  <c r="B312" i="29"/>
  <c r="B311" i="29"/>
  <c r="B310" i="29"/>
  <c r="B309" i="29"/>
  <c r="B308" i="29"/>
  <c r="B307" i="29"/>
  <c r="B306" i="29"/>
  <c r="B305" i="29"/>
  <c r="B304" i="29"/>
  <c r="B303" i="29"/>
  <c r="B302" i="29"/>
  <c r="B301" i="29"/>
  <c r="B300" i="29"/>
  <c r="B299" i="29"/>
  <c r="B298" i="29"/>
  <c r="B297" i="29"/>
  <c r="B296" i="29"/>
  <c r="B295" i="29"/>
  <c r="B294" i="29"/>
  <c r="B293" i="29"/>
  <c r="B292" i="29"/>
  <c r="B291" i="29"/>
  <c r="B290" i="29"/>
  <c r="B289" i="29"/>
  <c r="B288" i="29"/>
  <c r="B287" i="29"/>
  <c r="B286" i="29"/>
  <c r="B285" i="29"/>
  <c r="B284" i="29"/>
  <c r="B283" i="29"/>
  <c r="B282" i="29"/>
  <c r="B281" i="29"/>
  <c r="B280" i="29"/>
  <c r="B279" i="29"/>
  <c r="B278" i="29"/>
  <c r="B277" i="29"/>
  <c r="B276" i="29"/>
  <c r="B275" i="29"/>
  <c r="B274" i="29"/>
  <c r="B273" i="29"/>
  <c r="B272" i="29"/>
  <c r="B271" i="29"/>
  <c r="B270" i="29"/>
  <c r="B269" i="29"/>
  <c r="B268" i="29"/>
  <c r="B267" i="29"/>
  <c r="B266" i="29"/>
  <c r="B265" i="29"/>
  <c r="B264" i="29"/>
  <c r="B263" i="29"/>
  <c r="B262" i="29"/>
  <c r="B261" i="29"/>
  <c r="B260" i="29"/>
  <c r="B259" i="29"/>
  <c r="B258" i="29"/>
  <c r="B257" i="29"/>
  <c r="B256" i="29"/>
  <c r="B255" i="29"/>
  <c r="B218" i="29"/>
  <c r="B217" i="29"/>
  <c r="B216" i="29"/>
  <c r="B215" i="29"/>
  <c r="B214" i="29"/>
  <c r="B213" i="29"/>
  <c r="B212" i="29"/>
  <c r="B211" i="29"/>
  <c r="B210" i="29"/>
  <c r="B209" i="29"/>
  <c r="B208" i="29"/>
  <c r="B207" i="29"/>
  <c r="B206" i="29"/>
  <c r="B205" i="29"/>
  <c r="B204" i="29"/>
  <c r="B203" i="29"/>
  <c r="B202" i="29"/>
  <c r="B201" i="29"/>
  <c r="B200" i="29"/>
  <c r="B199" i="29"/>
  <c r="B198" i="29"/>
  <c r="B197" i="29"/>
  <c r="B196" i="29"/>
  <c r="B195" i="29"/>
  <c r="B194" i="29"/>
  <c r="B193" i="29"/>
  <c r="B192" i="29"/>
  <c r="B191" i="29"/>
  <c r="B190" i="29"/>
  <c r="B189" i="29"/>
  <c r="B188" i="29"/>
  <c r="B187" i="29"/>
  <c r="B186" i="29"/>
  <c r="B185" i="29"/>
  <c r="B184" i="29"/>
  <c r="B183" i="29"/>
  <c r="B182" i="29"/>
  <c r="B181" i="29"/>
  <c r="B180" i="29"/>
  <c r="B179" i="29"/>
  <c r="B178" i="29"/>
  <c r="B177" i="29"/>
  <c r="B176" i="29"/>
  <c r="B175" i="29"/>
  <c r="B174" i="29"/>
  <c r="B173" i="29"/>
  <c r="B172" i="29"/>
  <c r="B171" i="29"/>
  <c r="B170" i="29"/>
  <c r="B169" i="29"/>
  <c r="B168" i="29"/>
  <c r="B167" i="29"/>
  <c r="B166" i="29"/>
  <c r="B165" i="29"/>
  <c r="B164" i="29"/>
  <c r="B163" i="29"/>
  <c r="B162" i="29"/>
  <c r="B161" i="29"/>
  <c r="B160" i="29"/>
  <c r="B159" i="29"/>
  <c r="B158" i="29"/>
  <c r="B157" i="29"/>
  <c r="B156" i="29"/>
  <c r="B155" i="29"/>
  <c r="B154" i="29"/>
  <c r="B153" i="29"/>
  <c r="B152" i="29"/>
  <c r="B151" i="29"/>
  <c r="B150" i="29"/>
  <c r="B149" i="29"/>
  <c r="B148" i="29"/>
  <c r="B147" i="29"/>
  <c r="B146" i="29"/>
  <c r="B145" i="29"/>
  <c r="B144" i="29"/>
  <c r="B143" i="29"/>
  <c r="B142" i="29"/>
  <c r="B141" i="29"/>
  <c r="B140" i="29"/>
  <c r="B139" i="29"/>
  <c r="B138" i="29"/>
  <c r="B137" i="29"/>
  <c r="B136" i="29"/>
  <c r="B135" i="29"/>
  <c r="B134" i="29"/>
  <c r="B133" i="29"/>
  <c r="B132" i="29"/>
  <c r="B131" i="29"/>
  <c r="B130" i="29"/>
  <c r="B129" i="29"/>
  <c r="B128" i="29"/>
  <c r="B127" i="29"/>
  <c r="B126" i="29"/>
  <c r="B125" i="29"/>
  <c r="B124" i="29"/>
  <c r="B123" i="29"/>
  <c r="B122" i="29"/>
  <c r="B121" i="29"/>
  <c r="B120" i="29"/>
  <c r="B119" i="29"/>
  <c r="B118" i="29"/>
  <c r="B117" i="29"/>
  <c r="B116" i="29"/>
  <c r="B115" i="29"/>
  <c r="B114" i="29"/>
  <c r="B113" i="29"/>
  <c r="B112" i="29"/>
  <c r="B111" i="29"/>
  <c r="B110" i="29"/>
  <c r="B109" i="29"/>
  <c r="B108" i="29"/>
  <c r="B107" i="29"/>
  <c r="B106" i="29"/>
  <c r="B105" i="29"/>
  <c r="B104" i="29"/>
  <c r="B103" i="29"/>
  <c r="B102" i="29"/>
  <c r="B101" i="29"/>
  <c r="B100" i="29"/>
  <c r="B99" i="29"/>
  <c r="B98" i="29"/>
  <c r="B97" i="29"/>
  <c r="B96" i="29"/>
  <c r="B95" i="29"/>
  <c r="B94" i="29"/>
  <c r="B93" i="29"/>
  <c r="B92" i="29"/>
  <c r="B91" i="29"/>
  <c r="B90" i="29"/>
  <c r="B89" i="29"/>
  <c r="B88" i="29"/>
  <c r="B87" i="29"/>
  <c r="B86" i="29"/>
  <c r="B85" i="29"/>
  <c r="B84" i="29"/>
  <c r="B83" i="29"/>
  <c r="B82" i="29"/>
  <c r="B81" i="29"/>
  <c r="B80" i="29"/>
  <c r="B79" i="29"/>
  <c r="B78" i="29"/>
  <c r="B77" i="29"/>
  <c r="B76" i="29"/>
  <c r="B75" i="29"/>
  <c r="B74" i="29"/>
  <c r="B73" i="29"/>
  <c r="B72" i="29"/>
  <c r="B71" i="29"/>
  <c r="B70" i="29"/>
  <c r="B69" i="29"/>
  <c r="B68" i="29"/>
  <c r="B67" i="29"/>
  <c r="B66" i="29"/>
  <c r="B65" i="29"/>
  <c r="B64" i="29"/>
  <c r="B63" i="29"/>
  <c r="B62" i="29"/>
  <c r="B61" i="29"/>
  <c r="B60" i="29"/>
  <c r="B59" i="29"/>
  <c r="B58" i="29"/>
  <c r="B57" i="29"/>
  <c r="B56" i="29"/>
  <c r="B55" i="29"/>
  <c r="B54" i="29"/>
  <c r="B53" i="29"/>
  <c r="B52" i="29"/>
  <c r="B51" i="29"/>
  <c r="B50" i="29"/>
  <c r="B49" i="29"/>
  <c r="B48" i="29"/>
  <c r="B47" i="29"/>
  <c r="B46" i="29"/>
  <c r="B45" i="29"/>
  <c r="B44" i="29"/>
  <c r="B43" i="29"/>
  <c r="B42" i="29"/>
  <c r="B41" i="29"/>
  <c r="B40" i="29"/>
  <c r="B39" i="29"/>
  <c r="B38" i="29"/>
  <c r="B37" i="29"/>
  <c r="B36" i="29"/>
  <c r="B35" i="29"/>
  <c r="B34" i="29"/>
  <c r="B33" i="29"/>
  <c r="B32" i="29"/>
  <c r="B31" i="29"/>
  <c r="B30" i="29"/>
  <c r="B29" i="29"/>
  <c r="B28" i="29"/>
  <c r="B27" i="29"/>
  <c r="B26" i="29"/>
  <c r="B25" i="29"/>
  <c r="B24" i="29"/>
  <c r="B23" i="29"/>
  <c r="B22" i="29"/>
  <c r="B21" i="29"/>
  <c r="B20" i="29"/>
  <c r="B19" i="29"/>
  <c r="B18" i="29"/>
  <c r="B17" i="29"/>
  <c r="B16" i="29"/>
  <c r="B15" i="29"/>
  <c r="B14" i="29"/>
  <c r="B13" i="29"/>
  <c r="B12" i="29"/>
  <c r="B11" i="29"/>
  <c r="B10" i="29"/>
  <c r="B9" i="29"/>
  <c r="B8" i="29"/>
  <c r="B7" i="29"/>
  <c r="B6" i="29"/>
  <c r="B5" i="29"/>
  <c r="B4" i="29"/>
  <c r="B3" i="29"/>
  <c r="BD48" i="13" l="1"/>
  <c r="BD49" i="13"/>
  <c r="BD50" i="13"/>
  <c r="BD51" i="13"/>
  <c r="BD52" i="13"/>
  <c r="BD53" i="13"/>
  <c r="BD54" i="13"/>
  <c r="BD55" i="13"/>
  <c r="BD56" i="13"/>
  <c r="BD57" i="13"/>
  <c r="BD58" i="13"/>
  <c r="BD59" i="13"/>
  <c r="BD60" i="13"/>
  <c r="BD61" i="13"/>
  <c r="BD62" i="13"/>
  <c r="BD63" i="13"/>
  <c r="BD64" i="13"/>
  <c r="BD65" i="13"/>
  <c r="BD66" i="13"/>
  <c r="BD67" i="13"/>
  <c r="BD68" i="13"/>
  <c r="BD69" i="13"/>
  <c r="BD70" i="13"/>
  <c r="BD71" i="13"/>
  <c r="BD72" i="13"/>
  <c r="BD73" i="13"/>
  <c r="BD74" i="13"/>
  <c r="BD75" i="13"/>
  <c r="BD76" i="13"/>
  <c r="BD77" i="13"/>
  <c r="BD78" i="13"/>
  <c r="BD79" i="13"/>
  <c r="BD80" i="13"/>
  <c r="BD81" i="13"/>
  <c r="BD82" i="13"/>
  <c r="BD83" i="13"/>
  <c r="BD84" i="13"/>
  <c r="BD85" i="13"/>
  <c r="BD86" i="13"/>
  <c r="BD87" i="13"/>
  <c r="BD88" i="13"/>
  <c r="BD89" i="13"/>
  <c r="BD90" i="13"/>
  <c r="BD91" i="13"/>
  <c r="BD92" i="13"/>
  <c r="BD93" i="13"/>
  <c r="BD94" i="13"/>
  <c r="BD95" i="13"/>
  <c r="BD96" i="13"/>
  <c r="BD97" i="13"/>
  <c r="BD98" i="13"/>
  <c r="BD100" i="13"/>
  <c r="BD101" i="13"/>
  <c r="BD102" i="13"/>
  <c r="BD103" i="13"/>
  <c r="BD104" i="13"/>
  <c r="BD105" i="13"/>
  <c r="BD106" i="13"/>
  <c r="BD108" i="13"/>
  <c r="BD109" i="13"/>
  <c r="BD110" i="13"/>
  <c r="BD111" i="13"/>
  <c r="BD113" i="13"/>
  <c r="BD114" i="13"/>
  <c r="BD115" i="13"/>
  <c r="BD116" i="13"/>
  <c r="BD117" i="13"/>
  <c r="BD118" i="13"/>
  <c r="BD119" i="13"/>
  <c r="BD120" i="13"/>
  <c r="BD121" i="13"/>
  <c r="BD122" i="13"/>
  <c r="BD123" i="13"/>
  <c r="BD124" i="13"/>
  <c r="BD125" i="13"/>
  <c r="BD126" i="13"/>
  <c r="AI48" i="13"/>
  <c r="AI49" i="13"/>
  <c r="AI50" i="13"/>
  <c r="AI51" i="13"/>
  <c r="AI52" i="13"/>
  <c r="AI53" i="13"/>
  <c r="AI54" i="13"/>
  <c r="AI55" i="13"/>
  <c r="AI56" i="13"/>
  <c r="AI57" i="13"/>
  <c r="AI58" i="13"/>
  <c r="AI59" i="13"/>
  <c r="AI60" i="13"/>
  <c r="AI61" i="13"/>
  <c r="AI62" i="13"/>
  <c r="AI63" i="13"/>
  <c r="AI64" i="13"/>
  <c r="AI65" i="13"/>
  <c r="AI66" i="13"/>
  <c r="AI67" i="13"/>
  <c r="AI68" i="13"/>
  <c r="AI69" i="13"/>
  <c r="AI70" i="13"/>
  <c r="AI71" i="13"/>
  <c r="AI72" i="13"/>
  <c r="AI73" i="13"/>
  <c r="AI74" i="13"/>
  <c r="AI75" i="13"/>
  <c r="AI76" i="13"/>
  <c r="AI77" i="13"/>
  <c r="AI78" i="13"/>
  <c r="AI79" i="13"/>
  <c r="AI80" i="13"/>
  <c r="AI81" i="13"/>
  <c r="AI82" i="13"/>
  <c r="AI83" i="13"/>
  <c r="AI84" i="13"/>
  <c r="AI85" i="13"/>
  <c r="AI86" i="13"/>
  <c r="AI87" i="13"/>
  <c r="AI88" i="13"/>
  <c r="AI89" i="13"/>
  <c r="AI90" i="13"/>
  <c r="AI91" i="13"/>
  <c r="AI92" i="13"/>
  <c r="AI93" i="13"/>
  <c r="AI94" i="13"/>
  <c r="AI95" i="13"/>
  <c r="AI96" i="13"/>
  <c r="AI97" i="13"/>
  <c r="AI98" i="13"/>
  <c r="AI100" i="13"/>
  <c r="AI101" i="13"/>
  <c r="AI102" i="13"/>
  <c r="AI103" i="13"/>
  <c r="AI104" i="13"/>
  <c r="AI105" i="13"/>
  <c r="AI106" i="13"/>
  <c r="AI108" i="13"/>
  <c r="AI109" i="13"/>
  <c r="AI110" i="13"/>
  <c r="AI111" i="13"/>
  <c r="AI113" i="13"/>
  <c r="AI114" i="13"/>
  <c r="AI115" i="13"/>
  <c r="AI116" i="13"/>
  <c r="AI117" i="13"/>
  <c r="AI118" i="13"/>
  <c r="AI119" i="13"/>
  <c r="AI120" i="13"/>
  <c r="AI121" i="13"/>
  <c r="AI122" i="13"/>
  <c r="AI123" i="13"/>
  <c r="AI124" i="13"/>
  <c r="AI125" i="13"/>
  <c r="AI126" i="13"/>
  <c r="Z48" i="13"/>
  <c r="Z49" i="13"/>
  <c r="Z50" i="13"/>
  <c r="Z51" i="13"/>
  <c r="Z52" i="13"/>
  <c r="Z53" i="13"/>
  <c r="Z54" i="13"/>
  <c r="Z55" i="13"/>
  <c r="Z56" i="13"/>
  <c r="Z57" i="13"/>
  <c r="Z58" i="13"/>
  <c r="Z59" i="13"/>
  <c r="Z60" i="13"/>
  <c r="Z61" i="13"/>
  <c r="Z62" i="13"/>
  <c r="Z63" i="13"/>
  <c r="Z64" i="13"/>
  <c r="Z65" i="13"/>
  <c r="Z66" i="13"/>
  <c r="Z67" i="13"/>
  <c r="Z68" i="13"/>
  <c r="Z69" i="13"/>
  <c r="Z70" i="13"/>
  <c r="Z71" i="13"/>
  <c r="Z72" i="13"/>
  <c r="Z73" i="13"/>
  <c r="Z74" i="13"/>
  <c r="Z75" i="13"/>
  <c r="Z76" i="13"/>
  <c r="Z77" i="13"/>
  <c r="Z78" i="13"/>
  <c r="Z79" i="13"/>
  <c r="Z80" i="13"/>
  <c r="Z81" i="13"/>
  <c r="Z82" i="13"/>
  <c r="Z83" i="13"/>
  <c r="Z84" i="13"/>
  <c r="Z85" i="13"/>
  <c r="Z86" i="13"/>
  <c r="Z87" i="13"/>
  <c r="Z88" i="13"/>
  <c r="Z89" i="13"/>
  <c r="Z90" i="13"/>
  <c r="Z91" i="13"/>
  <c r="Z92" i="13"/>
  <c r="Z93" i="13"/>
  <c r="Z94" i="13"/>
  <c r="Z95" i="13"/>
  <c r="Z96" i="13"/>
  <c r="Z97" i="13"/>
  <c r="Z98" i="13"/>
  <c r="Z100" i="13"/>
  <c r="Z101" i="13"/>
  <c r="Z102" i="13"/>
  <c r="Z103" i="13"/>
  <c r="Z104" i="13"/>
  <c r="Z105" i="13"/>
  <c r="AB105" i="13" s="1"/>
  <c r="Z106" i="13"/>
  <c r="Z108" i="13"/>
  <c r="Z109" i="13"/>
  <c r="Z110" i="13"/>
  <c r="Z111" i="13"/>
  <c r="Z113" i="13"/>
  <c r="Z114" i="13"/>
  <c r="Z115" i="13"/>
  <c r="Z116" i="13"/>
  <c r="Z117" i="13"/>
  <c r="Z118" i="13"/>
  <c r="Z119" i="13"/>
  <c r="Z120" i="13"/>
  <c r="Z121" i="13"/>
  <c r="Z122" i="13"/>
  <c r="Z123" i="13"/>
  <c r="Z124" i="13"/>
  <c r="Z125" i="13"/>
  <c r="Z126" i="13"/>
  <c r="G29" i="22"/>
  <c r="B29" i="22"/>
  <c r="D29" i="22"/>
  <c r="F23" i="25"/>
  <c r="F24" i="25"/>
  <c r="F25" i="25"/>
  <c r="F26" i="25"/>
  <c r="F27" i="25"/>
  <c r="F29" i="25"/>
  <c r="BB125" i="13" l="1"/>
  <c r="AZ125" i="13"/>
  <c r="BA125" i="13"/>
  <c r="AW125" i="13"/>
  <c r="AU125" i="13"/>
  <c r="AY125" i="13"/>
  <c r="AX125" i="13"/>
  <c r="AV125" i="13"/>
  <c r="AT125" i="13"/>
  <c r="AS125" i="13"/>
  <c r="AR125" i="13"/>
  <c r="AP125" i="13"/>
  <c r="AN125" i="13"/>
  <c r="AQ125" i="13"/>
  <c r="AO125" i="13"/>
  <c r="AL125" i="13"/>
  <c r="AK125" i="13"/>
  <c r="AJ125" i="13"/>
  <c r="AM125" i="13"/>
  <c r="AZ119" i="13"/>
  <c r="AY119" i="13"/>
  <c r="BB119" i="13"/>
  <c r="AW119" i="13"/>
  <c r="AU119" i="13"/>
  <c r="BA119" i="13"/>
  <c r="AX119" i="13"/>
  <c r="AV119" i="13"/>
  <c r="AT119" i="13"/>
  <c r="AS119" i="13"/>
  <c r="AR119" i="13"/>
  <c r="AP119" i="13"/>
  <c r="AN119" i="13"/>
  <c r="AO119" i="13"/>
  <c r="AM119" i="13"/>
  <c r="AL119" i="13"/>
  <c r="AQ119" i="13"/>
  <c r="AJ119" i="13"/>
  <c r="AK119" i="13"/>
  <c r="BB113" i="13"/>
  <c r="AZ113" i="13"/>
  <c r="AW113" i="13"/>
  <c r="AU113" i="13"/>
  <c r="AY113" i="13"/>
  <c r="BA113" i="13"/>
  <c r="AX113" i="13"/>
  <c r="AV113" i="13"/>
  <c r="AT113" i="13"/>
  <c r="AS113" i="13"/>
  <c r="AR113" i="13"/>
  <c r="AP113" i="13"/>
  <c r="AN113" i="13"/>
  <c r="AQ113" i="13"/>
  <c r="AO113" i="13"/>
  <c r="AM113" i="13"/>
  <c r="AL113" i="13"/>
  <c r="AJ113" i="13"/>
  <c r="AK113" i="13"/>
  <c r="BB105" i="13"/>
  <c r="AZ105" i="13"/>
  <c r="BA105" i="13"/>
  <c r="AW105" i="13"/>
  <c r="AU105" i="13"/>
  <c r="AY105" i="13"/>
  <c r="AX105" i="13"/>
  <c r="AV105" i="13"/>
  <c r="AT105" i="13"/>
  <c r="AS105" i="13"/>
  <c r="AR105" i="13"/>
  <c r="AP105" i="13"/>
  <c r="AN105" i="13"/>
  <c r="AO105" i="13"/>
  <c r="AL105" i="13"/>
  <c r="AQ105" i="13"/>
  <c r="AM105" i="13"/>
  <c r="AK105" i="13"/>
  <c r="AJ105" i="13"/>
  <c r="AZ98" i="13"/>
  <c r="AY98" i="13"/>
  <c r="BB98" i="13"/>
  <c r="AW98" i="13"/>
  <c r="AU98" i="13"/>
  <c r="BA98" i="13"/>
  <c r="AX98" i="13"/>
  <c r="AV98" i="13"/>
  <c r="AT98" i="13"/>
  <c r="AS98" i="13"/>
  <c r="AR98" i="13"/>
  <c r="AP98" i="13"/>
  <c r="AN98" i="13"/>
  <c r="AQ98" i="13"/>
  <c r="AO98" i="13"/>
  <c r="AM98" i="13"/>
  <c r="AJ98" i="13"/>
  <c r="AL98" i="13"/>
  <c r="AK98" i="13"/>
  <c r="BB92" i="13"/>
  <c r="AZ92" i="13"/>
  <c r="AW92" i="13"/>
  <c r="AU92" i="13"/>
  <c r="AY92" i="13"/>
  <c r="BA92" i="13"/>
  <c r="AX92" i="13"/>
  <c r="AV92" i="13"/>
  <c r="AT92" i="13"/>
  <c r="AS92" i="13"/>
  <c r="AR92" i="13"/>
  <c r="AP92" i="13"/>
  <c r="AN92" i="13"/>
  <c r="AO92" i="13"/>
  <c r="AM92" i="13"/>
  <c r="AL92" i="13"/>
  <c r="AJ92" i="13"/>
  <c r="AK92" i="13"/>
  <c r="AQ92" i="13"/>
  <c r="BB86" i="13"/>
  <c r="AZ86" i="13"/>
  <c r="BA86" i="13"/>
  <c r="AW86" i="13"/>
  <c r="AU86" i="13"/>
  <c r="AY86" i="13"/>
  <c r="AX86" i="13"/>
  <c r="AV86" i="13"/>
  <c r="AT86" i="13"/>
  <c r="AS86" i="13"/>
  <c r="AR86" i="13"/>
  <c r="AP86" i="13"/>
  <c r="AN86" i="13"/>
  <c r="AQ86" i="13"/>
  <c r="AO86" i="13"/>
  <c r="AL86" i="13"/>
  <c r="AK86" i="13"/>
  <c r="AJ86" i="13"/>
  <c r="AM86" i="13"/>
  <c r="AZ80" i="13"/>
  <c r="AY80" i="13"/>
  <c r="BB80" i="13"/>
  <c r="AW80" i="13"/>
  <c r="AU80" i="13"/>
  <c r="BA80" i="13"/>
  <c r="AX80" i="13"/>
  <c r="AV80" i="13"/>
  <c r="AT80" i="13"/>
  <c r="AS80" i="13"/>
  <c r="AR80" i="13"/>
  <c r="AP80" i="13"/>
  <c r="AN80" i="13"/>
  <c r="AO80" i="13"/>
  <c r="AM80" i="13"/>
  <c r="AJ80" i="13"/>
  <c r="AQ80" i="13"/>
  <c r="AL80" i="13"/>
  <c r="AK80" i="13"/>
  <c r="BB74" i="13"/>
  <c r="AZ74" i="13"/>
  <c r="AW74" i="13"/>
  <c r="AU74" i="13"/>
  <c r="AY74" i="13"/>
  <c r="BA74" i="13"/>
  <c r="AX74" i="13"/>
  <c r="AV74" i="13"/>
  <c r="AT74" i="13"/>
  <c r="AS74" i="13"/>
  <c r="AR74" i="13"/>
  <c r="AP74" i="13"/>
  <c r="AN74" i="13"/>
  <c r="AQ74" i="13"/>
  <c r="AO74" i="13"/>
  <c r="AM74" i="13"/>
  <c r="AL74" i="13"/>
  <c r="AJ74" i="13"/>
  <c r="AK74" i="13"/>
  <c r="BB68" i="13"/>
  <c r="AZ68" i="13"/>
  <c r="BA68" i="13"/>
  <c r="AW68" i="13"/>
  <c r="AU68" i="13"/>
  <c r="AY68" i="13"/>
  <c r="AX68" i="13"/>
  <c r="AV68" i="13"/>
  <c r="AT68" i="13"/>
  <c r="AS68" i="13"/>
  <c r="AR68" i="13"/>
  <c r="AP68" i="13"/>
  <c r="AN68" i="13"/>
  <c r="AO68" i="13"/>
  <c r="AL68" i="13"/>
  <c r="AK68" i="13"/>
  <c r="AJ68" i="13"/>
  <c r="AQ68" i="13"/>
  <c r="AM68" i="13"/>
  <c r="AZ62" i="13"/>
  <c r="AY62" i="13"/>
  <c r="BB62" i="13"/>
  <c r="AW62" i="13"/>
  <c r="AU62" i="13"/>
  <c r="BA62" i="13"/>
  <c r="AX62" i="13"/>
  <c r="AV62" i="13"/>
  <c r="AT62" i="13"/>
  <c r="AS62" i="13"/>
  <c r="AR62" i="13"/>
  <c r="AP62" i="13"/>
  <c r="AN62" i="13"/>
  <c r="AQ62" i="13"/>
  <c r="AO62" i="13"/>
  <c r="AM62" i="13"/>
  <c r="AL62" i="13"/>
  <c r="AJ62" i="13"/>
  <c r="AK62" i="13"/>
  <c r="BB56" i="13"/>
  <c r="AZ56" i="13"/>
  <c r="AW56" i="13"/>
  <c r="AU56" i="13"/>
  <c r="AY56" i="13"/>
  <c r="BA56" i="13"/>
  <c r="AX56" i="13"/>
  <c r="AV56" i="13"/>
  <c r="AT56" i="13"/>
  <c r="AS56" i="13"/>
  <c r="AR56" i="13"/>
  <c r="AP56" i="13"/>
  <c r="AN56" i="13"/>
  <c r="AO56" i="13"/>
  <c r="AM56" i="13"/>
  <c r="AL56" i="13"/>
  <c r="AJ56" i="13"/>
  <c r="AQ56" i="13"/>
  <c r="AK56" i="13"/>
  <c r="BB50" i="13"/>
  <c r="AZ50" i="13"/>
  <c r="BA50" i="13"/>
  <c r="AW50" i="13"/>
  <c r="AU50" i="13"/>
  <c r="AY50" i="13"/>
  <c r="AX50" i="13"/>
  <c r="AV50" i="13"/>
  <c r="AT50" i="13"/>
  <c r="AS50" i="13"/>
  <c r="AR50" i="13"/>
  <c r="AP50" i="13"/>
  <c r="AN50" i="13"/>
  <c r="AQ50" i="13"/>
  <c r="AO50" i="13"/>
  <c r="AL50" i="13"/>
  <c r="AM50" i="13"/>
  <c r="AK50" i="13"/>
  <c r="AJ50" i="13"/>
  <c r="BW126" i="13"/>
  <c r="BV126" i="13"/>
  <c r="BU126" i="13"/>
  <c r="BT126" i="13"/>
  <c r="BS126" i="13"/>
  <c r="BO126" i="13"/>
  <c r="BM126" i="13"/>
  <c r="BR126" i="13"/>
  <c r="BN126" i="13"/>
  <c r="BQ126" i="13"/>
  <c r="BL126" i="13"/>
  <c r="BP126" i="13"/>
  <c r="BG126" i="13"/>
  <c r="BJ126" i="13"/>
  <c r="BH126" i="13"/>
  <c r="BK126" i="13"/>
  <c r="BI126" i="13"/>
  <c r="BF126" i="13"/>
  <c r="BE126" i="13"/>
  <c r="BW120" i="13"/>
  <c r="BU120" i="13"/>
  <c r="BV120" i="13"/>
  <c r="BT120" i="13"/>
  <c r="BS120" i="13"/>
  <c r="BR120" i="13"/>
  <c r="BQ120" i="13"/>
  <c r="BO120" i="13"/>
  <c r="BM120" i="13"/>
  <c r="BP120" i="13"/>
  <c r="BN120" i="13"/>
  <c r="BL120" i="13"/>
  <c r="BK120" i="13"/>
  <c r="BG120" i="13"/>
  <c r="BJ120" i="13"/>
  <c r="BI120" i="13"/>
  <c r="BH120" i="13"/>
  <c r="BF120" i="13"/>
  <c r="BE120" i="13"/>
  <c r="BW114" i="13"/>
  <c r="BU114" i="13"/>
  <c r="BT114" i="13"/>
  <c r="BV114" i="13"/>
  <c r="BR114" i="13"/>
  <c r="BS114" i="13"/>
  <c r="BO114" i="13"/>
  <c r="BM114" i="13"/>
  <c r="BP114" i="13"/>
  <c r="BQ114" i="13"/>
  <c r="BN114" i="13"/>
  <c r="BK114" i="13"/>
  <c r="BL114" i="13"/>
  <c r="BG114" i="13"/>
  <c r="BH114" i="13"/>
  <c r="BJ114" i="13"/>
  <c r="BI114" i="13"/>
  <c r="BF114" i="13"/>
  <c r="BE114" i="13"/>
  <c r="BW106" i="13"/>
  <c r="BV106" i="13"/>
  <c r="BU106" i="13"/>
  <c r="BT106" i="13"/>
  <c r="BS106" i="13"/>
  <c r="BQ106" i="13"/>
  <c r="BO106" i="13"/>
  <c r="BM106" i="13"/>
  <c r="BP106" i="13"/>
  <c r="BN106" i="13"/>
  <c r="BR106" i="13"/>
  <c r="BL106" i="13"/>
  <c r="BG106" i="13"/>
  <c r="BJ106" i="13"/>
  <c r="BK106" i="13"/>
  <c r="BH106" i="13"/>
  <c r="BI106" i="13"/>
  <c r="BF106" i="13"/>
  <c r="BE106" i="13"/>
  <c r="BW100" i="13"/>
  <c r="BU100" i="13"/>
  <c r="BV100" i="13"/>
  <c r="BT100" i="13"/>
  <c r="BS100" i="13"/>
  <c r="BR100" i="13"/>
  <c r="BO100" i="13"/>
  <c r="BM100" i="13"/>
  <c r="BN100" i="13"/>
  <c r="BQ100" i="13"/>
  <c r="BL100" i="13"/>
  <c r="BP100" i="13"/>
  <c r="BK100" i="13"/>
  <c r="BG100" i="13"/>
  <c r="BJ100" i="13"/>
  <c r="BI100" i="13"/>
  <c r="BH100" i="13"/>
  <c r="BF100" i="13"/>
  <c r="BE100" i="13"/>
  <c r="BW93" i="13"/>
  <c r="BU93" i="13"/>
  <c r="BT93" i="13"/>
  <c r="BV93" i="13"/>
  <c r="BS93" i="13"/>
  <c r="BR93" i="13"/>
  <c r="BQ93" i="13"/>
  <c r="BO93" i="13"/>
  <c r="BM93" i="13"/>
  <c r="BP93" i="13"/>
  <c r="BK93" i="13"/>
  <c r="BN93" i="13"/>
  <c r="BL93" i="13"/>
  <c r="BG93" i="13"/>
  <c r="BH93" i="13"/>
  <c r="BJ93" i="13"/>
  <c r="BI93" i="13"/>
  <c r="BF93" i="13"/>
  <c r="BE93" i="13"/>
  <c r="BW87" i="13"/>
  <c r="BV87" i="13"/>
  <c r="BU87" i="13"/>
  <c r="BT87" i="13"/>
  <c r="BS87" i="13"/>
  <c r="BO87" i="13"/>
  <c r="BM87" i="13"/>
  <c r="BR87" i="13"/>
  <c r="BQ87" i="13"/>
  <c r="BN87" i="13"/>
  <c r="BL87" i="13"/>
  <c r="BP87" i="13"/>
  <c r="BG87" i="13"/>
  <c r="BJ87" i="13"/>
  <c r="BH87" i="13"/>
  <c r="BK87" i="13"/>
  <c r="BI87" i="13"/>
  <c r="BF87" i="13"/>
  <c r="BE87" i="13"/>
  <c r="BW81" i="13"/>
  <c r="BU81" i="13"/>
  <c r="BV81" i="13"/>
  <c r="BT81" i="13"/>
  <c r="BS81" i="13"/>
  <c r="BR81" i="13"/>
  <c r="BQ81" i="13"/>
  <c r="BO81" i="13"/>
  <c r="BM81" i="13"/>
  <c r="BP81" i="13"/>
  <c r="BN81" i="13"/>
  <c r="BL81" i="13"/>
  <c r="BK81" i="13"/>
  <c r="BG81" i="13"/>
  <c r="BJ81" i="13"/>
  <c r="BI81" i="13"/>
  <c r="BH81" i="13"/>
  <c r="BF81" i="13"/>
  <c r="BE81" i="13"/>
  <c r="BW75" i="13"/>
  <c r="BU75" i="13"/>
  <c r="BT75" i="13"/>
  <c r="BV75" i="13"/>
  <c r="BS75" i="13"/>
  <c r="BR75" i="13"/>
  <c r="BO75" i="13"/>
  <c r="BM75" i="13"/>
  <c r="BP75" i="13"/>
  <c r="BQ75" i="13"/>
  <c r="BK75" i="13"/>
  <c r="BN75" i="13"/>
  <c r="BL75" i="13"/>
  <c r="BG75" i="13"/>
  <c r="BH75" i="13"/>
  <c r="BJ75" i="13"/>
  <c r="BI75" i="13"/>
  <c r="BF75" i="13"/>
  <c r="BE75" i="13"/>
  <c r="BW69" i="13"/>
  <c r="BV69" i="13"/>
  <c r="BU69" i="13"/>
  <c r="BT69" i="13"/>
  <c r="BS69" i="13"/>
  <c r="BQ69" i="13"/>
  <c r="BO69" i="13"/>
  <c r="BM69" i="13"/>
  <c r="BR69" i="13"/>
  <c r="BN69" i="13"/>
  <c r="BL69" i="13"/>
  <c r="BP69" i="13"/>
  <c r="BG69" i="13"/>
  <c r="BJ69" i="13"/>
  <c r="BH69" i="13"/>
  <c r="BK69" i="13"/>
  <c r="BI69" i="13"/>
  <c r="BF69" i="13"/>
  <c r="BE69" i="13"/>
  <c r="BW63" i="13"/>
  <c r="BU63" i="13"/>
  <c r="BV63" i="13"/>
  <c r="BT63" i="13"/>
  <c r="BS63" i="13"/>
  <c r="BR63" i="13"/>
  <c r="BO63" i="13"/>
  <c r="BM63" i="13"/>
  <c r="BN63" i="13"/>
  <c r="BP63" i="13"/>
  <c r="BQ63" i="13"/>
  <c r="BL63" i="13"/>
  <c r="BK63" i="13"/>
  <c r="BG63" i="13"/>
  <c r="BJ63" i="13"/>
  <c r="BI63" i="13"/>
  <c r="BH63" i="13"/>
  <c r="BF63" i="13"/>
  <c r="BE63" i="13"/>
  <c r="BW57" i="13"/>
  <c r="BU57" i="13"/>
  <c r="BT57" i="13"/>
  <c r="BV57" i="13"/>
  <c r="BR57" i="13"/>
  <c r="BS57" i="13"/>
  <c r="BQ57" i="13"/>
  <c r="BO57" i="13"/>
  <c r="BM57" i="13"/>
  <c r="BL57" i="13"/>
  <c r="BP57" i="13"/>
  <c r="BK57" i="13"/>
  <c r="BN57" i="13"/>
  <c r="BG57" i="13"/>
  <c r="BH57" i="13"/>
  <c r="BJ57" i="13"/>
  <c r="BI57" i="13"/>
  <c r="BF57" i="13"/>
  <c r="BE57" i="13"/>
  <c r="BW51" i="13"/>
  <c r="BV51" i="13"/>
  <c r="BU51" i="13"/>
  <c r="BT51" i="13"/>
  <c r="BS51" i="13"/>
  <c r="BO51" i="13"/>
  <c r="BM51" i="13"/>
  <c r="BL51" i="13"/>
  <c r="BQ51" i="13"/>
  <c r="BP51" i="13"/>
  <c r="BN51" i="13"/>
  <c r="BR51" i="13"/>
  <c r="BG51" i="13"/>
  <c r="BJ51" i="13"/>
  <c r="BK51" i="13"/>
  <c r="BH51" i="13"/>
  <c r="BI51" i="13"/>
  <c r="BF51" i="13"/>
  <c r="BE51" i="13"/>
  <c r="BB124" i="13"/>
  <c r="AW124" i="13"/>
  <c r="AZ124" i="13"/>
  <c r="AY124" i="13"/>
  <c r="AX124" i="13"/>
  <c r="BA124" i="13"/>
  <c r="AS124" i="13"/>
  <c r="AQ124" i="13"/>
  <c r="AV124" i="13"/>
  <c r="AU124" i="13"/>
  <c r="AR124" i="13"/>
  <c r="AT124" i="13"/>
  <c r="AP124" i="13"/>
  <c r="AO124" i="13"/>
  <c r="AL124" i="13"/>
  <c r="AM124" i="13"/>
  <c r="AK124" i="13"/>
  <c r="AN124" i="13"/>
  <c r="AJ124" i="13"/>
  <c r="BB118" i="13"/>
  <c r="AW118" i="13"/>
  <c r="BA118" i="13"/>
  <c r="AX118" i="13"/>
  <c r="AZ118" i="13"/>
  <c r="AY118" i="13"/>
  <c r="AU118" i="13"/>
  <c r="AS118" i="13"/>
  <c r="AQ118" i="13"/>
  <c r="AT118" i="13"/>
  <c r="AR118" i="13"/>
  <c r="AV118" i="13"/>
  <c r="AN118" i="13"/>
  <c r="AL118" i="13"/>
  <c r="AP118" i="13"/>
  <c r="AK118" i="13"/>
  <c r="AM118" i="13"/>
  <c r="AJ118" i="13"/>
  <c r="AO118" i="13"/>
  <c r="BB111" i="13"/>
  <c r="AZ111" i="13"/>
  <c r="AW111" i="13"/>
  <c r="AY111" i="13"/>
  <c r="BA111" i="13"/>
  <c r="AX111" i="13"/>
  <c r="AS111" i="13"/>
  <c r="AQ111" i="13"/>
  <c r="AV111" i="13"/>
  <c r="AU111" i="13"/>
  <c r="AR111" i="13"/>
  <c r="AT111" i="13"/>
  <c r="AL111" i="13"/>
  <c r="AP111" i="13"/>
  <c r="AO111" i="13"/>
  <c r="AK111" i="13"/>
  <c r="AN111" i="13"/>
  <c r="AJ111" i="13"/>
  <c r="AM111" i="13"/>
  <c r="BB104" i="13"/>
  <c r="AW104" i="13"/>
  <c r="AZ104" i="13"/>
  <c r="AY104" i="13"/>
  <c r="AX104" i="13"/>
  <c r="BA104" i="13"/>
  <c r="AU104" i="13"/>
  <c r="AS104" i="13"/>
  <c r="AQ104" i="13"/>
  <c r="AT104" i="13"/>
  <c r="AR104" i="13"/>
  <c r="AV104" i="13"/>
  <c r="AP104" i="13"/>
  <c r="AO104" i="13"/>
  <c r="AL104" i="13"/>
  <c r="AN104" i="13"/>
  <c r="AM104" i="13"/>
  <c r="AK104" i="13"/>
  <c r="AJ104" i="13"/>
  <c r="BB97" i="13"/>
  <c r="AW97" i="13"/>
  <c r="BA97" i="13"/>
  <c r="AX97" i="13"/>
  <c r="AZ97" i="13"/>
  <c r="AY97" i="13"/>
  <c r="AS97" i="13"/>
  <c r="AQ97" i="13"/>
  <c r="AV97" i="13"/>
  <c r="AU97" i="13"/>
  <c r="AR97" i="13"/>
  <c r="AT97" i="13"/>
  <c r="AN97" i="13"/>
  <c r="AL97" i="13"/>
  <c r="AP97" i="13"/>
  <c r="AK97" i="13"/>
  <c r="AM97" i="13"/>
  <c r="AJ97" i="13"/>
  <c r="AO97" i="13"/>
  <c r="BB91" i="13"/>
  <c r="AZ91" i="13"/>
  <c r="AW91" i="13"/>
  <c r="AY91" i="13"/>
  <c r="BA91" i="13"/>
  <c r="AX91" i="13"/>
  <c r="AU91" i="13"/>
  <c r="AS91" i="13"/>
  <c r="AQ91" i="13"/>
  <c r="AT91" i="13"/>
  <c r="AR91" i="13"/>
  <c r="AV91" i="13"/>
  <c r="AL91" i="13"/>
  <c r="AP91" i="13"/>
  <c r="AO91" i="13"/>
  <c r="AN91" i="13"/>
  <c r="AK91" i="13"/>
  <c r="AJ91" i="13"/>
  <c r="AM91" i="13"/>
  <c r="BB85" i="13"/>
  <c r="AW85" i="13"/>
  <c r="AZ85" i="13"/>
  <c r="AY85" i="13"/>
  <c r="AX85" i="13"/>
  <c r="BA85" i="13"/>
  <c r="AS85" i="13"/>
  <c r="AQ85" i="13"/>
  <c r="AV85" i="13"/>
  <c r="AU85" i="13"/>
  <c r="AR85" i="13"/>
  <c r="AT85" i="13"/>
  <c r="AO85" i="13"/>
  <c r="AL85" i="13"/>
  <c r="AP85" i="13"/>
  <c r="AM85" i="13"/>
  <c r="AK85" i="13"/>
  <c r="AJ85" i="13"/>
  <c r="AN85" i="13"/>
  <c r="BB79" i="13"/>
  <c r="AW79" i="13"/>
  <c r="BA79" i="13"/>
  <c r="AX79" i="13"/>
  <c r="AZ79" i="13"/>
  <c r="AY79" i="13"/>
  <c r="AU79" i="13"/>
  <c r="AS79" i="13"/>
  <c r="AQ79" i="13"/>
  <c r="AV79" i="13"/>
  <c r="AT79" i="13"/>
  <c r="AR79" i="13"/>
  <c r="AN79" i="13"/>
  <c r="AL79" i="13"/>
  <c r="AK79" i="13"/>
  <c r="AM79" i="13"/>
  <c r="AP79" i="13"/>
  <c r="AJ79" i="13"/>
  <c r="AO79" i="13"/>
  <c r="BB73" i="13"/>
  <c r="AZ73" i="13"/>
  <c r="AW73" i="13"/>
  <c r="AY73" i="13"/>
  <c r="BA73" i="13"/>
  <c r="AX73" i="13"/>
  <c r="AS73" i="13"/>
  <c r="AQ73" i="13"/>
  <c r="AU73" i="13"/>
  <c r="AR73" i="13"/>
  <c r="AV73" i="13"/>
  <c r="AT73" i="13"/>
  <c r="AL73" i="13"/>
  <c r="AP73" i="13"/>
  <c r="AO73" i="13"/>
  <c r="AK73" i="13"/>
  <c r="AN73" i="13"/>
  <c r="AM73" i="13"/>
  <c r="AJ73" i="13"/>
  <c r="BB67" i="13"/>
  <c r="AW67" i="13"/>
  <c r="AZ67" i="13"/>
  <c r="AY67" i="13"/>
  <c r="AX67" i="13"/>
  <c r="BA67" i="13"/>
  <c r="AU67" i="13"/>
  <c r="AS67" i="13"/>
  <c r="AQ67" i="13"/>
  <c r="AT67" i="13"/>
  <c r="AV67" i="13"/>
  <c r="AR67" i="13"/>
  <c r="AO67" i="13"/>
  <c r="AL67" i="13"/>
  <c r="AP67" i="13"/>
  <c r="AM67" i="13"/>
  <c r="AK67" i="13"/>
  <c r="AN67" i="13"/>
  <c r="AJ67" i="13"/>
  <c r="BB61" i="13"/>
  <c r="AW61" i="13"/>
  <c r="BA61" i="13"/>
  <c r="AX61" i="13"/>
  <c r="AZ61" i="13"/>
  <c r="AY61" i="13"/>
  <c r="AS61" i="13"/>
  <c r="AQ61" i="13"/>
  <c r="AV61" i="13"/>
  <c r="AU61" i="13"/>
  <c r="AR61" i="13"/>
  <c r="AT61" i="13"/>
  <c r="AN61" i="13"/>
  <c r="AL61" i="13"/>
  <c r="AP61" i="13"/>
  <c r="AK61" i="13"/>
  <c r="AM61" i="13"/>
  <c r="AJ61" i="13"/>
  <c r="AO61" i="13"/>
  <c r="BB55" i="13"/>
  <c r="AZ55" i="13"/>
  <c r="AW55" i="13"/>
  <c r="AY55" i="13"/>
  <c r="BA55" i="13"/>
  <c r="AX55" i="13"/>
  <c r="AU55" i="13"/>
  <c r="AS55" i="13"/>
  <c r="AQ55" i="13"/>
  <c r="AT55" i="13"/>
  <c r="AR55" i="13"/>
  <c r="AV55" i="13"/>
  <c r="AL55" i="13"/>
  <c r="AO55" i="13"/>
  <c r="AK55" i="13"/>
  <c r="AN55" i="13"/>
  <c r="AP55" i="13"/>
  <c r="AJ55" i="13"/>
  <c r="AM55" i="13"/>
  <c r="BB49" i="13"/>
  <c r="AW49" i="13"/>
  <c r="AZ49" i="13"/>
  <c r="AY49" i="13"/>
  <c r="AX49" i="13"/>
  <c r="BA49" i="13"/>
  <c r="AS49" i="13"/>
  <c r="AQ49" i="13"/>
  <c r="AV49" i="13"/>
  <c r="AU49" i="13"/>
  <c r="AR49" i="13"/>
  <c r="AT49" i="13"/>
  <c r="AO49" i="13"/>
  <c r="AL49" i="13"/>
  <c r="AP49" i="13"/>
  <c r="AN49" i="13"/>
  <c r="AM49" i="13"/>
  <c r="AK49" i="13"/>
  <c r="AJ49" i="13"/>
  <c r="BW125" i="13"/>
  <c r="BT125" i="13"/>
  <c r="BU125" i="13"/>
  <c r="BS125" i="13"/>
  <c r="BV125" i="13"/>
  <c r="BR125" i="13"/>
  <c r="BQ125" i="13"/>
  <c r="BN125" i="13"/>
  <c r="BK125" i="13"/>
  <c r="BI125" i="13"/>
  <c r="BH125" i="13"/>
  <c r="BP125" i="13"/>
  <c r="BM125" i="13"/>
  <c r="BO125" i="13"/>
  <c r="BL125" i="13"/>
  <c r="BG125" i="13"/>
  <c r="BJ125" i="13"/>
  <c r="BF125" i="13"/>
  <c r="BE125" i="13"/>
  <c r="BW119" i="13"/>
  <c r="BV119" i="13"/>
  <c r="BT119" i="13"/>
  <c r="BU119" i="13"/>
  <c r="BS119" i="13"/>
  <c r="BR119" i="13"/>
  <c r="BQ119" i="13"/>
  <c r="BO119" i="13"/>
  <c r="BP119" i="13"/>
  <c r="BN119" i="13"/>
  <c r="BM119" i="13"/>
  <c r="BK119" i="13"/>
  <c r="BI119" i="13"/>
  <c r="BH119" i="13"/>
  <c r="BL119" i="13"/>
  <c r="BG119" i="13"/>
  <c r="BJ119" i="13"/>
  <c r="BF119" i="13"/>
  <c r="BE119" i="13"/>
  <c r="BW113" i="13"/>
  <c r="BT113" i="13"/>
  <c r="BU113" i="13"/>
  <c r="BV113" i="13"/>
  <c r="BS113" i="13"/>
  <c r="BQ113" i="13"/>
  <c r="BR113" i="13"/>
  <c r="BM113" i="13"/>
  <c r="BO113" i="13"/>
  <c r="BP113" i="13"/>
  <c r="BK113" i="13"/>
  <c r="BI113" i="13"/>
  <c r="BH113" i="13"/>
  <c r="BN113" i="13"/>
  <c r="BG113" i="13"/>
  <c r="BJ113" i="13"/>
  <c r="BL113" i="13"/>
  <c r="BF113" i="13"/>
  <c r="BE113" i="13"/>
  <c r="BW105" i="13"/>
  <c r="BT105" i="13"/>
  <c r="BU105" i="13"/>
  <c r="BS105" i="13"/>
  <c r="BV105" i="13"/>
  <c r="BR105" i="13"/>
  <c r="BQ105" i="13"/>
  <c r="BN105" i="13"/>
  <c r="BK105" i="13"/>
  <c r="BM105" i="13"/>
  <c r="BI105" i="13"/>
  <c r="BH105" i="13"/>
  <c r="BO105" i="13"/>
  <c r="BP105" i="13"/>
  <c r="BL105" i="13"/>
  <c r="BG105" i="13"/>
  <c r="BJ105" i="13"/>
  <c r="BF105" i="13"/>
  <c r="BE105" i="13"/>
  <c r="BW98" i="13"/>
  <c r="BV98" i="13"/>
  <c r="BT98" i="13"/>
  <c r="BU98" i="13"/>
  <c r="BS98" i="13"/>
  <c r="BR98" i="13"/>
  <c r="BQ98" i="13"/>
  <c r="BP98" i="13"/>
  <c r="BN98" i="13"/>
  <c r="BK98" i="13"/>
  <c r="BI98" i="13"/>
  <c r="BH98" i="13"/>
  <c r="BL98" i="13"/>
  <c r="BO98" i="13"/>
  <c r="BM98" i="13"/>
  <c r="BG98" i="13"/>
  <c r="BJ98" i="13"/>
  <c r="BF98" i="13"/>
  <c r="BE98" i="13"/>
  <c r="BW92" i="13"/>
  <c r="BT92" i="13"/>
  <c r="BU92" i="13"/>
  <c r="BV92" i="13"/>
  <c r="BS92" i="13"/>
  <c r="BQ92" i="13"/>
  <c r="BR92" i="13"/>
  <c r="BP92" i="13"/>
  <c r="BN92" i="13"/>
  <c r="BO92" i="13"/>
  <c r="BK92" i="13"/>
  <c r="BM92" i="13"/>
  <c r="BI92" i="13"/>
  <c r="BH92" i="13"/>
  <c r="BL92" i="13"/>
  <c r="BG92" i="13"/>
  <c r="BJ92" i="13"/>
  <c r="BF92" i="13"/>
  <c r="BE92" i="13"/>
  <c r="BW86" i="13"/>
  <c r="BT86" i="13"/>
  <c r="BU86" i="13"/>
  <c r="BS86" i="13"/>
  <c r="BV86" i="13"/>
  <c r="BR86" i="13"/>
  <c r="BQ86" i="13"/>
  <c r="BK86" i="13"/>
  <c r="BI86" i="13"/>
  <c r="BH86" i="13"/>
  <c r="BP86" i="13"/>
  <c r="BN86" i="13"/>
  <c r="BO86" i="13"/>
  <c r="BM86" i="13"/>
  <c r="BL86" i="13"/>
  <c r="BG86" i="13"/>
  <c r="BJ86" i="13"/>
  <c r="BF86" i="13"/>
  <c r="BE86" i="13"/>
  <c r="BW80" i="13"/>
  <c r="BV80" i="13"/>
  <c r="BT80" i="13"/>
  <c r="BU80" i="13"/>
  <c r="BS80" i="13"/>
  <c r="BR80" i="13"/>
  <c r="BQ80" i="13"/>
  <c r="BO80" i="13"/>
  <c r="BP80" i="13"/>
  <c r="BN80" i="13"/>
  <c r="BK80" i="13"/>
  <c r="BI80" i="13"/>
  <c r="BH80" i="13"/>
  <c r="BM80" i="13"/>
  <c r="BL80" i="13"/>
  <c r="BG80" i="13"/>
  <c r="BJ80" i="13"/>
  <c r="BF80" i="13"/>
  <c r="BE80" i="13"/>
  <c r="BW74" i="13"/>
  <c r="BT74" i="13"/>
  <c r="BU74" i="13"/>
  <c r="BV74" i="13"/>
  <c r="BS74" i="13"/>
  <c r="BQ74" i="13"/>
  <c r="BM74" i="13"/>
  <c r="BR74" i="13"/>
  <c r="BP74" i="13"/>
  <c r="BO74" i="13"/>
  <c r="BK74" i="13"/>
  <c r="BI74" i="13"/>
  <c r="BH74" i="13"/>
  <c r="BN74" i="13"/>
  <c r="BG74" i="13"/>
  <c r="BL74" i="13"/>
  <c r="BJ74" i="13"/>
  <c r="BF74" i="13"/>
  <c r="BE74" i="13"/>
  <c r="BW68" i="13"/>
  <c r="BT68" i="13"/>
  <c r="BU68" i="13"/>
  <c r="BS68" i="13"/>
  <c r="BV68" i="13"/>
  <c r="BR68" i="13"/>
  <c r="BQ68" i="13"/>
  <c r="BO68" i="13"/>
  <c r="BM68" i="13"/>
  <c r="BK68" i="13"/>
  <c r="BI68" i="13"/>
  <c r="BH68" i="13"/>
  <c r="BN68" i="13"/>
  <c r="BP68" i="13"/>
  <c r="BL68" i="13"/>
  <c r="BG68" i="13"/>
  <c r="BJ68" i="13"/>
  <c r="BF68" i="13"/>
  <c r="BE68" i="13"/>
  <c r="BW62" i="13"/>
  <c r="BV62" i="13"/>
  <c r="BT62" i="13"/>
  <c r="BU62" i="13"/>
  <c r="BS62" i="13"/>
  <c r="BR62" i="13"/>
  <c r="BQ62" i="13"/>
  <c r="BP62" i="13"/>
  <c r="BN62" i="13"/>
  <c r="BK62" i="13"/>
  <c r="BI62" i="13"/>
  <c r="BH62" i="13"/>
  <c r="BO62" i="13"/>
  <c r="BL62" i="13"/>
  <c r="BM62" i="13"/>
  <c r="BG62" i="13"/>
  <c r="BJ62" i="13"/>
  <c r="BF62" i="13"/>
  <c r="BE62" i="13"/>
  <c r="BW56" i="13"/>
  <c r="BT56" i="13"/>
  <c r="BU56" i="13"/>
  <c r="BV56" i="13"/>
  <c r="BS56" i="13"/>
  <c r="BQ56" i="13"/>
  <c r="BR56" i="13"/>
  <c r="BN56" i="13"/>
  <c r="BO56" i="13"/>
  <c r="BM56" i="13"/>
  <c r="BK56" i="13"/>
  <c r="BI56" i="13"/>
  <c r="BH56" i="13"/>
  <c r="BP56" i="13"/>
  <c r="BL56" i="13"/>
  <c r="BG56" i="13"/>
  <c r="BJ56" i="13"/>
  <c r="BF56" i="13"/>
  <c r="BE56" i="13"/>
  <c r="BW50" i="13"/>
  <c r="BT50" i="13"/>
  <c r="BU50" i="13"/>
  <c r="BS50" i="13"/>
  <c r="BV50" i="13"/>
  <c r="BR50" i="13"/>
  <c r="BQ50" i="13"/>
  <c r="BO50" i="13"/>
  <c r="BM50" i="13"/>
  <c r="BK50" i="13"/>
  <c r="BP50" i="13"/>
  <c r="BI50" i="13"/>
  <c r="BH50" i="13"/>
  <c r="BN50" i="13"/>
  <c r="BL50" i="13"/>
  <c r="BG50" i="13"/>
  <c r="BJ50" i="13"/>
  <c r="BF50" i="13"/>
  <c r="BE50" i="13"/>
  <c r="BB123" i="13"/>
  <c r="BA123" i="13"/>
  <c r="AY123" i="13"/>
  <c r="AZ123" i="13"/>
  <c r="AW123" i="13"/>
  <c r="AU123" i="13"/>
  <c r="AV123" i="13"/>
  <c r="AR123" i="13"/>
  <c r="AT123" i="13"/>
  <c r="AX123" i="13"/>
  <c r="AS123" i="13"/>
  <c r="AQ123" i="13"/>
  <c r="AO123" i="13"/>
  <c r="AL123" i="13"/>
  <c r="AM123" i="13"/>
  <c r="AK123" i="13"/>
  <c r="AP123" i="13"/>
  <c r="AN123" i="13"/>
  <c r="AJ123" i="13"/>
  <c r="BA117" i="13"/>
  <c r="AY117" i="13"/>
  <c r="BB117" i="13"/>
  <c r="AZ117" i="13"/>
  <c r="AW117" i="13"/>
  <c r="AU117" i="13"/>
  <c r="AT117" i="13"/>
  <c r="AR117" i="13"/>
  <c r="AX117" i="13"/>
  <c r="AV117" i="13"/>
  <c r="AS117" i="13"/>
  <c r="AQ117" i="13"/>
  <c r="AO117" i="13"/>
  <c r="AL117" i="13"/>
  <c r="AP117" i="13"/>
  <c r="AN117" i="13"/>
  <c r="AK117" i="13"/>
  <c r="AM117" i="13"/>
  <c r="AJ117" i="13"/>
  <c r="BA110" i="13"/>
  <c r="AY110" i="13"/>
  <c r="BB110" i="13"/>
  <c r="AZ110" i="13"/>
  <c r="AW110" i="13"/>
  <c r="AU110" i="13"/>
  <c r="AV110" i="13"/>
  <c r="AR110" i="13"/>
  <c r="AX110" i="13"/>
  <c r="AT110" i="13"/>
  <c r="AS110" i="13"/>
  <c r="AQ110" i="13"/>
  <c r="AO110" i="13"/>
  <c r="AL110" i="13"/>
  <c r="AN110" i="13"/>
  <c r="AK110" i="13"/>
  <c r="AM110" i="13"/>
  <c r="AP110" i="13"/>
  <c r="AJ110" i="13"/>
  <c r="BB103" i="13"/>
  <c r="BA103" i="13"/>
  <c r="AY103" i="13"/>
  <c r="AZ103" i="13"/>
  <c r="AW103" i="13"/>
  <c r="AU103" i="13"/>
  <c r="AT103" i="13"/>
  <c r="AX103" i="13"/>
  <c r="AR103" i="13"/>
  <c r="AV103" i="13"/>
  <c r="AS103" i="13"/>
  <c r="AQ103" i="13"/>
  <c r="AO103" i="13"/>
  <c r="AL103" i="13"/>
  <c r="AN103" i="13"/>
  <c r="AM103" i="13"/>
  <c r="AK103" i="13"/>
  <c r="AP103" i="13"/>
  <c r="AJ103" i="13"/>
  <c r="BA96" i="13"/>
  <c r="AY96" i="13"/>
  <c r="BB96" i="13"/>
  <c r="AZ96" i="13"/>
  <c r="AW96" i="13"/>
  <c r="AU96" i="13"/>
  <c r="AX96" i="13"/>
  <c r="AV96" i="13"/>
  <c r="AR96" i="13"/>
  <c r="AT96" i="13"/>
  <c r="AS96" i="13"/>
  <c r="AQ96" i="13"/>
  <c r="AO96" i="13"/>
  <c r="AL96" i="13"/>
  <c r="AP96" i="13"/>
  <c r="AK96" i="13"/>
  <c r="AN96" i="13"/>
  <c r="AM96" i="13"/>
  <c r="AJ96" i="13"/>
  <c r="BA90" i="13"/>
  <c r="AY90" i="13"/>
  <c r="AX90" i="13"/>
  <c r="BB90" i="13"/>
  <c r="AZ90" i="13"/>
  <c r="AW90" i="13"/>
  <c r="AU90" i="13"/>
  <c r="AT90" i="13"/>
  <c r="AR90" i="13"/>
  <c r="AV90" i="13"/>
  <c r="AS90" i="13"/>
  <c r="AQ90" i="13"/>
  <c r="AO90" i="13"/>
  <c r="AL90" i="13"/>
  <c r="AN90" i="13"/>
  <c r="AP90" i="13"/>
  <c r="AK90" i="13"/>
  <c r="AM90" i="13"/>
  <c r="AJ90" i="13"/>
  <c r="BB84" i="13"/>
  <c r="BA84" i="13"/>
  <c r="AY84" i="13"/>
  <c r="AZ84" i="13"/>
  <c r="AX84" i="13"/>
  <c r="AW84" i="13"/>
  <c r="AU84" i="13"/>
  <c r="AV84" i="13"/>
  <c r="AR84" i="13"/>
  <c r="AT84" i="13"/>
  <c r="AS84" i="13"/>
  <c r="AQ84" i="13"/>
  <c r="AO84" i="13"/>
  <c r="AL84" i="13"/>
  <c r="AP84" i="13"/>
  <c r="AM84" i="13"/>
  <c r="AK84" i="13"/>
  <c r="AN84" i="13"/>
  <c r="AJ84" i="13"/>
  <c r="BA78" i="13"/>
  <c r="AY78" i="13"/>
  <c r="BB78" i="13"/>
  <c r="AX78" i="13"/>
  <c r="AZ78" i="13"/>
  <c r="AW78" i="13"/>
  <c r="AU78" i="13"/>
  <c r="AV78" i="13"/>
  <c r="AT78" i="13"/>
  <c r="AR78" i="13"/>
  <c r="AS78" i="13"/>
  <c r="AQ78" i="13"/>
  <c r="AO78" i="13"/>
  <c r="AL78" i="13"/>
  <c r="AK78" i="13"/>
  <c r="AP78" i="13"/>
  <c r="AN78" i="13"/>
  <c r="AM78" i="13"/>
  <c r="AJ78" i="13"/>
  <c r="BA72" i="13"/>
  <c r="AY72" i="13"/>
  <c r="AX72" i="13"/>
  <c r="BB72" i="13"/>
  <c r="AZ72" i="13"/>
  <c r="AW72" i="13"/>
  <c r="AU72" i="13"/>
  <c r="AR72" i="13"/>
  <c r="AV72" i="13"/>
  <c r="AT72" i="13"/>
  <c r="AS72" i="13"/>
  <c r="AQ72" i="13"/>
  <c r="AO72" i="13"/>
  <c r="AL72" i="13"/>
  <c r="AP72" i="13"/>
  <c r="AN72" i="13"/>
  <c r="AK72" i="13"/>
  <c r="AM72" i="13"/>
  <c r="AJ72" i="13"/>
  <c r="BB66" i="13"/>
  <c r="BA66" i="13"/>
  <c r="AY66" i="13"/>
  <c r="AZ66" i="13"/>
  <c r="AX66" i="13"/>
  <c r="AW66" i="13"/>
  <c r="AU66" i="13"/>
  <c r="AT66" i="13"/>
  <c r="AV66" i="13"/>
  <c r="AR66" i="13"/>
  <c r="AS66" i="13"/>
  <c r="AQ66" i="13"/>
  <c r="AO66" i="13"/>
  <c r="AL66" i="13"/>
  <c r="AP66" i="13"/>
  <c r="AM66" i="13"/>
  <c r="AK66" i="13"/>
  <c r="AN66" i="13"/>
  <c r="AJ66" i="13"/>
  <c r="BA60" i="13"/>
  <c r="AY60" i="13"/>
  <c r="BB60" i="13"/>
  <c r="AX60" i="13"/>
  <c r="AZ60" i="13"/>
  <c r="AW60" i="13"/>
  <c r="AU60" i="13"/>
  <c r="AV60" i="13"/>
  <c r="AR60" i="13"/>
  <c r="AT60" i="13"/>
  <c r="AS60" i="13"/>
  <c r="AQ60" i="13"/>
  <c r="AO60" i="13"/>
  <c r="AL60" i="13"/>
  <c r="AP60" i="13"/>
  <c r="AN60" i="13"/>
  <c r="AK60" i="13"/>
  <c r="AM60" i="13"/>
  <c r="AJ60" i="13"/>
  <c r="BA54" i="13"/>
  <c r="AY54" i="13"/>
  <c r="AX54" i="13"/>
  <c r="BB54" i="13"/>
  <c r="AZ54" i="13"/>
  <c r="AW54" i="13"/>
  <c r="AU54" i="13"/>
  <c r="AT54" i="13"/>
  <c r="AR54" i="13"/>
  <c r="AV54" i="13"/>
  <c r="AS54" i="13"/>
  <c r="AQ54" i="13"/>
  <c r="AO54" i="13"/>
  <c r="AL54" i="13"/>
  <c r="AN54" i="13"/>
  <c r="AK54" i="13"/>
  <c r="AP54" i="13"/>
  <c r="AM54" i="13"/>
  <c r="AJ54" i="13"/>
  <c r="BB48" i="13"/>
  <c r="BA48" i="13"/>
  <c r="AY48" i="13"/>
  <c r="AZ48" i="13"/>
  <c r="AX48" i="13"/>
  <c r="AW48" i="13"/>
  <c r="AU48" i="13"/>
  <c r="AV48" i="13"/>
  <c r="AR48" i="13"/>
  <c r="AT48" i="13"/>
  <c r="AS48" i="13"/>
  <c r="AQ48" i="13"/>
  <c r="AO48" i="13"/>
  <c r="AL48" i="13"/>
  <c r="AP48" i="13"/>
  <c r="AN48" i="13"/>
  <c r="AM48" i="13"/>
  <c r="AK48" i="13"/>
  <c r="AJ48" i="13"/>
  <c r="BV124" i="13"/>
  <c r="BW124" i="13"/>
  <c r="BT124" i="13"/>
  <c r="BU124" i="13"/>
  <c r="BP124" i="13"/>
  <c r="BS124" i="13"/>
  <c r="BR124" i="13"/>
  <c r="BQ124" i="13"/>
  <c r="BN124" i="13"/>
  <c r="BL124" i="13"/>
  <c r="BM124" i="13"/>
  <c r="BO124" i="13"/>
  <c r="BI124" i="13"/>
  <c r="BK124" i="13"/>
  <c r="BG124" i="13"/>
  <c r="BJ124" i="13"/>
  <c r="BH124" i="13"/>
  <c r="BF124" i="13"/>
  <c r="BE124" i="13"/>
  <c r="BV118" i="13"/>
  <c r="BW118" i="13"/>
  <c r="BS118" i="13"/>
  <c r="BU118" i="13"/>
  <c r="BT118" i="13"/>
  <c r="BP118" i="13"/>
  <c r="BQ118" i="13"/>
  <c r="BR118" i="13"/>
  <c r="BN118" i="13"/>
  <c r="BL118" i="13"/>
  <c r="BM118" i="13"/>
  <c r="BO118" i="13"/>
  <c r="BK118" i="13"/>
  <c r="BJ118" i="13"/>
  <c r="BH118" i="13"/>
  <c r="BI118" i="13"/>
  <c r="BG118" i="13"/>
  <c r="BF118" i="13"/>
  <c r="BE118" i="13"/>
  <c r="BV111" i="13"/>
  <c r="BW111" i="13"/>
  <c r="BT111" i="13"/>
  <c r="BP111" i="13"/>
  <c r="BS111" i="13"/>
  <c r="BQ111" i="13"/>
  <c r="BU111" i="13"/>
  <c r="BR111" i="13"/>
  <c r="BO111" i="13"/>
  <c r="BL111" i="13"/>
  <c r="BM111" i="13"/>
  <c r="BN111" i="13"/>
  <c r="BI111" i="13"/>
  <c r="BJ111" i="13"/>
  <c r="BK111" i="13"/>
  <c r="BH111" i="13"/>
  <c r="BG111" i="13"/>
  <c r="BF111" i="13"/>
  <c r="BE111" i="13"/>
  <c r="BV104" i="13"/>
  <c r="BW104" i="13"/>
  <c r="BT104" i="13"/>
  <c r="BP104" i="13"/>
  <c r="BU104" i="13"/>
  <c r="BR104" i="13"/>
  <c r="BQ104" i="13"/>
  <c r="BS104" i="13"/>
  <c r="BM104" i="13"/>
  <c r="BO104" i="13"/>
  <c r="BL104" i="13"/>
  <c r="BN104" i="13"/>
  <c r="BK104" i="13"/>
  <c r="BI104" i="13"/>
  <c r="BG104" i="13"/>
  <c r="BJ104" i="13"/>
  <c r="BH104" i="13"/>
  <c r="BF104" i="13"/>
  <c r="BE104" i="13"/>
  <c r="BV97" i="13"/>
  <c r="BW97" i="13"/>
  <c r="BT97" i="13"/>
  <c r="BU97" i="13"/>
  <c r="BS97" i="13"/>
  <c r="BP97" i="13"/>
  <c r="BQ97" i="13"/>
  <c r="BR97" i="13"/>
  <c r="BN97" i="13"/>
  <c r="BL97" i="13"/>
  <c r="BO97" i="13"/>
  <c r="BM97" i="13"/>
  <c r="BJ97" i="13"/>
  <c r="BH97" i="13"/>
  <c r="BK97" i="13"/>
  <c r="BI97" i="13"/>
  <c r="BG97" i="13"/>
  <c r="BF97" i="13"/>
  <c r="BE97" i="13"/>
  <c r="BV91" i="13"/>
  <c r="BW91" i="13"/>
  <c r="BP91" i="13"/>
  <c r="BU91" i="13"/>
  <c r="BT91" i="13"/>
  <c r="BQ91" i="13"/>
  <c r="BR91" i="13"/>
  <c r="BL91" i="13"/>
  <c r="BO91" i="13"/>
  <c r="BM91" i="13"/>
  <c r="BS91" i="13"/>
  <c r="BN91" i="13"/>
  <c r="BK91" i="13"/>
  <c r="BI91" i="13"/>
  <c r="BJ91" i="13"/>
  <c r="BH91" i="13"/>
  <c r="BG91" i="13"/>
  <c r="BF91" i="13"/>
  <c r="BE91" i="13"/>
  <c r="BV85" i="13"/>
  <c r="BW85" i="13"/>
  <c r="BT85" i="13"/>
  <c r="BU85" i="13"/>
  <c r="BP85" i="13"/>
  <c r="BR85" i="13"/>
  <c r="BQ85" i="13"/>
  <c r="BS85" i="13"/>
  <c r="BN85" i="13"/>
  <c r="BO85" i="13"/>
  <c r="BM85" i="13"/>
  <c r="BL85" i="13"/>
  <c r="BI85" i="13"/>
  <c r="BG85" i="13"/>
  <c r="BK85" i="13"/>
  <c r="BJ85" i="13"/>
  <c r="BH85" i="13"/>
  <c r="BF85" i="13"/>
  <c r="BE85" i="13"/>
  <c r="BV79" i="13"/>
  <c r="BW79" i="13"/>
  <c r="BT79" i="13"/>
  <c r="BS79" i="13"/>
  <c r="BP79" i="13"/>
  <c r="BQ79" i="13"/>
  <c r="BU79" i="13"/>
  <c r="BR79" i="13"/>
  <c r="BL79" i="13"/>
  <c r="BN79" i="13"/>
  <c r="BM79" i="13"/>
  <c r="BO79" i="13"/>
  <c r="BJ79" i="13"/>
  <c r="BK79" i="13"/>
  <c r="BH79" i="13"/>
  <c r="BI79" i="13"/>
  <c r="BG79" i="13"/>
  <c r="BF79" i="13"/>
  <c r="BE79" i="13"/>
  <c r="BV73" i="13"/>
  <c r="BW73" i="13"/>
  <c r="BT73" i="13"/>
  <c r="BU73" i="13"/>
  <c r="BP73" i="13"/>
  <c r="BQ73" i="13"/>
  <c r="BS73" i="13"/>
  <c r="BO73" i="13"/>
  <c r="BN73" i="13"/>
  <c r="BL73" i="13"/>
  <c r="BM73" i="13"/>
  <c r="BR73" i="13"/>
  <c r="BI73" i="13"/>
  <c r="BJ73" i="13"/>
  <c r="BK73" i="13"/>
  <c r="BH73" i="13"/>
  <c r="BG73" i="13"/>
  <c r="BF73" i="13"/>
  <c r="BE73" i="13"/>
  <c r="BV67" i="13"/>
  <c r="BW67" i="13"/>
  <c r="BP67" i="13"/>
  <c r="BU67" i="13"/>
  <c r="BT67" i="13"/>
  <c r="BS67" i="13"/>
  <c r="BR67" i="13"/>
  <c r="BQ67" i="13"/>
  <c r="BM67" i="13"/>
  <c r="BO67" i="13"/>
  <c r="BL67" i="13"/>
  <c r="BN67" i="13"/>
  <c r="BI67" i="13"/>
  <c r="BK67" i="13"/>
  <c r="BG67" i="13"/>
  <c r="BJ67" i="13"/>
  <c r="BH67" i="13"/>
  <c r="BF67" i="13"/>
  <c r="BE67" i="13"/>
  <c r="BV61" i="13"/>
  <c r="BW61" i="13"/>
  <c r="BT61" i="13"/>
  <c r="BS61" i="13"/>
  <c r="BP61" i="13"/>
  <c r="BU61" i="13"/>
  <c r="BQ61" i="13"/>
  <c r="BR61" i="13"/>
  <c r="BL61" i="13"/>
  <c r="BN61" i="13"/>
  <c r="BO61" i="13"/>
  <c r="BM61" i="13"/>
  <c r="BK61" i="13"/>
  <c r="BJ61" i="13"/>
  <c r="BH61" i="13"/>
  <c r="BI61" i="13"/>
  <c r="BG61" i="13"/>
  <c r="BF61" i="13"/>
  <c r="BE61" i="13"/>
  <c r="BV55" i="13"/>
  <c r="BW55" i="13"/>
  <c r="BT55" i="13"/>
  <c r="BU55" i="13"/>
  <c r="BP55" i="13"/>
  <c r="BS55" i="13"/>
  <c r="BQ55" i="13"/>
  <c r="BR55" i="13"/>
  <c r="BN55" i="13"/>
  <c r="BO55" i="13"/>
  <c r="BM55" i="13"/>
  <c r="BI55" i="13"/>
  <c r="BJ55" i="13"/>
  <c r="BK55" i="13"/>
  <c r="BL55" i="13"/>
  <c r="BH55" i="13"/>
  <c r="BG55" i="13"/>
  <c r="BF55" i="13"/>
  <c r="BE55" i="13"/>
  <c r="BV49" i="13"/>
  <c r="BW49" i="13"/>
  <c r="BT49" i="13"/>
  <c r="BU49" i="13"/>
  <c r="BP49" i="13"/>
  <c r="BS49" i="13"/>
  <c r="BR49" i="13"/>
  <c r="BQ49" i="13"/>
  <c r="BO49" i="13"/>
  <c r="BN49" i="13"/>
  <c r="BL49" i="13"/>
  <c r="BM49" i="13"/>
  <c r="BK49" i="13"/>
  <c r="BI49" i="13"/>
  <c r="BG49" i="13"/>
  <c r="BJ49" i="13"/>
  <c r="BH49" i="13"/>
  <c r="BF49" i="13"/>
  <c r="BE49" i="13"/>
  <c r="BB122" i="13"/>
  <c r="BA122" i="13"/>
  <c r="AY122" i="13"/>
  <c r="AZ122" i="13"/>
  <c r="AX122" i="13"/>
  <c r="AV122" i="13"/>
  <c r="AT122" i="13"/>
  <c r="AW122" i="13"/>
  <c r="AU122" i="13"/>
  <c r="AR122" i="13"/>
  <c r="AS122" i="13"/>
  <c r="AQ122" i="13"/>
  <c r="AO122" i="13"/>
  <c r="AN122" i="13"/>
  <c r="AP122" i="13"/>
  <c r="AK122" i="13"/>
  <c r="AL122" i="13"/>
  <c r="AM122" i="13"/>
  <c r="AJ122" i="13"/>
  <c r="BB116" i="13"/>
  <c r="BA116" i="13"/>
  <c r="AY116" i="13"/>
  <c r="AX116" i="13"/>
  <c r="AV116" i="13"/>
  <c r="AT116" i="13"/>
  <c r="AZ116" i="13"/>
  <c r="AW116" i="13"/>
  <c r="AU116" i="13"/>
  <c r="AR116" i="13"/>
  <c r="AS116" i="13"/>
  <c r="AQ116" i="13"/>
  <c r="AO116" i="13"/>
  <c r="AP116" i="13"/>
  <c r="AM116" i="13"/>
  <c r="AL116" i="13"/>
  <c r="AN116" i="13"/>
  <c r="AK116" i="13"/>
  <c r="AJ116" i="13"/>
  <c r="BB109" i="13"/>
  <c r="BA109" i="13"/>
  <c r="AY109" i="13"/>
  <c r="AX109" i="13"/>
  <c r="AV109" i="13"/>
  <c r="AT109" i="13"/>
  <c r="AZ109" i="13"/>
  <c r="AW109" i="13"/>
  <c r="AU109" i="13"/>
  <c r="AR109" i="13"/>
  <c r="AS109" i="13"/>
  <c r="AQ109" i="13"/>
  <c r="AO109" i="13"/>
  <c r="AN109" i="13"/>
  <c r="AP109" i="13"/>
  <c r="AL109" i="13"/>
  <c r="AM109" i="13"/>
  <c r="AK109" i="13"/>
  <c r="AJ109" i="13"/>
  <c r="BB102" i="13"/>
  <c r="BA102" i="13"/>
  <c r="AY102" i="13"/>
  <c r="AZ102" i="13"/>
  <c r="AX102" i="13"/>
  <c r="AV102" i="13"/>
  <c r="AT102" i="13"/>
  <c r="AW102" i="13"/>
  <c r="AU102" i="13"/>
  <c r="AR102" i="13"/>
  <c r="AS102" i="13"/>
  <c r="AQ102" i="13"/>
  <c r="AO102" i="13"/>
  <c r="AP102" i="13"/>
  <c r="AM102" i="13"/>
  <c r="AK102" i="13"/>
  <c r="AL102" i="13"/>
  <c r="AN102" i="13"/>
  <c r="AJ102" i="13"/>
  <c r="BB95" i="13"/>
  <c r="BA95" i="13"/>
  <c r="AY95" i="13"/>
  <c r="AX95" i="13"/>
  <c r="AV95" i="13"/>
  <c r="AT95" i="13"/>
  <c r="AZ95" i="13"/>
  <c r="AW95" i="13"/>
  <c r="AU95" i="13"/>
  <c r="AR95" i="13"/>
  <c r="AS95" i="13"/>
  <c r="AQ95" i="13"/>
  <c r="AO95" i="13"/>
  <c r="AP95" i="13"/>
  <c r="AM95" i="13"/>
  <c r="AN95" i="13"/>
  <c r="AL95" i="13"/>
  <c r="AK95" i="13"/>
  <c r="AJ95" i="13"/>
  <c r="BB89" i="13"/>
  <c r="BA89" i="13"/>
  <c r="AY89" i="13"/>
  <c r="AX89" i="13"/>
  <c r="AV89" i="13"/>
  <c r="AT89" i="13"/>
  <c r="AZ89" i="13"/>
  <c r="AW89" i="13"/>
  <c r="AU89" i="13"/>
  <c r="AR89" i="13"/>
  <c r="AS89" i="13"/>
  <c r="AQ89" i="13"/>
  <c r="AO89" i="13"/>
  <c r="AN89" i="13"/>
  <c r="AL89" i="13"/>
  <c r="AM89" i="13"/>
  <c r="AP89" i="13"/>
  <c r="AK89" i="13"/>
  <c r="AJ89" i="13"/>
  <c r="BB83" i="13"/>
  <c r="BA83" i="13"/>
  <c r="AY83" i="13"/>
  <c r="AZ83" i="13"/>
  <c r="AX83" i="13"/>
  <c r="AV83" i="13"/>
  <c r="AT83" i="13"/>
  <c r="AW83" i="13"/>
  <c r="AU83" i="13"/>
  <c r="AR83" i="13"/>
  <c r="AS83" i="13"/>
  <c r="AQ83" i="13"/>
  <c r="AO83" i="13"/>
  <c r="AP83" i="13"/>
  <c r="AN83" i="13"/>
  <c r="AK83" i="13"/>
  <c r="AM83" i="13"/>
  <c r="AJ83" i="13"/>
  <c r="AL83" i="13"/>
  <c r="BB77" i="13"/>
  <c r="BA77" i="13"/>
  <c r="AY77" i="13"/>
  <c r="AX77" i="13"/>
  <c r="AV77" i="13"/>
  <c r="AT77" i="13"/>
  <c r="AZ77" i="13"/>
  <c r="AW77" i="13"/>
  <c r="AU77" i="13"/>
  <c r="AR77" i="13"/>
  <c r="AS77" i="13"/>
  <c r="AQ77" i="13"/>
  <c r="AO77" i="13"/>
  <c r="AN77" i="13"/>
  <c r="AM77" i="13"/>
  <c r="AL77" i="13"/>
  <c r="AP77" i="13"/>
  <c r="AK77" i="13"/>
  <c r="AJ77" i="13"/>
  <c r="BB71" i="13"/>
  <c r="BA71" i="13"/>
  <c r="AY71" i="13"/>
  <c r="AX71" i="13"/>
  <c r="AV71" i="13"/>
  <c r="AT71" i="13"/>
  <c r="AZ71" i="13"/>
  <c r="AW71" i="13"/>
  <c r="AU71" i="13"/>
  <c r="AR71" i="13"/>
  <c r="AS71" i="13"/>
  <c r="AQ71" i="13"/>
  <c r="AO71" i="13"/>
  <c r="AP71" i="13"/>
  <c r="AN71" i="13"/>
  <c r="AL71" i="13"/>
  <c r="AM71" i="13"/>
  <c r="AK71" i="13"/>
  <c r="AJ71" i="13"/>
  <c r="BB65" i="13"/>
  <c r="BA65" i="13"/>
  <c r="AY65" i="13"/>
  <c r="AZ65" i="13"/>
  <c r="AX65" i="13"/>
  <c r="AV65" i="13"/>
  <c r="AT65" i="13"/>
  <c r="AW65" i="13"/>
  <c r="AU65" i="13"/>
  <c r="AR65" i="13"/>
  <c r="AS65" i="13"/>
  <c r="AQ65" i="13"/>
  <c r="AO65" i="13"/>
  <c r="AN65" i="13"/>
  <c r="AP65" i="13"/>
  <c r="AK65" i="13"/>
  <c r="AL65" i="13"/>
  <c r="AM65" i="13"/>
  <c r="AJ65" i="13"/>
  <c r="BB59" i="13"/>
  <c r="BA59" i="13"/>
  <c r="AY59" i="13"/>
  <c r="AX59" i="13"/>
  <c r="AV59" i="13"/>
  <c r="AT59" i="13"/>
  <c r="AZ59" i="13"/>
  <c r="AW59" i="13"/>
  <c r="AU59" i="13"/>
  <c r="AR59" i="13"/>
  <c r="AS59" i="13"/>
  <c r="AQ59" i="13"/>
  <c r="AO59" i="13"/>
  <c r="AP59" i="13"/>
  <c r="AM59" i="13"/>
  <c r="AL59" i="13"/>
  <c r="AN59" i="13"/>
  <c r="AK59" i="13"/>
  <c r="AJ59" i="13"/>
  <c r="BB53" i="13"/>
  <c r="BA53" i="13"/>
  <c r="AY53" i="13"/>
  <c r="AX53" i="13"/>
  <c r="AV53" i="13"/>
  <c r="AT53" i="13"/>
  <c r="AZ53" i="13"/>
  <c r="AW53" i="13"/>
  <c r="AU53" i="13"/>
  <c r="AR53" i="13"/>
  <c r="AS53" i="13"/>
  <c r="AQ53" i="13"/>
  <c r="AO53" i="13"/>
  <c r="AN53" i="13"/>
  <c r="AL53" i="13"/>
  <c r="AM53" i="13"/>
  <c r="AK53" i="13"/>
  <c r="AJ53" i="13"/>
  <c r="AP53" i="13"/>
  <c r="BV123" i="13"/>
  <c r="BW123" i="13"/>
  <c r="BT123" i="13"/>
  <c r="BU123" i="13"/>
  <c r="BS123" i="13"/>
  <c r="BN123" i="13"/>
  <c r="BP123" i="13"/>
  <c r="BO123" i="13"/>
  <c r="BM123" i="13"/>
  <c r="BQ123" i="13"/>
  <c r="BK123" i="13"/>
  <c r="BJ123" i="13"/>
  <c r="BR123" i="13"/>
  <c r="BL123" i="13"/>
  <c r="BH123" i="13"/>
  <c r="BG123" i="13"/>
  <c r="BI123" i="13"/>
  <c r="BF123" i="13"/>
  <c r="BE123" i="13"/>
  <c r="BV117" i="13"/>
  <c r="BT117" i="13"/>
  <c r="BU117" i="13"/>
  <c r="BW117" i="13"/>
  <c r="BS117" i="13"/>
  <c r="BR117" i="13"/>
  <c r="BP117" i="13"/>
  <c r="BN117" i="13"/>
  <c r="BQ117" i="13"/>
  <c r="BL117" i="13"/>
  <c r="BJ117" i="13"/>
  <c r="BO117" i="13"/>
  <c r="BM117" i="13"/>
  <c r="BH117" i="13"/>
  <c r="BG117" i="13"/>
  <c r="BK117" i="13"/>
  <c r="BI117" i="13"/>
  <c r="BF117" i="13"/>
  <c r="BE117" i="13"/>
  <c r="BV110" i="13"/>
  <c r="BW110" i="13"/>
  <c r="BT110" i="13"/>
  <c r="BU110" i="13"/>
  <c r="BR110" i="13"/>
  <c r="BS110" i="13"/>
  <c r="BN110" i="13"/>
  <c r="BQ110" i="13"/>
  <c r="BO110" i="13"/>
  <c r="BM110" i="13"/>
  <c r="BP110" i="13"/>
  <c r="BJ110" i="13"/>
  <c r="BL110" i="13"/>
  <c r="BK110" i="13"/>
  <c r="BH110" i="13"/>
  <c r="BG110" i="13"/>
  <c r="BI110" i="13"/>
  <c r="BF110" i="13"/>
  <c r="BE110" i="13"/>
  <c r="BV103" i="13"/>
  <c r="BW103" i="13"/>
  <c r="BT103" i="13"/>
  <c r="BU103" i="13"/>
  <c r="BS103" i="13"/>
  <c r="BP103" i="13"/>
  <c r="BN103" i="13"/>
  <c r="BO103" i="13"/>
  <c r="BR103" i="13"/>
  <c r="BM103" i="13"/>
  <c r="BK103" i="13"/>
  <c r="BJ103" i="13"/>
  <c r="BQ103" i="13"/>
  <c r="BL103" i="13"/>
  <c r="BH103" i="13"/>
  <c r="BG103" i="13"/>
  <c r="BI103" i="13"/>
  <c r="BF103" i="13"/>
  <c r="BE103" i="13"/>
  <c r="BV96" i="13"/>
  <c r="BT96" i="13"/>
  <c r="BU96" i="13"/>
  <c r="BS96" i="13"/>
  <c r="BW96" i="13"/>
  <c r="BR96" i="13"/>
  <c r="BN96" i="13"/>
  <c r="BM96" i="13"/>
  <c r="BP96" i="13"/>
  <c r="BQ96" i="13"/>
  <c r="BO96" i="13"/>
  <c r="BL96" i="13"/>
  <c r="BJ96" i="13"/>
  <c r="BH96" i="13"/>
  <c r="BK96" i="13"/>
  <c r="BG96" i="13"/>
  <c r="BI96" i="13"/>
  <c r="BF96" i="13"/>
  <c r="BE96" i="13"/>
  <c r="BV90" i="13"/>
  <c r="BT90" i="13"/>
  <c r="BW90" i="13"/>
  <c r="BU90" i="13"/>
  <c r="BS90" i="13"/>
  <c r="BR90" i="13"/>
  <c r="BP90" i="13"/>
  <c r="BN90" i="13"/>
  <c r="BQ90" i="13"/>
  <c r="BO90" i="13"/>
  <c r="BM90" i="13"/>
  <c r="BJ90" i="13"/>
  <c r="BL90" i="13"/>
  <c r="BK90" i="13"/>
  <c r="BH90" i="13"/>
  <c r="BG90" i="13"/>
  <c r="BI90" i="13"/>
  <c r="BF90" i="13"/>
  <c r="BE90" i="13"/>
  <c r="BV84" i="13"/>
  <c r="BW84" i="13"/>
  <c r="BT84" i="13"/>
  <c r="BU84" i="13"/>
  <c r="BS84" i="13"/>
  <c r="BN84" i="13"/>
  <c r="BR84" i="13"/>
  <c r="BO84" i="13"/>
  <c r="BQ84" i="13"/>
  <c r="BP84" i="13"/>
  <c r="BK84" i="13"/>
  <c r="BJ84" i="13"/>
  <c r="BM84" i="13"/>
  <c r="BL84" i="13"/>
  <c r="BH84" i="13"/>
  <c r="BG84" i="13"/>
  <c r="BI84" i="13"/>
  <c r="BF84" i="13"/>
  <c r="BE84" i="13"/>
  <c r="BV78" i="13"/>
  <c r="BT78" i="13"/>
  <c r="BW78" i="13"/>
  <c r="BU78" i="13"/>
  <c r="BS78" i="13"/>
  <c r="BR78" i="13"/>
  <c r="BP78" i="13"/>
  <c r="BN78" i="13"/>
  <c r="BM78" i="13"/>
  <c r="BO78" i="13"/>
  <c r="BL78" i="13"/>
  <c r="BJ78" i="13"/>
  <c r="BQ78" i="13"/>
  <c r="BH78" i="13"/>
  <c r="BK78" i="13"/>
  <c r="BG78" i="13"/>
  <c r="BI78" i="13"/>
  <c r="BF78" i="13"/>
  <c r="BE78" i="13"/>
  <c r="BV72" i="13"/>
  <c r="BW72" i="13"/>
  <c r="BT72" i="13"/>
  <c r="BU72" i="13"/>
  <c r="BR72" i="13"/>
  <c r="BS72" i="13"/>
  <c r="BN72" i="13"/>
  <c r="BQ72" i="13"/>
  <c r="BP72" i="13"/>
  <c r="BO72" i="13"/>
  <c r="BJ72" i="13"/>
  <c r="BL72" i="13"/>
  <c r="BM72" i="13"/>
  <c r="BK72" i="13"/>
  <c r="BH72" i="13"/>
  <c r="BG72" i="13"/>
  <c r="BI72" i="13"/>
  <c r="BF72" i="13"/>
  <c r="BE72" i="13"/>
  <c r="BV66" i="13"/>
  <c r="BW66" i="13"/>
  <c r="BT66" i="13"/>
  <c r="BU66" i="13"/>
  <c r="BS66" i="13"/>
  <c r="BP66" i="13"/>
  <c r="BN66" i="13"/>
  <c r="BO66" i="13"/>
  <c r="BM66" i="13"/>
  <c r="BK66" i="13"/>
  <c r="BJ66" i="13"/>
  <c r="BQ66" i="13"/>
  <c r="BR66" i="13"/>
  <c r="BL66" i="13"/>
  <c r="BH66" i="13"/>
  <c r="BG66" i="13"/>
  <c r="BI66" i="13"/>
  <c r="BF66" i="13"/>
  <c r="BE66" i="13"/>
  <c r="BV60" i="13"/>
  <c r="BT60" i="13"/>
  <c r="BU60" i="13"/>
  <c r="BW60" i="13"/>
  <c r="BS60" i="13"/>
  <c r="BR60" i="13"/>
  <c r="BN60" i="13"/>
  <c r="BM60" i="13"/>
  <c r="BP60" i="13"/>
  <c r="BQ60" i="13"/>
  <c r="BO60" i="13"/>
  <c r="BL60" i="13"/>
  <c r="BJ60" i="13"/>
  <c r="BH60" i="13"/>
  <c r="BG60" i="13"/>
  <c r="BK60" i="13"/>
  <c r="BI60" i="13"/>
  <c r="BF60" i="13"/>
  <c r="BE60" i="13"/>
  <c r="BV54" i="13"/>
  <c r="BT54" i="13"/>
  <c r="BW54" i="13"/>
  <c r="BU54" i="13"/>
  <c r="BR54" i="13"/>
  <c r="BS54" i="13"/>
  <c r="BP54" i="13"/>
  <c r="BN54" i="13"/>
  <c r="BQ54" i="13"/>
  <c r="BL54" i="13"/>
  <c r="BM54" i="13"/>
  <c r="BJ54" i="13"/>
  <c r="BO54" i="13"/>
  <c r="BK54" i="13"/>
  <c r="BH54" i="13"/>
  <c r="BG54" i="13"/>
  <c r="BI54" i="13"/>
  <c r="BF54" i="13"/>
  <c r="BE54" i="13"/>
  <c r="BV48" i="13"/>
  <c r="BW48" i="13"/>
  <c r="BT48" i="13"/>
  <c r="BU48" i="13"/>
  <c r="BS48" i="13"/>
  <c r="BN48" i="13"/>
  <c r="BP48" i="13"/>
  <c r="BR48" i="13"/>
  <c r="BO48" i="13"/>
  <c r="BM48" i="13"/>
  <c r="BK48" i="13"/>
  <c r="BJ48" i="13"/>
  <c r="BQ48" i="13"/>
  <c r="BH48" i="13"/>
  <c r="BG48" i="13"/>
  <c r="BL48" i="13"/>
  <c r="BI48" i="13"/>
  <c r="BF48" i="13"/>
  <c r="BE48" i="13"/>
  <c r="BB121" i="13"/>
  <c r="AX121" i="13"/>
  <c r="AY121" i="13"/>
  <c r="BA121" i="13"/>
  <c r="AZ121" i="13"/>
  <c r="AV121" i="13"/>
  <c r="AR121" i="13"/>
  <c r="AW121" i="13"/>
  <c r="AU121" i="13"/>
  <c r="AT121" i="13"/>
  <c r="AS121" i="13"/>
  <c r="AO121" i="13"/>
  <c r="AN121" i="13"/>
  <c r="AM121" i="13"/>
  <c r="AL121" i="13"/>
  <c r="AQ121" i="13"/>
  <c r="AK121" i="13"/>
  <c r="AJ121" i="13"/>
  <c r="AP121" i="13"/>
  <c r="BB115" i="13"/>
  <c r="BA115" i="13"/>
  <c r="AX115" i="13"/>
  <c r="AZ115" i="13"/>
  <c r="AY115" i="13"/>
  <c r="AT115" i="13"/>
  <c r="AR115" i="13"/>
  <c r="AV115" i="13"/>
  <c r="AS115" i="13"/>
  <c r="AW115" i="13"/>
  <c r="AU115" i="13"/>
  <c r="AM115" i="13"/>
  <c r="AQ115" i="13"/>
  <c r="AO115" i="13"/>
  <c r="AP115" i="13"/>
  <c r="AL115" i="13"/>
  <c r="AN115" i="13"/>
  <c r="AK115" i="13"/>
  <c r="AJ115" i="13"/>
  <c r="AY108" i="13"/>
  <c r="AX108" i="13"/>
  <c r="BA108" i="13"/>
  <c r="AZ108" i="13"/>
  <c r="BB108" i="13"/>
  <c r="AV108" i="13"/>
  <c r="AR108" i="13"/>
  <c r="AU108" i="13"/>
  <c r="AW108" i="13"/>
  <c r="AT108" i="13"/>
  <c r="AS108" i="13"/>
  <c r="AP108" i="13"/>
  <c r="AM108" i="13"/>
  <c r="AO108" i="13"/>
  <c r="AQ108" i="13"/>
  <c r="AK108" i="13"/>
  <c r="AJ108" i="13"/>
  <c r="AL108" i="13"/>
  <c r="AN108" i="13"/>
  <c r="BB101" i="13"/>
  <c r="AX101" i="13"/>
  <c r="AY101" i="13"/>
  <c r="BA101" i="13"/>
  <c r="AZ101" i="13"/>
  <c r="AT101" i="13"/>
  <c r="AR101" i="13"/>
  <c r="AW101" i="13"/>
  <c r="AV101" i="13"/>
  <c r="AS101" i="13"/>
  <c r="AU101" i="13"/>
  <c r="AO101" i="13"/>
  <c r="AN101" i="13"/>
  <c r="AM101" i="13"/>
  <c r="AQ101" i="13"/>
  <c r="AL101" i="13"/>
  <c r="AK101" i="13"/>
  <c r="AP101" i="13"/>
  <c r="AJ101" i="13"/>
  <c r="BB94" i="13"/>
  <c r="BA94" i="13"/>
  <c r="AX94" i="13"/>
  <c r="AZ94" i="13"/>
  <c r="AY94" i="13"/>
  <c r="AV94" i="13"/>
  <c r="AR94" i="13"/>
  <c r="AP94" i="13"/>
  <c r="AU94" i="13"/>
  <c r="AT94" i="13"/>
  <c r="AS94" i="13"/>
  <c r="AW94" i="13"/>
  <c r="AM94" i="13"/>
  <c r="AO94" i="13"/>
  <c r="AL94" i="13"/>
  <c r="AQ94" i="13"/>
  <c r="AK94" i="13"/>
  <c r="AN94" i="13"/>
  <c r="AJ94" i="13"/>
  <c r="AY88" i="13"/>
  <c r="AX88" i="13"/>
  <c r="AV88" i="13"/>
  <c r="BA88" i="13"/>
  <c r="AZ88" i="13"/>
  <c r="BB88" i="13"/>
  <c r="AT88" i="13"/>
  <c r="AR88" i="13"/>
  <c r="AP88" i="13"/>
  <c r="AW88" i="13"/>
  <c r="AS88" i="13"/>
  <c r="AU88" i="13"/>
  <c r="AM88" i="13"/>
  <c r="AQ88" i="13"/>
  <c r="AO88" i="13"/>
  <c r="AN88" i="13"/>
  <c r="AK88" i="13"/>
  <c r="AL88" i="13"/>
  <c r="AJ88" i="13"/>
  <c r="BB82" i="13"/>
  <c r="AX82" i="13"/>
  <c r="AV82" i="13"/>
  <c r="AY82" i="13"/>
  <c r="BA82" i="13"/>
  <c r="AZ82" i="13"/>
  <c r="AR82" i="13"/>
  <c r="AP82" i="13"/>
  <c r="AW82" i="13"/>
  <c r="AU82" i="13"/>
  <c r="AT82" i="13"/>
  <c r="AS82" i="13"/>
  <c r="AO82" i="13"/>
  <c r="AN82" i="13"/>
  <c r="AM82" i="13"/>
  <c r="AQ82" i="13"/>
  <c r="AL82" i="13"/>
  <c r="AK82" i="13"/>
  <c r="AJ82" i="13"/>
  <c r="BB76" i="13"/>
  <c r="BA76" i="13"/>
  <c r="AX76" i="13"/>
  <c r="AV76" i="13"/>
  <c r="AZ76" i="13"/>
  <c r="AY76" i="13"/>
  <c r="AT76" i="13"/>
  <c r="AR76" i="13"/>
  <c r="AP76" i="13"/>
  <c r="AS76" i="13"/>
  <c r="AW76" i="13"/>
  <c r="AU76" i="13"/>
  <c r="AM76" i="13"/>
  <c r="AQ76" i="13"/>
  <c r="AO76" i="13"/>
  <c r="AN76" i="13"/>
  <c r="AL76" i="13"/>
  <c r="AK76" i="13"/>
  <c r="AJ76" i="13"/>
  <c r="AY70" i="13"/>
  <c r="AX70" i="13"/>
  <c r="AV70" i="13"/>
  <c r="BA70" i="13"/>
  <c r="AZ70" i="13"/>
  <c r="BB70" i="13"/>
  <c r="AR70" i="13"/>
  <c r="AP70" i="13"/>
  <c r="AU70" i="13"/>
  <c r="AW70" i="13"/>
  <c r="AT70" i="13"/>
  <c r="AS70" i="13"/>
  <c r="AM70" i="13"/>
  <c r="AO70" i="13"/>
  <c r="AQ70" i="13"/>
  <c r="AN70" i="13"/>
  <c r="AK70" i="13"/>
  <c r="AL70" i="13"/>
  <c r="AJ70" i="13"/>
  <c r="BB64" i="13"/>
  <c r="AX64" i="13"/>
  <c r="AV64" i="13"/>
  <c r="AY64" i="13"/>
  <c r="BA64" i="13"/>
  <c r="AZ64" i="13"/>
  <c r="AT64" i="13"/>
  <c r="AR64" i="13"/>
  <c r="AP64" i="13"/>
  <c r="AW64" i="13"/>
  <c r="AS64" i="13"/>
  <c r="AU64" i="13"/>
  <c r="AO64" i="13"/>
  <c r="AN64" i="13"/>
  <c r="AM64" i="13"/>
  <c r="AQ64" i="13"/>
  <c r="AL64" i="13"/>
  <c r="AK64" i="13"/>
  <c r="AJ64" i="13"/>
  <c r="BB58" i="13"/>
  <c r="BA58" i="13"/>
  <c r="AX58" i="13"/>
  <c r="AV58" i="13"/>
  <c r="AZ58" i="13"/>
  <c r="AY58" i="13"/>
  <c r="AR58" i="13"/>
  <c r="AP58" i="13"/>
  <c r="AU58" i="13"/>
  <c r="AT58" i="13"/>
  <c r="AS58" i="13"/>
  <c r="AW58" i="13"/>
  <c r="AM58" i="13"/>
  <c r="AO58" i="13"/>
  <c r="AQ58" i="13"/>
  <c r="AL58" i="13"/>
  <c r="AN58" i="13"/>
  <c r="AK58" i="13"/>
  <c r="AJ58" i="13"/>
  <c r="BB52" i="13"/>
  <c r="AY52" i="13"/>
  <c r="AX52" i="13"/>
  <c r="AV52" i="13"/>
  <c r="BA52" i="13"/>
  <c r="AZ52" i="13"/>
  <c r="AT52" i="13"/>
  <c r="AR52" i="13"/>
  <c r="AP52" i="13"/>
  <c r="AW52" i="13"/>
  <c r="AS52" i="13"/>
  <c r="AU52" i="13"/>
  <c r="AM52" i="13"/>
  <c r="AQ52" i="13"/>
  <c r="AO52" i="13"/>
  <c r="AK52" i="13"/>
  <c r="AN52" i="13"/>
  <c r="AJ52" i="13"/>
  <c r="AL52" i="13"/>
  <c r="BW122" i="13"/>
  <c r="BV122" i="13"/>
  <c r="BU122" i="13"/>
  <c r="BT122" i="13"/>
  <c r="BS122" i="13"/>
  <c r="BR122" i="13"/>
  <c r="BP122" i="13"/>
  <c r="BO122" i="13"/>
  <c r="BL122" i="13"/>
  <c r="BM122" i="13"/>
  <c r="BG122" i="13"/>
  <c r="BN122" i="13"/>
  <c r="BQ122" i="13"/>
  <c r="BH122" i="13"/>
  <c r="BK122" i="13"/>
  <c r="BI122" i="13"/>
  <c r="BJ122" i="13"/>
  <c r="BE122" i="13"/>
  <c r="BF122" i="13"/>
  <c r="BW116" i="13"/>
  <c r="BV116" i="13"/>
  <c r="BU116" i="13"/>
  <c r="BT116" i="13"/>
  <c r="BS116" i="13"/>
  <c r="BR116" i="13"/>
  <c r="BP116" i="13"/>
  <c r="BN116" i="13"/>
  <c r="BL116" i="13"/>
  <c r="BO116" i="13"/>
  <c r="BG116" i="13"/>
  <c r="BQ116" i="13"/>
  <c r="BM116" i="13"/>
  <c r="BI116" i="13"/>
  <c r="BH116" i="13"/>
  <c r="BK116" i="13"/>
  <c r="BJ116" i="13"/>
  <c r="BE116" i="13"/>
  <c r="BF116" i="13"/>
  <c r="BW109" i="13"/>
  <c r="BV109" i="13"/>
  <c r="BU109" i="13"/>
  <c r="BT109" i="13"/>
  <c r="BS109" i="13"/>
  <c r="BR109" i="13"/>
  <c r="BP109" i="13"/>
  <c r="BN109" i="13"/>
  <c r="BQ109" i="13"/>
  <c r="BL109" i="13"/>
  <c r="BO109" i="13"/>
  <c r="BG109" i="13"/>
  <c r="BM109" i="13"/>
  <c r="BK109" i="13"/>
  <c r="BI109" i="13"/>
  <c r="BH109" i="13"/>
  <c r="BJ109" i="13"/>
  <c r="BE109" i="13"/>
  <c r="BF109" i="13"/>
  <c r="BW102" i="13"/>
  <c r="BV102" i="13"/>
  <c r="BU102" i="13"/>
  <c r="BT102" i="13"/>
  <c r="BS102" i="13"/>
  <c r="BR102" i="13"/>
  <c r="BP102" i="13"/>
  <c r="BQ102" i="13"/>
  <c r="BO102" i="13"/>
  <c r="BL102" i="13"/>
  <c r="BG102" i="13"/>
  <c r="BN102" i="13"/>
  <c r="BM102" i="13"/>
  <c r="BH102" i="13"/>
  <c r="BI102" i="13"/>
  <c r="BJ102" i="13"/>
  <c r="BK102" i="13"/>
  <c r="BE102" i="13"/>
  <c r="BF102" i="13"/>
  <c r="BW95" i="13"/>
  <c r="BV95" i="13"/>
  <c r="BU95" i="13"/>
  <c r="BT95" i="13"/>
  <c r="BS95" i="13"/>
  <c r="BR95" i="13"/>
  <c r="BP95" i="13"/>
  <c r="BO95" i="13"/>
  <c r="BQ95" i="13"/>
  <c r="BN95" i="13"/>
  <c r="BL95" i="13"/>
  <c r="BG95" i="13"/>
  <c r="BM95" i="13"/>
  <c r="BI95" i="13"/>
  <c r="BK95" i="13"/>
  <c r="BH95" i="13"/>
  <c r="BJ95" i="13"/>
  <c r="BE95" i="13"/>
  <c r="BF95" i="13"/>
  <c r="BW89" i="13"/>
  <c r="BV89" i="13"/>
  <c r="BU89" i="13"/>
  <c r="BT89" i="13"/>
  <c r="BS89" i="13"/>
  <c r="BR89" i="13"/>
  <c r="BP89" i="13"/>
  <c r="BM89" i="13"/>
  <c r="BN89" i="13"/>
  <c r="BQ89" i="13"/>
  <c r="BL89" i="13"/>
  <c r="BG89" i="13"/>
  <c r="BO89" i="13"/>
  <c r="BK89" i="13"/>
  <c r="BI89" i="13"/>
  <c r="BH89" i="13"/>
  <c r="BJ89" i="13"/>
  <c r="BE89" i="13"/>
  <c r="BF89" i="13"/>
  <c r="BW83" i="13"/>
  <c r="BV83" i="13"/>
  <c r="BU83" i="13"/>
  <c r="BT83" i="13"/>
  <c r="BS83" i="13"/>
  <c r="BR83" i="13"/>
  <c r="BP83" i="13"/>
  <c r="BO83" i="13"/>
  <c r="BM83" i="13"/>
  <c r="BL83" i="13"/>
  <c r="BG83" i="13"/>
  <c r="BN83" i="13"/>
  <c r="BQ83" i="13"/>
  <c r="BH83" i="13"/>
  <c r="BI83" i="13"/>
  <c r="BK83" i="13"/>
  <c r="BJ83" i="13"/>
  <c r="BE83" i="13"/>
  <c r="BF83" i="13"/>
  <c r="BW77" i="13"/>
  <c r="BV77" i="13"/>
  <c r="BU77" i="13"/>
  <c r="BT77" i="13"/>
  <c r="BS77" i="13"/>
  <c r="BR77" i="13"/>
  <c r="BP77" i="13"/>
  <c r="BN77" i="13"/>
  <c r="BQ77" i="13"/>
  <c r="BO77" i="13"/>
  <c r="BM77" i="13"/>
  <c r="BL77" i="13"/>
  <c r="BG77" i="13"/>
  <c r="BK77" i="13"/>
  <c r="BI77" i="13"/>
  <c r="BH77" i="13"/>
  <c r="BJ77" i="13"/>
  <c r="BE77" i="13"/>
  <c r="BF77" i="13"/>
  <c r="BW71" i="13"/>
  <c r="BV71" i="13"/>
  <c r="BU71" i="13"/>
  <c r="BT71" i="13"/>
  <c r="BS71" i="13"/>
  <c r="BR71" i="13"/>
  <c r="BP71" i="13"/>
  <c r="BN71" i="13"/>
  <c r="BQ71" i="13"/>
  <c r="BL71" i="13"/>
  <c r="BG71" i="13"/>
  <c r="BM71" i="13"/>
  <c r="BO71" i="13"/>
  <c r="BK71" i="13"/>
  <c r="BI71" i="13"/>
  <c r="BH71" i="13"/>
  <c r="BJ71" i="13"/>
  <c r="BE71" i="13"/>
  <c r="BF71" i="13"/>
  <c r="BW65" i="13"/>
  <c r="BV65" i="13"/>
  <c r="BU65" i="13"/>
  <c r="BT65" i="13"/>
  <c r="BS65" i="13"/>
  <c r="BR65" i="13"/>
  <c r="BP65" i="13"/>
  <c r="BO65" i="13"/>
  <c r="BM65" i="13"/>
  <c r="BL65" i="13"/>
  <c r="BN65" i="13"/>
  <c r="BG65" i="13"/>
  <c r="BQ65" i="13"/>
  <c r="BH65" i="13"/>
  <c r="BK65" i="13"/>
  <c r="BI65" i="13"/>
  <c r="BJ65" i="13"/>
  <c r="BE65" i="13"/>
  <c r="BF65" i="13"/>
  <c r="BW59" i="13"/>
  <c r="BV59" i="13"/>
  <c r="BU59" i="13"/>
  <c r="BT59" i="13"/>
  <c r="BS59" i="13"/>
  <c r="BR59" i="13"/>
  <c r="BP59" i="13"/>
  <c r="BQ59" i="13"/>
  <c r="BO59" i="13"/>
  <c r="BM59" i="13"/>
  <c r="BL59" i="13"/>
  <c r="BN59" i="13"/>
  <c r="BG59" i="13"/>
  <c r="BI59" i="13"/>
  <c r="BH59" i="13"/>
  <c r="BK59" i="13"/>
  <c r="BJ59" i="13"/>
  <c r="BE59" i="13"/>
  <c r="BF59" i="13"/>
  <c r="BW53" i="13"/>
  <c r="BV53" i="13"/>
  <c r="BU53" i="13"/>
  <c r="BT53" i="13"/>
  <c r="BS53" i="13"/>
  <c r="BR53" i="13"/>
  <c r="BP53" i="13"/>
  <c r="BM53" i="13"/>
  <c r="BN53" i="13"/>
  <c r="BQ53" i="13"/>
  <c r="BG53" i="13"/>
  <c r="BL53" i="13"/>
  <c r="BO53" i="13"/>
  <c r="BK53" i="13"/>
  <c r="BI53" i="13"/>
  <c r="BH53" i="13"/>
  <c r="BJ53" i="13"/>
  <c r="BE53" i="13"/>
  <c r="BF53" i="13"/>
  <c r="AZ126" i="13"/>
  <c r="BA126" i="13"/>
  <c r="BB126" i="13"/>
  <c r="AY126" i="13"/>
  <c r="AX126" i="13"/>
  <c r="AV126" i="13"/>
  <c r="AT126" i="13"/>
  <c r="AW126" i="13"/>
  <c r="AS126" i="13"/>
  <c r="AU126" i="13"/>
  <c r="AR126" i="13"/>
  <c r="AP126" i="13"/>
  <c r="AN126" i="13"/>
  <c r="AM126" i="13"/>
  <c r="AQ126" i="13"/>
  <c r="AK126" i="13"/>
  <c r="AL126" i="13"/>
  <c r="AJ126" i="13"/>
  <c r="AO126" i="13"/>
  <c r="AZ120" i="13"/>
  <c r="AY120" i="13"/>
  <c r="BB120" i="13"/>
  <c r="BA120" i="13"/>
  <c r="AX120" i="13"/>
  <c r="AV120" i="13"/>
  <c r="AT120" i="13"/>
  <c r="AW120" i="13"/>
  <c r="AU120" i="13"/>
  <c r="AS120" i="13"/>
  <c r="AR120" i="13"/>
  <c r="AP120" i="13"/>
  <c r="AN120" i="13"/>
  <c r="AM120" i="13"/>
  <c r="AL120" i="13"/>
  <c r="AQ120" i="13"/>
  <c r="AK120" i="13"/>
  <c r="AO120" i="13"/>
  <c r="AJ120" i="13"/>
  <c r="BB114" i="13"/>
  <c r="AZ114" i="13"/>
  <c r="AY114" i="13"/>
  <c r="BA114" i="13"/>
  <c r="AX114" i="13"/>
  <c r="AV114" i="13"/>
  <c r="AT114" i="13"/>
  <c r="AS114" i="13"/>
  <c r="AW114" i="13"/>
  <c r="AU114" i="13"/>
  <c r="AR114" i="13"/>
  <c r="AP114" i="13"/>
  <c r="AN114" i="13"/>
  <c r="AM114" i="13"/>
  <c r="AQ114" i="13"/>
  <c r="AO114" i="13"/>
  <c r="AK114" i="13"/>
  <c r="AJ114" i="13"/>
  <c r="AL114" i="13"/>
  <c r="AZ106" i="13"/>
  <c r="BA106" i="13"/>
  <c r="BB106" i="13"/>
  <c r="AY106" i="13"/>
  <c r="AX106" i="13"/>
  <c r="AV106" i="13"/>
  <c r="AT106" i="13"/>
  <c r="AU106" i="13"/>
  <c r="AW106" i="13"/>
  <c r="AS106" i="13"/>
  <c r="AR106" i="13"/>
  <c r="AP106" i="13"/>
  <c r="AN106" i="13"/>
  <c r="AM106" i="13"/>
  <c r="AQ106" i="13"/>
  <c r="AK106" i="13"/>
  <c r="AL106" i="13"/>
  <c r="AO106" i="13"/>
  <c r="AJ106" i="13"/>
  <c r="AZ100" i="13"/>
  <c r="AY100" i="13"/>
  <c r="BB100" i="13"/>
  <c r="BA100" i="13"/>
  <c r="AX100" i="13"/>
  <c r="AV100" i="13"/>
  <c r="AT100" i="13"/>
  <c r="AW100" i="13"/>
  <c r="AS100" i="13"/>
  <c r="AU100" i="13"/>
  <c r="AR100" i="13"/>
  <c r="AP100" i="13"/>
  <c r="AN100" i="13"/>
  <c r="AM100" i="13"/>
  <c r="AQ100" i="13"/>
  <c r="AL100" i="13"/>
  <c r="AK100" i="13"/>
  <c r="AO100" i="13"/>
  <c r="AJ100" i="13"/>
  <c r="BB93" i="13"/>
  <c r="AZ93" i="13"/>
  <c r="AY93" i="13"/>
  <c r="BA93" i="13"/>
  <c r="AX93" i="13"/>
  <c r="AV93" i="13"/>
  <c r="AT93" i="13"/>
  <c r="AU93" i="13"/>
  <c r="AS93" i="13"/>
  <c r="AW93" i="13"/>
  <c r="AR93" i="13"/>
  <c r="AP93" i="13"/>
  <c r="AN93" i="13"/>
  <c r="AM93" i="13"/>
  <c r="AO93" i="13"/>
  <c r="AQ93" i="13"/>
  <c r="AK93" i="13"/>
  <c r="AL93" i="13"/>
  <c r="AJ93" i="13"/>
  <c r="AZ87" i="13"/>
  <c r="BA87" i="13"/>
  <c r="BB87" i="13"/>
  <c r="AY87" i="13"/>
  <c r="AX87" i="13"/>
  <c r="AV87" i="13"/>
  <c r="AT87" i="13"/>
  <c r="AW87" i="13"/>
  <c r="AS87" i="13"/>
  <c r="AU87" i="13"/>
  <c r="AR87" i="13"/>
  <c r="AP87" i="13"/>
  <c r="AN87" i="13"/>
  <c r="AM87" i="13"/>
  <c r="AQ87" i="13"/>
  <c r="AK87" i="13"/>
  <c r="AL87" i="13"/>
  <c r="AO87" i="13"/>
  <c r="AJ87" i="13"/>
  <c r="AZ81" i="13"/>
  <c r="AY81" i="13"/>
  <c r="BB81" i="13"/>
  <c r="BA81" i="13"/>
  <c r="AX81" i="13"/>
  <c r="AV81" i="13"/>
  <c r="AT81" i="13"/>
  <c r="AW81" i="13"/>
  <c r="AU81" i="13"/>
  <c r="AS81" i="13"/>
  <c r="AR81" i="13"/>
  <c r="AP81" i="13"/>
  <c r="AN81" i="13"/>
  <c r="AM81" i="13"/>
  <c r="AQ81" i="13"/>
  <c r="AL81" i="13"/>
  <c r="AK81" i="13"/>
  <c r="AO81" i="13"/>
  <c r="AJ81" i="13"/>
  <c r="BB75" i="13"/>
  <c r="AZ75" i="13"/>
  <c r="AY75" i="13"/>
  <c r="BA75" i="13"/>
  <c r="AX75" i="13"/>
  <c r="AV75" i="13"/>
  <c r="AT75" i="13"/>
  <c r="AS75" i="13"/>
  <c r="AW75" i="13"/>
  <c r="AU75" i="13"/>
  <c r="AR75" i="13"/>
  <c r="AP75" i="13"/>
  <c r="AN75" i="13"/>
  <c r="AM75" i="13"/>
  <c r="AQ75" i="13"/>
  <c r="AO75" i="13"/>
  <c r="AK75" i="13"/>
  <c r="AJ75" i="13"/>
  <c r="AL75" i="13"/>
  <c r="AZ69" i="13"/>
  <c r="BA69" i="13"/>
  <c r="BB69" i="13"/>
  <c r="AY69" i="13"/>
  <c r="AX69" i="13"/>
  <c r="AV69" i="13"/>
  <c r="AT69" i="13"/>
  <c r="AU69" i="13"/>
  <c r="AW69" i="13"/>
  <c r="AS69" i="13"/>
  <c r="AR69" i="13"/>
  <c r="AP69" i="13"/>
  <c r="AN69" i="13"/>
  <c r="AM69" i="13"/>
  <c r="AQ69" i="13"/>
  <c r="AK69" i="13"/>
  <c r="AL69" i="13"/>
  <c r="AJ69" i="13"/>
  <c r="AO69" i="13"/>
  <c r="AZ63" i="13"/>
  <c r="AY63" i="13"/>
  <c r="BB63" i="13"/>
  <c r="BA63" i="13"/>
  <c r="AX63" i="13"/>
  <c r="AV63" i="13"/>
  <c r="AT63" i="13"/>
  <c r="AW63" i="13"/>
  <c r="AS63" i="13"/>
  <c r="AU63" i="13"/>
  <c r="AR63" i="13"/>
  <c r="AP63" i="13"/>
  <c r="AN63" i="13"/>
  <c r="AM63" i="13"/>
  <c r="AQ63" i="13"/>
  <c r="AL63" i="13"/>
  <c r="AK63" i="13"/>
  <c r="AO63" i="13"/>
  <c r="AJ63" i="13"/>
  <c r="BB57" i="13"/>
  <c r="AZ57" i="13"/>
  <c r="AY57" i="13"/>
  <c r="BA57" i="13"/>
  <c r="AX57" i="13"/>
  <c r="AV57" i="13"/>
  <c r="AT57" i="13"/>
  <c r="AU57" i="13"/>
  <c r="AS57" i="13"/>
  <c r="AW57" i="13"/>
  <c r="AR57" i="13"/>
  <c r="AP57" i="13"/>
  <c r="AN57" i="13"/>
  <c r="AM57" i="13"/>
  <c r="AO57" i="13"/>
  <c r="AQ57" i="13"/>
  <c r="AK57" i="13"/>
  <c r="AJ57" i="13"/>
  <c r="AL57" i="13"/>
  <c r="AZ51" i="13"/>
  <c r="BA51" i="13"/>
  <c r="BB51" i="13"/>
  <c r="AY51" i="13"/>
  <c r="AX51" i="13"/>
  <c r="AV51" i="13"/>
  <c r="AT51" i="13"/>
  <c r="AW51" i="13"/>
  <c r="AS51" i="13"/>
  <c r="AU51" i="13"/>
  <c r="AR51" i="13"/>
  <c r="AP51" i="13"/>
  <c r="AN51" i="13"/>
  <c r="AM51" i="13"/>
  <c r="AQ51" i="13"/>
  <c r="AK51" i="13"/>
  <c r="AL51" i="13"/>
  <c r="AO51" i="13"/>
  <c r="AJ51" i="13"/>
  <c r="BW121" i="13"/>
  <c r="BV121" i="13"/>
  <c r="BU121" i="13"/>
  <c r="BR121" i="13"/>
  <c r="BT121" i="13"/>
  <c r="BQ121" i="13"/>
  <c r="BP121" i="13"/>
  <c r="BS121" i="13"/>
  <c r="BM121" i="13"/>
  <c r="BK121" i="13"/>
  <c r="BO121" i="13"/>
  <c r="BN121" i="13"/>
  <c r="BI121" i="13"/>
  <c r="BJ121" i="13"/>
  <c r="BL121" i="13"/>
  <c r="BH121" i="13"/>
  <c r="BG121" i="13"/>
  <c r="BE121" i="13"/>
  <c r="BF121" i="13"/>
  <c r="BW115" i="13"/>
  <c r="BV115" i="13"/>
  <c r="BU115" i="13"/>
  <c r="BR115" i="13"/>
  <c r="BQ115" i="13"/>
  <c r="BP115" i="13"/>
  <c r="BT115" i="13"/>
  <c r="BS115" i="13"/>
  <c r="BO115" i="13"/>
  <c r="BM115" i="13"/>
  <c r="BK115" i="13"/>
  <c r="BN115" i="13"/>
  <c r="BI115" i="13"/>
  <c r="BJ115" i="13"/>
  <c r="BL115" i="13"/>
  <c r="BG115" i="13"/>
  <c r="BH115" i="13"/>
  <c r="BE115" i="13"/>
  <c r="BF115" i="13"/>
  <c r="BW108" i="13"/>
  <c r="BV108" i="13"/>
  <c r="BR108" i="13"/>
  <c r="BT108" i="13"/>
  <c r="BS108" i="13"/>
  <c r="BQ108" i="13"/>
  <c r="BU108" i="13"/>
  <c r="BP108" i="13"/>
  <c r="BN108" i="13"/>
  <c r="BK108" i="13"/>
  <c r="BM108" i="13"/>
  <c r="BL108" i="13"/>
  <c r="BO108" i="13"/>
  <c r="BI108" i="13"/>
  <c r="BJ108" i="13"/>
  <c r="BH108" i="13"/>
  <c r="BG108" i="13"/>
  <c r="BE108" i="13"/>
  <c r="BF108" i="13"/>
  <c r="BW101" i="13"/>
  <c r="BV101" i="13"/>
  <c r="BU101" i="13"/>
  <c r="BR101" i="13"/>
  <c r="BQ101" i="13"/>
  <c r="BT101" i="13"/>
  <c r="BP101" i="13"/>
  <c r="BS101" i="13"/>
  <c r="BK101" i="13"/>
  <c r="BO101" i="13"/>
  <c r="BM101" i="13"/>
  <c r="BN101" i="13"/>
  <c r="BI101" i="13"/>
  <c r="BJ101" i="13"/>
  <c r="BL101" i="13"/>
  <c r="BH101" i="13"/>
  <c r="BG101" i="13"/>
  <c r="BE101" i="13"/>
  <c r="BF101" i="13"/>
  <c r="BW94" i="13"/>
  <c r="BV94" i="13"/>
  <c r="BU94" i="13"/>
  <c r="BR94" i="13"/>
  <c r="BQ94" i="13"/>
  <c r="BT94" i="13"/>
  <c r="BS94" i="13"/>
  <c r="BP94" i="13"/>
  <c r="BO94" i="13"/>
  <c r="BM94" i="13"/>
  <c r="BK94" i="13"/>
  <c r="BN94" i="13"/>
  <c r="BI94" i="13"/>
  <c r="BJ94" i="13"/>
  <c r="BL94" i="13"/>
  <c r="BG94" i="13"/>
  <c r="BH94" i="13"/>
  <c r="BE94" i="13"/>
  <c r="BF94" i="13"/>
  <c r="BW88" i="13"/>
  <c r="BV88" i="13"/>
  <c r="BU88" i="13"/>
  <c r="BR88" i="13"/>
  <c r="BS88" i="13"/>
  <c r="BT88" i="13"/>
  <c r="BQ88" i="13"/>
  <c r="BP88" i="13"/>
  <c r="BO88" i="13"/>
  <c r="BN88" i="13"/>
  <c r="BK88" i="13"/>
  <c r="BL88" i="13"/>
  <c r="BM88" i="13"/>
  <c r="BI88" i="13"/>
  <c r="BJ88" i="13"/>
  <c r="BH88" i="13"/>
  <c r="BG88" i="13"/>
  <c r="BE88" i="13"/>
  <c r="BF88" i="13"/>
  <c r="BW82" i="13"/>
  <c r="BV82" i="13"/>
  <c r="BR82" i="13"/>
  <c r="BT82" i="13"/>
  <c r="BU82" i="13"/>
  <c r="BQ82" i="13"/>
  <c r="BS82" i="13"/>
  <c r="BP82" i="13"/>
  <c r="BM82" i="13"/>
  <c r="BK82" i="13"/>
  <c r="BN82" i="13"/>
  <c r="BO82" i="13"/>
  <c r="BI82" i="13"/>
  <c r="BJ82" i="13"/>
  <c r="BL82" i="13"/>
  <c r="BH82" i="13"/>
  <c r="BG82" i="13"/>
  <c r="BE82" i="13"/>
  <c r="BF82" i="13"/>
  <c r="BW76" i="13"/>
  <c r="BV76" i="13"/>
  <c r="BU76" i="13"/>
  <c r="BR76" i="13"/>
  <c r="BT76" i="13"/>
  <c r="BQ76" i="13"/>
  <c r="BP76" i="13"/>
  <c r="BS76" i="13"/>
  <c r="BO76" i="13"/>
  <c r="BK76" i="13"/>
  <c r="BN76" i="13"/>
  <c r="BM76" i="13"/>
  <c r="BI76" i="13"/>
  <c r="BJ76" i="13"/>
  <c r="BG76" i="13"/>
  <c r="BL76" i="13"/>
  <c r="BH76" i="13"/>
  <c r="BE76" i="13"/>
  <c r="BF76" i="13"/>
  <c r="BW70" i="13"/>
  <c r="BV70" i="13"/>
  <c r="BU70" i="13"/>
  <c r="BR70" i="13"/>
  <c r="BS70" i="13"/>
  <c r="BQ70" i="13"/>
  <c r="BP70" i="13"/>
  <c r="BT70" i="13"/>
  <c r="BN70" i="13"/>
  <c r="BK70" i="13"/>
  <c r="BM70" i="13"/>
  <c r="BL70" i="13"/>
  <c r="BO70" i="13"/>
  <c r="BI70" i="13"/>
  <c r="BJ70" i="13"/>
  <c r="BH70" i="13"/>
  <c r="BG70" i="13"/>
  <c r="BE70" i="13"/>
  <c r="BF70" i="13"/>
  <c r="BW64" i="13"/>
  <c r="BV64" i="13"/>
  <c r="BU64" i="13"/>
  <c r="BR64" i="13"/>
  <c r="BQ64" i="13"/>
  <c r="BT64" i="13"/>
  <c r="BP64" i="13"/>
  <c r="BS64" i="13"/>
  <c r="BN64" i="13"/>
  <c r="BK64" i="13"/>
  <c r="BM64" i="13"/>
  <c r="BO64" i="13"/>
  <c r="BI64" i="13"/>
  <c r="BJ64" i="13"/>
  <c r="BL64" i="13"/>
  <c r="BH64" i="13"/>
  <c r="BG64" i="13"/>
  <c r="BE64" i="13"/>
  <c r="BF64" i="13"/>
  <c r="BW58" i="13"/>
  <c r="BV58" i="13"/>
  <c r="BR58" i="13"/>
  <c r="BT58" i="13"/>
  <c r="BQ58" i="13"/>
  <c r="BU58" i="13"/>
  <c r="BP58" i="13"/>
  <c r="BS58" i="13"/>
  <c r="BO58" i="13"/>
  <c r="BK58" i="13"/>
  <c r="BM58" i="13"/>
  <c r="BN58" i="13"/>
  <c r="BI58" i="13"/>
  <c r="BJ58" i="13"/>
  <c r="BL58" i="13"/>
  <c r="BG58" i="13"/>
  <c r="BH58" i="13"/>
  <c r="BE58" i="13"/>
  <c r="BF58" i="13"/>
  <c r="BW52" i="13"/>
  <c r="BV52" i="13"/>
  <c r="BU52" i="13"/>
  <c r="BR52" i="13"/>
  <c r="BS52" i="13"/>
  <c r="BQ52" i="13"/>
  <c r="BT52" i="13"/>
  <c r="BP52" i="13"/>
  <c r="BO52" i="13"/>
  <c r="BK52" i="13"/>
  <c r="BN52" i="13"/>
  <c r="BL52" i="13"/>
  <c r="BM52" i="13"/>
  <c r="BI52" i="13"/>
  <c r="BJ52" i="13"/>
  <c r="BH52" i="13"/>
  <c r="BG52" i="13"/>
  <c r="BE52" i="13"/>
  <c r="BF52" i="13"/>
  <c r="AA121" i="13"/>
  <c r="AC121" i="13" s="1"/>
  <c r="AB121" i="13"/>
  <c r="AA94" i="13"/>
  <c r="AC94" i="13" s="1"/>
  <c r="AB94" i="13"/>
  <c r="AA64" i="13"/>
  <c r="AC64" i="13" s="1"/>
  <c r="AB64" i="13"/>
  <c r="AA125" i="13"/>
  <c r="AC125" i="13" s="1"/>
  <c r="AB125" i="13"/>
  <c r="AA119" i="13"/>
  <c r="AC119" i="13" s="1"/>
  <c r="AB119" i="13"/>
  <c r="AA113" i="13"/>
  <c r="AC113" i="13" s="1"/>
  <c r="AB113" i="13"/>
  <c r="AA98" i="13"/>
  <c r="AC98" i="13" s="1"/>
  <c r="AB98" i="13"/>
  <c r="AA92" i="13"/>
  <c r="AC92" i="13" s="1"/>
  <c r="AB92" i="13"/>
  <c r="AA86" i="13"/>
  <c r="AC86" i="13" s="1"/>
  <c r="AB86" i="13"/>
  <c r="AA80" i="13"/>
  <c r="AC80" i="13" s="1"/>
  <c r="AB80" i="13"/>
  <c r="AA74" i="13"/>
  <c r="AC74" i="13" s="1"/>
  <c r="AB74" i="13"/>
  <c r="AA68" i="13"/>
  <c r="AC68" i="13" s="1"/>
  <c r="AB68" i="13"/>
  <c r="AA62" i="13"/>
  <c r="AC62" i="13" s="1"/>
  <c r="AB62" i="13"/>
  <c r="AA56" i="13"/>
  <c r="AC56" i="13" s="1"/>
  <c r="AB56" i="13"/>
  <c r="AA50" i="13"/>
  <c r="AC50" i="13" s="1"/>
  <c r="AB50" i="13"/>
  <c r="AA124" i="13"/>
  <c r="AC124" i="13" s="1"/>
  <c r="AB124" i="13"/>
  <c r="AA118" i="13"/>
  <c r="AC118" i="13" s="1"/>
  <c r="AB118" i="13"/>
  <c r="AA111" i="13"/>
  <c r="AC111" i="13" s="1"/>
  <c r="AB111" i="13"/>
  <c r="AA104" i="13"/>
  <c r="AC104" i="13" s="1"/>
  <c r="AB104" i="13"/>
  <c r="AA97" i="13"/>
  <c r="AC97" i="13" s="1"/>
  <c r="AB97" i="13"/>
  <c r="AA91" i="13"/>
  <c r="AC91" i="13" s="1"/>
  <c r="AB91" i="13"/>
  <c r="AA85" i="13"/>
  <c r="AC85" i="13" s="1"/>
  <c r="AB85" i="13"/>
  <c r="AA79" i="13"/>
  <c r="AC79" i="13" s="1"/>
  <c r="AB79" i="13"/>
  <c r="AA73" i="13"/>
  <c r="AC73" i="13" s="1"/>
  <c r="AB73" i="13"/>
  <c r="AA67" i="13"/>
  <c r="AC67" i="13" s="1"/>
  <c r="AB67" i="13"/>
  <c r="AA61" i="13"/>
  <c r="AC61" i="13" s="1"/>
  <c r="AB61" i="13"/>
  <c r="AA55" i="13"/>
  <c r="AC55" i="13" s="1"/>
  <c r="AB55" i="13"/>
  <c r="AA49" i="13"/>
  <c r="AC49" i="13" s="1"/>
  <c r="AB49" i="13"/>
  <c r="AA115" i="13"/>
  <c r="AC115" i="13" s="1"/>
  <c r="AB115" i="13"/>
  <c r="AA82" i="13"/>
  <c r="AC82" i="13" s="1"/>
  <c r="AB82" i="13"/>
  <c r="AA70" i="13"/>
  <c r="AC70" i="13" s="1"/>
  <c r="AB70" i="13"/>
  <c r="AA58" i="13"/>
  <c r="AC58" i="13" s="1"/>
  <c r="AB58" i="13"/>
  <c r="AA123" i="13"/>
  <c r="AC123" i="13" s="1"/>
  <c r="AB123" i="13"/>
  <c r="AA117" i="13"/>
  <c r="AC117" i="13" s="1"/>
  <c r="AB117" i="13"/>
  <c r="AA110" i="13"/>
  <c r="AC110" i="13" s="1"/>
  <c r="AB110" i="13"/>
  <c r="AA103" i="13"/>
  <c r="AC103" i="13" s="1"/>
  <c r="AB103" i="13"/>
  <c r="AA96" i="13"/>
  <c r="AC96" i="13" s="1"/>
  <c r="AB96" i="13"/>
  <c r="AA90" i="13"/>
  <c r="AC90" i="13" s="1"/>
  <c r="AB90" i="13"/>
  <c r="AA84" i="13"/>
  <c r="AC84" i="13" s="1"/>
  <c r="AB84" i="13"/>
  <c r="AA78" i="13"/>
  <c r="AC78" i="13" s="1"/>
  <c r="AB78" i="13"/>
  <c r="AA72" i="13"/>
  <c r="AC72" i="13" s="1"/>
  <c r="AB72" i="13"/>
  <c r="AA66" i="13"/>
  <c r="AC66" i="13" s="1"/>
  <c r="AB66" i="13"/>
  <c r="AA60" i="13"/>
  <c r="AC60" i="13" s="1"/>
  <c r="AB60" i="13"/>
  <c r="AA54" i="13"/>
  <c r="AC54" i="13" s="1"/>
  <c r="AB54" i="13"/>
  <c r="AA48" i="13"/>
  <c r="AC48" i="13" s="1"/>
  <c r="AB48" i="13"/>
  <c r="AA101" i="13"/>
  <c r="AC101" i="13" s="1"/>
  <c r="AB101" i="13"/>
  <c r="AA105" i="13"/>
  <c r="AC105" i="13" s="1"/>
  <c r="AA122" i="13"/>
  <c r="AC122" i="13" s="1"/>
  <c r="AB122" i="13"/>
  <c r="AA116" i="13"/>
  <c r="AC116" i="13" s="1"/>
  <c r="AB116" i="13"/>
  <c r="AA109" i="13"/>
  <c r="AC109" i="13" s="1"/>
  <c r="AB109" i="13"/>
  <c r="AA102" i="13"/>
  <c r="AC102" i="13" s="1"/>
  <c r="AB102" i="13"/>
  <c r="AA95" i="13"/>
  <c r="AC95" i="13" s="1"/>
  <c r="AB95" i="13"/>
  <c r="AA89" i="13"/>
  <c r="AC89" i="13" s="1"/>
  <c r="AB89" i="13"/>
  <c r="AA83" i="13"/>
  <c r="AC83" i="13" s="1"/>
  <c r="AB83" i="13"/>
  <c r="AA77" i="13"/>
  <c r="AC77" i="13" s="1"/>
  <c r="AB77" i="13"/>
  <c r="AA71" i="13"/>
  <c r="AC71" i="13" s="1"/>
  <c r="AB71" i="13"/>
  <c r="AA65" i="13"/>
  <c r="AC65" i="13" s="1"/>
  <c r="AB65" i="13"/>
  <c r="AA59" i="13"/>
  <c r="AC59" i="13" s="1"/>
  <c r="AB59" i="13"/>
  <c r="AA53" i="13"/>
  <c r="AC53" i="13" s="1"/>
  <c r="AB53" i="13"/>
  <c r="AA108" i="13"/>
  <c r="AC108" i="13" s="1"/>
  <c r="AB108" i="13"/>
  <c r="AA88" i="13"/>
  <c r="AC88" i="13" s="1"/>
  <c r="AB88" i="13"/>
  <c r="AA76" i="13"/>
  <c r="AC76" i="13" s="1"/>
  <c r="AB76" i="13"/>
  <c r="AA52" i="13"/>
  <c r="AC52" i="13" s="1"/>
  <c r="AB52" i="13"/>
  <c r="AA126" i="13"/>
  <c r="AC126" i="13" s="1"/>
  <c r="AB126" i="13"/>
  <c r="AA120" i="13"/>
  <c r="AC120" i="13" s="1"/>
  <c r="AB120" i="13"/>
  <c r="AA114" i="13"/>
  <c r="AC114" i="13" s="1"/>
  <c r="AB114" i="13"/>
  <c r="AA106" i="13"/>
  <c r="AC106" i="13" s="1"/>
  <c r="AB106" i="13"/>
  <c r="AA100" i="13"/>
  <c r="AC100" i="13" s="1"/>
  <c r="AB100" i="13"/>
  <c r="AA93" i="13"/>
  <c r="AC93" i="13" s="1"/>
  <c r="AB93" i="13"/>
  <c r="AA87" i="13"/>
  <c r="AC87" i="13" s="1"/>
  <c r="AB87" i="13"/>
  <c r="AA81" i="13"/>
  <c r="AC81" i="13" s="1"/>
  <c r="AB81" i="13"/>
  <c r="AA75" i="13"/>
  <c r="AC75" i="13" s="1"/>
  <c r="AB75" i="13"/>
  <c r="AA69" i="13"/>
  <c r="AC69" i="13" s="1"/>
  <c r="AB69" i="13"/>
  <c r="AA63" i="13"/>
  <c r="AC63" i="13" s="1"/>
  <c r="AB63" i="13"/>
  <c r="AA57" i="13"/>
  <c r="AC57" i="13" s="1"/>
  <c r="AB57" i="13"/>
  <c r="AA51" i="13"/>
  <c r="AC51" i="13" s="1"/>
  <c r="AB51" i="13"/>
  <c r="H29" i="25" l="1"/>
  <c r="H27" i="25"/>
  <c r="H26" i="25"/>
  <c r="B29" i="25"/>
  <c r="B27" i="25"/>
  <c r="B26" i="25"/>
  <c r="D29" i="25"/>
  <c r="D27" i="25"/>
  <c r="D26" i="25"/>
  <c r="K43" i="13" l="1"/>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5" i="13"/>
  <c r="K86" i="13"/>
  <c r="K87" i="13"/>
  <c r="K88" i="13"/>
  <c r="K89" i="13"/>
  <c r="K90" i="13"/>
  <c r="K91" i="13"/>
  <c r="K92" i="13"/>
  <c r="K93" i="13"/>
  <c r="K94" i="13"/>
  <c r="K95" i="13"/>
  <c r="K96" i="13"/>
  <c r="K97" i="13"/>
  <c r="K98" i="13"/>
  <c r="K100" i="13"/>
  <c r="K101" i="13"/>
  <c r="K102" i="13"/>
  <c r="K103" i="13"/>
  <c r="K104" i="13"/>
  <c r="K105" i="13"/>
  <c r="K106" i="13"/>
  <c r="K108" i="13"/>
  <c r="K109" i="13"/>
  <c r="K110" i="13"/>
  <c r="K111" i="13"/>
  <c r="K114" i="13"/>
  <c r="K115" i="13"/>
  <c r="K116" i="13"/>
  <c r="K117" i="13"/>
  <c r="K118" i="13"/>
  <c r="K119" i="13"/>
  <c r="K120" i="13"/>
  <c r="K121" i="13"/>
  <c r="K122" i="13"/>
  <c r="K123" i="13"/>
  <c r="K124" i="13"/>
  <c r="K125" i="13"/>
  <c r="K126" i="13"/>
  <c r="U126" i="13" l="1"/>
  <c r="W126" i="13" s="1"/>
  <c r="P126" i="13"/>
  <c r="U125" i="13"/>
  <c r="W125" i="13" s="1"/>
  <c r="P125" i="13"/>
  <c r="U124" i="13"/>
  <c r="W124" i="13" s="1"/>
  <c r="P124" i="13"/>
  <c r="U123" i="13"/>
  <c r="W123" i="13" s="1"/>
  <c r="P123" i="13"/>
  <c r="U122" i="13"/>
  <c r="W122" i="13" s="1"/>
  <c r="P122" i="13"/>
  <c r="U121" i="13"/>
  <c r="W121" i="13" s="1"/>
  <c r="P121" i="13"/>
  <c r="U120" i="13"/>
  <c r="W120" i="13" s="1"/>
  <c r="P120" i="13"/>
  <c r="U119" i="13"/>
  <c r="W119" i="13" s="1"/>
  <c r="P119" i="13"/>
  <c r="U118" i="13"/>
  <c r="W118" i="13" s="1"/>
  <c r="P118" i="13"/>
  <c r="U117" i="13"/>
  <c r="W117" i="13" s="1"/>
  <c r="P117" i="13"/>
  <c r="U116" i="13"/>
  <c r="W116" i="13" s="1"/>
  <c r="P116" i="13"/>
  <c r="U115" i="13"/>
  <c r="W115" i="13" s="1"/>
  <c r="P115" i="13"/>
  <c r="U114" i="13"/>
  <c r="W114" i="13" s="1"/>
  <c r="P114" i="13"/>
  <c r="U113" i="13"/>
  <c r="W113" i="13" s="1"/>
  <c r="P113" i="13"/>
  <c r="U111" i="13"/>
  <c r="W111" i="13" s="1"/>
  <c r="P111" i="13"/>
  <c r="U110" i="13"/>
  <c r="W110" i="13" s="1"/>
  <c r="P110" i="13"/>
  <c r="U109" i="13"/>
  <c r="W109" i="13" s="1"/>
  <c r="P109" i="13"/>
  <c r="U108" i="13"/>
  <c r="W108" i="13" s="1"/>
  <c r="P108" i="13"/>
  <c r="U106" i="13"/>
  <c r="W106" i="13" s="1"/>
  <c r="P106" i="13"/>
  <c r="U105" i="13"/>
  <c r="W105" i="13" s="1"/>
  <c r="P105" i="13"/>
  <c r="U104" i="13"/>
  <c r="W104" i="13" s="1"/>
  <c r="P104" i="13"/>
  <c r="U103" i="13"/>
  <c r="W103" i="13" s="1"/>
  <c r="P103" i="13"/>
  <c r="U102" i="13"/>
  <c r="W102" i="13" s="1"/>
  <c r="P102" i="13"/>
  <c r="U101" i="13"/>
  <c r="W101" i="13" s="1"/>
  <c r="P101" i="13"/>
  <c r="U100" i="13"/>
  <c r="W100" i="13" s="1"/>
  <c r="P100" i="13"/>
  <c r="U98" i="13"/>
  <c r="W98" i="13" s="1"/>
  <c r="P98" i="13"/>
  <c r="U97" i="13"/>
  <c r="W97" i="13" s="1"/>
  <c r="P97" i="13"/>
  <c r="U96" i="13"/>
  <c r="W96" i="13" s="1"/>
  <c r="P96" i="13"/>
  <c r="U95" i="13"/>
  <c r="W95" i="13" s="1"/>
  <c r="P95" i="13"/>
  <c r="U94" i="13"/>
  <c r="W94" i="13" s="1"/>
  <c r="P94" i="13"/>
  <c r="U93" i="13"/>
  <c r="W93" i="13" s="1"/>
  <c r="P93" i="13"/>
  <c r="U92" i="13"/>
  <c r="W92" i="13" s="1"/>
  <c r="P92" i="13"/>
  <c r="U91" i="13"/>
  <c r="W91" i="13" s="1"/>
  <c r="P91" i="13"/>
  <c r="U90" i="13"/>
  <c r="W90" i="13" s="1"/>
  <c r="P90" i="13"/>
  <c r="U89" i="13"/>
  <c r="W89" i="13" s="1"/>
  <c r="P89" i="13"/>
  <c r="U88" i="13"/>
  <c r="W88" i="13" s="1"/>
  <c r="P88" i="13"/>
  <c r="U87" i="13"/>
  <c r="W87" i="13" s="1"/>
  <c r="P87" i="13"/>
  <c r="U86" i="13"/>
  <c r="W86" i="13" s="1"/>
  <c r="P86" i="13"/>
  <c r="U85" i="13"/>
  <c r="W85" i="13" s="1"/>
  <c r="P85" i="13"/>
  <c r="U84" i="13"/>
  <c r="W84" i="13" s="1"/>
  <c r="P84" i="13"/>
  <c r="U83" i="13"/>
  <c r="W83" i="13" s="1"/>
  <c r="P83" i="13"/>
  <c r="U82" i="13"/>
  <c r="W82" i="13" s="1"/>
  <c r="P82" i="13"/>
  <c r="U81" i="13"/>
  <c r="W81" i="13" s="1"/>
  <c r="P81" i="13"/>
  <c r="U80" i="13"/>
  <c r="W80" i="13" s="1"/>
  <c r="P80" i="13"/>
  <c r="U79" i="13"/>
  <c r="W79" i="13" s="1"/>
  <c r="P79" i="13"/>
  <c r="U78" i="13"/>
  <c r="W78" i="13" s="1"/>
  <c r="P78" i="13"/>
  <c r="U77" i="13"/>
  <c r="W77" i="13" s="1"/>
  <c r="P77" i="13"/>
  <c r="U76" i="13"/>
  <c r="W76" i="13" s="1"/>
  <c r="P76" i="13"/>
  <c r="U75" i="13"/>
  <c r="W75" i="13" s="1"/>
  <c r="P75" i="13"/>
  <c r="U74" i="13"/>
  <c r="W74" i="13" s="1"/>
  <c r="P74" i="13"/>
  <c r="U73" i="13"/>
  <c r="W73" i="13" s="1"/>
  <c r="P73" i="13"/>
  <c r="U72" i="13"/>
  <c r="W72" i="13" s="1"/>
  <c r="P72" i="13"/>
  <c r="U71" i="13"/>
  <c r="W71" i="13" s="1"/>
  <c r="P71" i="13"/>
  <c r="U70" i="13"/>
  <c r="W70" i="13" s="1"/>
  <c r="P70" i="13"/>
  <c r="U69" i="13"/>
  <c r="W69" i="13" s="1"/>
  <c r="P69" i="13"/>
  <c r="U68" i="13"/>
  <c r="W68" i="13" s="1"/>
  <c r="P68" i="13"/>
  <c r="U67" i="13"/>
  <c r="W67" i="13" s="1"/>
  <c r="P67" i="13"/>
  <c r="U66" i="13"/>
  <c r="W66" i="13" s="1"/>
  <c r="P66" i="13"/>
  <c r="U65" i="13"/>
  <c r="W65" i="13" s="1"/>
  <c r="P65" i="13"/>
  <c r="U64" i="13"/>
  <c r="W64" i="13" s="1"/>
  <c r="P64" i="13"/>
  <c r="U63" i="13"/>
  <c r="W63" i="13" s="1"/>
  <c r="P63" i="13"/>
  <c r="U62" i="13"/>
  <c r="W62" i="13" s="1"/>
  <c r="P62" i="13"/>
  <c r="U61" i="13"/>
  <c r="W61" i="13" s="1"/>
  <c r="P61" i="13"/>
  <c r="U60" i="13"/>
  <c r="W60" i="13" s="1"/>
  <c r="P60" i="13"/>
  <c r="U59" i="13"/>
  <c r="W59" i="13" s="1"/>
  <c r="P59" i="13"/>
  <c r="U58" i="13"/>
  <c r="W58" i="13" s="1"/>
  <c r="P58" i="13"/>
  <c r="U57" i="13"/>
  <c r="W57" i="13" s="1"/>
  <c r="P57" i="13"/>
  <c r="U56" i="13"/>
  <c r="W56" i="13" s="1"/>
  <c r="P56" i="13"/>
  <c r="U55" i="13"/>
  <c r="W55" i="13" s="1"/>
  <c r="P55" i="13"/>
  <c r="U54" i="13"/>
  <c r="W54" i="13" s="1"/>
  <c r="P54" i="13"/>
  <c r="U53" i="13"/>
  <c r="W53" i="13" s="1"/>
  <c r="P53" i="13"/>
  <c r="U52" i="13"/>
  <c r="W52" i="13" s="1"/>
  <c r="P52" i="13"/>
  <c r="U51" i="13"/>
  <c r="W51" i="13" s="1"/>
  <c r="P51" i="13"/>
  <c r="U50" i="13"/>
  <c r="W50" i="13" s="1"/>
  <c r="P50" i="13"/>
  <c r="U49" i="13"/>
  <c r="W49" i="13" s="1"/>
  <c r="P49" i="13"/>
  <c r="U48" i="13"/>
  <c r="W48" i="13" s="1"/>
  <c r="P48" i="13"/>
  <c r="P44" i="13"/>
  <c r="V123" i="13" l="1"/>
  <c r="X123" i="13" s="1"/>
  <c r="V122" i="13"/>
  <c r="X122" i="13" s="1"/>
  <c r="V126" i="13"/>
  <c r="X126" i="13" s="1"/>
  <c r="V120" i="13"/>
  <c r="X120" i="13" s="1"/>
  <c r="V117" i="13"/>
  <c r="X117" i="13" s="1"/>
  <c r="V121" i="13"/>
  <c r="X121" i="13" s="1"/>
  <c r="V103" i="13"/>
  <c r="X103" i="13" s="1"/>
  <c r="V119" i="13"/>
  <c r="X119" i="13" s="1"/>
  <c r="V125" i="13"/>
  <c r="X125" i="13" s="1"/>
  <c r="V108" i="13"/>
  <c r="X108" i="13" s="1"/>
  <c r="V118" i="13"/>
  <c r="X118" i="13" s="1"/>
  <c r="V124" i="13"/>
  <c r="X124" i="13" s="1"/>
  <c r="V113" i="13"/>
  <c r="X113" i="13" s="1"/>
  <c r="V104" i="13"/>
  <c r="X104" i="13" s="1"/>
  <c r="V109" i="13"/>
  <c r="X109" i="13" s="1"/>
  <c r="V114" i="13"/>
  <c r="X114" i="13" s="1"/>
  <c r="V48" i="13"/>
  <c r="X48" i="13" s="1"/>
  <c r="V49" i="13"/>
  <c r="X49" i="13" s="1"/>
  <c r="V52" i="13"/>
  <c r="X52" i="13" s="1"/>
  <c r="V53" i="13"/>
  <c r="X53" i="13" s="1"/>
  <c r="V54" i="13"/>
  <c r="X54" i="13" s="1"/>
  <c r="V55" i="13"/>
  <c r="X55" i="13" s="1"/>
  <c r="V56" i="13"/>
  <c r="X56" i="13" s="1"/>
  <c r="V57" i="13"/>
  <c r="X57" i="13" s="1"/>
  <c r="V58" i="13"/>
  <c r="X58" i="13" s="1"/>
  <c r="V59" i="13"/>
  <c r="X59" i="13" s="1"/>
  <c r="V60" i="13"/>
  <c r="X60" i="13" s="1"/>
  <c r="V61" i="13"/>
  <c r="X61" i="13" s="1"/>
  <c r="V62" i="13"/>
  <c r="X62" i="13" s="1"/>
  <c r="V63" i="13"/>
  <c r="X63" i="13" s="1"/>
  <c r="V64" i="13"/>
  <c r="X64" i="13" s="1"/>
  <c r="V65" i="13"/>
  <c r="X65" i="13" s="1"/>
  <c r="V66" i="13"/>
  <c r="X66" i="13" s="1"/>
  <c r="V67" i="13"/>
  <c r="X67" i="13" s="1"/>
  <c r="V68" i="13"/>
  <c r="X68" i="13" s="1"/>
  <c r="V69" i="13"/>
  <c r="X69" i="13" s="1"/>
  <c r="V70" i="13"/>
  <c r="X70" i="13" s="1"/>
  <c r="V71" i="13"/>
  <c r="X71" i="13" s="1"/>
  <c r="V72" i="13"/>
  <c r="X72" i="13" s="1"/>
  <c r="V73" i="13"/>
  <c r="X73" i="13" s="1"/>
  <c r="V74" i="13"/>
  <c r="X74" i="13" s="1"/>
  <c r="V75" i="13"/>
  <c r="X75" i="13" s="1"/>
  <c r="V76" i="13"/>
  <c r="X76" i="13" s="1"/>
  <c r="V77" i="13"/>
  <c r="X77" i="13" s="1"/>
  <c r="V78" i="13"/>
  <c r="X78" i="13" s="1"/>
  <c r="V79" i="13"/>
  <c r="X79" i="13" s="1"/>
  <c r="V80" i="13"/>
  <c r="X80" i="13" s="1"/>
  <c r="V81" i="13"/>
  <c r="X81" i="13" s="1"/>
  <c r="V82" i="13"/>
  <c r="X82" i="13" s="1"/>
  <c r="V83" i="13"/>
  <c r="X83" i="13" s="1"/>
  <c r="V84" i="13"/>
  <c r="X84" i="13" s="1"/>
  <c r="V85" i="13"/>
  <c r="X85" i="13" s="1"/>
  <c r="V86" i="13"/>
  <c r="X86" i="13" s="1"/>
  <c r="V87" i="13"/>
  <c r="X87" i="13" s="1"/>
  <c r="V88" i="13"/>
  <c r="X88" i="13" s="1"/>
  <c r="V89" i="13"/>
  <c r="X89" i="13" s="1"/>
  <c r="V90" i="13"/>
  <c r="X90" i="13" s="1"/>
  <c r="V91" i="13"/>
  <c r="X91" i="13" s="1"/>
  <c r="V92" i="13"/>
  <c r="X92" i="13" s="1"/>
  <c r="V93" i="13"/>
  <c r="X93" i="13" s="1"/>
  <c r="V94" i="13"/>
  <c r="X94" i="13" s="1"/>
  <c r="V95" i="13"/>
  <c r="X95" i="13" s="1"/>
  <c r="V96" i="13"/>
  <c r="X96" i="13" s="1"/>
  <c r="V97" i="13"/>
  <c r="X97" i="13" s="1"/>
  <c r="V98" i="13"/>
  <c r="X98" i="13" s="1"/>
  <c r="V100" i="13"/>
  <c r="X100" i="13" s="1"/>
  <c r="V101" i="13"/>
  <c r="X101" i="13" s="1"/>
  <c r="V102" i="13"/>
  <c r="X102" i="13" s="1"/>
  <c r="V105" i="13"/>
  <c r="X105" i="13" s="1"/>
  <c r="V110" i="13"/>
  <c r="X110" i="13" s="1"/>
  <c r="V115" i="13"/>
  <c r="X115" i="13" s="1"/>
  <c r="V50" i="13"/>
  <c r="X50" i="13" s="1"/>
  <c r="V51" i="13"/>
  <c r="X51" i="13" s="1"/>
  <c r="V106" i="13"/>
  <c r="X106" i="13" s="1"/>
  <c r="V111" i="13"/>
  <c r="X111" i="13" s="1"/>
  <c r="V116" i="13"/>
  <c r="X116" i="13" s="1"/>
  <c r="D27" i="22" l="1"/>
  <c r="D28" i="22"/>
  <c r="P43" i="13" l="1"/>
  <c r="B94" i="13"/>
  <c r="C94" i="13"/>
  <c r="D94" i="13"/>
  <c r="E94" i="13"/>
  <c r="B95" i="13"/>
  <c r="C95" i="13"/>
  <c r="D95" i="13"/>
  <c r="E95" i="13"/>
  <c r="B96" i="13"/>
  <c r="C96" i="13"/>
  <c r="D96" i="13"/>
  <c r="E96" i="13"/>
  <c r="B97" i="13"/>
  <c r="C97" i="13"/>
  <c r="D97" i="13"/>
  <c r="E97" i="13"/>
  <c r="B98" i="13"/>
  <c r="C98" i="13"/>
  <c r="D98" i="13"/>
  <c r="E98" i="13"/>
  <c r="B100" i="13"/>
  <c r="C100" i="13"/>
  <c r="D100" i="13"/>
  <c r="E100" i="13"/>
  <c r="B101" i="13"/>
  <c r="C101" i="13"/>
  <c r="D101" i="13"/>
  <c r="E101" i="13"/>
  <c r="B102" i="13"/>
  <c r="C102" i="13"/>
  <c r="D102" i="13"/>
  <c r="E102" i="13"/>
  <c r="B103" i="13"/>
  <c r="C103" i="13"/>
  <c r="D103" i="13"/>
  <c r="E103" i="13"/>
  <c r="B104" i="13"/>
  <c r="C104" i="13"/>
  <c r="D104" i="13"/>
  <c r="E104" i="13"/>
  <c r="B105" i="13"/>
  <c r="C105" i="13"/>
  <c r="D105" i="13"/>
  <c r="E105" i="13"/>
  <c r="B106" i="13"/>
  <c r="C106" i="13"/>
  <c r="D106" i="13"/>
  <c r="E106" i="13"/>
  <c r="B108" i="13"/>
  <c r="C108" i="13"/>
  <c r="D108" i="13"/>
  <c r="E108" i="13"/>
  <c r="B109" i="13"/>
  <c r="C109" i="13"/>
  <c r="D109" i="13"/>
  <c r="E109" i="13"/>
  <c r="B110" i="13"/>
  <c r="C110" i="13"/>
  <c r="D110" i="13"/>
  <c r="E110" i="13"/>
  <c r="B111" i="13"/>
  <c r="C111" i="13"/>
  <c r="D111" i="13"/>
  <c r="E111" i="13"/>
  <c r="B113" i="13"/>
  <c r="C113" i="13"/>
  <c r="D113" i="13"/>
  <c r="E113" i="13"/>
  <c r="B114" i="13"/>
  <c r="C114" i="13"/>
  <c r="D114" i="13"/>
  <c r="E114" i="13"/>
  <c r="B115" i="13"/>
  <c r="C115" i="13"/>
  <c r="D115" i="13"/>
  <c r="E115" i="13"/>
  <c r="B116" i="13"/>
  <c r="C116" i="13"/>
  <c r="D116" i="13"/>
  <c r="E116" i="13"/>
  <c r="B117" i="13"/>
  <c r="C117" i="13"/>
  <c r="D117" i="13"/>
  <c r="E117" i="13"/>
  <c r="B118" i="13"/>
  <c r="C118" i="13"/>
  <c r="D118" i="13"/>
  <c r="E118" i="13"/>
  <c r="B119" i="13"/>
  <c r="C119" i="13"/>
  <c r="D119" i="13"/>
  <c r="E119" i="13"/>
  <c r="B120" i="13"/>
  <c r="C120" i="13"/>
  <c r="D120" i="13"/>
  <c r="E120" i="13"/>
  <c r="B121" i="13"/>
  <c r="C121" i="13"/>
  <c r="D121" i="13"/>
  <c r="E121" i="13"/>
  <c r="B122" i="13"/>
  <c r="C122" i="13"/>
  <c r="D122" i="13"/>
  <c r="E122" i="13"/>
  <c r="B123" i="13"/>
  <c r="C123" i="13"/>
  <c r="D123" i="13"/>
  <c r="E123" i="13"/>
  <c r="B124" i="13"/>
  <c r="C124" i="13"/>
  <c r="D124" i="13"/>
  <c r="E124" i="13"/>
  <c r="B125" i="13"/>
  <c r="C125" i="13"/>
  <c r="D125" i="13"/>
  <c r="E125" i="13"/>
  <c r="B126" i="13"/>
  <c r="C126" i="13"/>
  <c r="D126" i="13"/>
  <c r="E126" i="13"/>
  <c r="B43" i="13"/>
  <c r="C43" i="13"/>
  <c r="D43" i="13"/>
  <c r="E43" i="13"/>
  <c r="B57" i="13"/>
  <c r="C57" i="13"/>
  <c r="D57" i="13"/>
  <c r="E57" i="13"/>
  <c r="B44" i="13"/>
  <c r="C44" i="13"/>
  <c r="D44" i="13"/>
  <c r="E44" i="13"/>
  <c r="B23" i="25" l="1"/>
  <c r="E77" i="13" l="1"/>
  <c r="E76" i="13"/>
  <c r="D76" i="13"/>
  <c r="D77" i="13"/>
  <c r="C76" i="13"/>
  <c r="C77" i="13"/>
  <c r="B76" i="13"/>
  <c r="B77" i="13"/>
  <c r="D26" i="22" l="1"/>
  <c r="D25" i="22"/>
  <c r="B6" i="19" l="1"/>
  <c r="C6" i="19"/>
  <c r="H24" i="25" l="1"/>
  <c r="B25" i="25"/>
  <c r="B24" i="25"/>
  <c r="D24" i="25"/>
  <c r="B53" i="13" l="1"/>
  <c r="C53" i="13"/>
  <c r="D53" i="13"/>
  <c r="E53" i="13"/>
  <c r="B52" i="13" l="1"/>
  <c r="B55" i="13"/>
  <c r="B54" i="13"/>
  <c r="B93" i="13"/>
  <c r="B59" i="13"/>
  <c r="B51" i="13"/>
  <c r="B49" i="13"/>
  <c r="B58" i="13"/>
  <c r="B56" i="13"/>
  <c r="B73" i="13"/>
  <c r="B72" i="13"/>
  <c r="B71" i="13"/>
  <c r="B70" i="13"/>
  <c r="B64" i="13"/>
  <c r="B62" i="13"/>
  <c r="B60" i="13"/>
  <c r="B74" i="13"/>
  <c r="B75" i="13"/>
  <c r="B92" i="13"/>
  <c r="B61" i="13"/>
  <c r="B69" i="13"/>
  <c r="B68" i="13"/>
  <c r="B67" i="13"/>
  <c r="B66" i="13"/>
  <c r="B65" i="13"/>
  <c r="B63" i="13"/>
  <c r="B91" i="13"/>
  <c r="B90" i="13"/>
  <c r="B89" i="13"/>
  <c r="B88" i="13"/>
  <c r="B50" i="13"/>
  <c r="B48" i="13"/>
  <c r="B87" i="13"/>
  <c r="B86" i="13"/>
  <c r="B85" i="13"/>
  <c r="B84" i="13"/>
  <c r="B83" i="13"/>
  <c r="B82" i="13"/>
  <c r="B81" i="13"/>
  <c r="B80" i="13"/>
  <c r="B79" i="13"/>
  <c r="B78" i="13"/>
  <c r="C61" i="13"/>
  <c r="C92" i="13"/>
  <c r="C75" i="13"/>
  <c r="C74" i="13"/>
  <c r="C60" i="13"/>
  <c r="C62" i="13"/>
  <c r="C64" i="13"/>
  <c r="C70" i="13"/>
  <c r="C71" i="13"/>
  <c r="C72" i="13"/>
  <c r="C73" i="13"/>
  <c r="C56" i="13"/>
  <c r="C58" i="13"/>
  <c r="C49" i="13"/>
  <c r="C51" i="13"/>
  <c r="C59" i="13"/>
  <c r="C93" i="13"/>
  <c r="C54" i="13"/>
  <c r="C55" i="13"/>
  <c r="C52" i="13"/>
  <c r="D61" i="13"/>
  <c r="D92" i="13"/>
  <c r="D75" i="13"/>
  <c r="D74" i="13"/>
  <c r="D60" i="13"/>
  <c r="D62" i="13"/>
  <c r="D64" i="13"/>
  <c r="D70" i="13"/>
  <c r="D71" i="13"/>
  <c r="D72" i="13"/>
  <c r="D73" i="13"/>
  <c r="D56" i="13"/>
  <c r="D58" i="13"/>
  <c r="D49" i="13"/>
  <c r="D51" i="13"/>
  <c r="D59" i="13"/>
  <c r="D93" i="13"/>
  <c r="D54" i="13"/>
  <c r="D55" i="13"/>
  <c r="D52" i="13"/>
  <c r="E61" i="13"/>
  <c r="E92" i="13"/>
  <c r="E75" i="13"/>
  <c r="E74" i="13"/>
  <c r="E60" i="13"/>
  <c r="E62" i="13"/>
  <c r="E64" i="13"/>
  <c r="E70" i="13"/>
  <c r="E71" i="13"/>
  <c r="E72" i="13"/>
  <c r="E73" i="13"/>
  <c r="E56" i="13"/>
  <c r="E58" i="13"/>
  <c r="E49" i="13"/>
  <c r="E51" i="13"/>
  <c r="E59" i="13"/>
  <c r="E93" i="13"/>
  <c r="E54" i="13"/>
  <c r="E55" i="13"/>
  <c r="E52" i="13"/>
  <c r="E69" i="13"/>
  <c r="D69" i="13"/>
  <c r="C69" i="13"/>
  <c r="E68" i="13"/>
  <c r="D68" i="13"/>
  <c r="C68" i="13"/>
  <c r="E67" i="13"/>
  <c r="D67" i="13"/>
  <c r="C67" i="13"/>
  <c r="E66" i="13"/>
  <c r="D66" i="13"/>
  <c r="C66" i="13"/>
  <c r="E65" i="13"/>
  <c r="D65" i="13"/>
  <c r="C65" i="13"/>
  <c r="E63" i="13"/>
  <c r="D63" i="13"/>
  <c r="C63" i="13"/>
  <c r="E91" i="13"/>
  <c r="D91" i="13"/>
  <c r="C91" i="13"/>
  <c r="E90" i="13"/>
  <c r="D90" i="13"/>
  <c r="C90" i="13"/>
  <c r="E89" i="13"/>
  <c r="D89" i="13"/>
  <c r="C89" i="13"/>
  <c r="E88" i="13"/>
  <c r="D88" i="13"/>
  <c r="C88" i="13"/>
  <c r="E50" i="13"/>
  <c r="D50" i="13"/>
  <c r="C50" i="13"/>
  <c r="E48" i="13"/>
  <c r="D48" i="13"/>
  <c r="C48" i="13"/>
  <c r="E87" i="13"/>
  <c r="D87" i="13"/>
  <c r="C87" i="13"/>
  <c r="E86" i="13"/>
  <c r="D86" i="13"/>
  <c r="C86" i="13"/>
  <c r="E85" i="13"/>
  <c r="D85" i="13"/>
  <c r="C85" i="13"/>
  <c r="E84" i="13"/>
  <c r="D84" i="13"/>
  <c r="C84" i="13"/>
  <c r="E83" i="13"/>
  <c r="D83" i="13"/>
  <c r="C83" i="13"/>
  <c r="E82" i="13"/>
  <c r="D82" i="13"/>
  <c r="C82" i="13"/>
  <c r="E81" i="13"/>
  <c r="D81" i="13"/>
  <c r="C81" i="13"/>
  <c r="E80" i="13"/>
  <c r="D80" i="13"/>
  <c r="C80" i="13"/>
  <c r="E79" i="13"/>
  <c r="D79" i="13"/>
  <c r="C79" i="13"/>
  <c r="E78" i="13"/>
  <c r="D78" i="13"/>
  <c r="C78" i="13"/>
  <c r="G28" i="22" l="1"/>
  <c r="G25" i="22"/>
  <c r="B27" i="22"/>
  <c r="B26" i="22"/>
  <c r="G30" i="22" l="1"/>
  <c r="D11" i="19"/>
  <c r="B11" i="19"/>
  <c r="H23" i="25" l="1"/>
  <c r="H25" i="25"/>
  <c r="B25" i="22"/>
  <c r="B28" i="22"/>
  <c r="H30" i="25" l="1"/>
  <c r="E11" i="19"/>
  <c r="E12" i="19" l="1"/>
  <c r="D25" i="25"/>
  <c r="D23" i="25"/>
  <c r="C7" i="19" l="1"/>
  <c r="D12" i="19" l="1"/>
  <c r="E5" i="2" l="1"/>
  <c r="E6" i="2"/>
  <c r="E7" i="2"/>
  <c r="E8" i="2"/>
  <c r="D9" i="2"/>
  <c r="E9" i="2" l="1"/>
  <c r="E10" i="2" l="1"/>
  <c r="E14" i="2" l="1"/>
  <c r="I14" i="2" s="1"/>
  <c r="K14" i="2" s="1"/>
  <c r="M14" i="2" s="1"/>
  <c r="O14" i="2" s="1"/>
  <c r="Q14" i="2" s="1"/>
  <c r="E24" i="2"/>
  <c r="I24" i="2" s="1"/>
  <c r="E13" i="2"/>
  <c r="I13" i="2" s="1"/>
  <c r="K13" i="2" s="1"/>
  <c r="I10" i="2"/>
  <c r="K10" i="2" s="1"/>
  <c r="E15" i="2"/>
  <c r="I15" i="2" s="1"/>
  <c r="K15" i="2" s="1"/>
  <c r="M15" i="2" s="1"/>
  <c r="E16" i="2"/>
  <c r="I16" i="2" s="1"/>
  <c r="K16" i="2" s="1"/>
  <c r="M16" i="2" s="1"/>
  <c r="O16" i="2" s="1"/>
  <c r="Q16" i="2" s="1"/>
  <c r="E17" i="2"/>
  <c r="I17" i="2" s="1"/>
  <c r="K17" i="2" s="1"/>
  <c r="M17" i="2" s="1"/>
  <c r="O17" i="2" s="1"/>
  <c r="Q17" i="2" s="1"/>
  <c r="I26" i="2" l="1"/>
  <c r="K24" i="2"/>
  <c r="O15" i="2"/>
  <c r="M13" i="2"/>
  <c r="O13" i="2" s="1"/>
  <c r="Q13" i="2" s="1"/>
  <c r="K18" i="2"/>
  <c r="M10" i="2"/>
  <c r="I18" i="2"/>
  <c r="E18" i="2"/>
  <c r="M24" i="2" l="1"/>
  <c r="K26" i="2"/>
  <c r="O18" i="2"/>
  <c r="Q15" i="2"/>
  <c r="Q18" i="2" s="1"/>
  <c r="M18" i="2"/>
  <c r="O10" i="2"/>
  <c r="I30" i="2"/>
  <c r="K30" i="2" s="1"/>
  <c r="M30" i="2" s="1"/>
  <c r="O30" i="2" s="1"/>
  <c r="Q30" i="2" s="1"/>
  <c r="E29" i="2"/>
  <c r="I29" i="2" s="1"/>
  <c r="K29" i="2" s="1"/>
  <c r="I31" i="2"/>
  <c r="K31" i="2" s="1"/>
  <c r="M31" i="2" s="1"/>
  <c r="O31" i="2" l="1"/>
  <c r="M29" i="2"/>
  <c r="O29" i="2" s="1"/>
  <c r="Q29" i="2" s="1"/>
  <c r="K33" i="2"/>
  <c r="K35" i="2" s="1"/>
  <c r="O24" i="2"/>
  <c r="M26" i="2"/>
  <c r="Q10" i="2"/>
  <c r="I33" i="2"/>
  <c r="I35" i="2" s="1"/>
  <c r="E26" i="2"/>
  <c r="E33" i="2"/>
  <c r="K37" i="2" l="1"/>
  <c r="O33" i="2"/>
  <c r="Q31" i="2"/>
  <c r="Q33" i="2"/>
  <c r="M33" i="2"/>
  <c r="M35" i="2" s="1"/>
  <c r="M37" i="2" s="1"/>
  <c r="Q24" i="2"/>
  <c r="Q26" i="2" s="1"/>
  <c r="O26" i="2"/>
  <c r="D38" i="2"/>
  <c r="D41" i="2"/>
  <c r="E41" i="2" s="1"/>
  <c r="E35" i="2"/>
  <c r="D32" i="2" s="1"/>
  <c r="D40" i="2"/>
  <c r="D39" i="2"/>
  <c r="E39" i="2" s="1"/>
  <c r="AD99" i="13" l="1"/>
  <c r="AD45" i="13"/>
  <c r="AD47" i="13"/>
  <c r="AD46" i="13"/>
  <c r="Y46" i="13"/>
  <c r="Y45" i="13"/>
  <c r="Y47" i="13"/>
  <c r="Y99" i="13"/>
  <c r="Q35" i="2"/>
  <c r="O35" i="2"/>
  <c r="O37" i="2" s="1"/>
  <c r="I37" i="2"/>
  <c r="D31" i="2"/>
  <c r="D30" i="2"/>
  <c r="D25" i="2"/>
  <c r="D23" i="2"/>
  <c r="D21" i="2"/>
  <c r="D22" i="2"/>
  <c r="Y118" i="13"/>
  <c r="Y126" i="13"/>
  <c r="Y119" i="13"/>
  <c r="Y103" i="13"/>
  <c r="Y115" i="13"/>
  <c r="Y82" i="13"/>
  <c r="Y58" i="13"/>
  <c r="Y85" i="13"/>
  <c r="Y61" i="13"/>
  <c r="Y110" i="13"/>
  <c r="Y80" i="13"/>
  <c r="Y56" i="13"/>
  <c r="Y87" i="13"/>
  <c r="Y63" i="13"/>
  <c r="Y101" i="13"/>
  <c r="Y52" i="13"/>
  <c r="Y59" i="13"/>
  <c r="Y117" i="13"/>
  <c r="Y98" i="13"/>
  <c r="Y77" i="13"/>
  <c r="Y96" i="13"/>
  <c r="Y79" i="13"/>
  <c r="Y67" i="13"/>
  <c r="Y113" i="13"/>
  <c r="Y123" i="13"/>
  <c r="Y124" i="13"/>
  <c r="Y105" i="13"/>
  <c r="Y78" i="13"/>
  <c r="Y54" i="13"/>
  <c r="Y81" i="13"/>
  <c r="Y57" i="13"/>
  <c r="Y76" i="13"/>
  <c r="Y83" i="13"/>
  <c r="Y116" i="13"/>
  <c r="Y74" i="13"/>
  <c r="Y48" i="13"/>
  <c r="Y102" i="13"/>
  <c r="Y53" i="13"/>
  <c r="Y72" i="13"/>
  <c r="Y109" i="13"/>
  <c r="Y50" i="13"/>
  <c r="Y55" i="13"/>
  <c r="Y91" i="13"/>
  <c r="Y106" i="13"/>
  <c r="Y94" i="13"/>
  <c r="Y70" i="13"/>
  <c r="Y114" i="13"/>
  <c r="Y97" i="13"/>
  <c r="Y73" i="13"/>
  <c r="Y111" i="13"/>
  <c r="Y92" i="13"/>
  <c r="Y68" i="13"/>
  <c r="Y100" i="13"/>
  <c r="Y75" i="13"/>
  <c r="Y49" i="13"/>
  <c r="Y95" i="13"/>
  <c r="Y71" i="13"/>
  <c r="Y108" i="13"/>
  <c r="Y62" i="13"/>
  <c r="Y65" i="13"/>
  <c r="Y84" i="13"/>
  <c r="Y60" i="13"/>
  <c r="Y122" i="13"/>
  <c r="Y121" i="13"/>
  <c r="Y125" i="13"/>
  <c r="Y90" i="13"/>
  <c r="Y66" i="13"/>
  <c r="Y104" i="13"/>
  <c r="Y93" i="13"/>
  <c r="Y69" i="13"/>
  <c r="Y51" i="13"/>
  <c r="Y88" i="13"/>
  <c r="Y64" i="13"/>
  <c r="Y120" i="13"/>
  <c r="Y86" i="13"/>
  <c r="Y89" i="13"/>
  <c r="E40" i="2"/>
  <c r="E38" i="2"/>
  <c r="AG46" i="13" l="1"/>
  <c r="AG47" i="13"/>
  <c r="AG45" i="13"/>
  <c r="AG99" i="13"/>
  <c r="H25" i="24"/>
  <c r="E10" i="24"/>
  <c r="F10" i="24" s="1"/>
  <c r="G10" i="24" s="1"/>
  <c r="H10" i="24" s="1"/>
  <c r="E16" i="24"/>
  <c r="F16" i="24" s="1"/>
  <c r="G16" i="24" s="1"/>
  <c r="H16" i="24" s="1"/>
  <c r="E22" i="24"/>
  <c r="F22" i="24" s="1"/>
  <c r="G22" i="24" s="1"/>
  <c r="H22" i="24" s="1"/>
  <c r="E28" i="24"/>
  <c r="F28" i="24" s="1"/>
  <c r="G28" i="24" s="1"/>
  <c r="H28" i="24" s="1"/>
  <c r="E34" i="24"/>
  <c r="F34" i="24" s="1"/>
  <c r="G34" i="24" s="1"/>
  <c r="H34" i="24" s="1"/>
  <c r="E22" i="22"/>
  <c r="F22" i="22" s="1"/>
  <c r="G22" i="22" s="1"/>
  <c r="H22" i="22" s="1"/>
  <c r="E16" i="22"/>
  <c r="F16" i="22" s="1"/>
  <c r="G16" i="22" s="1"/>
  <c r="H16" i="22" s="1"/>
  <c r="E10" i="22"/>
  <c r="F10" i="22" s="1"/>
  <c r="G10" i="22" s="1"/>
  <c r="H10" i="22" s="1"/>
  <c r="E14" i="25"/>
  <c r="E11" i="24"/>
  <c r="F11" i="24" s="1"/>
  <c r="G11" i="24" s="1"/>
  <c r="H11" i="24" s="1"/>
  <c r="E17" i="24"/>
  <c r="F17" i="24" s="1"/>
  <c r="G17" i="24" s="1"/>
  <c r="H17" i="24" s="1"/>
  <c r="E23" i="24"/>
  <c r="F23" i="24" s="1"/>
  <c r="G23" i="24" s="1"/>
  <c r="H23" i="24" s="1"/>
  <c r="E29" i="24"/>
  <c r="F29" i="24" s="1"/>
  <c r="G29" i="24" s="1"/>
  <c r="H29" i="24" s="1"/>
  <c r="E35" i="24"/>
  <c r="F35" i="24" s="1"/>
  <c r="G35" i="24" s="1"/>
  <c r="H35" i="24" s="1"/>
  <c r="E21" i="22"/>
  <c r="F21" i="22" s="1"/>
  <c r="G21" i="22" s="1"/>
  <c r="H21" i="22" s="1"/>
  <c r="E15" i="22"/>
  <c r="F15" i="22" s="1"/>
  <c r="G15" i="22" s="1"/>
  <c r="H15" i="22" s="1"/>
  <c r="E9" i="22"/>
  <c r="F9" i="22" s="1"/>
  <c r="G9" i="22" s="1"/>
  <c r="H9" i="22" s="1"/>
  <c r="E15" i="25"/>
  <c r="E20" i="24"/>
  <c r="F20" i="24" s="1"/>
  <c r="G20" i="24" s="1"/>
  <c r="H20" i="24" s="1"/>
  <c r="E30" i="24"/>
  <c r="F30" i="24" s="1"/>
  <c r="G30" i="24" s="1"/>
  <c r="H30" i="24" s="1"/>
  <c r="E10" i="25"/>
  <c r="E13" i="24"/>
  <c r="F13" i="24" s="1"/>
  <c r="G13" i="24" s="1"/>
  <c r="H13" i="24" s="1"/>
  <c r="E21" i="24"/>
  <c r="F21" i="24" s="1"/>
  <c r="G21" i="24" s="1"/>
  <c r="H21" i="24" s="1"/>
  <c r="E31" i="24"/>
  <c r="F31" i="24" s="1"/>
  <c r="G31" i="24" s="1"/>
  <c r="H31" i="24" s="1"/>
  <c r="E13" i="22"/>
  <c r="F13" i="22" s="1"/>
  <c r="G13" i="22" s="1"/>
  <c r="H13" i="22" s="1"/>
  <c r="E13" i="25"/>
  <c r="E14" i="24"/>
  <c r="F14" i="24" s="1"/>
  <c r="G14" i="24" s="1"/>
  <c r="H14" i="24" s="1"/>
  <c r="E24" i="24"/>
  <c r="F24" i="24" s="1"/>
  <c r="G24" i="24" s="1"/>
  <c r="H24" i="24" s="1"/>
  <c r="E32" i="24"/>
  <c r="F32" i="24" s="1"/>
  <c r="G32" i="24" s="1"/>
  <c r="H32" i="24" s="1"/>
  <c r="E20" i="22"/>
  <c r="F20" i="22" s="1"/>
  <c r="G20" i="22" s="1"/>
  <c r="H20" i="22" s="1"/>
  <c r="E12" i="22"/>
  <c r="F12" i="22" s="1"/>
  <c r="G12" i="22" s="1"/>
  <c r="H12" i="22" s="1"/>
  <c r="E16" i="25"/>
  <c r="E15" i="24"/>
  <c r="F15" i="24" s="1"/>
  <c r="G15" i="24" s="1"/>
  <c r="H15" i="24" s="1"/>
  <c r="E25" i="24"/>
  <c r="F25" i="24" s="1"/>
  <c r="G25" i="24" s="1"/>
  <c r="E33" i="24"/>
  <c r="F33" i="24" s="1"/>
  <c r="G33" i="24" s="1"/>
  <c r="H33" i="24" s="1"/>
  <c r="E19" i="22"/>
  <c r="F19" i="22" s="1"/>
  <c r="G19" i="22" s="1"/>
  <c r="H19" i="22" s="1"/>
  <c r="E11" i="22"/>
  <c r="F11" i="22" s="1"/>
  <c r="G11" i="22" s="1"/>
  <c r="H11" i="22" s="1"/>
  <c r="E17" i="25"/>
  <c r="E18" i="24"/>
  <c r="F18" i="24" s="1"/>
  <c r="G18" i="24" s="1"/>
  <c r="H18" i="24" s="1"/>
  <c r="E26" i="24"/>
  <c r="F26" i="24" s="1"/>
  <c r="G26" i="24" s="1"/>
  <c r="H26" i="24" s="1"/>
  <c r="E36" i="24"/>
  <c r="F36" i="24" s="1"/>
  <c r="G36" i="24" s="1"/>
  <c r="H36" i="24" s="1"/>
  <c r="E18" i="22"/>
  <c r="F18" i="22" s="1"/>
  <c r="G18" i="22" s="1"/>
  <c r="H18" i="22" s="1"/>
  <c r="E9" i="25"/>
  <c r="E19" i="25"/>
  <c r="E9" i="24"/>
  <c r="F9" i="24" s="1"/>
  <c r="G9" i="24" s="1"/>
  <c r="H9" i="24" s="1"/>
  <c r="E19" i="24"/>
  <c r="F19" i="24" s="1"/>
  <c r="G19" i="24" s="1"/>
  <c r="H19" i="24" s="1"/>
  <c r="E27" i="24"/>
  <c r="F27" i="24" s="1"/>
  <c r="G27" i="24" s="1"/>
  <c r="H27" i="24" s="1"/>
  <c r="E37" i="24"/>
  <c r="F37" i="24" s="1"/>
  <c r="G37" i="24" s="1"/>
  <c r="H37" i="24" s="1"/>
  <c r="E17" i="22"/>
  <c r="F17" i="22" s="1"/>
  <c r="G17" i="22" s="1"/>
  <c r="H17" i="22" s="1"/>
  <c r="E12" i="24"/>
  <c r="F12" i="24" s="1"/>
  <c r="G12" i="24" s="1"/>
  <c r="H12" i="24" s="1"/>
  <c r="E14" i="22"/>
  <c r="F14" i="22" s="1"/>
  <c r="G14" i="22" s="1"/>
  <c r="H14" i="22" s="1"/>
  <c r="E12" i="25"/>
  <c r="Q37" i="2"/>
  <c r="I41" i="2"/>
  <c r="I40" i="2"/>
  <c r="I39" i="2"/>
  <c r="I38" i="2"/>
  <c r="AE54" i="13"/>
  <c r="AE55" i="13"/>
  <c r="AE126" i="13"/>
  <c r="AE123" i="13"/>
  <c r="AE63" i="13"/>
  <c r="AE122" i="13"/>
  <c r="AE104" i="13"/>
  <c r="AE86" i="13"/>
  <c r="AE57" i="13"/>
  <c r="AE88" i="13"/>
  <c r="AE102" i="13"/>
  <c r="AE77" i="13"/>
  <c r="AE82" i="13"/>
  <c r="AE72" i="13"/>
  <c r="AE116" i="13"/>
  <c r="AE100" i="13"/>
  <c r="AE98" i="13"/>
  <c r="AE115" i="13"/>
  <c r="AE52" i="13"/>
  <c r="AE120" i="13"/>
  <c r="AE92" i="13"/>
  <c r="AE69" i="13"/>
  <c r="AE87" i="13"/>
  <c r="AE48" i="13"/>
  <c r="AE113" i="13"/>
  <c r="AE79" i="13"/>
  <c r="AE64" i="13"/>
  <c r="AE110" i="13"/>
  <c r="AE101" i="13"/>
  <c r="AE56" i="13"/>
  <c r="AE71" i="13"/>
  <c r="AE96" i="13"/>
  <c r="AE65" i="13"/>
  <c r="AE97" i="13"/>
  <c r="AE84" i="13"/>
  <c r="AE53" i="13"/>
  <c r="AE59" i="13"/>
  <c r="AE74" i="13"/>
  <c r="AE61" i="13"/>
  <c r="AE108" i="13"/>
  <c r="AE80" i="13"/>
  <c r="AE109" i="13"/>
  <c r="AE105" i="13"/>
  <c r="AE76" i="13"/>
  <c r="AE67" i="13"/>
  <c r="AE85" i="13"/>
  <c r="AE68" i="13"/>
  <c r="AE94" i="13"/>
  <c r="AE117" i="13"/>
  <c r="AE50" i="13"/>
  <c r="AE73" i="13"/>
  <c r="AE118" i="13"/>
  <c r="AE106" i="13"/>
  <c r="AE83" i="13"/>
  <c r="AE89" i="13"/>
  <c r="AE49" i="13"/>
  <c r="AE78" i="13"/>
  <c r="AE103" i="13"/>
  <c r="AE58" i="13"/>
  <c r="AE62" i="13"/>
  <c r="AE93" i="13"/>
  <c r="AE114" i="13"/>
  <c r="AE81" i="13"/>
  <c r="AE51" i="13"/>
  <c r="AE125" i="13"/>
  <c r="AE111" i="13"/>
  <c r="AE70" i="13"/>
  <c r="AE121" i="13"/>
  <c r="AE75" i="13"/>
  <c r="AE95" i="13"/>
  <c r="AE124" i="13"/>
  <c r="AE119" i="13"/>
  <c r="AE91" i="13"/>
  <c r="AE60" i="13"/>
  <c r="AE66" i="13"/>
  <c r="AE90" i="13"/>
  <c r="AD114" i="13"/>
  <c r="AG114" i="13" s="1"/>
  <c r="AD78" i="13"/>
  <c r="AG78" i="13" s="1"/>
  <c r="AD126" i="13"/>
  <c r="AG126" i="13" s="1"/>
  <c r="AD92" i="13"/>
  <c r="AG92" i="13" s="1"/>
  <c r="AD52" i="13"/>
  <c r="AG52" i="13" s="1"/>
  <c r="AD93" i="13"/>
  <c r="AG93" i="13" s="1"/>
  <c r="AF86" i="13"/>
  <c r="AD111" i="13"/>
  <c r="AG111" i="13" s="1"/>
  <c r="AD95" i="13"/>
  <c r="AG95" i="13" s="1"/>
  <c r="AD83" i="13"/>
  <c r="AG83" i="13" s="1"/>
  <c r="AD59" i="13"/>
  <c r="AG59" i="13" s="1"/>
  <c r="AF67" i="13"/>
  <c r="AD88" i="13"/>
  <c r="AG88" i="13" s="1"/>
  <c r="AF85" i="13"/>
  <c r="AD81" i="13"/>
  <c r="AG81" i="13" s="1"/>
  <c r="AF114" i="13"/>
  <c r="AF111" i="13"/>
  <c r="AF83" i="13"/>
  <c r="AF59" i="13"/>
  <c r="AD100" i="13"/>
  <c r="AG100" i="13" s="1"/>
  <c r="AD86" i="13"/>
  <c r="AG86" i="13" s="1"/>
  <c r="AF78" i="13"/>
  <c r="AF95" i="13"/>
  <c r="AD125" i="13"/>
  <c r="AG125" i="13" s="1"/>
  <c r="AD116" i="13"/>
  <c r="AG116" i="13" s="1"/>
  <c r="AF75" i="13"/>
  <c r="AD82" i="13"/>
  <c r="AG82" i="13" s="1"/>
  <c r="AD79" i="13"/>
  <c r="AG79" i="13" s="1"/>
  <c r="AD104" i="13"/>
  <c r="AG104" i="13" s="1"/>
  <c r="AF70" i="13"/>
  <c r="AF69" i="13"/>
  <c r="AD110" i="13"/>
  <c r="AG110" i="13" s="1"/>
  <c r="AF77" i="13"/>
  <c r="AF108" i="13"/>
  <c r="AD57" i="13"/>
  <c r="AG57" i="13" s="1"/>
  <c r="AD91" i="13"/>
  <c r="AG91" i="13" s="1"/>
  <c r="AD76" i="13"/>
  <c r="AG76" i="13" s="1"/>
  <c r="AD75" i="13"/>
  <c r="AG75" i="13" s="1"/>
  <c r="AF126" i="13"/>
  <c r="AD70" i="13"/>
  <c r="AG70" i="13" s="1"/>
  <c r="AF92" i="13"/>
  <c r="AF82" i="13"/>
  <c r="AF125" i="13"/>
  <c r="AF116" i="13"/>
  <c r="AF79" i="13"/>
  <c r="AF81" i="13"/>
  <c r="AF104" i="13"/>
  <c r="AD69" i="13"/>
  <c r="AG69" i="13" s="1"/>
  <c r="AF57" i="13"/>
  <c r="AF52" i="13"/>
  <c r="AD96" i="13"/>
  <c r="AG96" i="13" s="1"/>
  <c r="AD120" i="13"/>
  <c r="AG120" i="13" s="1"/>
  <c r="AF110" i="13"/>
  <c r="AD77" i="13"/>
  <c r="AG77" i="13" s="1"/>
  <c r="AD67" i="13"/>
  <c r="AG67" i="13" s="1"/>
  <c r="AF96" i="13"/>
  <c r="AD108" i="13"/>
  <c r="AG108" i="13" s="1"/>
  <c r="AF93" i="13"/>
  <c r="AD94" i="13"/>
  <c r="AG94" i="13" s="1"/>
  <c r="AD61" i="13"/>
  <c r="AG61" i="13" s="1"/>
  <c r="AF119" i="13"/>
  <c r="AD55" i="13"/>
  <c r="AG55" i="13" s="1"/>
  <c r="AD97" i="13"/>
  <c r="AG97" i="13" s="1"/>
  <c r="AD53" i="13"/>
  <c r="AG53" i="13" s="1"/>
  <c r="AD58" i="13"/>
  <c r="AG58" i="13" s="1"/>
  <c r="AD51" i="13"/>
  <c r="AG51" i="13" s="1"/>
  <c r="AF73" i="13"/>
  <c r="AF115" i="13"/>
  <c r="AF50" i="13"/>
  <c r="AD84" i="13"/>
  <c r="AG84" i="13" s="1"/>
  <c r="AD89" i="13"/>
  <c r="AG89" i="13" s="1"/>
  <c r="AF48" i="13"/>
  <c r="AD119" i="13"/>
  <c r="AG119" i="13" s="1"/>
  <c r="AF122" i="13"/>
  <c r="AF80" i="13"/>
  <c r="AD73" i="13"/>
  <c r="AG73" i="13" s="1"/>
  <c r="AD115" i="13"/>
  <c r="AG115" i="13" s="1"/>
  <c r="AD50" i="13"/>
  <c r="AG50" i="13" s="1"/>
  <c r="AD63" i="13"/>
  <c r="AG63" i="13" s="1"/>
  <c r="AD68" i="13"/>
  <c r="AG68" i="13" s="1"/>
  <c r="AD48" i="13"/>
  <c r="AG48" i="13" s="1"/>
  <c r="AD109" i="13"/>
  <c r="AG109" i="13" s="1"/>
  <c r="AF102" i="13"/>
  <c r="AD122" i="13"/>
  <c r="AG122" i="13" s="1"/>
  <c r="AD80" i="13"/>
  <c r="AG80" i="13" s="1"/>
  <c r="AD74" i="13"/>
  <c r="AG74" i="13" s="1"/>
  <c r="AF60" i="13"/>
  <c r="AF66" i="13"/>
  <c r="AF124" i="13"/>
  <c r="AD123" i="13"/>
  <c r="AG123" i="13" s="1"/>
  <c r="AF121" i="13"/>
  <c r="AD85" i="13"/>
  <c r="AG85" i="13" s="1"/>
  <c r="AF88" i="13"/>
  <c r="AD98" i="13"/>
  <c r="AG98" i="13" s="1"/>
  <c r="AF76" i="13"/>
  <c r="AD106" i="13"/>
  <c r="AG106" i="13" s="1"/>
  <c r="AF54" i="13"/>
  <c r="AF113" i="13"/>
  <c r="AD117" i="13"/>
  <c r="AG117" i="13" s="1"/>
  <c r="AD102" i="13"/>
  <c r="AG102" i="13" s="1"/>
  <c r="AF56" i="13"/>
  <c r="AF90" i="13"/>
  <c r="AD60" i="13"/>
  <c r="AG60" i="13" s="1"/>
  <c r="AF123" i="13"/>
  <c r="AD66" i="13"/>
  <c r="AG66" i="13" s="1"/>
  <c r="AF105" i="13"/>
  <c r="AD124" i="13"/>
  <c r="AG124" i="13" s="1"/>
  <c r="AF62" i="13"/>
  <c r="AD121" i="13"/>
  <c r="AG121" i="13" s="1"/>
  <c r="AF87" i="13"/>
  <c r="AF91" i="13"/>
  <c r="AF65" i="13"/>
  <c r="AD54" i="13"/>
  <c r="AG54" i="13" s="1"/>
  <c r="AF118" i="13"/>
  <c r="AD113" i="13"/>
  <c r="AG113" i="13" s="1"/>
  <c r="AF68" i="13"/>
  <c r="AD72" i="13"/>
  <c r="AG72" i="13" s="1"/>
  <c r="AF49" i="13"/>
  <c r="AF109" i="13"/>
  <c r="AD49" i="13"/>
  <c r="AG49" i="13" s="1"/>
  <c r="AD56" i="13"/>
  <c r="AG56" i="13" s="1"/>
  <c r="AF74" i="13"/>
  <c r="AD64" i="13"/>
  <c r="AG64" i="13" s="1"/>
  <c r="AF103" i="13"/>
  <c r="AD71" i="13"/>
  <c r="AG71" i="13" s="1"/>
  <c r="AD101" i="13"/>
  <c r="AG101" i="13" s="1"/>
  <c r="AD105" i="13"/>
  <c r="AG105" i="13" s="1"/>
  <c r="AD62" i="13"/>
  <c r="AG62" i="13" s="1"/>
  <c r="AF120" i="13"/>
  <c r="AF100" i="13"/>
  <c r="AD87" i="13"/>
  <c r="AG87" i="13" s="1"/>
  <c r="AF98" i="13"/>
  <c r="AD65" i="13"/>
  <c r="AG65" i="13" s="1"/>
  <c r="AD118" i="13"/>
  <c r="AG118" i="13" s="1"/>
  <c r="AF106" i="13"/>
  <c r="AF63" i="13"/>
  <c r="AF72" i="13"/>
  <c r="AF117" i="13"/>
  <c r="AF94" i="13"/>
  <c r="AF61" i="13"/>
  <c r="AF55" i="13"/>
  <c r="AF97" i="13"/>
  <c r="AD90" i="13"/>
  <c r="AG90" i="13" s="1"/>
  <c r="AF53" i="13"/>
  <c r="AF58" i="13"/>
  <c r="AF51" i="13"/>
  <c r="AF64" i="13"/>
  <c r="AD103" i="13"/>
  <c r="AG103" i="13" s="1"/>
  <c r="AF101" i="13"/>
  <c r="AF71" i="13"/>
  <c r="AF84" i="13"/>
  <c r="AF89" i="13"/>
  <c r="I25" i="24" l="1"/>
  <c r="F16" i="25"/>
  <c r="G16" i="25" s="1"/>
  <c r="H16" i="25" s="1"/>
  <c r="I16" i="25" s="1"/>
  <c r="I17" i="22"/>
  <c r="F9" i="25"/>
  <c r="G9" i="25" s="1"/>
  <c r="H9" i="25" s="1"/>
  <c r="I9" i="25" s="1"/>
  <c r="I11" i="22"/>
  <c r="I12" i="22"/>
  <c r="I13" i="22"/>
  <c r="I16" i="22"/>
  <c r="I19" i="24"/>
  <c r="I21" i="24"/>
  <c r="I22" i="24"/>
  <c r="I23" i="24"/>
  <c r="I10" i="22"/>
  <c r="I20" i="24"/>
  <c r="I18" i="22"/>
  <c r="I19" i="22"/>
  <c r="I20" i="22"/>
  <c r="F15" i="25"/>
  <c r="G15" i="25" s="1"/>
  <c r="H15" i="25" s="1"/>
  <c r="I15" i="25" s="1"/>
  <c r="I22" i="22"/>
  <c r="I18" i="24"/>
  <c r="I28" i="24"/>
  <c r="I9" i="24"/>
  <c r="I37" i="24"/>
  <c r="I27" i="24"/>
  <c r="F17" i="25"/>
  <c r="G17" i="25" s="1"/>
  <c r="H17" i="25" s="1"/>
  <c r="I17" i="25" s="1"/>
  <c r="I31" i="24"/>
  <c r="I30" i="24"/>
  <c r="I9" i="22"/>
  <c r="I26" i="24"/>
  <c r="I32" i="24"/>
  <c r="I16" i="24"/>
  <c r="I14" i="24"/>
  <c r="I11" i="24"/>
  <c r="F13" i="25"/>
  <c r="G13" i="25" s="1"/>
  <c r="H13" i="25" s="1"/>
  <c r="I13" i="25" s="1"/>
  <c r="I36" i="24"/>
  <c r="F12" i="25"/>
  <c r="G12" i="25" s="1"/>
  <c r="H12" i="25" s="1"/>
  <c r="I12" i="25" s="1"/>
  <c r="I15" i="22"/>
  <c r="I33" i="24"/>
  <c r="I12" i="24"/>
  <c r="I24" i="24"/>
  <c r="I29" i="24"/>
  <c r="I35" i="24"/>
  <c r="F19" i="25"/>
  <c r="G19" i="25" s="1"/>
  <c r="H19" i="25" s="1"/>
  <c r="I19" i="25" s="1"/>
  <c r="I15" i="24"/>
  <c r="I14" i="22"/>
  <c r="F10" i="25"/>
  <c r="G10" i="25" s="1"/>
  <c r="H10" i="25" s="1"/>
  <c r="I10" i="25" s="1"/>
  <c r="I21" i="22"/>
  <c r="F14" i="25"/>
  <c r="G14" i="25" s="1"/>
  <c r="H14" i="25" s="1"/>
  <c r="I14" i="25" s="1"/>
  <c r="I34" i="24"/>
  <c r="I17" i="24"/>
  <c r="I13" i="24"/>
  <c r="I10" i="24"/>
  <c r="K40" i="2"/>
  <c r="M40" i="2" s="1"/>
  <c r="O40" i="2" s="1"/>
  <c r="Q40" i="2" s="1"/>
  <c r="K39" i="2"/>
  <c r="M39" i="2" s="1"/>
  <c r="O39" i="2" s="1"/>
  <c r="Q39" i="2" s="1"/>
  <c r="K41" i="2"/>
  <c r="M41" i="2" s="1"/>
  <c r="O41" i="2" s="1"/>
  <c r="Q41" i="2" s="1"/>
  <c r="K38" i="2"/>
  <c r="M38" i="2" s="1"/>
  <c r="O38" i="2" s="1"/>
  <c r="Q38" i="2" s="1"/>
  <c r="D6" i="19"/>
  <c r="D7" i="19" s="1"/>
  <c r="E6" i="19"/>
  <c r="G6" i="19"/>
  <c r="C11" i="19" s="1"/>
  <c r="G11" i="19" s="1"/>
  <c r="G12" i="19" s="1"/>
  <c r="F6" i="19" l="1"/>
  <c r="E7" i="19"/>
  <c r="F7" i="19" s="1"/>
  <c r="H6" i="19"/>
  <c r="C12" i="19"/>
  <c r="G7" i="19"/>
  <c r="H7" i="19" s="1"/>
  <c r="C17" i="19" l="1"/>
  <c r="C18" i="19"/>
</calcChain>
</file>

<file path=xl/sharedStrings.xml><?xml version="1.0" encoding="utf-8"?>
<sst xmlns="http://schemas.openxmlformats.org/spreadsheetml/2006/main" count="19526" uniqueCount="1817">
  <si>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</si>
  <si>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</si>
  <si>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</si>
  <si>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</si>
  <si>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</si>
  <si>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</si>
  <si>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</si>
  <si>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</si>
  <si>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</si>
  <si>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</si>
  <si>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</si>
  <si>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</si>
  <si>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</si>
  <si>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</si>
  <si>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</si>
  <si>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</si>
  <si>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</si>
  <si>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</si>
  <si>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</si>
  <si>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</si>
  <si>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</si>
  <si>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</si>
  <si>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</si>
  <si>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</si>
  <si>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</si>
  <si>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</si>
  <si>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 xml:space="preserve">Vloeren: enkelvoudig moppen; </t>
  </si>
  <si>
    <t xml:space="preserve">Planchetten, doorspoelmechanismen, handgrepen e.d.: nat reinigen; </t>
  </si>
  <si>
    <t>Wanneer aanwezig dient kalkaanslag direct verwijderd te worden</t>
  </si>
  <si>
    <t>1ww</t>
  </si>
  <si>
    <t>1 x per weekend</t>
  </si>
  <si>
    <t>2 x per weekend</t>
  </si>
  <si>
    <t>5 x per week met naloop</t>
  </si>
  <si>
    <t>Plaats</t>
  </si>
  <si>
    <t>Gebouw gedeelte</t>
  </si>
  <si>
    <t>Oppervlak (netto)</t>
  </si>
  <si>
    <t>Totaal</t>
  </si>
  <si>
    <t>Sanitairhandeling naloop</t>
  </si>
  <si>
    <t>Code</t>
  </si>
  <si>
    <t>Tariefsopbouw</t>
  </si>
  <si>
    <t>kosten / jaar</t>
  </si>
  <si>
    <t>uren / jaar</t>
  </si>
  <si>
    <t>Kantine</t>
  </si>
  <si>
    <t>Tapijt</t>
  </si>
  <si>
    <t>Vloer afwerking</t>
  </si>
  <si>
    <t>(Entree)mat stofzuigen</t>
  </si>
  <si>
    <t>Telefoontoestellen: klamvochtig reinigen.</t>
  </si>
  <si>
    <t>Tegelwanden en spiegels: vlek verwijderen.</t>
  </si>
  <si>
    <t>Textielbekleding: stofzuigen</t>
  </si>
  <si>
    <t xml:space="preserve">Gehele inventaris m.u.v. kunstvoorwerpen: nat reinigen of indien noodzakelijk vochtig afnemen (uitwendig).  </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</si>
  <si>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</si>
  <si>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</si>
  <si>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</si>
  <si>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</si>
  <si>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</si>
  <si>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</si>
  <si>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</si>
  <si>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</si>
  <si>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</si>
  <si>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</si>
  <si>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</si>
  <si>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</si>
  <si>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</si>
  <si>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</si>
  <si>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</si>
  <si>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</si>
  <si>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</si>
  <si>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</si>
  <si>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</si>
  <si>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</si>
  <si>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</si>
  <si>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</si>
  <si>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Trappenhuizen/lift</t>
  </si>
  <si>
    <t>Keuken/pantry</t>
  </si>
  <si>
    <t>Kleedruimten</t>
  </si>
  <si>
    <t>Niet in onderhoud</t>
  </si>
  <si>
    <t>Postcode</t>
  </si>
  <si>
    <t>Adres</t>
  </si>
  <si>
    <t>Gymzaal</t>
  </si>
  <si>
    <t>Toestelberging</t>
  </si>
  <si>
    <t>Inspectie categorie</t>
  </si>
  <si>
    <t>Schoonmaakmedewerker</t>
  </si>
  <si>
    <t>Specialist</t>
  </si>
  <si>
    <t>Meewerkend leidinggevende</t>
  </si>
  <si>
    <t>Totaal geindexeerd uurloon</t>
  </si>
  <si>
    <r>
      <t>Prijs per m</t>
    </r>
    <r>
      <rPr>
        <vertAlign val="superscript"/>
        <sz val="9"/>
        <rFont val="Verdana"/>
        <family val="2"/>
      </rPr>
      <t>2</t>
    </r>
  </si>
  <si>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</si>
  <si>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</si>
  <si>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</si>
  <si>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</si>
  <si>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</si>
  <si>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</si>
  <si>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</si>
  <si>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</si>
  <si>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</si>
  <si>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</si>
  <si>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</si>
  <si>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</si>
  <si>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</si>
  <si>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</si>
  <si>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</si>
  <si>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</si>
  <si>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</si>
  <si>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</si>
  <si>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</si>
  <si>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</si>
  <si>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</si>
  <si>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</si>
  <si>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</si>
  <si>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</si>
  <si>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Tarief 
excl. 21% BTW</t>
  </si>
  <si>
    <t>Tarief 
incl. 21% BTW</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</si>
  <si>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</si>
  <si>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</si>
  <si>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</si>
  <si>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</si>
  <si>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</si>
  <si>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</si>
  <si>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</si>
  <si>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</si>
  <si>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</si>
  <si>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</si>
  <si>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</si>
  <si>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</si>
  <si>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</si>
  <si>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</si>
  <si>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Harde vloeren zonder zonder extra behandeling, zoals steen, beton e.d.</t>
  </si>
  <si>
    <t>Vloeren zonder beschermlaag, die wel behandeling nodig hebben, zoals pvc e.d.</t>
  </si>
  <si>
    <t>Aanpassing standaardnorm o.b.v. frequentie</t>
  </si>
  <si>
    <t>Frequentie omschrijving</t>
  </si>
  <si>
    <t>2,5w</t>
  </si>
  <si>
    <t>2,5 x per week (om-de-dag)</t>
  </si>
  <si>
    <t>Prestatie</t>
  </si>
  <si>
    <t>Etage</t>
  </si>
  <si>
    <t>Ruimte- nummer</t>
  </si>
  <si>
    <t>Ruimtesoort</t>
  </si>
  <si>
    <t>Vloer code</t>
  </si>
  <si>
    <t>Frequentie werkdagen</t>
  </si>
  <si>
    <t>Frequentie weekend</t>
  </si>
  <si>
    <t>Aantal weken/jr</t>
  </si>
  <si>
    <t>Frequentie</t>
  </si>
  <si>
    <t>Norm (m2/uur)</t>
  </si>
  <si>
    <t>Prest. (m2 /jaar)</t>
  </si>
  <si>
    <t>Steen</t>
  </si>
  <si>
    <t>PVC</t>
  </si>
  <si>
    <t>Pantry</t>
  </si>
  <si>
    <t>Naam</t>
  </si>
  <si>
    <t>Lino</t>
  </si>
  <si>
    <t>Oppervlakte n.i.o.</t>
  </si>
  <si>
    <t>Uitvoeringen</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</si>
  <si>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</si>
  <si>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</si>
  <si>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</si>
  <si>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</si>
  <si>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</si>
  <si>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</si>
  <si>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</si>
  <si>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</si>
  <si>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</si>
  <si>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</si>
  <si>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</si>
  <si>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</si>
  <si>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</si>
  <si>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</si>
  <si>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</si>
  <si>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</si>
  <si>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</si>
  <si>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</si>
  <si>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</si>
  <si>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</si>
  <si>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</si>
  <si>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Prijs per dag</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</si>
  <si>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</si>
  <si>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</si>
  <si>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</si>
  <si>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</si>
  <si>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</si>
  <si>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</si>
  <si>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</si>
  <si>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</si>
  <si>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</si>
  <si>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</si>
  <si>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Schuren en lakken houten vloer</t>
  </si>
  <si>
    <t>Frequentie (uitv./jaar)</t>
  </si>
  <si>
    <t>Handmatig schrobben en droogzuigen</t>
  </si>
  <si>
    <t>Vloeronderhoud</t>
  </si>
  <si>
    <t>Ruimtestaat</t>
  </si>
  <si>
    <t>Oppervlakte i/o</t>
  </si>
  <si>
    <t>Uren / jaar</t>
  </si>
  <si>
    <t>Kosten / jaar</t>
  </si>
  <si>
    <t>Kosten / m2</t>
  </si>
  <si>
    <t>Glasbewassing
Kosten / jaar</t>
  </si>
  <si>
    <t>Vloeronderhoud
Kosten / jaar</t>
  </si>
  <si>
    <t>Totalisatie (excl. BTW)</t>
  </si>
  <si>
    <t>Kolom1</t>
  </si>
  <si>
    <t>Schoonmaakonderhoud
Kosten / jaar</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</si>
  <si>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</si>
  <si>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</si>
  <si>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</si>
  <si>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</si>
  <si>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</si>
  <si>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</si>
  <si>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</si>
  <si>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</si>
  <si>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Servicewerkzaamheden (eenvoudige facilitaire dienstverlening, gastheer/-vrouw etc,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</si>
  <si>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</si>
  <si>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</si>
  <si>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</si>
  <si>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</si>
  <si>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</si>
  <si>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</si>
  <si>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</si>
  <si>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</si>
  <si>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</si>
  <si>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r>
      <t>Prijs per m</t>
    </r>
    <r>
      <rPr>
        <vertAlign val="superscript"/>
        <sz val="9"/>
        <rFont val="Verdana"/>
        <family val="2"/>
      </rPr>
      <t xml:space="preserve">2 </t>
    </r>
    <r>
      <rPr>
        <sz val="9"/>
        <rFont val="Verdana"/>
        <family val="2"/>
      </rPr>
      <t>per beurt</t>
    </r>
  </si>
  <si>
    <t>Regie per uur</t>
  </si>
  <si>
    <t>De opgegeven prijzen zijn tijdens de gehele contractduur van toepassing als afroepprijs.</t>
  </si>
  <si>
    <t>Machinaal schrobben en droogzuigen</t>
  </si>
  <si>
    <t>Natuursteen conserveren, bijv. marmer, travertin of leisteen</t>
  </si>
  <si>
    <t>Textiel reinigen</t>
  </si>
  <si>
    <t>Dieptereiniging sanitair</t>
  </si>
  <si>
    <t>Fantomatten sanitaire ruimte</t>
  </si>
  <si>
    <t>Stoomreinigen sanitaire ruimte</t>
  </si>
  <si>
    <t>Klein technisch onderhoud, verhelpen techische gebreken</t>
  </si>
  <si>
    <t>Wanden en plafonds</t>
  </si>
  <si>
    <t>Toelichting</t>
  </si>
  <si>
    <t>Kolom2</t>
  </si>
  <si>
    <t>Inspectiecategorie</t>
  </si>
  <si>
    <t>Gemiddeld brutoloon</t>
  </si>
  <si>
    <t>Code Locatie</t>
  </si>
  <si>
    <t>Code Taak</t>
  </si>
  <si>
    <t>Code taak</t>
  </si>
  <si>
    <t>Omschrijving2</t>
  </si>
  <si>
    <r>
      <rPr>
        <b/>
        <sz val="9"/>
        <rFont val="Verdana"/>
        <family val="2"/>
      </rPr>
      <t>Alle</t>
    </r>
    <r>
      <rPr>
        <sz val="9"/>
        <rFont val="Verdana"/>
        <family val="2"/>
      </rPr>
      <t xml:space="preserve"> groen gearceerde velden dienen ingevuld te worden, overige cellen mogen niet gewijzigd worden</t>
    </r>
  </si>
  <si>
    <t>Alle groen gearceerde velden dienen ingevuld te worden, overige cellen mogen niet gewijzigd worden</t>
  </si>
  <si>
    <r>
      <t xml:space="preserve">Alle </t>
    </r>
    <r>
      <rPr>
        <sz val="9"/>
        <rFont val="Verdana"/>
        <family val="2"/>
      </rPr>
      <t>groen gearceerde velden dienen ingevuld te worden, overige cellen mogen niet gewijzigd worden</t>
    </r>
  </si>
  <si>
    <t>Totalisatie</t>
  </si>
  <si>
    <t>Totaalprijs
Kosten / jaar</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</si>
  <si>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</si>
  <si>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</si>
  <si>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</si>
  <si>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</si>
  <si>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</si>
  <si>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</si>
  <si>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</si>
  <si>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</si>
  <si>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t>
  </si>
  <si>
    <t>Samenvatting schoonmaakonderhoud</t>
  </si>
  <si>
    <t>prijs per toiletunit*</t>
  </si>
  <si>
    <t>* zie tabblad Werkprogramma voor definities</t>
  </si>
  <si>
    <r>
      <t>Alle groen gearceerde velden dienen ingevuld te worden, overige cellen mogen niet gewijzigd worden (</t>
    </r>
    <r>
      <rPr>
        <sz val="9"/>
        <rFont val="Verdana"/>
        <family val="2"/>
      </rPr>
      <t>m.u.v. de tabel Rechtsgeldige Ondertekening), waar alle stippellijnen ingevuld dienen te worden)</t>
    </r>
  </si>
  <si>
    <t>……………</t>
  </si>
  <si>
    <t>Lichtkoepels (enkel gemeten, dubbel te wassen)</t>
  </si>
  <si>
    <t>Gevelglas binnenzijde</t>
  </si>
  <si>
    <t>Dakglas (enkel gemeten, dubbel te wassen)</t>
  </si>
  <si>
    <t>V  (Verkeersruimte)</t>
  </si>
  <si>
    <t>S  (Sanitair)</t>
  </si>
  <si>
    <t>L  (Lesruimte)</t>
  </si>
  <si>
    <t>B  (Bureauruimte)</t>
  </si>
  <si>
    <t>Sp  (Sportruimte)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</si>
  <si>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</si>
  <si>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</si>
  <si>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</si>
  <si>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</si>
  <si>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</si>
  <si>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</si>
  <si>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</si>
  <si>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</si>
  <si>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</si>
  <si>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</si>
  <si>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</si>
  <si>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</si>
  <si>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Flotex reinigen met eenschijfsmachine en droogzuigen</t>
  </si>
  <si>
    <t>Vloersoort / toelichting</t>
  </si>
  <si>
    <t>Tapijtreinigen, sproei-extractie of poedermethode</t>
  </si>
  <si>
    <t>Diepreinigen betonnen trappen (bijv. dmv. Stoom)</t>
  </si>
  <si>
    <t>Prijs per strekkende meter, incl materialen en middelen</t>
  </si>
  <si>
    <t>H4</t>
  </si>
  <si>
    <t>Spinhoogwerker</t>
  </si>
  <si>
    <t>Dakglas patio (enkel gemeten dubbel bewassen)</t>
  </si>
  <si>
    <t>Vliesgevel/boeiboord/damwand</t>
  </si>
  <si>
    <t>Trespabeplating</t>
  </si>
  <si>
    <t>Praktijklokalen</t>
  </si>
  <si>
    <t>Geboorte- datum</t>
  </si>
  <si>
    <t>Branche datum</t>
  </si>
  <si>
    <t>Soort  contract</t>
  </si>
  <si>
    <t>Aantal uur op object</t>
  </si>
  <si>
    <t>&gt; 1,5 jaar op object?</t>
  </si>
  <si>
    <t>Functiecode</t>
  </si>
  <si>
    <t>Loongroep</t>
  </si>
  <si>
    <t>Basis-uurloon</t>
  </si>
  <si>
    <t>OT Dienstjaren</t>
  </si>
  <si>
    <t>VET toeslag</t>
  </si>
  <si>
    <t>Pers. Toeslag</t>
  </si>
  <si>
    <t>Reiskosten op basis van CAO</t>
  </si>
  <si>
    <t>Reiskosten boven CAO voor 31-12-2007 afgesproken</t>
  </si>
  <si>
    <t>In het bezit van basisvak-diploma? Ja/Nee</t>
  </si>
  <si>
    <t>Receptie</t>
  </si>
  <si>
    <t>Vergader/spreekkamers</t>
  </si>
  <si>
    <t>Leslokalen</t>
  </si>
  <si>
    <t>NIO</t>
  </si>
  <si>
    <t>VLOER</t>
  </si>
  <si>
    <t>INVENTARIS EN INTERIEUR</t>
  </si>
  <si>
    <t>SANITAIR</t>
  </si>
  <si>
    <t>Locatiecode</t>
  </si>
  <si>
    <t>Frequentieomschrijving</t>
  </si>
  <si>
    <t>Vloercode</t>
  </si>
  <si>
    <t>vl1</t>
  </si>
  <si>
    <t>vl2</t>
  </si>
  <si>
    <t>vl3</t>
  </si>
  <si>
    <t>vl4</t>
  </si>
  <si>
    <t>vl5</t>
  </si>
  <si>
    <t>vl6</t>
  </si>
  <si>
    <t>vl7</t>
  </si>
  <si>
    <t>vnl</t>
  </si>
  <si>
    <t>i8</t>
  </si>
  <si>
    <t>i9</t>
  </si>
  <si>
    <t>i10</t>
  </si>
  <si>
    <t>i11</t>
  </si>
  <si>
    <t>i12</t>
  </si>
  <si>
    <t>i13</t>
  </si>
  <si>
    <t>i14</t>
  </si>
  <si>
    <t>inl</t>
  </si>
  <si>
    <t>s15</t>
  </si>
  <si>
    <t>s16</t>
  </si>
  <si>
    <t>snl</t>
  </si>
  <si>
    <t>1-10w</t>
  </si>
  <si>
    <t>1-10w L</t>
  </si>
  <si>
    <t>_</t>
  </si>
  <si>
    <t>1-10w T</t>
  </si>
  <si>
    <t>1-10w S</t>
  </si>
  <si>
    <t>1j</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</si>
  <si>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</si>
  <si>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</si>
  <si>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</si>
  <si>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</si>
  <si>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</si>
  <si>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</si>
  <si>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</si>
  <si>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</si>
  <si>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</si>
  <si>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</si>
  <si>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</si>
  <si>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</si>
  <si>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</si>
  <si>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</si>
  <si>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</si>
  <si>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</si>
  <si>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</si>
  <si>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</si>
  <si>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</si>
  <si>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</si>
  <si>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</si>
  <si>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</si>
  <si>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</si>
  <si>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</si>
  <si>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</si>
  <si>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</si>
  <si>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</si>
  <si>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</si>
  <si>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</si>
  <si>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</si>
  <si>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</si>
  <si>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</si>
  <si>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</si>
  <si>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</si>
  <si>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</si>
  <si>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</si>
  <si>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</si>
  <si>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</si>
  <si>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</si>
  <si>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</si>
  <si>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</si>
  <si>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</si>
  <si>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</si>
  <si>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</si>
  <si>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</si>
  <si>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</si>
  <si>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</si>
  <si>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</si>
  <si>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</si>
  <si>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</si>
  <si>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</si>
  <si>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</si>
  <si>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</si>
  <si>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</si>
  <si>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</si>
  <si>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</si>
  <si>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</si>
  <si>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</si>
  <si>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</si>
  <si>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</si>
  <si>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</si>
  <si>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</si>
  <si>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</si>
  <si>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</si>
  <si>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</si>
  <si>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</si>
  <si>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</si>
  <si>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</si>
  <si>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</si>
  <si>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</si>
  <si>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</si>
  <si>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</si>
  <si>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</si>
  <si>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</si>
  <si>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</si>
  <si>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</si>
  <si>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</si>
  <si>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</si>
  <si>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</si>
  <si>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</si>
  <si>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</si>
  <si>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</si>
  <si>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</si>
  <si>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</si>
  <si>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</si>
  <si>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</si>
  <si>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</si>
  <si>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</si>
  <si>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</si>
  <si>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</si>
  <si>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</si>
  <si>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</si>
  <si>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</si>
  <si>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</si>
  <si>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</si>
  <si>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</si>
  <si>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</si>
  <si>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</si>
  <si>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</si>
  <si>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</si>
  <si>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</si>
  <si>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</si>
  <si>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</si>
  <si>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</si>
  <si>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</si>
  <si>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</si>
  <si>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</si>
  <si>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</si>
  <si>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</si>
  <si>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</si>
  <si>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</si>
  <si>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</si>
  <si>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</si>
  <si>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</si>
  <si>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</si>
  <si>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</si>
  <si>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</si>
  <si>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</si>
  <si>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</si>
  <si>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</si>
  <si>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</si>
  <si>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</si>
  <si>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</si>
  <si>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</si>
  <si>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</si>
  <si>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</si>
  <si>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</si>
  <si>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</si>
  <si>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</si>
  <si>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</si>
  <si>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</si>
  <si>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</si>
  <si>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</si>
  <si>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</si>
  <si>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</si>
  <si>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</si>
  <si>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</si>
  <si>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</si>
  <si>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</si>
  <si>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</si>
  <si>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</si>
  <si>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</si>
  <si>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</si>
  <si>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</si>
  <si>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</si>
  <si>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</si>
  <si>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</si>
  <si>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</si>
  <si>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</si>
  <si>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</si>
  <si>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</si>
  <si>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</si>
  <si>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</si>
  <si>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</si>
  <si>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</si>
  <si>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</si>
  <si>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</si>
  <si>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</si>
  <si>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</si>
  <si>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</si>
  <si>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</si>
  <si>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</si>
  <si>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</si>
  <si>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</si>
  <si>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</si>
  <si>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</si>
  <si>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</si>
  <si>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</si>
  <si>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</si>
  <si>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</si>
  <si>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</si>
  <si>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</si>
  <si>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</si>
  <si>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</si>
  <si>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</si>
  <si>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</si>
  <si>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</si>
  <si>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</si>
  <si>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</si>
  <si>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</si>
  <si>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</si>
  <si>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</si>
  <si>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</si>
  <si>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</si>
  <si>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</si>
  <si>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</si>
  <si>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</si>
  <si>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</si>
  <si>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</si>
  <si>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</si>
  <si>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</si>
  <si>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</si>
  <si>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</si>
  <si>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</si>
  <si>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</si>
  <si>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</si>
  <si>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</si>
  <si>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</si>
  <si>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</si>
  <si>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</si>
  <si>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</si>
  <si>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</si>
  <si>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</si>
  <si>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</si>
  <si>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</si>
  <si>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</si>
  <si>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</si>
  <si>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</si>
  <si>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</si>
  <si>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</si>
  <si>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</si>
  <si>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</si>
  <si>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</si>
  <si>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</si>
  <si>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</si>
  <si>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</si>
  <si>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</si>
  <si>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</si>
  <si>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</si>
  <si>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</si>
  <si>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</si>
  <si>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</si>
  <si>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</si>
  <si>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</si>
  <si>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</si>
  <si>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</si>
  <si>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</si>
  <si>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</si>
  <si>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</si>
  <si>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</si>
  <si>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</si>
  <si>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</si>
  <si>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</si>
  <si>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</si>
  <si>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</si>
  <si>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</si>
  <si>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</si>
  <si>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</si>
  <si>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</si>
  <si>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</si>
  <si>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</si>
  <si>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</si>
  <si>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</si>
  <si>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</si>
  <si>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</si>
  <si>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</si>
  <si>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</si>
  <si>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</si>
  <si>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</si>
  <si>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</si>
  <si>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</si>
  <si>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</si>
  <si>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</si>
  <si>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</si>
  <si>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</si>
  <si>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</si>
  <si>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</si>
  <si>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</si>
  <si>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</si>
  <si>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</si>
  <si>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</si>
  <si>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</si>
  <si>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</si>
  <si>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</si>
  <si>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</si>
  <si>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</si>
  <si>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</si>
  <si>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</si>
  <si>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</si>
  <si>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</si>
  <si>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</si>
  <si>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</si>
  <si>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</si>
  <si>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</si>
  <si>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</si>
  <si>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</si>
  <si>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</si>
  <si>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</si>
  <si>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</si>
  <si>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</si>
  <si>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</si>
  <si>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</si>
  <si>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</si>
  <si>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</si>
  <si>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</si>
  <si>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</si>
  <si>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</si>
  <si>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</si>
  <si>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</si>
  <si>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</si>
  <si>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</si>
  <si>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</si>
  <si>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</si>
  <si>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</si>
  <si>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</si>
  <si>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</si>
  <si>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</si>
  <si>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</si>
  <si>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</si>
  <si>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</si>
  <si>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</si>
  <si>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</si>
  <si>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</si>
  <si>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</si>
  <si>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</si>
  <si>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</si>
  <si>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</si>
  <si>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</si>
  <si>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</si>
  <si>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</si>
  <si>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</si>
  <si>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</si>
  <si>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</si>
  <si>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</si>
  <si>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</si>
  <si>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</si>
  <si>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</si>
  <si>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</si>
  <si>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</si>
  <si>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</si>
  <si>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</si>
  <si>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</si>
  <si>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</si>
  <si>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</si>
  <si>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</si>
  <si>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</si>
  <si>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</si>
  <si>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</si>
  <si>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</si>
  <si>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</si>
  <si>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</si>
  <si>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</si>
  <si>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</si>
  <si>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</si>
  <si>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</si>
  <si>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</si>
  <si>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</si>
  <si>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</si>
  <si>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</si>
  <si>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</si>
  <si>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</si>
  <si>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</si>
  <si>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</si>
  <si>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</si>
  <si>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</si>
  <si>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</si>
  <si>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</si>
  <si>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</si>
  <si>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</si>
  <si>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</si>
  <si>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</si>
  <si>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</si>
  <si>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</si>
  <si>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</si>
  <si>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</si>
  <si>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</si>
  <si>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</si>
  <si>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</si>
  <si>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</si>
  <si>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</si>
  <si>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</si>
  <si>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</si>
  <si>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</si>
  <si>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</si>
  <si>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</si>
  <si>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</si>
  <si>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</si>
  <si>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</si>
  <si>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</si>
  <si>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</si>
  <si>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</si>
  <si>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</si>
  <si>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</si>
  <si>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</si>
  <si>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</si>
  <si>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</si>
  <si>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</si>
  <si>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</si>
  <si>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</si>
  <si>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</si>
  <si>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</si>
  <si>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</si>
  <si>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</si>
  <si>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</si>
  <si>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</si>
  <si>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</si>
  <si>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</si>
  <si>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</si>
  <si>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</si>
  <si>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</si>
  <si>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</si>
  <si>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</si>
  <si>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</si>
  <si>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</si>
  <si>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</si>
  <si>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</si>
  <si>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</si>
  <si>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</si>
  <si>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</si>
  <si>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</si>
  <si>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</si>
  <si>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</si>
  <si>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</si>
  <si>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</si>
  <si>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</si>
  <si>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</si>
  <si>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</si>
  <si>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</si>
  <si>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</si>
  <si>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</si>
  <si>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</si>
  <si>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</si>
  <si>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</si>
  <si>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</si>
  <si>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</si>
  <si>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</si>
  <si>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</si>
  <si>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</si>
  <si>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</si>
  <si>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</si>
  <si>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</si>
  <si>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</si>
  <si>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</si>
  <si>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</si>
  <si>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</si>
  <si>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</si>
  <si>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</si>
  <si>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</si>
  <si>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</si>
  <si>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</si>
  <si>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</si>
  <si>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</si>
  <si>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</si>
  <si>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</si>
  <si>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</si>
  <si>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</si>
  <si>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</si>
  <si>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</si>
  <si>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</si>
  <si>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</si>
  <si>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</si>
  <si>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</si>
  <si>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</si>
  <si>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</si>
  <si>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</si>
  <si>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</si>
  <si>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</si>
  <si>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</si>
  <si>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</si>
  <si>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</si>
  <si>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</si>
  <si>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</si>
  <si>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</si>
  <si>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</si>
  <si>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</si>
  <si>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</si>
  <si>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</si>
  <si>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</si>
  <si>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</si>
  <si>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</si>
  <si>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</si>
  <si>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</si>
  <si>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</si>
  <si>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</si>
  <si>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</si>
  <si>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</si>
  <si>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</si>
  <si>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</si>
  <si>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</si>
  <si>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</si>
  <si>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</si>
  <si>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</si>
  <si>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</si>
  <si>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</si>
  <si>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</si>
  <si>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</si>
  <si>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</si>
  <si>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</si>
  <si>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</si>
  <si>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</si>
  <si>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</si>
  <si>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</si>
  <si>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</si>
  <si>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</si>
  <si>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</si>
  <si>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</si>
  <si>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</si>
  <si>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</si>
  <si>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</si>
  <si>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</si>
  <si>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</si>
  <si>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</si>
  <si>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</si>
  <si>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</si>
  <si>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</si>
  <si>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</si>
  <si>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</si>
  <si>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</si>
  <si>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</si>
  <si>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</si>
  <si>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</si>
  <si>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</si>
  <si>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</si>
  <si>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</si>
  <si>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</si>
  <si>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</si>
  <si>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</si>
  <si>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</si>
  <si>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</si>
  <si>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</si>
  <si>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</si>
  <si>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</si>
  <si>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</si>
  <si>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</si>
  <si>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</si>
  <si>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</si>
  <si>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</si>
  <si>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</si>
  <si>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</si>
  <si>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</si>
  <si>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</si>
  <si>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</si>
  <si>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</si>
  <si>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</si>
  <si>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</si>
  <si>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</si>
  <si>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</si>
  <si>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</si>
  <si>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</si>
  <si>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</si>
  <si>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</si>
  <si>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</si>
  <si>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</si>
  <si>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</si>
  <si>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</si>
  <si>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</si>
  <si>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</si>
  <si>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</si>
  <si>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</si>
  <si>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</si>
  <si>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</si>
  <si>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</si>
  <si>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</si>
  <si>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</si>
  <si>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</si>
  <si>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</si>
  <si>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</si>
  <si>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</si>
  <si>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</si>
  <si>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</si>
  <si>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</si>
  <si>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</si>
  <si>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</si>
  <si>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</si>
  <si>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</si>
  <si>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</si>
  <si>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</si>
  <si>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</si>
  <si>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</si>
  <si>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</si>
  <si>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</si>
  <si>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</si>
  <si>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</si>
  <si>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</si>
  <si>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</si>
  <si>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</si>
  <si>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</si>
  <si>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</si>
  <si>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</si>
  <si>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</si>
  <si>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</si>
  <si>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</si>
  <si>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</si>
  <si>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</si>
  <si>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</si>
  <si>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</si>
  <si>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</si>
  <si>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</si>
  <si>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</si>
  <si>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</si>
  <si>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</si>
  <si>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</si>
  <si>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</si>
  <si>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</si>
  <si>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</si>
  <si>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</si>
  <si>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</si>
  <si>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</si>
  <si>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</si>
  <si>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</si>
  <si>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</si>
  <si>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</si>
  <si>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</si>
  <si>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</si>
  <si>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</si>
  <si>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</si>
  <si>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</si>
  <si>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</si>
  <si>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</si>
  <si>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</si>
  <si>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</si>
  <si>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</si>
  <si>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</si>
  <si>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</si>
  <si>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</si>
  <si>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</si>
  <si>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</si>
  <si>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</si>
  <si>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</si>
  <si>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</si>
  <si>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</si>
  <si>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</si>
  <si>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</si>
  <si>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</si>
  <si>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</si>
  <si>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</si>
  <si>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</si>
  <si>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</si>
  <si>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</si>
  <si>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</si>
  <si>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</si>
  <si>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</si>
  <si>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</si>
  <si>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</si>
  <si>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</si>
  <si>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</si>
  <si>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</si>
  <si>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</si>
  <si>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</si>
  <si>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</si>
  <si>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</si>
  <si>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</si>
  <si>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</si>
  <si>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</si>
  <si>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</si>
  <si>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</si>
  <si>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</si>
  <si>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</si>
  <si>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</si>
  <si>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</si>
  <si>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</si>
  <si>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</si>
  <si>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</si>
  <si>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</si>
  <si>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</si>
  <si>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</si>
  <si>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</si>
  <si>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</si>
  <si>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</si>
  <si>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</si>
  <si>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</si>
  <si>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</si>
  <si>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</si>
  <si>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</si>
  <si>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</si>
  <si>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</si>
  <si>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</si>
  <si>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</si>
  <si>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</si>
  <si>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</si>
  <si>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</si>
  <si>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</si>
  <si>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</si>
  <si>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</si>
  <si>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</si>
  <si>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</si>
  <si>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</si>
  <si>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</si>
  <si>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</si>
  <si>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</si>
  <si>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</si>
  <si>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</si>
  <si>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</si>
  <si>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</si>
  <si>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</si>
  <si>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</si>
  <si>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</si>
  <si>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</si>
  <si>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</si>
  <si>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</si>
  <si>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</si>
  <si>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</si>
  <si>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</si>
  <si>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</si>
  <si>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</si>
  <si>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</si>
  <si>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</si>
  <si>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</si>
  <si>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</si>
  <si>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</si>
  <si>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</si>
  <si>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</si>
  <si>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</si>
  <si>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</si>
  <si>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</si>
  <si>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</si>
  <si>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</si>
  <si>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</si>
  <si>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</si>
  <si>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</si>
  <si>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</si>
  <si>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</si>
  <si>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</si>
  <si>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</si>
  <si>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</si>
  <si>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</si>
  <si>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</si>
  <si>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</si>
  <si>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</si>
  <si>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</si>
  <si>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</si>
  <si>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</si>
  <si>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</si>
  <si>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</si>
  <si>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</si>
  <si>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</si>
  <si>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</si>
  <si>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</si>
  <si>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</si>
  <si>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</si>
  <si>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</si>
  <si>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</si>
  <si>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</si>
  <si>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</si>
  <si>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</si>
  <si>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</si>
  <si>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</si>
  <si>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</si>
  <si>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</si>
  <si>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</si>
  <si>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</si>
  <si>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</si>
  <si>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</si>
  <si>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</si>
  <si>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</si>
  <si>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</si>
  <si>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</si>
  <si>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</si>
  <si>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</si>
  <si>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</si>
  <si>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</si>
  <si>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</si>
  <si>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</si>
  <si>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</si>
  <si>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</si>
  <si>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</si>
  <si>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</si>
  <si>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</si>
  <si>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</si>
  <si>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</si>
  <si>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</si>
  <si>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</si>
  <si>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</si>
  <si>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</si>
  <si>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</si>
  <si>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</si>
  <si>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</si>
  <si>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</si>
  <si>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</si>
  <si>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</si>
  <si>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</si>
  <si>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</si>
  <si>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</si>
  <si>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</si>
  <si>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</si>
  <si>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</si>
  <si>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</si>
  <si>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</si>
  <si>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</si>
  <si>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</si>
  <si>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</si>
  <si>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</si>
  <si>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</si>
  <si>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</si>
  <si>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</si>
  <si>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</si>
  <si>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</si>
  <si>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</si>
  <si>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</si>
  <si>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</si>
  <si>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</si>
  <si>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</si>
  <si>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</si>
  <si>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</si>
  <si>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</si>
  <si>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</si>
  <si>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</si>
  <si>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</si>
  <si>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</si>
  <si>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</si>
  <si>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</si>
  <si>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</si>
  <si>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</si>
  <si>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</si>
  <si>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</si>
  <si>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</si>
  <si>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</si>
  <si>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</si>
  <si>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</si>
  <si>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</si>
  <si>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</si>
  <si>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</si>
  <si>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</si>
  <si>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</si>
  <si>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</si>
  <si>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</si>
  <si>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</si>
  <si>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</si>
  <si>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</si>
  <si>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</si>
  <si>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</si>
  <si>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</si>
  <si>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</si>
  <si>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</si>
  <si>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</si>
  <si>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</si>
  <si>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</si>
  <si>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</si>
  <si>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</si>
  <si>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</si>
  <si>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</si>
  <si>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</si>
  <si>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</si>
  <si>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</si>
  <si>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</si>
  <si>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</si>
  <si>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</si>
  <si>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</si>
  <si>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</si>
  <si>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</si>
  <si>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</si>
  <si>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</si>
  <si>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</si>
  <si>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</si>
  <si>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</si>
  <si>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</si>
  <si>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</si>
  <si>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</si>
  <si>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</si>
  <si>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</si>
  <si>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</si>
  <si>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</si>
  <si>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</si>
  <si>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</si>
  <si>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</si>
  <si>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</si>
  <si>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</si>
  <si>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</si>
  <si>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</si>
  <si>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</si>
  <si>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</si>
  <si>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</si>
  <si>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</si>
  <si>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</si>
  <si>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</si>
  <si>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</si>
  <si>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</si>
  <si>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</si>
  <si>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</si>
  <si>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</si>
  <si>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</si>
  <si>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</si>
  <si>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</si>
  <si>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</si>
  <si>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</si>
  <si>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</si>
  <si>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</si>
  <si>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</si>
  <si>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</si>
  <si>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</si>
  <si>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</si>
  <si>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</si>
  <si>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</si>
  <si>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</si>
  <si>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</si>
  <si>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</si>
  <si>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</si>
  <si>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</si>
  <si>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</si>
  <si>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</si>
  <si>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</si>
  <si>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</si>
  <si>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</si>
  <si>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</si>
  <si>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</si>
  <si>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</si>
  <si>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</si>
  <si>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</si>
  <si>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</si>
  <si>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</si>
  <si>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</si>
  <si>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</si>
  <si>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</si>
  <si>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</si>
  <si>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</si>
  <si>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</si>
  <si>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</si>
  <si>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</si>
  <si>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Programma</t>
  </si>
  <si>
    <t>stofvrij maken buitenzijde LBK en lampen Atrium</t>
  </si>
  <si>
    <t>Kozijnen + waterdoorlaten aluminium kozijn B-gebouw oudbouw schoonmaken</t>
  </si>
  <si>
    <t>WERKPROGRAMMA WERKDAGEN</t>
  </si>
  <si>
    <t>WERKPROGRAMMA WEEKEND</t>
  </si>
  <si>
    <t>Code Weekend</t>
  </si>
  <si>
    <r>
      <t>vl1</t>
    </r>
    <r>
      <rPr>
        <sz val="9"/>
        <color theme="6"/>
        <rFont val="Verdana"/>
        <family val="2"/>
      </rPr>
      <t>2</t>
    </r>
  </si>
  <si>
    <r>
      <t>vl2</t>
    </r>
    <r>
      <rPr>
        <sz val="9"/>
        <color theme="6"/>
        <rFont val="Verdana"/>
        <family val="2"/>
      </rPr>
      <t>3</t>
    </r>
  </si>
  <si>
    <r>
      <t>vl3</t>
    </r>
    <r>
      <rPr>
        <sz val="9"/>
        <color theme="6"/>
        <rFont val="Verdana"/>
        <family val="2"/>
      </rPr>
      <t>4</t>
    </r>
  </si>
  <si>
    <r>
      <t>vl4</t>
    </r>
    <r>
      <rPr>
        <sz val="9"/>
        <color theme="6"/>
        <rFont val="Verdana"/>
        <family val="2"/>
      </rPr>
      <t>5</t>
    </r>
  </si>
  <si>
    <r>
      <t>vl5</t>
    </r>
    <r>
      <rPr>
        <sz val="9"/>
        <color theme="6"/>
        <rFont val="Verdana"/>
        <family val="2"/>
      </rPr>
      <t>6</t>
    </r>
  </si>
  <si>
    <r>
      <t>vl6</t>
    </r>
    <r>
      <rPr>
        <sz val="9"/>
        <color theme="6"/>
        <rFont val="Verdana"/>
        <family val="2"/>
      </rPr>
      <t>7</t>
    </r>
  </si>
  <si>
    <r>
      <t>vl7</t>
    </r>
    <r>
      <rPr>
        <sz val="9"/>
        <color theme="6"/>
        <rFont val="Verdana"/>
        <family val="2"/>
      </rPr>
      <t>8</t>
    </r>
  </si>
  <si>
    <r>
      <t>vnl</t>
    </r>
    <r>
      <rPr>
        <sz val="9"/>
        <color theme="6"/>
        <rFont val="Verdana"/>
        <family val="2"/>
      </rPr>
      <t>9</t>
    </r>
  </si>
  <si>
    <r>
      <t>i8</t>
    </r>
    <r>
      <rPr>
        <sz val="9"/>
        <color theme="4" tint="0.39997558519241921"/>
        <rFont val="Verdana"/>
        <family val="2"/>
      </rPr>
      <t>10</t>
    </r>
  </si>
  <si>
    <r>
      <t>i9</t>
    </r>
    <r>
      <rPr>
        <sz val="9"/>
        <color theme="4" tint="0.39997558519241921"/>
        <rFont val="Verdana"/>
        <family val="2"/>
      </rPr>
      <t>11</t>
    </r>
  </si>
  <si>
    <r>
      <t>i10</t>
    </r>
    <r>
      <rPr>
        <sz val="9"/>
        <color theme="3" tint="0.59999389629810485"/>
        <rFont val="Verdana"/>
        <family val="2"/>
      </rPr>
      <t>2</t>
    </r>
  </si>
  <si>
    <r>
      <rPr>
        <sz val="9"/>
        <rFont val="Verdana"/>
        <family val="2"/>
      </rPr>
      <t>i11</t>
    </r>
    <r>
      <rPr>
        <sz val="9"/>
        <color theme="4" tint="0.39997558519241921"/>
        <rFont val="Verdana"/>
        <family val="2"/>
      </rPr>
      <t>2</t>
    </r>
  </si>
  <si>
    <r>
      <t>i12</t>
    </r>
    <r>
      <rPr>
        <sz val="9"/>
        <color theme="3" tint="0.59999389629810485"/>
        <rFont val="Verdana"/>
        <family val="2"/>
      </rPr>
      <t>2</t>
    </r>
  </si>
  <si>
    <r>
      <t>i13</t>
    </r>
    <r>
      <rPr>
        <sz val="9"/>
        <color theme="3" tint="0.59999389629810485"/>
        <rFont val="Verdana"/>
        <family val="2"/>
      </rPr>
      <t>2</t>
    </r>
  </si>
  <si>
    <r>
      <t>i14</t>
    </r>
    <r>
      <rPr>
        <sz val="9"/>
        <color theme="3" tint="0.59999389629810485"/>
        <rFont val="Verdana"/>
        <family val="2"/>
      </rPr>
      <t>2</t>
    </r>
  </si>
  <si>
    <r>
      <t>inl</t>
    </r>
    <r>
      <rPr>
        <sz val="9"/>
        <color theme="3" tint="0.59999389629810485"/>
        <rFont val="Verdana"/>
        <family val="2"/>
      </rPr>
      <t>2</t>
    </r>
  </si>
  <si>
    <r>
      <t>s15</t>
    </r>
    <r>
      <rPr>
        <sz val="9"/>
        <color theme="5" tint="0.39997558519241921"/>
        <rFont val="Verdana"/>
        <family val="2"/>
      </rPr>
      <t>2</t>
    </r>
  </si>
  <si>
    <r>
      <t>s16</t>
    </r>
    <r>
      <rPr>
        <sz val="9"/>
        <color theme="5" tint="0.39997558519241921"/>
        <rFont val="Verdana"/>
        <family val="2"/>
      </rPr>
      <t>2</t>
    </r>
  </si>
  <si>
    <r>
      <t>snl</t>
    </r>
    <r>
      <rPr>
        <sz val="9"/>
        <color theme="5" tint="0.39997558519241921"/>
        <rFont val="Verdana"/>
        <family val="2"/>
      </rPr>
      <t>2</t>
    </r>
  </si>
  <si>
    <t>Programmacode
Regulier</t>
  </si>
  <si>
    <t>Vloeren</t>
  </si>
  <si>
    <t>Vloerhandelingen Vl 1.</t>
  </si>
  <si>
    <t>Bijtippend stofzuigen</t>
  </si>
  <si>
    <t>Vlekken, licht aangehecht en losliggend vuil verwijderen (zo ook vlekken uit het tapijt bij aanvullende opmerkingen);</t>
  </si>
  <si>
    <t xml:space="preserve">Kauwgum verwijderen. </t>
  </si>
  <si>
    <t>Vloerhandelingen Vl 2.</t>
  </si>
  <si>
    <t>Stofzuigen en vlek verwijderen.</t>
  </si>
  <si>
    <t>Kaugom verwijderen</t>
  </si>
  <si>
    <t>Vloerhandelingen Vl 3.</t>
  </si>
  <si>
    <t>Stofwissen</t>
  </si>
  <si>
    <t>Vlekken, licht aangehecht en losliggend vuil verwijderen.</t>
  </si>
  <si>
    <t xml:space="preserve">Schropstrepen en kauwgum verwijderen </t>
  </si>
  <si>
    <t>Entreemat stofzuigen</t>
  </si>
  <si>
    <t>Vloerhandelingen Vl 4.</t>
  </si>
  <si>
    <t xml:space="preserve">Moppen; </t>
  </si>
  <si>
    <t>Vloerhandelingen Vl 5.</t>
  </si>
  <si>
    <t xml:space="preserve">Schrobben/drogen; </t>
  </si>
  <si>
    <t>Vloerhandelingen Vl 6.</t>
  </si>
  <si>
    <t>Sprayen / opwrijven.</t>
  </si>
  <si>
    <t>Vloerhandelingen Vl 7.</t>
  </si>
  <si>
    <t>Harde vloeren met was- of polymeerlaag: top-coaten, waar nodig re-coaten. **</t>
  </si>
  <si>
    <t>Tapijtvloeren; sproei-extractie</t>
  </si>
  <si>
    <t>** recoaten:</t>
  </si>
  <si>
    <t>Er dienen bij het periodieke onderhoud minimaal 2 polymeerlagen te worden aangebracht op de vloeren.</t>
  </si>
  <si>
    <t>Vloerhandeling naloop</t>
  </si>
  <si>
    <t>Alleen de zichtbare verstoringen (vlekken) verwijderen</t>
  </si>
  <si>
    <t>Inventaris en interieur</t>
  </si>
  <si>
    <t>Interieurhandelingen I 8.</t>
  </si>
  <si>
    <t>Entreedeuren, tochtdeuren, liftdeuren, spiegels en loketten: vlek-, stof-, en vingertasten verwijderen</t>
  </si>
  <si>
    <t>Voorzijde kasten en lockers vlek en vingertasten verwijderen, stoelen/banken los vuil verwijderen</t>
  </si>
  <si>
    <t xml:space="preserve">Koelkast voorzijde vlek en vingertasten verwijderen, </t>
  </si>
  <si>
    <t>Watercoolers, koffieautomaten buitenzijde, koelkast vrijstaande bovenzijde vlek verwijderen en stof afnemen</t>
  </si>
  <si>
    <t>Schrobstrepen van deuren en wanden verwijderen.</t>
  </si>
  <si>
    <t xml:space="preserve">Wasbakken/aanrecht reinigen
</t>
  </si>
  <si>
    <t>Interieurhandelingen I 9.</t>
  </si>
  <si>
    <t>Rookcabines binnenzijde geheel reiningen</t>
  </si>
  <si>
    <t xml:space="preserve">Horizontale vlakken van meubilair (tot reikhoogte, 2 meter), vlek verwijderen en stof afnemen. </t>
  </si>
  <si>
    <t>Interieurhandelingen I 10.</t>
  </si>
  <si>
    <t>Spinrag in gehele ruimte verwijderen.</t>
  </si>
  <si>
    <t>Vlek-, stof-, en vingertasten verwijderen van overige deuren, meubilair, leidingen en verwarmingselementen, leuningen, randen/ richels (tot reikhoogte, 2 meter) e.d.:</t>
  </si>
  <si>
    <t>Kopieermachines/printers bovenzijde vlek verwijderen en stof afnemen</t>
  </si>
  <si>
    <t xml:space="preserve">Plantenbakken, brandblusapparatuur (inclusief slangenhaspelkasten en bedrijfshulpverleningskasten) en kapstokken reinigen. </t>
  </si>
  <si>
    <t>Interieurhandelingen I 11.</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</si>
  <si>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</si>
  <si>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</si>
  <si>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</si>
  <si>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Interieurhandelingen I 12.</t>
  </si>
  <si>
    <t xml:space="preserve">Alle deuren (geheel), afwasbare wanden (geheel/volledig): nat reinigen. </t>
  </si>
  <si>
    <t>Verticale vlakken van meubilair vlek verwijderen en stof afnemen</t>
  </si>
  <si>
    <t xml:space="preserve">Alle monitoren, computerapparatuur, kopieerapparatuur en andere technische apparatuur dienen stof -en vlekvrij te worden gemaakt en dienen met een neutraal reinigingsmiddel gereinigd te worden. </t>
  </si>
  <si>
    <t>Gehele inventaris (uitwendig) stof afnemen.</t>
  </si>
  <si>
    <t>Randen / richels, leidingen en verwarmingselementen e.d. (boven reikhoogte, 2 meter): stof afnemen en vlekken verwijderen</t>
  </si>
  <si>
    <t>Interieurhandelingen I 14.</t>
  </si>
  <si>
    <t>Kaugom verwijderen onder stoelen, tafels en overige meubilair.</t>
  </si>
  <si>
    <t>Interieurhandeling naloop</t>
  </si>
  <si>
    <t>Alleen de zichtbare verstoringen als vlekken, vingertasten (tot reikhoogte, 2 meter) e.d.verwijderen</t>
  </si>
  <si>
    <t>Sanitair handelingen S 15.</t>
  </si>
  <si>
    <t xml:space="preserve">Toiletpotten, urinoirs, schaamschotten, wasbakken e.d. + tegelwanden (tot reikhoogte, 2 meter): nat reinigen; </t>
  </si>
  <si>
    <t xml:space="preserve">Leidingen en verwarmingselementen: nat reinigen;  </t>
  </si>
  <si>
    <t>Spiegels: bewassen;</t>
  </si>
  <si>
    <t>Afvalbakken: legen en uitwendig nat/vochtig reinigen, plastic binnenzakken vervangen indien nodig.</t>
  </si>
  <si>
    <t>Sanitairhandelingen S 16.</t>
  </si>
  <si>
    <t xml:space="preserve">Gehele inventaris, deuren, tegelwanden en leidingen e.d.: nat reinigen; </t>
  </si>
  <si>
    <t>Bestekvervolgwerkzaamheden en aandachtspunten:</t>
  </si>
  <si>
    <t>Algemeen:</t>
  </si>
  <si>
    <t>De locatie(s)/ruimte(n) die door omstandigheden (bijvoorbeeld een kast die een raam blokkeert) niet gereinigd kunnen worden, dienen aan de opdrachtgever gemeld te worden.</t>
  </si>
  <si>
    <t>Algemeen interieur-/inventarisonderhoud:</t>
  </si>
  <si>
    <t>De schrobputjes dienen gelijk met de schrobbeurten gereinigd en bijgevuld te worden.</t>
  </si>
  <si>
    <t>Climarads (roosters) dienen wekelijks te worden gereinigd.</t>
  </si>
  <si>
    <t xml:space="preserve">Overige (lucht)roosters dienen maandelijks uitwendig te worden gereinigd. </t>
  </si>
  <si>
    <t xml:space="preserve">Staande en hangende lampen tot reikhoogte dienen wekelijks stofvrij te worden gemaakt. </t>
  </si>
  <si>
    <t>Bureau:</t>
  </si>
  <si>
    <t>Indien een bureau een verplaatsbaar ladeblok heeft, dan dient dit ladeblok wekelijks geheel stofvrij te worden gemaakt. De ondervloer dient wekelijks te worden gestofzuigd/ gestofwist.</t>
  </si>
  <si>
    <t>Prullenbakken:</t>
  </si>
  <si>
    <t>Werkkasten:</t>
  </si>
  <si>
    <t>De aanwezige werkkasten dienen door de Opdrachtnemer wekelijks te worden gereinigd. De m2 zijn niet opgenomen in de opname/mutatiestaten (calculatiemodule). De kosten voor het reinigen van de werkkasten komt voor rekening van de Opdrachtnemer.</t>
  </si>
  <si>
    <t>Liften</t>
  </si>
  <si>
    <t>Wekelijks behandelen RVS-delen bij en in liftpartijen met RVS reiniging c.q. onderhoudsmiddel.</t>
  </si>
  <si>
    <t>Lockers</t>
  </si>
  <si>
    <t>Bovenzijde dient wekelijks stofvrij te worden gemaakt. De voorzijde dient maandelijks vochtig afgenomen te worden.</t>
  </si>
  <si>
    <t>Sanitair/douche en kleedruimten</t>
  </si>
  <si>
    <t>De luchtroosters in sanitaire ruimten dienen wekelijks vochtig te worden gereinigd.</t>
  </si>
  <si>
    <t>Armaturen dienen maandelijks uitwendig stofvrij te worden gemaakt.</t>
  </si>
  <si>
    <t>Tapijt:</t>
  </si>
  <si>
    <t>Inzake vlek verwijderen uit het tapijt staat aangegeven dat alleen eenvoudig te verwijderen vlekken (fruit, kleine koffievlekken e.d) dienen te worden verwijderd. Indien vlekken niet kunnen worden verwijderd dient dit te worden gemeld aan de opdrachtgever</t>
  </si>
  <si>
    <t>Reinigingsmiddelen:</t>
  </si>
  <si>
    <t>De schoonmaak- en schoonmaakonderhoudsmiddelen dienen, conform NIFIM systematiek, te zijn geëtiketteerd. Opdrachtgever kan bepaalde schoonmaakmiddelen voorschrijven.</t>
  </si>
  <si>
    <t>Separatieglas (incl. glazen deuren):</t>
  </si>
  <si>
    <t>Separatielglas (incl. glazen deuren) dient dagelijks tot reikhoogte (2 meter) te worden ontdaan van vlekken en vingertasten.</t>
  </si>
  <si>
    <t>Glazenwasserwerkzaamheden:</t>
  </si>
  <si>
    <t>Opdrachtnemer is verantwoordelijk voor het gebruik van de glazenwasserinstallatie. Aansprakelijkheid voor schade ontstaan door het gebruik is voor rekening van de opdrachtnemer.</t>
  </si>
  <si>
    <t>Opdrachtnemer dient zich bij het uitvoeren van de werkzaamheden te houden aan de ARBO wetgeving.</t>
  </si>
  <si>
    <t>De Opdrachtnemer dient met de opdrachtgever een planningslijst samen te stellen waarop staat aangegeven wanneer de bewassingbeurten worden uitgevoerd.</t>
  </si>
  <si>
    <t>LET OP: De omlijstingen/kozijnen dienen op correcte wijze te worden bewassen en zonder lekstrepen/druppels te worden achtergelaten.</t>
  </si>
  <si>
    <t>Inlooproosters</t>
  </si>
  <si>
    <t>De inlooproosters dienen 2x per jaar gereinigd te worden, de ruimte eronder dient 2x per jaar leeggeschept te worden.</t>
  </si>
  <si>
    <t>Spinrag buitenentree</t>
  </si>
  <si>
    <t>De buitenentree dient wekelijks spinragvrij gemaakt te worden.</t>
  </si>
  <si>
    <t>WERKPROGRAMMA</t>
  </si>
  <si>
    <t>Dienen dagelijks (ma. t/m vrij.) geledigd te worden. Verwisselen van de afvalzakken is niet nodig als er alleen papier in de prullenbak ligt. 6x per jaar de prullenbakken geheel reinigen</t>
  </si>
  <si>
    <t>Inloopmatten</t>
  </si>
  <si>
    <t>2x per jaar de matten extra schoonmaken</t>
  </si>
  <si>
    <t>Den Haag</t>
  </si>
  <si>
    <t>0.01</t>
  </si>
  <si>
    <t>0.02</t>
  </si>
  <si>
    <t>0.03</t>
  </si>
  <si>
    <t>0.04</t>
  </si>
  <si>
    <t>0.05</t>
  </si>
  <si>
    <t>0.06</t>
  </si>
  <si>
    <t>0.07</t>
  </si>
  <si>
    <t>0.08</t>
  </si>
  <si>
    <t>0.09</t>
  </si>
  <si>
    <t>0.11</t>
  </si>
  <si>
    <t>0.12</t>
  </si>
  <si>
    <t>0.13</t>
  </si>
  <si>
    <t>0.14</t>
  </si>
  <si>
    <t>0.15</t>
  </si>
  <si>
    <t>0.16</t>
  </si>
  <si>
    <t>0.17</t>
  </si>
  <si>
    <t>0.18</t>
  </si>
  <si>
    <t>0.20</t>
  </si>
  <si>
    <t>0.21</t>
  </si>
  <si>
    <t>0.22</t>
  </si>
  <si>
    <t>0.23</t>
  </si>
  <si>
    <t>0.24</t>
  </si>
  <si>
    <t>0.25</t>
  </si>
  <si>
    <t>0.26</t>
  </si>
  <si>
    <t>0.27</t>
  </si>
  <si>
    <t>0.28</t>
  </si>
  <si>
    <t>0.29</t>
  </si>
  <si>
    <t>0.30</t>
  </si>
  <si>
    <t>0.31</t>
  </si>
  <si>
    <t>0.32</t>
  </si>
  <si>
    <t>0.33</t>
  </si>
  <si>
    <t>0.34</t>
  </si>
  <si>
    <t>0.35</t>
  </si>
  <si>
    <t>0.37</t>
  </si>
  <si>
    <t>0.38</t>
  </si>
  <si>
    <t>Trappenhuis</t>
  </si>
  <si>
    <t>Gang</t>
  </si>
  <si>
    <t>Werkkast</t>
  </si>
  <si>
    <t>Serverruimte</t>
  </si>
  <si>
    <t>Bibliotheek / OLC</t>
  </si>
  <si>
    <t>Garderobes</t>
  </si>
  <si>
    <t>Personeelskamer</t>
  </si>
  <si>
    <t>Indexatie</t>
  </si>
  <si>
    <t>CAO</t>
  </si>
  <si>
    <t>CBS index</t>
  </si>
  <si>
    <t>Gemiddelde
indexering</t>
  </si>
  <si>
    <t>Percentage</t>
  </si>
  <si>
    <t>Soort indexatie</t>
  </si>
  <si>
    <t>2022</t>
  </si>
  <si>
    <t>2023</t>
  </si>
  <si>
    <t>2024</t>
  </si>
  <si>
    <t>2025</t>
  </si>
  <si>
    <t>Tarief excl btw</t>
  </si>
  <si>
    <t>Variabele beloning en facturatie</t>
  </si>
  <si>
    <t>Reservering Variabele Beloning</t>
  </si>
  <si>
    <t xml:space="preserve">  van de kosten/jaar schoonmaakonderhoud</t>
  </si>
  <si>
    <t>Per maand te factureren schoonmaakonderhoud</t>
  </si>
  <si>
    <t xml:space="preserve">  1/12e deel van de kosten/jaar schoonmaakonderhoud minus de reservering variabele beloning</t>
  </si>
  <si>
    <t>Maximale variabele beloning per kwartaal</t>
  </si>
  <si>
    <t xml:space="preserve">  Het % dat per kwartaal wordt uitgekeerd is gelijk aan het % dat per kwartaal op de SLA is gescoord.</t>
  </si>
  <si>
    <t>Overige diensten (glasbewassing, vloeronderhoud, regie en afroep) per beurt te factureren na uitvoering, oplevering en akkoord opdrachtgever.</t>
  </si>
  <si>
    <t>Malus bij onvoldoende herkeuring</t>
  </si>
  <si>
    <t>Hoeveel % mag Opdrachtgever per ruimtecategorie in mindering brengen op de maandfactuur van de betreffende locatie in het geval van een onvoldoende per ruimtecategorie bij een herkeuring?</t>
  </si>
  <si>
    <t>6a</t>
  </si>
  <si>
    <t>Gangen/hallen BG</t>
  </si>
  <si>
    <t>Gangen/hallen andere verdiepingen</t>
  </si>
  <si>
    <t>6a-10w L</t>
  </si>
  <si>
    <t>6a-10w T</t>
  </si>
  <si>
    <t>6a-10w S</t>
  </si>
  <si>
    <t>6a-10w P</t>
  </si>
  <si>
    <t>6a-5w L</t>
  </si>
  <si>
    <t>6a-5w T</t>
  </si>
  <si>
    <t>6a-5w S</t>
  </si>
  <si>
    <t>6a-5w P</t>
  </si>
  <si>
    <t>6a-4w L</t>
  </si>
  <si>
    <t>6a-4w T</t>
  </si>
  <si>
    <t>6a-4w S</t>
  </si>
  <si>
    <t>6a-4w P</t>
  </si>
  <si>
    <t>6a-3w L</t>
  </si>
  <si>
    <t>6a-3w T</t>
  </si>
  <si>
    <t>6a-3w S</t>
  </si>
  <si>
    <t>6a-3w P</t>
  </si>
  <si>
    <t>6a-2w L</t>
  </si>
  <si>
    <t>6a-2w T</t>
  </si>
  <si>
    <t>6a-2w S</t>
  </si>
  <si>
    <t>6a-2w P</t>
  </si>
  <si>
    <t>6a-1w L</t>
  </si>
  <si>
    <t>6a-1w T</t>
  </si>
  <si>
    <t>6a-1w S</t>
  </si>
  <si>
    <t>6a-1w P</t>
  </si>
  <si>
    <t>6a-1m L</t>
  </si>
  <si>
    <t>6a-1m T</t>
  </si>
  <si>
    <t>6a-1m S</t>
  </si>
  <si>
    <t>6a-1m P</t>
  </si>
  <si>
    <t>6a-1ww L</t>
  </si>
  <si>
    <t>6a-1ww T</t>
  </si>
  <si>
    <t>6a-1ww S</t>
  </si>
  <si>
    <t>6a-1ww P</t>
  </si>
  <si>
    <t>6a-2ww L</t>
  </si>
  <si>
    <t>6a-2ww T</t>
  </si>
  <si>
    <t>6a-2ww S</t>
  </si>
  <si>
    <t>6a-2ww P</t>
  </si>
  <si>
    <t>6a-10w</t>
  </si>
  <si>
    <t>6a-5w</t>
  </si>
  <si>
    <t>6a-4w</t>
  </si>
  <si>
    <t>6a-3w</t>
  </si>
  <si>
    <t>6a-2w</t>
  </si>
  <si>
    <t>6a-1w</t>
  </si>
  <si>
    <t>6a-1m</t>
  </si>
  <si>
    <t>6a-1ww</t>
  </si>
  <si>
    <t>6a-2ww</t>
  </si>
  <si>
    <t xml:space="preserve">Alle groen gearceerde velden dienen ingevuld te worden, overige cellen mogen niet gewijzigd worden    </t>
  </si>
  <si>
    <t>2026</t>
  </si>
  <si>
    <t xml:space="preserve">De periodieke werkzaamheden (inclusief boven de 2 mtr. Stofvrij maken / vochtig afnemen) dienen in de vakanties te worden uitgevoerd. </t>
  </si>
  <si>
    <t xml:space="preserve">Interieurhandelingen I 13. </t>
  </si>
  <si>
    <t>Vakantiebeurten / interieurhandelingen i,13</t>
  </si>
  <si>
    <t>Vakantiebeurten / interieurhandelingen i,14</t>
  </si>
  <si>
    <t xml:space="preserve">De periodieke werkzaamheden, (optioneel) vloeronderhoud en de glasbewassing dienen in de vakanties te worden uitgevoerd. </t>
  </si>
  <si>
    <t>Dit is tijdens de voorjaarsvakantie, de meivakantie en de herfstvakantie.</t>
  </si>
  <si>
    <t>Dit is tijdens de zomervakantie en de kerstvakantie.</t>
  </si>
  <si>
    <t>Topstrippen, sealen en conserveren</t>
  </si>
  <si>
    <t>Datum in dienst</t>
  </si>
  <si>
    <t>ESH Secondary School</t>
  </si>
  <si>
    <t>Oostduinlaan 50</t>
  </si>
  <si>
    <t>2596 JP</t>
  </si>
  <si>
    <t>Kantoor HR en recruitment</t>
  </si>
  <si>
    <t>Techniek</t>
  </si>
  <si>
    <t>Kantoor Financiele administratie</t>
  </si>
  <si>
    <t>Kantoor Directeur</t>
  </si>
  <si>
    <t>Flexibele ruimte met pantry</t>
  </si>
  <si>
    <t>Toneelzaal</t>
  </si>
  <si>
    <t>Toneel</t>
  </si>
  <si>
    <t>Lokaal Lokaal</t>
  </si>
  <si>
    <t>Kantoor PA directeur en PA DD</t>
  </si>
  <si>
    <t>Toilet Heren</t>
  </si>
  <si>
    <t>Toilet Dames</t>
  </si>
  <si>
    <t>Verkeersruimte</t>
  </si>
  <si>
    <t>Kantoor Meeting room/workingspace</t>
  </si>
  <si>
    <t>Standaard leslokaal German</t>
  </si>
  <si>
    <t>Standaard leslokaal French</t>
  </si>
  <si>
    <t>Standaard leslokaal Latin</t>
  </si>
  <si>
    <t>Standaard leslokaal Ethics</t>
  </si>
  <si>
    <t>Kantoor Facility manager en coordinator</t>
  </si>
  <si>
    <t>Kantoor Stockroom</t>
  </si>
  <si>
    <t>Science lokaal Chemistry</t>
  </si>
  <si>
    <t>trappenhuis</t>
  </si>
  <si>
    <t>voorportaal</t>
  </si>
  <si>
    <t>Kantoor Deputy director secondary</t>
  </si>
  <si>
    <t>Standaard leslokaal English</t>
  </si>
  <si>
    <t>Standaard leslokaal Dutch</t>
  </si>
  <si>
    <t>Kantoor ICT ICT coordinator</t>
  </si>
  <si>
    <t>TOA Scheikunde Chemistry</t>
  </si>
  <si>
    <t>Toilet MIVA</t>
  </si>
  <si>
    <t>Pantry/kolfruimte</t>
  </si>
  <si>
    <t>Standaard leslokaal Spanish</t>
  </si>
  <si>
    <t>Standaard leslokaal Math</t>
  </si>
  <si>
    <t>Kantoor Kantoor PE</t>
  </si>
  <si>
    <t>kleedruimte</t>
  </si>
  <si>
    <t>WC D/H</t>
  </si>
  <si>
    <t>berging</t>
  </si>
  <si>
    <t>Muzieklokaal Music</t>
  </si>
  <si>
    <t>Muzieklokaal studio</t>
  </si>
  <si>
    <t>Muzieklokaal Controlroom</t>
  </si>
  <si>
    <t>Staffroom Werkruimte staff</t>
  </si>
  <si>
    <t>technische ruimte</t>
  </si>
  <si>
    <t>0.10</t>
  </si>
  <si>
    <t>0.19</t>
  </si>
  <si>
    <t>0.36</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</si>
  <si>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</si>
  <si>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</si>
  <si>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</si>
  <si>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</si>
  <si>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</si>
  <si>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</si>
  <si>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</si>
  <si>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</si>
  <si>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</si>
  <si>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</si>
  <si>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</si>
  <si>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</si>
  <si>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</si>
  <si>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</si>
  <si>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</si>
  <si>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</si>
  <si>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</si>
  <si>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</si>
  <si>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</si>
  <si>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</si>
  <si>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</si>
  <si>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</si>
  <si>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</si>
  <si>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</si>
  <si>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</si>
  <si>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</si>
  <si>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</si>
  <si>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</si>
  <si>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</si>
  <si>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</si>
  <si>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</si>
  <si>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</si>
  <si>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</si>
  <si>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</si>
  <si>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</si>
  <si>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</si>
  <si>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</si>
  <si>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</si>
  <si>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</si>
  <si>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</si>
  <si>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</si>
  <si>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</si>
  <si>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</si>
  <si>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</si>
  <si>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</si>
  <si>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K1.1</t>
  </si>
  <si>
    <t>K1.2</t>
  </si>
  <si>
    <t>K1.3</t>
  </si>
  <si>
    <t>K1.4</t>
  </si>
  <si>
    <t>K1.5</t>
  </si>
  <si>
    <t>K1.6</t>
  </si>
  <si>
    <t>K1.7</t>
  </si>
  <si>
    <t>K1.8</t>
  </si>
  <si>
    <t>K1.9</t>
  </si>
  <si>
    <t>K1.10</t>
  </si>
  <si>
    <t>K1.11</t>
  </si>
  <si>
    <t>K1.12</t>
  </si>
  <si>
    <t>K1.13</t>
  </si>
  <si>
    <t>K1.14</t>
  </si>
  <si>
    <t>K1.15</t>
  </si>
  <si>
    <t>K1.16</t>
  </si>
  <si>
    <t>K1.17</t>
  </si>
  <si>
    <t>K1.18</t>
  </si>
  <si>
    <t>K1.19</t>
  </si>
  <si>
    <t>K1.20</t>
  </si>
  <si>
    <t>K1.21</t>
  </si>
  <si>
    <t>K1.22</t>
  </si>
  <si>
    <t>K1.23</t>
  </si>
  <si>
    <t>K1.24</t>
  </si>
  <si>
    <t>K1.25</t>
  </si>
  <si>
    <t>K1.26</t>
  </si>
  <si>
    <t>K1.27</t>
  </si>
  <si>
    <t>K1.28</t>
  </si>
  <si>
    <t>K1.29</t>
  </si>
  <si>
    <t>K1.30</t>
  </si>
  <si>
    <t>K1.31</t>
  </si>
  <si>
    <t>K1.32</t>
  </si>
  <si>
    <t>K1.33</t>
  </si>
  <si>
    <t>K1.34</t>
  </si>
  <si>
    <t>K1.35</t>
  </si>
  <si>
    <t>K1.36</t>
  </si>
  <si>
    <t>K1.37</t>
  </si>
  <si>
    <t>K1.38</t>
  </si>
  <si>
    <t>Kelder</t>
  </si>
  <si>
    <t>BG</t>
  </si>
  <si>
    <t>Berging</t>
  </si>
  <si>
    <t>Werkplaats concierge</t>
  </si>
  <si>
    <t>Droogopslag cateraar</t>
  </si>
  <si>
    <t>Kleedruimte</t>
  </si>
  <si>
    <t>Keuken</t>
  </si>
  <si>
    <t>Common Room</t>
  </si>
  <si>
    <t>Entreeportaal</t>
  </si>
  <si>
    <t>Voorportaal</t>
  </si>
  <si>
    <t>Mediatheek</t>
  </si>
  <si>
    <t>Opslag mediatheek</t>
  </si>
  <si>
    <t>1.01</t>
  </si>
  <si>
    <t>1.02</t>
  </si>
  <si>
    <t>1.03</t>
  </si>
  <si>
    <t>1.04</t>
  </si>
  <si>
    <t>1.05</t>
  </si>
  <si>
    <t>1.06</t>
  </si>
  <si>
    <t>1.07</t>
  </si>
  <si>
    <t>1.08</t>
  </si>
  <si>
    <t>1.09</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</si>
  <si>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</si>
  <si>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</si>
  <si>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</si>
  <si>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</si>
  <si>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</si>
  <si>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</si>
  <si>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</si>
  <si>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</si>
  <si>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</si>
  <si>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</si>
  <si>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</si>
  <si>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</si>
  <si>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</si>
  <si>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</si>
  <si>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</si>
  <si>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</si>
  <si>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</si>
  <si>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</si>
  <si>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</si>
  <si>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</si>
  <si>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</si>
  <si>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</si>
  <si>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</si>
  <si>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</si>
  <si>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</si>
  <si>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</si>
  <si>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</si>
  <si>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</si>
  <si>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</si>
  <si>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</si>
  <si>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</si>
  <si>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</si>
  <si>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</si>
  <si>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</si>
  <si>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</si>
  <si>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</si>
  <si>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</si>
  <si>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</si>
  <si>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</si>
  <si>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</si>
  <si>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</si>
  <si>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</si>
  <si>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</si>
  <si>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</si>
  <si>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</si>
  <si>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</si>
  <si>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1e</t>
  </si>
  <si>
    <t>staffroom</t>
  </si>
  <si>
    <t>WC voorportaal</t>
  </si>
  <si>
    <t>WC</t>
  </si>
  <si>
    <t>garderobe</t>
  </si>
  <si>
    <t>Studieruimte</t>
  </si>
  <si>
    <t>studielandschap</t>
  </si>
  <si>
    <t>Standaard leslokaal</t>
  </si>
  <si>
    <t>Biologielokaal</t>
  </si>
  <si>
    <t>Natuurkunde lokaal</t>
  </si>
  <si>
    <t>kantoor ADD</t>
  </si>
  <si>
    <t>Standaard leslokaal Wiskunde</t>
  </si>
  <si>
    <t>Standaard leslokaal Economie</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</si>
  <si>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</si>
  <si>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</si>
  <si>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</si>
  <si>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</si>
  <si>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</si>
  <si>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</si>
  <si>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</si>
  <si>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</si>
  <si>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</si>
  <si>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</si>
  <si>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</si>
  <si>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</si>
  <si>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</si>
  <si>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</si>
  <si>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</si>
  <si>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</si>
  <si>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</si>
  <si>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</si>
  <si>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</si>
  <si>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</si>
  <si>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</si>
  <si>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</si>
  <si>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</si>
  <si>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</si>
  <si>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</si>
  <si>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</si>
  <si>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</si>
  <si>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</si>
  <si>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</si>
  <si>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</si>
  <si>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</si>
  <si>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</si>
  <si>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</si>
  <si>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</si>
  <si>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</si>
  <si>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</si>
  <si>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</si>
  <si>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</si>
  <si>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Kantoor Support</t>
  </si>
  <si>
    <t>Kantoor</t>
  </si>
  <si>
    <t>Toilet</t>
  </si>
  <si>
    <t>Standaard leslokaal Geography</t>
  </si>
  <si>
    <t>Standaard leslokaal History</t>
  </si>
  <si>
    <t>Kantoor Admin, admiss</t>
  </si>
  <si>
    <t>Lift</t>
  </si>
  <si>
    <t>Art lokaal</t>
  </si>
  <si>
    <t>Opslag Art</t>
  </si>
  <si>
    <t>2e</t>
  </si>
  <si>
    <t>3.01</t>
  </si>
  <si>
    <t>3.02</t>
  </si>
  <si>
    <t>3.04</t>
  </si>
  <si>
    <t>3.05</t>
  </si>
  <si>
    <t>3.06</t>
  </si>
  <si>
    <t>3.07</t>
  </si>
  <si>
    <t>3.08</t>
  </si>
  <si>
    <t>3.10</t>
  </si>
  <si>
    <t>3.11</t>
  </si>
  <si>
    <t>3.12</t>
  </si>
  <si>
    <t>3.13</t>
  </si>
  <si>
    <t>3.14</t>
  </si>
  <si>
    <t>Trappenhuis/Pantry</t>
  </si>
  <si>
    <t>Standaard leslokaal Greek &amp; Polish</t>
  </si>
  <si>
    <t>Standaard leslokaal Czech &amp; Hungarian</t>
  </si>
  <si>
    <t>Standaard leslokaal Finnish &amp; Portugese</t>
  </si>
  <si>
    <t>Standaard leslokaal Croatian/Slovenian/Rumanian</t>
  </si>
  <si>
    <t>Standaard leslokaal Italian</t>
  </si>
  <si>
    <t>Kopieerruimte</t>
  </si>
  <si>
    <t>3e</t>
  </si>
  <si>
    <t>Opmerking</t>
  </si>
  <si>
    <t>TOA ruimte</t>
  </si>
  <si>
    <t>14A</t>
  </si>
  <si>
    <t>14a</t>
  </si>
  <si>
    <t>Concierge en receptie en Securitas</t>
  </si>
  <si>
    <t>Diepstrippen, sealen en conserveren</t>
  </si>
  <si>
    <t>Gietvloer</t>
  </si>
  <si>
    <t>Hout</t>
  </si>
  <si>
    <t>Rubber</t>
  </si>
  <si>
    <t>Sportvloer</t>
  </si>
  <si>
    <t>Gangen/ Hallen</t>
  </si>
  <si>
    <t>gangen/ hallen</t>
  </si>
  <si>
    <t>lokaal computer</t>
  </si>
  <si>
    <t>berging ICT</t>
  </si>
  <si>
    <t>Toilet dames</t>
  </si>
  <si>
    <t>Muzieklokaal Studio</t>
  </si>
  <si>
    <t>Muzieklokaal music</t>
  </si>
  <si>
    <t>Techniekruimte toneel</t>
  </si>
  <si>
    <t>Lokaal</t>
  </si>
  <si>
    <t>La Permanence</t>
  </si>
  <si>
    <t>Toa Ruimte</t>
  </si>
  <si>
    <t>Lokaal Natuurkunde</t>
  </si>
  <si>
    <t>Biologie lokaal</t>
  </si>
  <si>
    <t>Miva Toilet</t>
  </si>
  <si>
    <t>Toiletten heren</t>
  </si>
  <si>
    <t>Toiletten Staff</t>
  </si>
  <si>
    <t>Theorie lokaal</t>
  </si>
  <si>
    <t>Leslokaal</t>
  </si>
  <si>
    <t>kantoor support</t>
  </si>
  <si>
    <t>Walk Out</t>
  </si>
  <si>
    <t xml:space="preserve">Kantoor </t>
  </si>
  <si>
    <t>3.15</t>
  </si>
  <si>
    <t>0.64a</t>
  </si>
  <si>
    <t>Berging gymzaal</t>
  </si>
  <si>
    <t>0.68a</t>
  </si>
  <si>
    <t>H</t>
  </si>
  <si>
    <t>Vloeren die wel behandeling nodig hebben</t>
  </si>
  <si>
    <t>Oliën houten vloeren</t>
  </si>
  <si>
    <t>deze gegevens volgen bij nvi `1</t>
  </si>
  <si>
    <t>Omschrijving</t>
  </si>
  <si>
    <t>netto prijs</t>
  </si>
  <si>
    <t>Handdoek ZZ PS</t>
  </si>
  <si>
    <t>Aantal totaal</t>
  </si>
  <si>
    <t>Toiletpapier PS</t>
  </si>
  <si>
    <t>Dreumex geurstrip luchtverf. Pacific blue</t>
  </si>
  <si>
    <t>Disp. Geurstrip luchtverfrisser Dreumex</t>
  </si>
  <si>
    <t>Tork handdoek I vouw wit soft (21x110/doos)</t>
  </si>
  <si>
    <t>Toiletpapier Tork Smart one mini 12 rol/doos</t>
  </si>
  <si>
    <t>Tork Prem. Soap liquid mild 1l 6/doos</t>
  </si>
  <si>
    <t>rekenkundige hoeveelheden</t>
  </si>
  <si>
    <t>afname per jaar</t>
  </si>
  <si>
    <t>Handdoek ZZ, torknr 290143</t>
  </si>
  <si>
    <t>Damesverbandcontainers</t>
  </si>
  <si>
    <t>Toiletpapier, torknr 120776</t>
  </si>
  <si>
    <t xml:space="preserve">Dreumex geurstrip luchtverf. Pacific blue  99900001008                    </t>
  </si>
  <si>
    <t xml:space="preserve">Tork Premium Soap liquid mild 1l 6/ doos torknr 42501  </t>
  </si>
  <si>
    <t>codes</t>
  </si>
  <si>
    <t>1 x per 14 dagen wisselen</t>
  </si>
  <si>
    <t>sanitair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</si>
</sst>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quot;€&quot;\ #,##0.00"/>
    <numFmt numFmtId="184" formatCode="_(* #,##0.0_);_(* \(#,##0.0\);_(* &quot;-&quot;??_);_(@_)"/>
  </numFmts>
  <fonts count="64">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9"/>
      <name val="Verdana"/>
      <family val="2"/>
    </font>
    <font>
      <b/>
      <u/>
      <sz val="9"/>
      <name val="Verdana"/>
      <family val="2"/>
    </font>
    <font>
      <b/>
      <sz val="9"/>
      <name val="Verdana"/>
      <family val="2"/>
    </font>
    <font>
      <sz val="9"/>
      <color indexed="9"/>
      <name val="Verdana"/>
      <family val="2"/>
    </font>
    <font>
      <u/>
      <sz val="9"/>
      <name val="Verdana"/>
      <family val="2"/>
    </font>
    <font>
      <vertAlign val="superscript"/>
      <sz val="9"/>
      <name val="Verdana"/>
      <family val="2"/>
    </font>
    <font>
      <sz val="9"/>
      <color indexed="8"/>
      <name val="Verdana"/>
      <family val="2"/>
    </font>
    <font>
      <b/>
      <sz val="9"/>
      <color indexed="8"/>
      <name val="Verdana"/>
      <family val="2"/>
    </font>
    <font>
      <b/>
      <u/>
      <sz val="12"/>
      <name val="Verdana"/>
      <family val="2"/>
    </font>
    <font>
      <b/>
      <sz val="9"/>
      <color theme="0"/>
      <name val="Verdana"/>
      <family val="2"/>
    </font>
    <font>
      <sz val="9"/>
      <color theme="0"/>
      <name val="Verdana"/>
      <family val="2"/>
    </font>
    <font>
      <sz val="9"/>
      <color theme="1"/>
      <name val="Verdana"/>
      <family val="2"/>
    </font>
    <font>
      <sz val="9"/>
      <color theme="4"/>
      <name val="Verdana"/>
      <family val="2"/>
    </font>
    <font>
      <b/>
      <sz val="12"/>
      <color theme="0"/>
      <name val="Verdana"/>
      <family val="2"/>
    </font>
    <font>
      <b/>
      <sz val="9"/>
      <color theme="1"/>
      <name val="Verdana"/>
      <family val="2"/>
    </font>
    <font>
      <sz val="9"/>
      <name val="Verdana"/>
      <family val="2"/>
    </font>
    <font>
      <sz val="10"/>
      <name val="Verdana"/>
      <family val="2"/>
    </font>
    <font>
      <sz val="10"/>
      <color theme="1"/>
      <name val="Verdana"/>
      <family val="2"/>
    </font>
    <font>
      <sz val="10"/>
      <name val="Arial"/>
      <family val="2"/>
    </font>
    <font>
      <sz val="9"/>
      <color rgb="FFFFFFFF"/>
      <name val="Verdana"/>
      <family val="2"/>
    </font>
    <font>
      <sz val="9"/>
      <name val="Verdana"/>
      <family val="2"/>
    </font>
    <font>
      <b/>
      <sz val="26"/>
      <name val="Arial"/>
      <family val="2"/>
    </font>
    <font>
      <b/>
      <sz val="11"/>
      <name val="Arial"/>
      <family val="2"/>
    </font>
    <font>
      <b/>
      <sz val="10"/>
      <color theme="1"/>
      <name val="Arial"/>
      <family val="2"/>
    </font>
    <font>
      <sz val="10"/>
      <color theme="0"/>
      <name val="Arial"/>
      <family val="2"/>
    </font>
    <font>
      <b/>
      <sz val="14"/>
      <color theme="0"/>
      <name val="Arial"/>
      <family val="2"/>
    </font>
    <font>
      <b/>
      <sz val="11"/>
      <color theme="0"/>
      <name val="Arial"/>
      <family val="2"/>
    </font>
    <font>
      <b/>
      <sz val="11"/>
      <name val="Verdana"/>
      <family val="2"/>
    </font>
    <font>
      <sz val="9"/>
      <color theme="6"/>
      <name val="Verdana"/>
      <family val="2"/>
    </font>
    <font>
      <sz val="9"/>
      <color theme="4" tint="0.39997558519241921"/>
      <name val="Verdana"/>
      <family val="2"/>
    </font>
    <font>
      <sz val="9"/>
      <color theme="3" tint="0.59999389629810485"/>
      <name val="Verdana"/>
      <family val="2"/>
    </font>
    <font>
      <sz val="9"/>
      <color theme="5" tint="0.39997558519241921"/>
      <name val="Verdana"/>
      <family val="2"/>
    </font>
    <font>
      <sz val="10"/>
      <name val="Calibri"/>
      <family val="2"/>
    </font>
    <font>
      <u/>
      <sz val="10"/>
      <name val="Calibri"/>
      <family val="2"/>
    </font>
    <font>
      <sz val="12"/>
      <name val="Calibri"/>
      <family val="2"/>
    </font>
    <font>
      <b/>
      <sz val="8"/>
      <color theme="0"/>
      <name val="Verdana"/>
      <family val="2"/>
    </font>
    <font>
      <b/>
      <sz val="10"/>
      <color theme="1"/>
      <name val="Verdana"/>
      <family val="2"/>
    </font>
    <font>
      <b/>
      <i/>
      <sz val="10"/>
      <name val="Calibri"/>
      <family val="2"/>
    </font>
    <font>
      <sz val="9"/>
      <name val="Verdana"/>
      <family val="2"/>
    </font>
    <font>
      <b/>
      <sz val="11"/>
      <color rgb="FFFA7D00"/>
      <name val="Calibri"/>
      <family val="2"/>
      <scheme val="minor"/>
    </font>
  </fonts>
  <fills count="30">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1"/>
        <bgColor indexed="64"/>
      </patternFill>
    </fill>
    <fill>
      <patternFill patternType="solid">
        <fgColor theme="2" tint="-0.499984740745262"/>
        <bgColor indexed="64"/>
      </patternFill>
    </fill>
    <fill>
      <patternFill patternType="solid">
        <fgColor rgb="FFF2F2F2"/>
      </patternFill>
    </fill>
    <fill>
      <patternFill patternType="solid">
        <fgColor rgb="FF3468FF"/>
        <bgColor indexed="64"/>
      </patternFill>
    </fill>
    <fill>
      <patternFill patternType="solid">
        <fgColor rgb="FFFFC000"/>
        <bgColor indexed="64"/>
      </patternFill>
    </fill>
  </fills>
  <borders count="37">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diagonal/>
    </border>
    <border>
      <left/>
      <right/>
      <top/>
      <bottom style="medium">
        <color indexed="64"/>
      </bottom>
      <diagonal/>
    </border>
    <border>
      <left style="thin">
        <color rgb="FF7F7F7F"/>
      </left>
      <right style="thin">
        <color rgb="FF7F7F7F"/>
      </right>
      <top style="thin">
        <color rgb="FF7F7F7F"/>
      </top>
      <bottom style="thin">
        <color rgb="FF7F7F7F"/>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56">
    <xf numFmtId="0" fontId="0" fillId="0" borderId="0"/>
    <xf numFmtId="0" fontId="12" fillId="0" borderId="0"/>
    <xf numFmtId="171"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64" fontId="18"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13" fillId="0" borderId="0" applyNumberFormat="0" applyFill="0" applyBorder="0" applyAlignment="0" applyProtection="0">
      <alignment vertical="top"/>
      <protection locked="0"/>
    </xf>
    <xf numFmtId="168" fontId="5" fillId="0" borderId="0" applyFont="0" applyFill="0" applyBorder="0" applyAlignment="0" applyProtection="0"/>
    <xf numFmtId="168" fontId="4" fillId="0" borderId="0" applyFont="0" applyFill="0" applyBorder="0" applyAlignment="0" applyProtection="0"/>
    <xf numFmtId="165" fontId="7" fillId="0" borderId="0">
      <alignment horizontal="center" vertical="center" textRotation="90" wrapText="1"/>
    </xf>
    <xf numFmtId="0" fontId="14" fillId="2" borderId="1"/>
    <xf numFmtId="174" fontId="8" fillId="0" borderId="0"/>
    <xf numFmtId="0" fontId="15" fillId="0" borderId="0" applyNumberFormat="0" applyBorder="0">
      <protection locked="0"/>
    </xf>
    <xf numFmtId="0" fontId="16" fillId="0" borderId="0"/>
    <xf numFmtId="0" fontId="17" fillId="3" borderId="2" applyNumberFormat="0" applyFont="0" applyFill="0" applyBorder="0" applyAlignment="0">
      <alignment horizontal="right"/>
    </xf>
    <xf numFmtId="0" fontId="14" fillId="4" borderId="3" applyNumberFormat="0" applyFont="0" applyBorder="0">
      <alignment horizontal="center"/>
    </xf>
    <xf numFmtId="0" fontId="10" fillId="0" borderId="0"/>
    <xf numFmtId="0" fontId="21" fillId="0" borderId="0"/>
    <xf numFmtId="0" fontId="4" fillId="0" borderId="0"/>
    <xf numFmtId="167" fontId="4" fillId="0" borderId="0" applyFont="0" applyFill="0" applyBorder="0" applyAlignment="0" applyProtection="0"/>
    <xf numFmtId="175" fontId="12" fillId="0" borderId="0" applyFont="0" applyFill="0" applyBorder="0" applyAlignment="0" applyProtection="0"/>
    <xf numFmtId="176" fontId="12" fillId="0" borderId="0" applyFont="0" applyFill="0" applyBorder="0" applyAlignment="0" applyProtection="0"/>
    <xf numFmtId="0" fontId="22" fillId="0" borderId="0"/>
    <xf numFmtId="9" fontId="22" fillId="0" borderId="0" applyFont="0" applyFill="0" applyBorder="0" applyAlignment="0" applyProtection="0"/>
    <xf numFmtId="44" fontId="22" fillId="0" borderId="0" applyFont="0" applyFill="0" applyBorder="0" applyAlignment="0" applyProtection="0"/>
    <xf numFmtId="43" fontId="22" fillId="0" borderId="0" applyFont="0" applyFill="0" applyBorder="0" applyAlignment="0" applyProtection="0"/>
    <xf numFmtId="9" fontId="23" fillId="0" borderId="0" applyFont="0" applyFill="0" applyBorder="0" applyAlignment="0" applyProtection="0"/>
    <xf numFmtId="0" fontId="4" fillId="0" borderId="0"/>
    <xf numFmtId="164" fontId="4" fillId="0" borderId="0" applyFont="0" applyFill="0" applyBorder="0" applyAlignment="0" applyProtection="0"/>
    <xf numFmtId="0" fontId="8" fillId="2" borderId="1"/>
    <xf numFmtId="0" fontId="4" fillId="0" borderId="0"/>
    <xf numFmtId="0" fontId="3" fillId="0" borderId="0"/>
    <xf numFmtId="9" fontId="4" fillId="0" borderId="0" applyFont="0" applyFill="0" applyBorder="0" applyAlignment="0" applyProtection="0"/>
    <xf numFmtId="0" fontId="2" fillId="0" borderId="0"/>
    <xf numFmtId="44" fontId="4" fillId="0" borderId="0" applyFont="0" applyFill="0" applyBorder="0" applyAlignment="0" applyProtection="0"/>
    <xf numFmtId="0" fontId="2" fillId="0" borderId="0"/>
    <xf numFmtId="44" fontId="4" fillId="0" borderId="0" applyFont="0" applyFill="0" applyBorder="0" applyAlignment="0" applyProtection="0"/>
    <xf numFmtId="0" fontId="2" fillId="0" borderId="0"/>
    <xf numFmtId="0" fontId="2" fillId="0" borderId="0"/>
    <xf numFmtId="0" fontId="2" fillId="0" borderId="0"/>
    <xf numFmtId="0" fontId="2" fillId="0" borderId="0"/>
    <xf numFmtId="0" fontId="1" fillId="0" borderId="0"/>
    <xf numFmtId="44" fontId="42" fillId="0" borderId="0" applyFont="0" applyFill="0" applyBorder="0" applyAlignment="0" applyProtection="0"/>
    <xf numFmtId="0" fontId="63" fillId="27" borderId="32" applyNumberFormat="0" applyAlignment="0" applyProtection="0"/>
  </cellStyleXfs>
  <cellXfs count="471">
    <xf numFmtId="0" fontId="0" fillId="0" borderId="0" xfId="0"/>
    <xf numFmtId="0" fontId="24" fillId="0" borderId="0" xfId="0" applyFont="1" applyAlignment="1">
      <alignment horizontal="center"/>
    </xf>
    <xf numFmtId="0" fontId="24" fillId="0" borderId="0" xfId="0" applyFont="1"/>
    <xf numFmtId="0" fontId="30" fillId="0" borderId="0" xfId="29" applyFont="1"/>
    <xf numFmtId="0" fontId="24" fillId="0" borderId="0" xfId="0" applyFont="1" applyAlignment="1">
      <alignment vertical="center"/>
    </xf>
    <xf numFmtId="0" fontId="26" fillId="0" borderId="0" xfId="0" applyFont="1" applyAlignment="1">
      <alignment horizontal="center"/>
    </xf>
    <xf numFmtId="169" fontId="24" fillId="0" borderId="0" xfId="0" applyNumberFormat="1" applyFont="1"/>
    <xf numFmtId="2" fontId="24" fillId="0" borderId="0" xfId="0" applyNumberFormat="1" applyFont="1"/>
    <xf numFmtId="0" fontId="24" fillId="0" borderId="0" xfId="0" applyFont="1" applyAlignment="1">
      <alignment vertical="center" wrapText="1"/>
    </xf>
    <xf numFmtId="0" fontId="24" fillId="0" borderId="0" xfId="30" applyFont="1" applyAlignment="1">
      <alignment vertical="center"/>
    </xf>
    <xf numFmtId="164" fontId="24" fillId="5" borderId="9" xfId="0" applyNumberFormat="1" applyFont="1" applyFill="1" applyBorder="1" applyAlignment="1">
      <alignment horizontal="left" vertical="center"/>
    </xf>
    <xf numFmtId="10" fontId="24" fillId="5" borderId="9" xfId="0" applyNumberFormat="1" applyFont="1" applyFill="1" applyBorder="1" applyAlignment="1">
      <alignment horizontal="center" vertical="center"/>
    </xf>
    <xf numFmtId="173" fontId="24" fillId="0" borderId="9" xfId="0" applyNumberFormat="1" applyFont="1" applyBorder="1" applyAlignment="1">
      <alignment vertical="center"/>
    </xf>
    <xf numFmtId="10" fontId="24" fillId="0" borderId="9" xfId="0" applyNumberFormat="1" applyFont="1" applyBorder="1" applyAlignment="1">
      <alignment horizontal="center" vertical="center"/>
    </xf>
    <xf numFmtId="170" fontId="24" fillId="5" borderId="9" xfId="0" applyNumberFormat="1" applyFont="1" applyFill="1" applyBorder="1" applyAlignment="1">
      <alignment horizontal="center" vertical="center"/>
    </xf>
    <xf numFmtId="171" fontId="24" fillId="0" borderId="9" xfId="2" applyFont="1" applyBorder="1" applyAlignment="1" applyProtection="1">
      <alignment horizontal="left" vertical="center"/>
      <protection locked="0"/>
    </xf>
    <xf numFmtId="172" fontId="24" fillId="0" borderId="9" xfId="31" applyNumberFormat="1" applyFont="1" applyBorder="1" applyAlignment="1" applyProtection="1">
      <alignment horizontal="left" vertical="center"/>
      <protection hidden="1"/>
    </xf>
    <xf numFmtId="0" fontId="28" fillId="0" borderId="0" xfId="0" applyFont="1" applyAlignment="1">
      <alignment vertical="center"/>
    </xf>
    <xf numFmtId="0" fontId="26" fillId="0" borderId="0" xfId="0" applyFont="1" applyAlignment="1">
      <alignment horizontal="center" vertical="center"/>
    </xf>
    <xf numFmtId="170" fontId="24" fillId="0" borderId="0" xfId="0" applyNumberFormat="1" applyFont="1" applyAlignment="1">
      <alignment vertical="center"/>
    </xf>
    <xf numFmtId="170" fontId="24" fillId="0" borderId="0" xfId="0" applyNumberFormat="1" applyFont="1" applyAlignment="1" applyProtection="1">
      <alignment horizontal="center" vertical="center"/>
      <protection locked="0"/>
    </xf>
    <xf numFmtId="166" fontId="24" fillId="0" borderId="0" xfId="0" applyNumberFormat="1" applyFont="1" applyAlignment="1" applyProtection="1">
      <alignment horizontal="left" vertical="center"/>
      <protection hidden="1"/>
    </xf>
    <xf numFmtId="0" fontId="24" fillId="0" borderId="0" xfId="0" applyFont="1" applyAlignment="1">
      <alignment horizontal="center" vertical="center"/>
    </xf>
    <xf numFmtId="170" fontId="24" fillId="0" borderId="0" xfId="0" applyNumberFormat="1" applyFont="1" applyAlignment="1">
      <alignment horizontal="center" vertical="center"/>
    </xf>
    <xf numFmtId="172" fontId="24" fillId="0" borderId="0" xfId="31" applyNumberFormat="1" applyFont="1" applyAlignment="1" applyProtection="1">
      <alignment horizontal="left" vertical="center"/>
      <protection hidden="1"/>
    </xf>
    <xf numFmtId="171" fontId="24" fillId="0" borderId="0" xfId="2" applyFont="1" applyAlignment="1" applyProtection="1">
      <alignment horizontal="left" vertical="center"/>
      <protection locked="0"/>
    </xf>
    <xf numFmtId="0" fontId="24" fillId="0" borderId="9" xfId="0" applyFont="1" applyBorder="1" applyAlignment="1">
      <alignment vertical="center"/>
    </xf>
    <xf numFmtId="9" fontId="24" fillId="0" borderId="9" xfId="0" applyNumberFormat="1" applyFont="1" applyBorder="1" applyAlignment="1">
      <alignment horizontal="center" vertical="center"/>
    </xf>
    <xf numFmtId="173" fontId="24" fillId="0" borderId="9" xfId="0" applyNumberFormat="1" applyFont="1" applyBorder="1" applyAlignment="1" applyProtection="1">
      <alignment vertical="center"/>
      <protection locked="0"/>
    </xf>
    <xf numFmtId="173" fontId="24" fillId="0" borderId="9" xfId="2" applyNumberFormat="1" applyFont="1" applyBorder="1" applyAlignment="1" applyProtection="1">
      <alignment horizontal="left" vertical="center"/>
      <protection hidden="1"/>
    </xf>
    <xf numFmtId="173" fontId="24" fillId="0" borderId="0" xfId="0" applyNumberFormat="1" applyFont="1" applyAlignment="1">
      <alignment vertical="center"/>
    </xf>
    <xf numFmtId="0" fontId="24" fillId="0" borderId="9" xfId="0" applyFont="1" applyBorder="1" applyAlignment="1">
      <alignment horizontal="left" vertical="center"/>
    </xf>
    <xf numFmtId="0" fontId="24" fillId="0" borderId="0" xfId="30" applyFont="1" applyAlignment="1">
      <alignment vertical="center" wrapText="1"/>
    </xf>
    <xf numFmtId="0" fontId="24" fillId="0" borderId="0" xfId="30" applyFont="1" applyAlignment="1">
      <alignment horizontal="center" vertical="center"/>
    </xf>
    <xf numFmtId="0" fontId="24" fillId="0" borderId="0" xfId="30" applyFont="1" applyAlignment="1" applyProtection="1">
      <alignment horizontal="centerContinuous" vertical="center"/>
      <protection hidden="1"/>
    </xf>
    <xf numFmtId="0" fontId="24" fillId="0" borderId="0" xfId="0" applyFont="1" applyAlignment="1">
      <alignment wrapText="1"/>
    </xf>
    <xf numFmtId="2" fontId="24" fillId="0" borderId="0" xfId="0" applyNumberFormat="1" applyFont="1" applyAlignment="1">
      <alignment vertical="center" wrapText="1"/>
    </xf>
    <xf numFmtId="0" fontId="24" fillId="0" borderId="0" xfId="0" applyFont="1" applyAlignment="1">
      <alignment horizontal="center" vertical="center" wrapText="1"/>
    </xf>
    <xf numFmtId="4" fontId="24" fillId="0" borderId="0" xfId="0" applyNumberFormat="1" applyFont="1" applyAlignment="1">
      <alignment vertical="center"/>
    </xf>
    <xf numFmtId="4" fontId="24" fillId="0" borderId="0" xfId="0" applyNumberFormat="1" applyFont="1" applyAlignment="1">
      <alignment horizontal="center" vertical="center"/>
    </xf>
    <xf numFmtId="164" fontId="24" fillId="0" borderId="0" xfId="8" applyFont="1" applyAlignment="1">
      <alignment vertical="center"/>
    </xf>
    <xf numFmtId="0" fontId="26" fillId="0" borderId="0" xfId="0" applyFont="1" applyAlignment="1">
      <alignment vertical="center"/>
    </xf>
    <xf numFmtId="3" fontId="24" fillId="0" borderId="0" xfId="0" applyNumberFormat="1" applyFont="1" applyAlignment="1">
      <alignment horizontal="center" vertical="center"/>
    </xf>
    <xf numFmtId="2" fontId="27" fillId="0" borderId="0" xfId="0" applyNumberFormat="1" applyFont="1" applyAlignment="1">
      <alignment horizontal="left" vertical="center"/>
    </xf>
    <xf numFmtId="164" fontId="24" fillId="6" borderId="0" xfId="0" applyNumberFormat="1" applyFont="1" applyFill="1" applyAlignment="1">
      <alignment horizontal="center" vertical="center"/>
    </xf>
    <xf numFmtId="3" fontId="24" fillId="0" borderId="0" xfId="8" applyNumberFormat="1" applyFont="1" applyAlignment="1">
      <alignment vertical="center"/>
    </xf>
    <xf numFmtId="0" fontId="31" fillId="0" borderId="0" xfId="29" applyFont="1"/>
    <xf numFmtId="0" fontId="30" fillId="0" borderId="0" xfId="29" applyFont="1" applyAlignment="1">
      <alignment horizontal="center" vertical="center"/>
    </xf>
    <xf numFmtId="173" fontId="34" fillId="9" borderId="14" xfId="0" applyNumberFormat="1" applyFont="1" applyFill="1" applyBorder="1" applyAlignment="1">
      <alignment horizontal="center" vertical="center" wrapText="1"/>
    </xf>
    <xf numFmtId="1" fontId="35" fillId="8" borderId="0" xfId="30" applyNumberFormat="1" applyFont="1" applyFill="1" applyAlignment="1">
      <alignment horizontal="center" vertical="center"/>
    </xf>
    <xf numFmtId="0" fontId="35" fillId="8" borderId="0" xfId="30" applyFont="1" applyFill="1" applyAlignment="1">
      <alignment horizontal="left" vertical="center"/>
    </xf>
    <xf numFmtId="1" fontId="35" fillId="7" borderId="0" xfId="30" applyNumberFormat="1" applyFont="1" applyFill="1" applyAlignment="1">
      <alignment horizontal="center" vertical="center"/>
    </xf>
    <xf numFmtId="0" fontId="35" fillId="7" borderId="0" xfId="30" applyFont="1" applyFill="1" applyAlignment="1">
      <alignment horizontal="left" vertical="center"/>
    </xf>
    <xf numFmtId="0" fontId="34" fillId="9" borderId="0" xfId="0" applyFont="1" applyFill="1" applyAlignment="1">
      <alignment horizontal="center" vertical="center" wrapText="1"/>
    </xf>
    <xf numFmtId="0" fontId="34" fillId="9" borderId="0" xfId="0" applyFont="1" applyFill="1" applyAlignment="1">
      <alignment vertical="center" wrapText="1"/>
    </xf>
    <xf numFmtId="164" fontId="34" fillId="9" borderId="0" xfId="0" applyNumberFormat="1" applyFont="1" applyFill="1" applyAlignment="1">
      <alignment horizontal="center" vertical="center" wrapText="1"/>
    </xf>
    <xf numFmtId="0" fontId="35" fillId="8" borderId="0" xfId="0" applyFont="1" applyFill="1" applyAlignment="1">
      <alignment horizontal="center" vertical="center"/>
    </xf>
    <xf numFmtId="0" fontId="35" fillId="8" borderId="0" xfId="0" applyFont="1" applyFill="1" applyAlignment="1">
      <alignment vertical="center"/>
    </xf>
    <xf numFmtId="164" fontId="35" fillId="5" borderId="0" xfId="0" applyNumberFormat="1" applyFont="1" applyFill="1" applyAlignment="1">
      <alignment horizontal="center" vertical="center"/>
    </xf>
    <xf numFmtId="0" fontId="35" fillId="7" borderId="0" xfId="0" applyFont="1" applyFill="1" applyAlignment="1">
      <alignment horizontal="center" vertical="center"/>
    </xf>
    <xf numFmtId="0" fontId="35" fillId="7" borderId="0" xfId="0" applyFont="1" applyFill="1" applyAlignment="1">
      <alignment vertical="center"/>
    </xf>
    <xf numFmtId="0" fontId="35" fillId="8" borderId="0" xfId="0" applyFont="1" applyFill="1" applyAlignment="1">
      <alignment horizontal="left" vertical="center"/>
    </xf>
    <xf numFmtId="4" fontId="35" fillId="7" borderId="0" xfId="0" applyNumberFormat="1" applyFont="1" applyFill="1" applyAlignment="1">
      <alignment horizontal="left" vertical="center"/>
    </xf>
    <xf numFmtId="4" fontId="35" fillId="8" borderId="0" xfId="0" applyNumberFormat="1" applyFont="1" applyFill="1" applyAlignment="1">
      <alignment horizontal="left" vertical="center"/>
    </xf>
    <xf numFmtId="0" fontId="35" fillId="7" borderId="0" xfId="0" applyFont="1" applyFill="1" applyAlignment="1">
      <alignment horizontal="left" vertical="center"/>
    </xf>
    <xf numFmtId="4" fontId="34" fillId="9" borderId="0" xfId="0" applyNumberFormat="1" applyFont="1" applyFill="1" applyAlignment="1">
      <alignment horizontal="center" vertical="center" wrapText="1"/>
    </xf>
    <xf numFmtId="164" fontId="34" fillId="9" borderId="0" xfId="8" applyFont="1" applyFill="1" applyAlignment="1">
      <alignment horizontal="center" vertical="center" wrapText="1"/>
    </xf>
    <xf numFmtId="4" fontId="35" fillId="8" borderId="0" xfId="0" applyNumberFormat="1" applyFont="1" applyFill="1" applyAlignment="1">
      <alignment vertical="center"/>
    </xf>
    <xf numFmtId="4" fontId="35" fillId="8" borderId="0" xfId="0" applyNumberFormat="1" applyFont="1" applyFill="1" applyAlignment="1">
      <alignment horizontal="center" vertical="center"/>
    </xf>
    <xf numFmtId="173" fontId="35" fillId="8" borderId="0" xfId="0" applyNumberFormat="1" applyFont="1" applyFill="1" applyAlignment="1">
      <alignment horizontal="center" vertical="center"/>
    </xf>
    <xf numFmtId="4" fontId="35" fillId="7" borderId="0" xfId="0" applyNumberFormat="1" applyFont="1" applyFill="1" applyAlignment="1">
      <alignment vertical="center"/>
    </xf>
    <xf numFmtId="4" fontId="35" fillId="7" borderId="0" xfId="0" applyNumberFormat="1" applyFont="1" applyFill="1" applyAlignment="1">
      <alignment horizontal="center" vertical="center"/>
    </xf>
    <xf numFmtId="173" fontId="35" fillId="7" borderId="0" xfId="0" applyNumberFormat="1" applyFont="1" applyFill="1" applyAlignment="1">
      <alignment horizontal="center" vertical="center"/>
    </xf>
    <xf numFmtId="0" fontId="24" fillId="6" borderId="0" xfId="0" applyFont="1" applyFill="1"/>
    <xf numFmtId="0" fontId="24" fillId="6" borderId="0" xfId="0" applyFont="1" applyFill="1" applyAlignment="1">
      <alignment horizontal="center"/>
    </xf>
    <xf numFmtId="0" fontId="24" fillId="6" borderId="0" xfId="0" applyFont="1" applyFill="1" applyAlignment="1">
      <alignment wrapText="1"/>
    </xf>
    <xf numFmtId="0" fontId="26" fillId="0" borderId="0" xfId="0" applyFont="1" applyAlignment="1">
      <alignment horizontal="center" vertical="center" wrapText="1"/>
    </xf>
    <xf numFmtId="0" fontId="33" fillId="9" borderId="0" xfId="0" applyFont="1" applyFill="1" applyAlignment="1">
      <alignment horizontal="center" vertical="center" wrapText="1"/>
    </xf>
    <xf numFmtId="4" fontId="33" fillId="9" borderId="0" xfId="0" applyNumberFormat="1" applyFont="1" applyFill="1" applyAlignment="1">
      <alignment horizontal="center" vertical="center" wrapText="1"/>
    </xf>
    <xf numFmtId="164" fontId="33" fillId="9" borderId="0" xfId="8" applyFont="1" applyFill="1" applyAlignment="1">
      <alignment horizontal="center" vertical="center" wrapText="1"/>
    </xf>
    <xf numFmtId="0" fontId="24" fillId="0" borderId="0" xfId="0" applyFont="1" applyAlignment="1">
      <alignment horizontal="center" vertical="center" textRotation="90"/>
    </xf>
    <xf numFmtId="0" fontId="24" fillId="0" borderId="9" xfId="0" applyFont="1" applyBorder="1" applyAlignment="1">
      <alignment horizontal="center" vertical="center" textRotation="90"/>
    </xf>
    <xf numFmtId="0" fontId="32" fillId="0" borderId="0" xfId="30" applyFont="1" applyAlignment="1">
      <alignment vertical="center"/>
    </xf>
    <xf numFmtId="0" fontId="24" fillId="0" borderId="0" xfId="0" applyFont="1" applyAlignment="1">
      <alignment horizontal="left" vertical="center"/>
    </xf>
    <xf numFmtId="0" fontId="24" fillId="0" borderId="0" xfId="0" applyFont="1" applyAlignment="1">
      <alignment horizontal="left" vertical="center" wrapText="1"/>
    </xf>
    <xf numFmtId="0" fontId="24" fillId="0" borderId="0" xfId="0" applyFont="1" applyAlignment="1">
      <alignment horizontal="center" vertical="center" textRotation="90" wrapText="1"/>
    </xf>
    <xf numFmtId="173" fontId="24" fillId="5" borderId="0" xfId="0" applyNumberFormat="1" applyFont="1" applyFill="1" applyAlignment="1">
      <alignment vertical="center"/>
    </xf>
    <xf numFmtId="0" fontId="24" fillId="6" borderId="0" xfId="0" applyFont="1" applyFill="1" applyAlignment="1">
      <alignment horizontal="center" vertical="center" textRotation="90"/>
    </xf>
    <xf numFmtId="0" fontId="24" fillId="6" borderId="0" xfId="0" applyFont="1" applyFill="1" applyAlignment="1">
      <alignment vertical="center"/>
    </xf>
    <xf numFmtId="168" fontId="24" fillId="0" borderId="0" xfId="19" applyFont="1" applyAlignment="1">
      <alignment horizontal="center" vertical="center" wrapText="1"/>
    </xf>
    <xf numFmtId="173" fontId="24" fillId="0" borderId="0" xfId="0" applyNumberFormat="1" applyFont="1" applyAlignment="1">
      <alignment horizontal="center" vertical="center" wrapText="1"/>
    </xf>
    <xf numFmtId="0" fontId="24" fillId="6" borderId="0" xfId="0" applyFont="1" applyFill="1" applyAlignment="1">
      <alignment vertical="center" wrapText="1"/>
    </xf>
    <xf numFmtId="2" fontId="24" fillId="6" borderId="0" xfId="0" applyNumberFormat="1" applyFont="1" applyFill="1"/>
    <xf numFmtId="169" fontId="24" fillId="6" borderId="0" xfId="0" applyNumberFormat="1" applyFont="1" applyFill="1"/>
    <xf numFmtId="17" fontId="24" fillId="6" borderId="0" xfId="0" applyNumberFormat="1" applyFont="1" applyFill="1" applyAlignment="1">
      <alignment horizontal="center"/>
    </xf>
    <xf numFmtId="2" fontId="26" fillId="6" borderId="0" xfId="0" applyNumberFormat="1" applyFont="1" applyFill="1" applyAlignment="1">
      <alignment vertical="center"/>
    </xf>
    <xf numFmtId="169" fontId="24" fillId="6" borderId="0" xfId="0" applyNumberFormat="1" applyFont="1" applyFill="1" applyAlignment="1">
      <alignment vertical="center"/>
    </xf>
    <xf numFmtId="0" fontId="24" fillId="6" borderId="0" xfId="0" applyFont="1" applyFill="1" applyAlignment="1">
      <alignment horizontal="center" vertical="center"/>
    </xf>
    <xf numFmtId="169" fontId="24" fillId="6" borderId="0" xfId="0" applyNumberFormat="1" applyFont="1" applyFill="1" applyAlignment="1">
      <alignment wrapText="1"/>
    </xf>
    <xf numFmtId="0" fontId="24" fillId="0" borderId="0" xfId="30" applyFont="1"/>
    <xf numFmtId="0" fontId="24" fillId="0" borderId="0" xfId="30" applyFont="1" applyAlignment="1">
      <alignment wrapText="1"/>
    </xf>
    <xf numFmtId="0" fontId="24" fillId="0" borderId="0" xfId="30" applyFont="1" applyAlignment="1" applyProtection="1">
      <alignment horizontal="centerContinuous"/>
      <protection hidden="1"/>
    </xf>
    <xf numFmtId="0" fontId="34" fillId="10" borderId="9" xfId="0" applyFont="1" applyFill="1" applyBorder="1" applyAlignment="1">
      <alignment horizontal="center" vertical="center" wrapText="1"/>
    </xf>
    <xf numFmtId="170" fontId="34" fillId="10" borderId="9" xfId="0" applyNumberFormat="1" applyFont="1" applyFill="1" applyBorder="1" applyAlignment="1">
      <alignment horizontal="center" vertical="center" wrapText="1"/>
    </xf>
    <xf numFmtId="0" fontId="33" fillId="10" borderId="7" xfId="0" applyFont="1" applyFill="1" applyBorder="1" applyAlignment="1">
      <alignment vertical="center" wrapText="1"/>
    </xf>
    <xf numFmtId="0" fontId="33" fillId="10" borderId="4" xfId="0" applyFont="1" applyFill="1" applyBorder="1" applyAlignment="1">
      <alignment vertical="center" wrapText="1"/>
    </xf>
    <xf numFmtId="0" fontId="24" fillId="0" borderId="0" xfId="30" applyFont="1" applyAlignment="1">
      <alignment horizontal="center" vertical="center" wrapText="1"/>
    </xf>
    <xf numFmtId="0" fontId="26" fillId="6" borderId="0" xfId="0" applyFont="1" applyFill="1" applyAlignment="1">
      <alignment horizontal="left" vertical="center"/>
    </xf>
    <xf numFmtId="2" fontId="26" fillId="5" borderId="0" xfId="0" applyNumberFormat="1" applyFont="1" applyFill="1" applyAlignment="1">
      <alignment horizontal="center" vertical="center"/>
    </xf>
    <xf numFmtId="2" fontId="26" fillId="6" borderId="0" xfId="0" applyNumberFormat="1" applyFont="1" applyFill="1" applyAlignment="1">
      <alignment horizontal="center" vertical="center"/>
    </xf>
    <xf numFmtId="0" fontId="25" fillId="0" borderId="0" xfId="30" applyFont="1" applyAlignment="1">
      <alignment horizontal="center" vertical="center"/>
    </xf>
    <xf numFmtId="9" fontId="26" fillId="5" borderId="0" xfId="38" applyFont="1" applyFill="1" applyAlignment="1">
      <alignment horizontal="center" vertical="center"/>
    </xf>
    <xf numFmtId="2" fontId="24" fillId="6" borderId="0" xfId="0" applyNumberFormat="1" applyFont="1" applyFill="1" applyAlignment="1">
      <alignment vertical="center"/>
    </xf>
    <xf numFmtId="17" fontId="24" fillId="6" borderId="0" xfId="0" applyNumberFormat="1" applyFont="1" applyFill="1" applyAlignment="1">
      <alignment horizontal="center" vertical="center"/>
    </xf>
    <xf numFmtId="177" fontId="24" fillId="6" borderId="0" xfId="0" applyNumberFormat="1" applyFont="1" applyFill="1" applyAlignment="1">
      <alignment vertical="center"/>
    </xf>
    <xf numFmtId="177" fontId="24" fillId="6" borderId="0" xfId="0" applyNumberFormat="1" applyFont="1" applyFill="1" applyAlignment="1">
      <alignment horizontal="center" vertical="center"/>
    </xf>
    <xf numFmtId="177" fontId="24" fillId="0" borderId="0" xfId="0" applyNumberFormat="1" applyFont="1" applyAlignment="1">
      <alignment vertical="center"/>
    </xf>
    <xf numFmtId="177" fontId="24" fillId="0" borderId="0" xfId="0" applyNumberFormat="1" applyFont="1" applyAlignment="1">
      <alignment horizontal="center" vertical="center"/>
    </xf>
    <xf numFmtId="0" fontId="24" fillId="0" borderId="0" xfId="0" applyFont="1" applyAlignment="1" applyProtection="1">
      <alignment vertical="center"/>
      <protection hidden="1"/>
    </xf>
    <xf numFmtId="169" fontId="24" fillId="0" borderId="0" xfId="0" applyNumberFormat="1" applyFont="1" applyAlignment="1" applyProtection="1">
      <alignment vertical="center"/>
      <protection hidden="1"/>
    </xf>
    <xf numFmtId="2" fontId="24" fillId="0" borderId="0" xfId="0" applyNumberFormat="1" applyFont="1" applyAlignment="1" applyProtection="1">
      <alignment vertical="center"/>
      <protection hidden="1"/>
    </xf>
    <xf numFmtId="168" fontId="24" fillId="0" borderId="0" xfId="19" applyFont="1" applyAlignment="1">
      <alignment vertical="center"/>
    </xf>
    <xf numFmtId="0" fontId="33" fillId="9" borderId="18" xfId="0" applyFont="1" applyFill="1" applyBorder="1" applyAlignment="1">
      <alignment horizontal="center" vertical="center" wrapText="1"/>
    </xf>
    <xf numFmtId="9" fontId="38" fillId="5" borderId="21" xfId="38" applyFont="1" applyFill="1" applyBorder="1" applyAlignment="1">
      <alignment horizontal="center" vertical="center"/>
    </xf>
    <xf numFmtId="2" fontId="33" fillId="0" borderId="16" xfId="0" applyNumberFormat="1" applyFont="1" applyBorder="1" applyAlignment="1">
      <alignment vertical="center" wrapText="1"/>
    </xf>
    <xf numFmtId="2" fontId="33" fillId="0" borderId="17" xfId="0" applyNumberFormat="1" applyFont="1" applyBorder="1" applyAlignment="1">
      <alignment vertical="center" wrapText="1"/>
    </xf>
    <xf numFmtId="0" fontId="33" fillId="0" borderId="17" xfId="0" applyFont="1" applyBorder="1" applyAlignment="1">
      <alignment vertical="center" wrapText="1"/>
    </xf>
    <xf numFmtId="169" fontId="24" fillId="0" borderId="0" xfId="0" applyNumberFormat="1" applyFont="1" applyAlignment="1">
      <alignment vertical="center"/>
    </xf>
    <xf numFmtId="0" fontId="35" fillId="0" borderId="20" xfId="30" applyFont="1" applyBorder="1" applyAlignment="1">
      <alignment vertical="center"/>
    </xf>
    <xf numFmtId="2" fontId="24" fillId="0" borderId="0" xfId="0" applyNumberFormat="1" applyFont="1" applyAlignment="1">
      <alignment horizontal="center" vertical="center" wrapText="1"/>
    </xf>
    <xf numFmtId="0" fontId="39" fillId="0" borderId="0" xfId="0" applyFont="1" applyAlignment="1">
      <alignment horizontal="center" vertical="center"/>
    </xf>
    <xf numFmtId="0" fontId="39" fillId="0" borderId="0" xfId="0" applyFont="1" applyAlignment="1">
      <alignment horizontal="center" vertical="center" wrapText="1"/>
    </xf>
    <xf numFmtId="170" fontId="24" fillId="5" borderId="0" xfId="0" applyNumberFormat="1" applyFont="1" applyFill="1" applyAlignment="1">
      <alignment vertical="center"/>
    </xf>
    <xf numFmtId="0" fontId="24" fillId="6" borderId="0" xfId="0" applyFont="1" applyFill="1" applyAlignment="1">
      <alignment horizontal="left" vertical="center"/>
    </xf>
    <xf numFmtId="0" fontId="24" fillId="6" borderId="0" xfId="0" applyFont="1" applyFill="1" applyAlignment="1">
      <alignment horizontal="center" wrapText="1"/>
    </xf>
    <xf numFmtId="17" fontId="26" fillId="6" borderId="0" xfId="0" applyNumberFormat="1" applyFont="1" applyFill="1" applyAlignment="1">
      <alignment horizontal="center"/>
    </xf>
    <xf numFmtId="0" fontId="26" fillId="6" borderId="0" xfId="0" applyFont="1" applyFill="1" applyAlignment="1">
      <alignment horizontal="center"/>
    </xf>
    <xf numFmtId="0" fontId="36" fillId="0" borderId="0" xfId="0" applyFont="1" applyAlignment="1">
      <alignment vertical="center" wrapText="1"/>
    </xf>
    <xf numFmtId="0" fontId="36" fillId="0" borderId="0" xfId="0" applyFont="1" applyAlignment="1">
      <alignment wrapText="1"/>
    </xf>
    <xf numFmtId="0" fontId="34" fillId="9" borderId="9" xfId="0" applyFont="1" applyFill="1" applyBorder="1" applyAlignment="1">
      <alignment horizontal="center" vertical="center" wrapText="1"/>
    </xf>
    <xf numFmtId="0" fontId="34" fillId="9" borderId="9" xfId="0" applyFont="1" applyFill="1" applyBorder="1" applyAlignment="1">
      <alignment horizontal="left" vertical="center" wrapText="1"/>
    </xf>
    <xf numFmtId="168" fontId="34" fillId="9" borderId="9" xfId="19" applyFont="1" applyFill="1" applyBorder="1" applyAlignment="1">
      <alignment horizontal="center" vertical="center" wrapText="1"/>
    </xf>
    <xf numFmtId="173" fontId="34" fillId="9" borderId="9" xfId="0" applyNumberFormat="1" applyFont="1" applyFill="1" applyBorder="1" applyAlignment="1">
      <alignment horizontal="center" vertical="center" wrapText="1"/>
    </xf>
    <xf numFmtId="0" fontId="30" fillId="0" borderId="0" xfId="29" applyFont="1" applyAlignment="1">
      <alignment horizontal="center"/>
    </xf>
    <xf numFmtId="0" fontId="35" fillId="7" borderId="9" xfId="0" applyFont="1" applyFill="1" applyBorder="1" applyAlignment="1">
      <alignment horizontal="left" vertical="center"/>
    </xf>
    <xf numFmtId="0" fontId="35" fillId="8" borderId="9" xfId="0" applyFont="1" applyFill="1" applyBorder="1" applyAlignment="1">
      <alignment horizontal="left" vertical="center"/>
    </xf>
    <xf numFmtId="0" fontId="24" fillId="7" borderId="9" xfId="0" applyFont="1" applyFill="1" applyBorder="1" applyAlignment="1">
      <alignment vertical="center"/>
    </xf>
    <xf numFmtId="182" fontId="24" fillId="7" borderId="9" xfId="0" applyNumberFormat="1" applyFont="1" applyFill="1" applyBorder="1" applyAlignment="1">
      <alignment horizontal="center" vertical="center"/>
    </xf>
    <xf numFmtId="0" fontId="24" fillId="7" borderId="7" xfId="0" applyFont="1" applyFill="1" applyBorder="1" applyAlignment="1">
      <alignment vertical="center"/>
    </xf>
    <xf numFmtId="0" fontId="24" fillId="7" borderId="4" xfId="0" applyFont="1" applyFill="1" applyBorder="1" applyAlignment="1">
      <alignment vertical="center"/>
    </xf>
    <xf numFmtId="0" fontId="24" fillId="7" borderId="15" xfId="0" applyFont="1" applyFill="1" applyBorder="1" applyAlignment="1">
      <alignment vertical="center"/>
    </xf>
    <xf numFmtId="0" fontId="35" fillId="0" borderId="0" xfId="0" applyFont="1" applyAlignment="1">
      <alignment horizontal="center" vertical="center" textRotation="90"/>
    </xf>
    <xf numFmtId="0" fontId="35" fillId="13" borderId="0" xfId="0" applyFont="1" applyFill="1" applyAlignment="1">
      <alignment horizontal="left" vertical="center" wrapText="1"/>
    </xf>
    <xf numFmtId="0" fontId="35" fillId="0" borderId="0" xfId="0" applyFont="1"/>
    <xf numFmtId="173" fontId="38" fillId="13" borderId="9" xfId="0" applyNumberFormat="1" applyFont="1" applyFill="1" applyBorder="1" applyAlignment="1">
      <alignment vertical="center"/>
    </xf>
    <xf numFmtId="170" fontId="35" fillId="13" borderId="9" xfId="0" applyNumberFormat="1" applyFont="1" applyFill="1" applyBorder="1" applyAlignment="1">
      <alignment horizontal="center" vertical="center"/>
    </xf>
    <xf numFmtId="171" fontId="35" fillId="13" borderId="9" xfId="2" applyFont="1" applyFill="1" applyBorder="1" applyAlignment="1" applyProtection="1">
      <alignment horizontal="left" vertical="center"/>
      <protection locked="0"/>
    </xf>
    <xf numFmtId="172" fontId="35" fillId="13" borderId="9" xfId="31" applyNumberFormat="1" applyFont="1" applyFill="1" applyBorder="1" applyAlignment="1" applyProtection="1">
      <alignment horizontal="left" vertical="center"/>
      <protection hidden="1"/>
    </xf>
    <xf numFmtId="170" fontId="35" fillId="13" borderId="9" xfId="0" applyNumberFormat="1" applyFont="1" applyFill="1" applyBorder="1" applyAlignment="1" applyProtection="1">
      <alignment horizontal="center" vertical="center"/>
      <protection locked="0"/>
    </xf>
    <xf numFmtId="172" fontId="35" fillId="13" borderId="9" xfId="2" applyNumberFormat="1" applyFont="1" applyFill="1" applyBorder="1" applyAlignment="1" applyProtection="1">
      <alignment horizontal="left" vertical="center"/>
      <protection hidden="1"/>
    </xf>
    <xf numFmtId="0" fontId="40" fillId="0" borderId="0" xfId="0" applyFont="1" applyAlignment="1">
      <alignment vertical="center"/>
    </xf>
    <xf numFmtId="2" fontId="24" fillId="0" borderId="0" xfId="0" applyNumberFormat="1" applyFont="1" applyAlignment="1">
      <alignment horizontal="center" vertical="center"/>
    </xf>
    <xf numFmtId="1" fontId="24" fillId="0" borderId="0" xfId="38" applyNumberFormat="1" applyFont="1" applyAlignment="1">
      <alignment horizontal="center" vertical="center"/>
    </xf>
    <xf numFmtId="0" fontId="24" fillId="0" borderId="0" xfId="0" applyFont="1" applyAlignment="1">
      <alignment horizontal="right" vertical="center"/>
    </xf>
    <xf numFmtId="164" fontId="24" fillId="0" borderId="0" xfId="8" applyFont="1" applyAlignment="1">
      <alignment horizontal="right" vertical="center"/>
    </xf>
    <xf numFmtId="2" fontId="27" fillId="0" borderId="0" xfId="0" applyNumberFormat="1" applyFont="1" applyAlignment="1">
      <alignment horizontal="right" vertical="center"/>
    </xf>
    <xf numFmtId="4" fontId="24" fillId="0" borderId="0" xfId="0" applyNumberFormat="1" applyFont="1" applyAlignment="1">
      <alignment horizontal="right" vertical="center"/>
    </xf>
    <xf numFmtId="4" fontId="34" fillId="9" borderId="0" xfId="0" applyNumberFormat="1" applyFont="1" applyFill="1" applyAlignment="1">
      <alignment horizontal="right" vertical="center" wrapText="1"/>
    </xf>
    <xf numFmtId="0" fontId="35" fillId="11" borderId="0" xfId="0" applyFont="1" applyFill="1" applyAlignment="1">
      <alignment horizontal="center" vertical="center"/>
    </xf>
    <xf numFmtId="0" fontId="35" fillId="11" borderId="0" xfId="0" applyFont="1" applyFill="1" applyAlignment="1">
      <alignment horizontal="left" vertical="center"/>
    </xf>
    <xf numFmtId="0" fontId="35" fillId="11" borderId="0" xfId="0" applyFont="1" applyFill="1" applyAlignment="1">
      <alignment vertical="center"/>
    </xf>
    <xf numFmtId="173" fontId="35" fillId="11" borderId="0" xfId="0" applyNumberFormat="1" applyFont="1" applyFill="1" applyAlignment="1">
      <alignment horizontal="center" vertical="center"/>
    </xf>
    <xf numFmtId="49" fontId="24" fillId="6" borderId="0" xfId="0" applyNumberFormat="1" applyFont="1" applyFill="1" applyAlignment="1">
      <alignment horizontal="center" vertical="center"/>
    </xf>
    <xf numFmtId="49" fontId="24" fillId="0" borderId="0" xfId="0" applyNumberFormat="1" applyFont="1" applyAlignment="1">
      <alignment horizontal="center" vertical="center" wrapText="1"/>
    </xf>
    <xf numFmtId="49" fontId="24" fillId="0" borderId="0" xfId="0" applyNumberFormat="1" applyFont="1" applyAlignment="1">
      <alignment horizontal="center" vertical="center"/>
    </xf>
    <xf numFmtId="0" fontId="35" fillId="12" borderId="0" xfId="0" applyFont="1" applyFill="1" applyAlignment="1">
      <alignment horizontal="center" vertical="center"/>
    </xf>
    <xf numFmtId="0" fontId="35" fillId="12" borderId="0" xfId="0" applyFont="1" applyFill="1" applyAlignment="1">
      <alignment horizontal="left" vertical="center"/>
    </xf>
    <xf numFmtId="0" fontId="35" fillId="12" borderId="0" xfId="0" applyFont="1" applyFill="1" applyAlignment="1">
      <alignment vertical="center"/>
    </xf>
    <xf numFmtId="0" fontId="35" fillId="12" borderId="0" xfId="0" applyFont="1" applyFill="1" applyAlignment="1">
      <alignment horizontal="right" vertical="center"/>
    </xf>
    <xf numFmtId="173" fontId="35" fillId="12" borderId="0" xfId="0" applyNumberFormat="1" applyFont="1" applyFill="1" applyAlignment="1">
      <alignment horizontal="center" vertical="center"/>
    </xf>
    <xf numFmtId="0" fontId="41" fillId="13" borderId="9" xfId="0" applyFont="1" applyFill="1" applyBorder="1" applyAlignment="1">
      <alignment horizontal="center" vertical="center"/>
    </xf>
    <xf numFmtId="0" fontId="41" fillId="13" borderId="9" xfId="0" applyFont="1" applyFill="1" applyBorder="1" applyAlignment="1">
      <alignment vertical="center"/>
    </xf>
    <xf numFmtId="180" fontId="41" fillId="13" borderId="9" xfId="0" applyNumberFormat="1" applyFont="1" applyFill="1" applyBorder="1" applyAlignment="1">
      <alignment vertical="center"/>
    </xf>
    <xf numFmtId="181" fontId="41" fillId="13" borderId="9" xfId="0" applyNumberFormat="1" applyFont="1" applyFill="1" applyBorder="1" applyAlignment="1">
      <alignment vertical="center"/>
    </xf>
    <xf numFmtId="173" fontId="41" fillId="13" borderId="9" xfId="0" applyNumberFormat="1" applyFont="1" applyFill="1" applyBorder="1" applyAlignment="1">
      <alignment vertical="center"/>
    </xf>
    <xf numFmtId="173" fontId="41" fillId="13" borderId="0" xfId="0" applyNumberFormat="1" applyFont="1" applyFill="1" applyAlignment="1">
      <alignment vertical="center"/>
    </xf>
    <xf numFmtId="0" fontId="35" fillId="0" borderId="19" xfId="30" applyFont="1" applyBorder="1" applyAlignment="1">
      <alignment horizontal="center" vertical="center"/>
    </xf>
    <xf numFmtId="0" fontId="35" fillId="0" borderId="9" xfId="0" applyFont="1" applyBorder="1" applyAlignment="1">
      <alignment horizontal="center" vertical="center"/>
    </xf>
    <xf numFmtId="0" fontId="35" fillId="0" borderId="9" xfId="0" applyFont="1" applyBorder="1" applyAlignment="1">
      <alignment vertical="center"/>
    </xf>
    <xf numFmtId="3" fontId="35" fillId="0" borderId="9" xfId="0" applyNumberFormat="1" applyFont="1" applyBorder="1" applyAlignment="1">
      <alignment vertical="center"/>
    </xf>
    <xf numFmtId="179" fontId="35" fillId="0" borderId="9" xfId="0" applyNumberFormat="1" applyFont="1" applyBorder="1" applyAlignment="1">
      <alignment vertical="center"/>
    </xf>
    <xf numFmtId="1" fontId="35" fillId="0" borderId="9" xfId="0" applyNumberFormat="1" applyFont="1" applyBorder="1" applyAlignment="1">
      <alignment vertical="center"/>
    </xf>
    <xf numFmtId="173" fontId="35" fillId="0" borderId="9" xfId="0" applyNumberFormat="1" applyFont="1" applyBorder="1" applyAlignment="1">
      <alignment vertical="center"/>
    </xf>
    <xf numFmtId="173" fontId="35" fillId="0" borderId="15" xfId="0" applyNumberFormat="1" applyFont="1" applyBorder="1" applyAlignment="1">
      <alignment vertical="center"/>
    </xf>
    <xf numFmtId="173" fontId="0" fillId="0" borderId="9" xfId="0" applyNumberFormat="1" applyBorder="1" applyAlignment="1">
      <alignment vertical="center"/>
    </xf>
    <xf numFmtId="0" fontId="35" fillId="0" borderId="9" xfId="0" applyFont="1" applyBorder="1" applyAlignment="1">
      <alignment horizontal="right" vertical="center"/>
    </xf>
    <xf numFmtId="14" fontId="35" fillId="0" borderId="9" xfId="0" applyNumberFormat="1" applyFont="1" applyBorder="1" applyAlignment="1">
      <alignment vertical="center"/>
    </xf>
    <xf numFmtId="168" fontId="35" fillId="0" borderId="9" xfId="19" applyFont="1" applyBorder="1" applyAlignment="1">
      <alignment horizontal="right" vertical="center"/>
    </xf>
    <xf numFmtId="183" fontId="35" fillId="0" borderId="9" xfId="54" applyNumberFormat="1" applyFont="1" applyBorder="1" applyAlignment="1">
      <alignment horizontal="center" vertical="center"/>
    </xf>
    <xf numFmtId="44" fontId="35" fillId="0" borderId="9" xfId="54" applyFont="1" applyBorder="1" applyAlignment="1">
      <alignment vertical="center"/>
    </xf>
    <xf numFmtId="0" fontId="35" fillId="0" borderId="9" xfId="0" applyFont="1" applyBorder="1"/>
    <xf numFmtId="14" fontId="35" fillId="0" borderId="9" xfId="0" applyNumberFormat="1" applyFont="1" applyBorder="1"/>
    <xf numFmtId="0" fontId="35" fillId="0" borderId="9" xfId="0" applyFont="1" applyBorder="1" applyAlignment="1">
      <alignment horizontal="center"/>
    </xf>
    <xf numFmtId="183" fontId="35" fillId="0" borderId="9" xfId="0" applyNumberFormat="1" applyFont="1" applyBorder="1" applyAlignment="1">
      <alignment horizontal="center"/>
    </xf>
    <xf numFmtId="0" fontId="35" fillId="0" borderId="0" xfId="0" applyFont="1" applyAlignment="1">
      <alignment horizontal="center"/>
    </xf>
    <xf numFmtId="0" fontId="24" fillId="16" borderId="0" xfId="0" applyFont="1" applyFill="1" applyAlignment="1">
      <alignment vertical="center"/>
    </xf>
    <xf numFmtId="0" fontId="35" fillId="0" borderId="9" xfId="0" applyFont="1" applyBorder="1" applyAlignment="1">
      <alignment wrapText="1"/>
    </xf>
    <xf numFmtId="0" fontId="35" fillId="0" borderId="9" xfId="0" applyFont="1" applyBorder="1" applyAlignment="1">
      <alignment vertical="center" wrapText="1"/>
    </xf>
    <xf numFmtId="0" fontId="43" fillId="15" borderId="9" xfId="0" applyFont="1" applyFill="1" applyBorder="1" applyAlignment="1">
      <alignment horizontal="center" vertical="center" wrapText="1"/>
    </xf>
    <xf numFmtId="184" fontId="35" fillId="0" borderId="9" xfId="19" applyNumberFormat="1" applyFont="1" applyBorder="1" applyAlignment="1">
      <alignment vertical="center"/>
    </xf>
    <xf numFmtId="184" fontId="35" fillId="0" borderId="9" xfId="19" applyNumberFormat="1" applyFont="1" applyBorder="1"/>
    <xf numFmtId="0" fontId="24" fillId="0" borderId="0" xfId="0" applyFont="1" applyFill="1" applyAlignment="1">
      <alignment vertical="center"/>
    </xf>
    <xf numFmtId="0" fontId="24" fillId="0" borderId="0" xfId="0" applyNumberFormat="1" applyFont="1" applyFill="1" applyAlignment="1">
      <alignment horizontal="center" vertical="center"/>
    </xf>
    <xf numFmtId="173" fontId="24" fillId="0" borderId="0" xfId="0" applyNumberFormat="1" applyFont="1" applyFill="1" applyAlignment="1">
      <alignment horizontal="center" vertical="center" wrapText="1"/>
    </xf>
    <xf numFmtId="0" fontId="32" fillId="0" borderId="0" xfId="30" applyFont="1" applyAlignment="1">
      <alignment horizontal="center" vertical="center"/>
    </xf>
    <xf numFmtId="0" fontId="45" fillId="0" borderId="0" xfId="0" applyFont="1" applyAlignment="1">
      <alignment horizontal="left"/>
    </xf>
    <xf numFmtId="0" fontId="0" fillId="0" borderId="0" xfId="0" applyAlignment="1">
      <alignment horizontal="center"/>
    </xf>
    <xf numFmtId="0" fontId="4" fillId="0" borderId="14" xfId="0" applyFont="1" applyBorder="1" applyAlignment="1">
      <alignment horizontal="center"/>
    </xf>
    <xf numFmtId="0" fontId="4" fillId="0" borderId="11" xfId="0" applyFont="1" applyBorder="1"/>
    <xf numFmtId="0" fontId="4" fillId="0" borderId="11" xfId="0" applyFont="1" applyBorder="1" applyAlignment="1">
      <alignment horizontal="center"/>
    </xf>
    <xf numFmtId="0" fontId="47" fillId="20" borderId="9" xfId="0" applyFont="1" applyFill="1" applyBorder="1" applyAlignment="1">
      <alignment horizontal="left" vertical="top" textRotation="90"/>
    </xf>
    <xf numFmtId="0" fontId="22" fillId="18" borderId="9" xfId="0" applyFont="1" applyFill="1" applyBorder="1" applyAlignment="1">
      <alignment horizontal="left" vertical="top" textRotation="90"/>
    </xf>
    <xf numFmtId="0" fontId="22" fillId="19" borderId="9" xfId="0" applyFont="1" applyFill="1" applyBorder="1" applyAlignment="1">
      <alignment horizontal="left" vertical="top" textRotation="90"/>
    </xf>
    <xf numFmtId="0" fontId="0" fillId="0" borderId="15" xfId="0" applyBorder="1" applyAlignment="1">
      <alignment horizontal="center"/>
    </xf>
    <xf numFmtId="0" fontId="0" fillId="0" borderId="9" xfId="0" applyBorder="1"/>
    <xf numFmtId="0" fontId="0" fillId="0" borderId="9" xfId="0" applyBorder="1" applyAlignment="1">
      <alignment horizontal="center"/>
    </xf>
    <xf numFmtId="0" fontId="4" fillId="0" borderId="9" xfId="0" applyFont="1" applyBorder="1" applyAlignment="1">
      <alignment horizontal="center"/>
    </xf>
    <xf numFmtId="0" fontId="4" fillId="21" borderId="9" xfId="0" applyFont="1" applyFill="1" applyBorder="1" applyAlignment="1">
      <alignment horizontal="center"/>
    </xf>
    <xf numFmtId="0" fontId="0" fillId="21" borderId="9" xfId="0" applyFill="1" applyBorder="1" applyAlignment="1">
      <alignment horizontal="center"/>
    </xf>
    <xf numFmtId="0" fontId="0" fillId="22" borderId="9" xfId="0" applyFill="1" applyBorder="1" applyAlignment="1">
      <alignment horizontal="center"/>
    </xf>
    <xf numFmtId="0" fontId="0" fillId="23" borderId="9" xfId="0" applyFill="1" applyBorder="1" applyAlignment="1">
      <alignment horizontal="center"/>
    </xf>
    <xf numFmtId="0" fontId="0" fillId="23" borderId="7" xfId="0" applyFill="1" applyBorder="1" applyAlignment="1">
      <alignment horizontal="center"/>
    </xf>
    <xf numFmtId="0" fontId="4" fillId="22" borderId="9" xfId="0" applyFont="1" applyFill="1" applyBorder="1" applyAlignment="1">
      <alignment horizontal="center"/>
    </xf>
    <xf numFmtId="0" fontId="0" fillId="24" borderId="9" xfId="0" applyFill="1" applyBorder="1" applyAlignment="1">
      <alignment horizontal="center"/>
    </xf>
    <xf numFmtId="0" fontId="0" fillId="22" borderId="7" xfId="0" applyFill="1" applyBorder="1" applyAlignment="1">
      <alignment horizontal="center"/>
    </xf>
    <xf numFmtId="0" fontId="0" fillId="0" borderId="0" xfId="0" applyAlignment="1">
      <alignment horizontal="center" wrapText="1"/>
    </xf>
    <xf numFmtId="0" fontId="48" fillId="6" borderId="0" xfId="0" applyFont="1" applyFill="1" applyAlignment="1">
      <alignment horizontal="center" wrapText="1"/>
    </xf>
    <xf numFmtId="0" fontId="32" fillId="0" borderId="0" xfId="30" applyFont="1" applyAlignment="1">
      <alignment horizontal="center" vertical="center" wrapText="1"/>
    </xf>
    <xf numFmtId="0" fontId="50" fillId="6" borderId="0" xfId="0" applyFont="1" applyFill="1" applyAlignment="1">
      <alignment horizontal="center" wrapText="1"/>
    </xf>
    <xf numFmtId="0" fontId="51" fillId="13" borderId="0" xfId="0" applyFont="1" applyFill="1" applyAlignment="1">
      <alignment horizontal="center" vertical="center" wrapText="1"/>
    </xf>
    <xf numFmtId="0" fontId="35" fillId="17" borderId="9" xfId="0" applyFont="1" applyFill="1" applyBorder="1" applyAlignment="1">
      <alignment horizontal="left" vertical="top" textRotation="90" wrapText="1"/>
    </xf>
    <xf numFmtId="0" fontId="38" fillId="17" borderId="9" xfId="0" applyFont="1" applyFill="1" applyBorder="1" applyAlignment="1">
      <alignment horizontal="left" vertical="top" textRotation="90" wrapText="1"/>
    </xf>
    <xf numFmtId="0" fontId="38" fillId="18" borderId="9" xfId="0" applyFont="1" applyFill="1" applyBorder="1" applyAlignment="1">
      <alignment horizontal="left" vertical="top" textRotation="90" wrapText="1"/>
    </xf>
    <xf numFmtId="0" fontId="38" fillId="19" borderId="9" xfId="0" applyFont="1" applyFill="1" applyBorder="1" applyAlignment="1">
      <alignment horizontal="left" vertical="top" textRotation="90" wrapText="1"/>
    </xf>
    <xf numFmtId="0" fontId="34" fillId="6" borderId="0" xfId="0" applyFont="1" applyFill="1" applyAlignment="1">
      <alignment horizontal="center" vertical="top" wrapText="1"/>
    </xf>
    <xf numFmtId="0" fontId="35" fillId="18" borderId="9" xfId="0" applyFont="1" applyFill="1" applyBorder="1" applyAlignment="1">
      <alignment horizontal="left" vertical="top" textRotation="90" wrapText="1"/>
    </xf>
    <xf numFmtId="0" fontId="35" fillId="19" borderId="9" xfId="0" applyFont="1" applyFill="1" applyBorder="1" applyAlignment="1">
      <alignment horizontal="left" vertical="top" textRotation="90" wrapText="1"/>
    </xf>
    <xf numFmtId="173" fontId="24" fillId="21" borderId="9" xfId="0" applyNumberFormat="1" applyFont="1" applyFill="1" applyBorder="1" applyAlignment="1">
      <alignment horizontal="center" vertical="center"/>
    </xf>
    <xf numFmtId="173" fontId="24" fillId="22" borderId="9" xfId="0" applyNumberFormat="1" applyFont="1" applyFill="1" applyBorder="1" applyAlignment="1">
      <alignment horizontal="center" vertical="center"/>
    </xf>
    <xf numFmtId="173" fontId="24" fillId="23" borderId="9" xfId="0" applyNumberFormat="1" applyFont="1" applyFill="1" applyBorder="1" applyAlignment="1">
      <alignment horizontal="center" vertical="center"/>
    </xf>
    <xf numFmtId="173" fontId="34" fillId="6" borderId="0" xfId="0" applyNumberFormat="1" applyFont="1" applyFill="1" applyAlignment="1">
      <alignment horizontal="center" vertical="center"/>
    </xf>
    <xf numFmtId="0" fontId="26" fillId="13" borderId="0" xfId="0" applyFont="1" applyFill="1" applyAlignment="1">
      <alignment horizontal="center" vertical="center"/>
    </xf>
    <xf numFmtId="0" fontId="24" fillId="0" borderId="0" xfId="0" applyNumberFormat="1" applyFont="1" applyFill="1" applyAlignment="1">
      <alignment horizontal="center" vertical="center" wrapText="1"/>
    </xf>
    <xf numFmtId="173" fontId="24" fillId="6" borderId="0" xfId="0" applyNumberFormat="1" applyFont="1" applyFill="1" applyAlignment="1">
      <alignment horizontal="center" vertical="center" wrapText="1"/>
    </xf>
    <xf numFmtId="0" fontId="26" fillId="0" borderId="0" xfId="0" applyFont="1" applyFill="1" applyBorder="1" applyAlignment="1">
      <alignment horizontal="center" vertical="center"/>
    </xf>
    <xf numFmtId="0" fontId="26" fillId="0" borderId="7" xfId="0" applyFont="1" applyFill="1" applyBorder="1" applyAlignment="1">
      <alignment vertical="center"/>
    </xf>
    <xf numFmtId="0" fontId="26" fillId="0" borderId="4" xfId="0" applyFont="1" applyFill="1" applyBorder="1" applyAlignment="1">
      <alignment vertical="center"/>
    </xf>
    <xf numFmtId="0" fontId="56" fillId="0" borderId="0" xfId="30" applyFont="1"/>
    <xf numFmtId="0" fontId="56" fillId="0" borderId="26" xfId="30" applyFont="1" applyBorder="1"/>
    <xf numFmtId="0" fontId="56" fillId="0" borderId="27" xfId="30" applyFont="1" applyBorder="1" applyAlignment="1">
      <alignment vertical="top" wrapText="1"/>
    </xf>
    <xf numFmtId="0" fontId="56" fillId="0" borderId="28" xfId="30" applyFont="1" applyBorder="1"/>
    <xf numFmtId="0" fontId="56" fillId="0" borderId="29" xfId="30" applyFont="1" applyBorder="1" applyAlignment="1">
      <alignment vertical="top" wrapText="1"/>
    </xf>
    <xf numFmtId="0" fontId="56" fillId="0" borderId="27" xfId="30" applyFont="1" applyBorder="1"/>
    <xf numFmtId="0" fontId="56" fillId="0" borderId="29" xfId="30" applyFont="1" applyBorder="1"/>
    <xf numFmtId="0" fontId="56" fillId="0" borderId="27" xfId="0" applyFont="1" applyBorder="1" applyAlignment="1">
      <alignment vertical="top" wrapText="1"/>
    </xf>
    <xf numFmtId="0" fontId="56" fillId="0" borderId="27" xfId="30" applyFont="1" applyBorder="1" applyAlignment="1">
      <alignment wrapText="1"/>
    </xf>
    <xf numFmtId="0" fontId="56" fillId="0" borderId="29" xfId="30" applyFont="1" applyBorder="1" applyAlignment="1">
      <alignment wrapText="1"/>
    </xf>
    <xf numFmtId="0" fontId="56" fillId="0" borderId="0" xfId="30" applyFont="1" applyAlignment="1">
      <alignment vertical="top" wrapText="1"/>
    </xf>
    <xf numFmtId="0" fontId="56" fillId="0" borderId="0" xfId="30" applyFont="1" applyAlignment="1">
      <alignment wrapText="1"/>
    </xf>
    <xf numFmtId="0" fontId="56" fillId="0" borderId="24" xfId="30" applyFont="1" applyBorder="1"/>
    <xf numFmtId="0" fontId="57" fillId="0" borderId="25" xfId="30" applyFont="1" applyBorder="1" applyAlignment="1">
      <alignment vertical="top" wrapText="1"/>
    </xf>
    <xf numFmtId="0" fontId="57" fillId="0" borderId="27" xfId="30" applyFont="1" applyBorder="1" applyAlignment="1">
      <alignment vertical="top" wrapText="1"/>
    </xf>
    <xf numFmtId="0" fontId="58" fillId="0" borderId="27" xfId="30" applyFont="1" applyBorder="1"/>
    <xf numFmtId="0" fontId="37" fillId="10" borderId="10" xfId="30" applyFont="1" applyFill="1" applyBorder="1" applyAlignment="1">
      <alignment vertical="center" wrapText="1"/>
    </xf>
    <xf numFmtId="0" fontId="37" fillId="10" borderId="5" xfId="30" applyFont="1" applyFill="1" applyBorder="1" applyAlignment="1">
      <alignment vertical="center" wrapText="1"/>
    </xf>
    <xf numFmtId="0" fontId="59" fillId="10" borderId="0" xfId="30" applyFont="1" applyFill="1" applyBorder="1" applyAlignment="1">
      <alignment vertical="center" wrapText="1"/>
    </xf>
    <xf numFmtId="0" fontId="37" fillId="10" borderId="25" xfId="30" applyFont="1" applyFill="1" applyBorder="1" applyAlignment="1">
      <alignment vertical="center" wrapText="1"/>
    </xf>
    <xf numFmtId="0" fontId="59" fillId="10" borderId="26" xfId="30" applyFont="1" applyFill="1" applyBorder="1" applyAlignment="1">
      <alignment vertical="center" wrapText="1"/>
    </xf>
    <xf numFmtId="0" fontId="59" fillId="10" borderId="27" xfId="30" applyFont="1" applyFill="1" applyBorder="1" applyAlignment="1">
      <alignment vertical="center" wrapText="1"/>
    </xf>
    <xf numFmtId="0" fontId="59" fillId="10" borderId="24" xfId="30" applyFont="1" applyFill="1" applyBorder="1" applyAlignment="1">
      <alignment vertical="center" wrapText="1"/>
    </xf>
    <xf numFmtId="173" fontId="35" fillId="0" borderId="9" xfId="0" applyNumberFormat="1" applyFont="1" applyBorder="1" applyAlignment="1">
      <alignment vertical="center" wrapText="1"/>
    </xf>
    <xf numFmtId="0" fontId="4" fillId="23" borderId="9" xfId="0" applyFont="1" applyFill="1" applyBorder="1" applyAlignment="1">
      <alignment horizontal="center"/>
    </xf>
    <xf numFmtId="0" fontId="56" fillId="0" borderId="31" xfId="30" applyFont="1" applyBorder="1" applyAlignment="1"/>
    <xf numFmtId="170" fontId="24" fillId="0" borderId="9" xfId="0" applyNumberFormat="1" applyFont="1" applyFill="1" applyBorder="1" applyAlignment="1">
      <alignment horizontal="center" vertical="center"/>
    </xf>
    <xf numFmtId="44" fontId="24" fillId="5" borderId="9" xfId="54" applyFont="1" applyFill="1" applyBorder="1" applyAlignment="1">
      <alignment horizontal="center" vertical="center"/>
    </xf>
    <xf numFmtId="0" fontId="24" fillId="0" borderId="9" xfId="0" applyFont="1" applyBorder="1" applyAlignment="1">
      <alignment vertical="center"/>
    </xf>
    <xf numFmtId="0" fontId="24" fillId="0" borderId="9" xfId="0" applyFont="1" applyBorder="1" applyAlignment="1">
      <alignment vertical="center"/>
    </xf>
    <xf numFmtId="0" fontId="33" fillId="10" borderId="9" xfId="0" applyFont="1" applyFill="1" applyBorder="1" applyAlignment="1">
      <alignment vertical="center" wrapText="1"/>
    </xf>
    <xf numFmtId="9" fontId="24" fillId="0" borderId="9" xfId="0" applyNumberFormat="1" applyFont="1" applyBorder="1" applyAlignment="1">
      <alignment vertical="center"/>
    </xf>
    <xf numFmtId="182" fontId="24" fillId="0" borderId="9" xfId="0" applyNumberFormat="1" applyFont="1" applyBorder="1" applyAlignment="1">
      <alignment vertical="center"/>
    </xf>
    <xf numFmtId="171" fontId="24" fillId="0" borderId="9" xfId="0" applyNumberFormat="1" applyFont="1" applyBorder="1" applyAlignment="1">
      <alignment vertical="center"/>
    </xf>
    <xf numFmtId="9" fontId="24" fillId="0" borderId="9" xfId="38" applyFont="1" applyBorder="1" applyAlignment="1">
      <alignment vertical="center"/>
    </xf>
    <xf numFmtId="10" fontId="34" fillId="10" borderId="9" xfId="0" applyNumberFormat="1" applyFont="1" applyFill="1" applyBorder="1" applyAlignment="1">
      <alignment horizontal="center" vertical="center" wrapText="1"/>
    </xf>
    <xf numFmtId="170" fontId="24" fillId="0" borderId="9" xfId="38" applyNumberFormat="1" applyFont="1" applyFill="1" applyBorder="1" applyAlignment="1">
      <alignment horizontal="center" vertical="center"/>
    </xf>
    <xf numFmtId="44" fontId="24" fillId="0" borderId="0" xfId="0" applyNumberFormat="1" applyFont="1" applyAlignment="1">
      <alignment vertical="center"/>
    </xf>
    <xf numFmtId="44" fontId="24" fillId="0" borderId="0" xfId="0" applyNumberFormat="1" applyFont="1" applyAlignment="1">
      <alignment horizontal="right" vertical="center"/>
    </xf>
    <xf numFmtId="0" fontId="24" fillId="0" borderId="0" xfId="0" applyFont="1" applyFill="1" applyAlignment="1">
      <alignment horizontal="left" vertical="center" wrapText="1"/>
    </xf>
    <xf numFmtId="173" fontId="24" fillId="0" borderId="0" xfId="0" applyNumberFormat="1" applyFont="1" applyFill="1" applyAlignment="1">
      <alignment horizontal="left" vertical="center"/>
    </xf>
    <xf numFmtId="170" fontId="26" fillId="5" borderId="9" xfId="0" applyNumberFormat="1" applyFont="1" applyFill="1" applyBorder="1" applyAlignment="1">
      <alignment horizontal="center" vertical="center"/>
    </xf>
    <xf numFmtId="0" fontId="41" fillId="0" borderId="0" xfId="0" applyFont="1" applyFill="1" applyBorder="1" applyAlignment="1">
      <alignment horizontal="center" vertical="center"/>
    </xf>
    <xf numFmtId="0" fontId="41" fillId="0" borderId="0" xfId="0" applyFont="1" applyFill="1" applyBorder="1" applyAlignment="1">
      <alignment vertical="center"/>
    </xf>
    <xf numFmtId="173" fontId="41" fillId="0" borderId="0" xfId="0" applyNumberFormat="1" applyFont="1" applyFill="1" applyBorder="1" applyAlignment="1">
      <alignment vertical="center"/>
    </xf>
    <xf numFmtId="2" fontId="26" fillId="10" borderId="7" xfId="0" applyNumberFormat="1" applyFont="1" applyFill="1" applyBorder="1" applyAlignment="1">
      <alignment vertical="center"/>
    </xf>
    <xf numFmtId="0" fontId="30" fillId="10" borderId="4" xfId="29" applyFont="1" applyFill="1" applyBorder="1"/>
    <xf numFmtId="0" fontId="33" fillId="10" borderId="4" xfId="29" applyFont="1" applyFill="1" applyBorder="1" applyAlignment="1">
      <alignment vertical="center"/>
    </xf>
    <xf numFmtId="0" fontId="30" fillId="10" borderId="15" xfId="29" applyFont="1" applyFill="1" applyBorder="1"/>
    <xf numFmtId="0" fontId="26" fillId="7" borderId="9" xfId="0" applyFont="1" applyFill="1" applyBorder="1" applyAlignment="1">
      <alignment horizontal="left" vertical="center"/>
    </xf>
    <xf numFmtId="0" fontId="26" fillId="7" borderId="9" xfId="0" applyFont="1" applyFill="1" applyBorder="1" applyAlignment="1">
      <alignment vertical="center"/>
    </xf>
    <xf numFmtId="0" fontId="26" fillId="8" borderId="9" xfId="0" applyFont="1" applyFill="1" applyBorder="1" applyAlignment="1">
      <alignment horizontal="left" vertical="center"/>
    </xf>
    <xf numFmtId="0" fontId="26" fillId="8" borderId="9" xfId="0" applyFont="1" applyFill="1" applyBorder="1" applyAlignment="1">
      <alignment vertical="center"/>
    </xf>
    <xf numFmtId="173" fontId="26" fillId="8" borderId="9" xfId="0" applyNumberFormat="1" applyFont="1" applyFill="1" applyBorder="1" applyAlignment="1">
      <alignment horizontal="center" vertical="center"/>
    </xf>
    <xf numFmtId="182" fontId="26" fillId="7" borderId="9" xfId="0" applyNumberFormat="1" applyFont="1" applyFill="1" applyBorder="1" applyAlignment="1">
      <alignment horizontal="center" vertical="center"/>
    </xf>
    <xf numFmtId="0" fontId="26" fillId="0" borderId="0" xfId="0" applyFont="1" applyAlignment="1">
      <alignment horizontal="left" vertical="center"/>
    </xf>
    <xf numFmtId="173" fontId="26" fillId="0" borderId="0" xfId="0" applyNumberFormat="1" applyFont="1" applyAlignment="1">
      <alignment horizontal="center" vertical="center"/>
    </xf>
    <xf numFmtId="0" fontId="24" fillId="0" borderId="0" xfId="0" quotePrefix="1" applyFont="1" applyAlignment="1">
      <alignment horizontal="left" vertical="center"/>
    </xf>
    <xf numFmtId="0" fontId="4" fillId="0" borderId="15" xfId="0" applyFont="1" applyBorder="1" applyAlignment="1">
      <alignment horizontal="center"/>
    </xf>
    <xf numFmtId="0" fontId="35" fillId="5" borderId="0" xfId="0" applyNumberFormat="1" applyFont="1" applyFill="1" applyAlignment="1">
      <alignment horizontal="center" vertical="center"/>
    </xf>
    <xf numFmtId="0" fontId="61" fillId="0" borderId="29" xfId="30" applyFont="1" applyBorder="1" applyAlignment="1">
      <alignment vertical="top" wrapText="1"/>
    </xf>
    <xf numFmtId="0" fontId="35" fillId="0" borderId="0" xfId="0" applyFont="1" applyFill="1" applyAlignment="1">
      <alignment horizontal="center" vertical="center"/>
    </xf>
    <xf numFmtId="0" fontId="35" fillId="0" borderId="0" xfId="0" applyFont="1" applyFill="1" applyAlignment="1">
      <alignment horizontal="left" vertical="center"/>
    </xf>
    <xf numFmtId="4" fontId="35" fillId="0" borderId="0" xfId="0" applyNumberFormat="1" applyFont="1" applyFill="1" applyAlignment="1">
      <alignment vertical="center"/>
    </xf>
    <xf numFmtId="4" fontId="35" fillId="0" borderId="0" xfId="0" applyNumberFormat="1" applyFont="1" applyFill="1" applyAlignment="1">
      <alignment horizontal="center" vertical="center"/>
    </xf>
    <xf numFmtId="3" fontId="35" fillId="0" borderId="0" xfId="0" applyNumberFormat="1" applyFont="1" applyFill="1" applyAlignment="1">
      <alignment horizontal="center" vertical="center"/>
    </xf>
    <xf numFmtId="173" fontId="35" fillId="0" borderId="0" xfId="0" applyNumberFormat="1" applyFont="1" applyFill="1" applyAlignment="1">
      <alignment horizontal="center" vertical="center"/>
    </xf>
    <xf numFmtId="0" fontId="62" fillId="0" borderId="0" xfId="0" applyFont="1" applyFill="1" applyAlignment="1">
      <alignment horizontal="center" vertical="center" wrapText="1"/>
    </xf>
    <xf numFmtId="0" fontId="62" fillId="0" borderId="0" xfId="0" applyNumberFormat="1" applyFont="1" applyFill="1" applyAlignment="1">
      <alignment horizontal="center" vertical="center"/>
    </xf>
    <xf numFmtId="0" fontId="62" fillId="0" borderId="0" xfId="0" applyFont="1" applyFill="1" applyAlignment="1">
      <alignment horizontal="left" vertical="center"/>
    </xf>
    <xf numFmtId="0" fontId="62" fillId="0" borderId="0" xfId="0" applyFont="1" applyFill="1" applyAlignment="1">
      <alignment horizontal="left" vertical="center" wrapText="1"/>
    </xf>
    <xf numFmtId="0" fontId="62" fillId="0" borderId="0" xfId="0" applyNumberFormat="1" applyFont="1" applyFill="1" applyAlignment="1">
      <alignment horizontal="center" vertical="center" wrapText="1"/>
    </xf>
    <xf numFmtId="0" fontId="62" fillId="0" borderId="0" xfId="0" applyFont="1" applyFill="1" applyAlignment="1">
      <alignment horizontal="center" vertical="center"/>
    </xf>
    <xf numFmtId="178" fontId="62" fillId="0" borderId="0" xfId="0" applyNumberFormat="1" applyFont="1" applyFill="1" applyAlignment="1">
      <alignment vertical="center"/>
    </xf>
    <xf numFmtId="178" fontId="35" fillId="0" borderId="0" xfId="0" applyNumberFormat="1" applyFont="1" applyFill="1" applyAlignment="1">
      <alignment horizontal="center" vertical="center" wrapText="1"/>
    </xf>
    <xf numFmtId="49" fontId="24" fillId="0" borderId="0" xfId="0" applyNumberFormat="1" applyFont="1" applyFill="1" applyAlignment="1">
      <alignment horizontal="center" vertical="center"/>
    </xf>
    <xf numFmtId="0" fontId="24" fillId="0" borderId="0" xfId="0" applyFont="1" applyFill="1" applyAlignment="1">
      <alignment horizontal="center" vertical="center" wrapText="1"/>
    </xf>
    <xf numFmtId="0" fontId="24" fillId="0" borderId="0" xfId="0" applyFont="1" applyFill="1" applyAlignment="1">
      <alignment horizontal="center" vertical="center"/>
    </xf>
    <xf numFmtId="0" fontId="24" fillId="0" borderId="0" xfId="0" applyFont="1" applyFill="1" applyAlignment="1">
      <alignment horizontal="left" vertical="center"/>
    </xf>
    <xf numFmtId="0" fontId="24" fillId="0" borderId="0" xfId="0" applyNumberFormat="1" applyFont="1" applyFill="1" applyAlignment="1">
      <alignment horizontal="left" vertical="center"/>
    </xf>
    <xf numFmtId="178" fontId="24" fillId="0" borderId="0" xfId="0" applyNumberFormat="1" applyFont="1" applyFill="1" applyAlignment="1">
      <alignment vertical="center"/>
    </xf>
    <xf numFmtId="0" fontId="35" fillId="7" borderId="0" xfId="0" applyNumberFormat="1" applyFont="1" applyFill="1" applyAlignment="1">
      <alignment horizontal="center" vertical="center"/>
    </xf>
    <xf numFmtId="1" fontId="24" fillId="0" borderId="0" xfId="0" applyNumberFormat="1" applyFont="1" applyFill="1" applyAlignment="1">
      <alignment horizontal="center" vertical="center" wrapText="1"/>
    </xf>
    <xf numFmtId="1" fontId="26" fillId="0" borderId="0" xfId="0" applyNumberFormat="1" applyFont="1" applyFill="1" applyAlignment="1">
      <alignment horizontal="center" vertical="center" wrapText="1"/>
    </xf>
    <xf numFmtId="169" fontId="24" fillId="0" borderId="0" xfId="0" applyNumberFormat="1" applyFont="1" applyFill="1" applyAlignment="1" applyProtection="1">
      <alignment horizontal="center" vertical="center" wrapText="1"/>
      <protection hidden="1"/>
    </xf>
    <xf numFmtId="2" fontId="24" fillId="0" borderId="0" xfId="0" applyNumberFormat="1" applyFont="1" applyFill="1" applyAlignment="1" applyProtection="1">
      <alignment horizontal="center" vertical="center" wrapText="1"/>
      <protection hidden="1"/>
    </xf>
    <xf numFmtId="0" fontId="24" fillId="0" borderId="0" xfId="0" applyFont="1" applyFill="1" applyAlignment="1" applyProtection="1">
      <alignment horizontal="center" vertical="center" wrapText="1"/>
      <protection hidden="1"/>
    </xf>
    <xf numFmtId="0" fontId="24" fillId="0" borderId="0" xfId="0" applyNumberFormat="1" applyFont="1" applyFill="1" applyAlignment="1" applyProtection="1">
      <alignment horizontal="center" vertical="center" wrapText="1"/>
      <protection hidden="1"/>
    </xf>
    <xf numFmtId="168" fontId="24" fillId="0" borderId="0" xfId="19" applyFont="1" applyFill="1" applyAlignment="1">
      <alignment horizontal="center" vertical="center" wrapText="1"/>
    </xf>
    <xf numFmtId="173" fontId="24" fillId="0" borderId="9" xfId="0" applyNumberFormat="1" applyFont="1" applyFill="1" applyBorder="1" applyAlignment="1">
      <alignment horizontal="center" vertical="center"/>
    </xf>
    <xf numFmtId="173" fontId="24" fillId="0" borderId="0" xfId="0" applyNumberFormat="1" applyFont="1" applyFill="1" applyAlignment="1">
      <alignment horizontal="center" vertical="center"/>
    </xf>
    <xf numFmtId="0" fontId="62" fillId="0" borderId="0" xfId="0" applyNumberFormat="1" applyFont="1" applyFill="1" applyAlignment="1">
      <alignment horizontal="left" vertical="center"/>
    </xf>
    <xf numFmtId="0" fontId="24" fillId="0" borderId="0" xfId="30" applyFont="1" applyFill="1" applyAlignment="1">
      <alignment vertical="center"/>
    </xf>
    <xf numFmtId="0" fontId="24" fillId="0" borderId="0" xfId="30" applyFont="1" applyFill="1" applyAlignment="1">
      <alignment horizontal="center" vertical="center"/>
    </xf>
    <xf numFmtId="0" fontId="44" fillId="0" borderId="0" xfId="0" applyFont="1" applyFill="1" applyAlignment="1">
      <alignment horizontal="center" vertical="center"/>
    </xf>
    <xf numFmtId="0" fontId="44" fillId="0" borderId="0" xfId="0" applyFont="1" applyFill="1" applyAlignment="1">
      <alignment horizontal="left" vertical="center"/>
    </xf>
    <xf numFmtId="178" fontId="35" fillId="0" borderId="0" xfId="0" applyNumberFormat="1" applyFont="1" applyFill="1" applyAlignment="1">
      <alignment vertical="center"/>
    </xf>
    <xf numFmtId="177" fontId="24" fillId="0" borderId="0" xfId="0" applyNumberFormat="1" applyFont="1" applyFill="1" applyAlignment="1">
      <alignment vertical="center"/>
    </xf>
    <xf numFmtId="177" fontId="24" fillId="0" borderId="0" xfId="0" applyNumberFormat="1" applyFont="1" applyFill="1" applyAlignment="1">
      <alignment horizontal="center" vertical="center"/>
    </xf>
    <xf numFmtId="0" fontId="26" fillId="0" borderId="0" xfId="0" applyFont="1" applyFill="1" applyAlignment="1">
      <alignment horizontal="center" vertical="center"/>
    </xf>
    <xf numFmtId="170" fontId="26" fillId="5" borderId="7" xfId="0" applyNumberFormat="1" applyFont="1" applyFill="1" applyBorder="1" applyAlignment="1">
      <alignment horizontal="center" vertical="center"/>
    </xf>
    <xf numFmtId="0" fontId="38" fillId="16" borderId="0" xfId="0" applyFont="1" applyFill="1"/>
    <xf numFmtId="0" fontId="33" fillId="28" borderId="0" xfId="0" applyFont="1" applyFill="1"/>
    <xf numFmtId="0" fontId="35" fillId="0" borderId="33" xfId="0" applyFont="1" applyBorder="1" applyAlignment="1">
      <alignment horizontal="center"/>
    </xf>
    <xf numFmtId="0" fontId="35" fillId="0" borderId="4" xfId="0" applyFont="1" applyBorder="1" applyAlignment="1">
      <alignment horizontal="center"/>
    </xf>
    <xf numFmtId="0" fontId="35" fillId="6" borderId="9" xfId="55" applyFont="1" applyFill="1" applyBorder="1"/>
    <xf numFmtId="0" fontId="35" fillId="0" borderId="22" xfId="0" applyFont="1" applyBorder="1" applyAlignment="1">
      <alignment horizontal="center"/>
    </xf>
    <xf numFmtId="0" fontId="35" fillId="0" borderId="10" xfId="0" applyFont="1" applyBorder="1"/>
    <xf numFmtId="0" fontId="35" fillId="0" borderId="34" xfId="0" applyFont="1" applyBorder="1"/>
    <xf numFmtId="0" fontId="35" fillId="0" borderId="35" xfId="0" applyFont="1" applyBorder="1"/>
    <xf numFmtId="0" fontId="35" fillId="0" borderId="36" xfId="0" applyFont="1" applyBorder="1" applyAlignment="1">
      <alignment horizontal="center"/>
    </xf>
    <xf numFmtId="0" fontId="28" fillId="0" borderId="0" xfId="0" applyFont="1"/>
    <xf numFmtId="44" fontId="24" fillId="29" borderId="0" xfId="48" applyFont="1" applyFill="1"/>
    <xf numFmtId="0" fontId="33" fillId="28" borderId="0" xfId="0" applyFont="1" applyFill="1" applyAlignment="1">
      <alignment wrapText="1"/>
    </xf>
    <xf numFmtId="0" fontId="4" fillId="0" borderId="0" xfId="0" applyFont="1"/>
    <xf numFmtId="0" fontId="37" fillId="10" borderId="0" xfId="30" applyFont="1" applyFill="1" applyBorder="1" applyAlignment="1">
      <alignment horizontal="center" vertical="center" wrapText="1"/>
    </xf>
    <xf numFmtId="0" fontId="37" fillId="10" borderId="30" xfId="30" applyFont="1" applyFill="1" applyBorder="1" applyAlignment="1">
      <alignment horizontal="center" vertical="center" wrapText="1"/>
    </xf>
    <xf numFmtId="0" fontId="37" fillId="10" borderId="24" xfId="30" applyFont="1" applyFill="1" applyBorder="1" applyAlignment="1">
      <alignment horizontal="center" vertical="center" wrapText="1"/>
    </xf>
    <xf numFmtId="0" fontId="37" fillId="10" borderId="25" xfId="30" applyFont="1" applyFill="1" applyBorder="1" applyAlignment="1">
      <alignment horizontal="center" vertical="center" wrapText="1"/>
    </xf>
    <xf numFmtId="0" fontId="37" fillId="10" borderId="28" xfId="30" applyFont="1" applyFill="1" applyBorder="1" applyAlignment="1">
      <alignment horizontal="center" vertical="center" wrapText="1"/>
    </xf>
    <xf numFmtId="0" fontId="37" fillId="10" borderId="29" xfId="30" applyFont="1" applyFill="1" applyBorder="1" applyAlignment="1">
      <alignment horizontal="center" vertical="center" wrapText="1"/>
    </xf>
    <xf numFmtId="0" fontId="24" fillId="0" borderId="7" xfId="0" applyFont="1" applyBorder="1" applyAlignment="1">
      <alignment horizontal="left" vertical="center"/>
    </xf>
    <xf numFmtId="0" fontId="24" fillId="0" borderId="15" xfId="0" applyFont="1" applyBorder="1" applyAlignment="1">
      <alignment horizontal="left" vertical="center"/>
    </xf>
    <xf numFmtId="9" fontId="24" fillId="0" borderId="7" xfId="0" applyNumberFormat="1" applyFont="1" applyBorder="1" applyAlignment="1">
      <alignment horizontal="left" vertical="center" wrapText="1"/>
    </xf>
    <xf numFmtId="9" fontId="24" fillId="0" borderId="15" xfId="0" applyNumberFormat="1" applyFont="1" applyBorder="1" applyAlignment="1">
      <alignment horizontal="left" vertical="center" wrapText="1"/>
    </xf>
    <xf numFmtId="0" fontId="33" fillId="10" borderId="7" xfId="0" applyFont="1" applyFill="1" applyBorder="1" applyAlignment="1">
      <alignment horizontal="left" vertical="center" wrapText="1"/>
    </xf>
    <xf numFmtId="0" fontId="33" fillId="10" borderId="4" xfId="0" applyFont="1" applyFill="1" applyBorder="1" applyAlignment="1">
      <alignment horizontal="left" vertical="center" wrapText="1"/>
    </xf>
    <xf numFmtId="0" fontId="33" fillId="10" borderId="15" xfId="0" applyFont="1" applyFill="1" applyBorder="1" applyAlignment="1">
      <alignment horizontal="left" vertical="center" wrapText="1"/>
    </xf>
    <xf numFmtId="9" fontId="24" fillId="0" borderId="7" xfId="0" applyNumberFormat="1" applyFont="1" applyBorder="1" applyAlignment="1">
      <alignment horizontal="left" vertical="center"/>
    </xf>
    <xf numFmtId="9" fontId="24" fillId="0" borderId="15" xfId="0" applyNumberFormat="1" applyFont="1" applyBorder="1" applyAlignment="1">
      <alignment horizontal="left" vertical="center"/>
    </xf>
    <xf numFmtId="0" fontId="32" fillId="0" borderId="0" xfId="30" applyFont="1" applyAlignment="1">
      <alignment horizontal="center" vertical="center"/>
    </xf>
    <xf numFmtId="0" fontId="38" fillId="13" borderId="9" xfId="0" applyFont="1" applyFill="1" applyBorder="1" applyAlignment="1">
      <alignment horizontal="center" vertical="center"/>
    </xf>
    <xf numFmtId="170" fontId="24" fillId="5" borderId="9" xfId="0" applyNumberFormat="1" applyFont="1" applyFill="1" applyBorder="1" applyAlignment="1">
      <alignment horizontal="center" vertical="center"/>
    </xf>
    <xf numFmtId="0" fontId="24" fillId="0" borderId="9" xfId="0" applyFont="1" applyBorder="1" applyAlignment="1">
      <alignment horizontal="left" vertical="center"/>
    </xf>
    <xf numFmtId="0" fontId="24" fillId="0" borderId="9" xfId="0" applyFont="1" applyBorder="1" applyAlignment="1">
      <alignment vertical="center"/>
    </xf>
    <xf numFmtId="10" fontId="24" fillId="5" borderId="7" xfId="0" applyNumberFormat="1" applyFont="1" applyFill="1" applyBorder="1" applyAlignment="1">
      <alignment horizontal="left" vertical="center"/>
    </xf>
    <xf numFmtId="10" fontId="24" fillId="5" borderId="4" xfId="0" applyNumberFormat="1" applyFont="1" applyFill="1" applyBorder="1" applyAlignment="1">
      <alignment horizontal="left" vertical="center"/>
    </xf>
    <xf numFmtId="10" fontId="24" fillId="5" borderId="15" xfId="0" applyNumberFormat="1" applyFont="1" applyFill="1" applyBorder="1" applyAlignment="1">
      <alignment horizontal="left" vertical="center"/>
    </xf>
    <xf numFmtId="9" fontId="24" fillId="0" borderId="4" xfId="0" applyNumberFormat="1" applyFont="1" applyBorder="1" applyAlignment="1">
      <alignment horizontal="left" vertical="center"/>
    </xf>
    <xf numFmtId="0" fontId="26" fillId="0" borderId="9" xfId="30" applyFont="1" applyBorder="1" applyAlignment="1">
      <alignment horizontal="center" vertical="center"/>
    </xf>
    <xf numFmtId="0" fontId="38" fillId="13" borderId="7" xfId="0" applyFont="1" applyFill="1" applyBorder="1" applyAlignment="1">
      <alignment horizontal="left" vertical="center"/>
    </xf>
    <xf numFmtId="0" fontId="38" fillId="13" borderId="4" xfId="0" applyFont="1" applyFill="1" applyBorder="1" applyAlignment="1">
      <alignment horizontal="left" vertical="center"/>
    </xf>
    <xf numFmtId="0" fontId="38" fillId="13" borderId="15" xfId="0" applyFont="1" applyFill="1" applyBorder="1" applyAlignment="1">
      <alignment horizontal="left" vertical="center"/>
    </xf>
    <xf numFmtId="0" fontId="24" fillId="0" borderId="4" xfId="0" applyFont="1" applyBorder="1" applyAlignment="1">
      <alignment horizontal="left" vertical="center"/>
    </xf>
    <xf numFmtId="0" fontId="33" fillId="10" borderId="11" xfId="0" applyFont="1" applyFill="1" applyBorder="1" applyAlignment="1">
      <alignment horizontal="center" vertical="center" wrapText="1"/>
    </xf>
    <xf numFmtId="0" fontId="33" fillId="10" borderId="13" xfId="0" applyFont="1" applyFill="1" applyBorder="1" applyAlignment="1">
      <alignment horizontal="center" vertical="center" wrapText="1"/>
    </xf>
    <xf numFmtId="0" fontId="33" fillId="10" borderId="14" xfId="0" applyFont="1" applyFill="1" applyBorder="1" applyAlignment="1">
      <alignment horizontal="center" vertical="center" wrapText="1"/>
    </xf>
    <xf numFmtId="170" fontId="26" fillId="5" borderId="7" xfId="0" applyNumberFormat="1" applyFont="1" applyFill="1" applyBorder="1" applyAlignment="1">
      <alignment horizontal="center" vertical="center"/>
    </xf>
    <xf numFmtId="170" fontId="24" fillId="5" borderId="4" xfId="0" applyNumberFormat="1" applyFont="1" applyFill="1" applyBorder="1" applyAlignment="1">
      <alignment horizontal="center" vertical="center"/>
    </xf>
    <xf numFmtId="0" fontId="32" fillId="0" borderId="6" xfId="30" applyFont="1" applyBorder="1" applyAlignment="1">
      <alignment horizontal="center" vertical="center"/>
    </xf>
    <xf numFmtId="0" fontId="26" fillId="13" borderId="8" xfId="0" applyFont="1" applyFill="1" applyBorder="1" applyAlignment="1">
      <alignment horizontal="center" vertical="center"/>
    </xf>
    <xf numFmtId="0" fontId="26" fillId="13" borderId="22" xfId="0" applyFont="1" applyFill="1" applyBorder="1" applyAlignment="1">
      <alignment horizontal="center" vertical="center"/>
    </xf>
    <xf numFmtId="0" fontId="26" fillId="13" borderId="23" xfId="0" applyFont="1" applyFill="1" applyBorder="1" applyAlignment="1">
      <alignment horizontal="center" vertical="center"/>
    </xf>
    <xf numFmtId="0" fontId="26" fillId="14" borderId="8" xfId="0" applyFont="1" applyFill="1" applyBorder="1" applyAlignment="1">
      <alignment horizontal="center" vertical="center"/>
    </xf>
    <xf numFmtId="0" fontId="26" fillId="14" borderId="22" xfId="0" applyFont="1" applyFill="1" applyBorder="1" applyAlignment="1">
      <alignment horizontal="center" vertical="center"/>
    </xf>
    <xf numFmtId="0" fontId="26" fillId="14" borderId="23" xfId="0" applyFont="1" applyFill="1" applyBorder="1" applyAlignment="1">
      <alignment horizontal="center" vertical="center"/>
    </xf>
    <xf numFmtId="0" fontId="26" fillId="13" borderId="7" xfId="0" applyFont="1" applyFill="1" applyBorder="1" applyAlignment="1">
      <alignment horizontal="center" vertical="center"/>
    </xf>
    <xf numFmtId="0" fontId="26" fillId="13" borderId="4" xfId="0" applyFont="1" applyFill="1" applyBorder="1" applyAlignment="1">
      <alignment horizontal="center" vertical="center"/>
    </xf>
    <xf numFmtId="0" fontId="26" fillId="13" borderId="15" xfId="0" applyFont="1" applyFill="1" applyBorder="1" applyAlignment="1">
      <alignment horizontal="center" vertical="center"/>
    </xf>
    <xf numFmtId="0" fontId="49" fillId="25" borderId="9" xfId="0" applyFont="1" applyFill="1" applyBorder="1" applyAlignment="1">
      <alignment horizontal="center" vertical="center" wrapText="1"/>
    </xf>
    <xf numFmtId="0" fontId="49" fillId="26" borderId="9" xfId="0" applyFont="1" applyFill="1" applyBorder="1" applyAlignment="1">
      <alignment horizontal="center" vertical="center" wrapText="1"/>
    </xf>
    <xf numFmtId="0" fontId="46" fillId="17" borderId="9" xfId="0" applyFont="1" applyFill="1" applyBorder="1" applyAlignment="1">
      <alignment horizontal="center" wrapText="1"/>
    </xf>
    <xf numFmtId="0" fontId="46" fillId="18" borderId="9" xfId="0" applyFont="1" applyFill="1" applyBorder="1" applyAlignment="1">
      <alignment horizontal="center" wrapText="1"/>
    </xf>
    <xf numFmtId="0" fontId="46" fillId="19" borderId="9" xfId="0" applyFont="1" applyFill="1" applyBorder="1" applyAlignment="1">
      <alignment horizontal="center" wrapText="1"/>
    </xf>
    <xf numFmtId="170" fontId="26" fillId="5" borderId="9" xfId="0" applyNumberFormat="1" applyFont="1" applyFill="1" applyBorder="1" applyAlignment="1">
      <alignment horizontal="center" vertical="center"/>
    </xf>
    <xf numFmtId="4" fontId="24" fillId="0" borderId="9" xfId="0" applyNumberFormat="1" applyFont="1" applyBorder="1" applyAlignment="1">
      <alignment horizontal="center" vertical="center"/>
    </xf>
    <xf numFmtId="0" fontId="24" fillId="0" borderId="8" xfId="0" applyFont="1" applyBorder="1" applyAlignment="1">
      <alignment horizontal="center" vertical="center" textRotation="90" wrapText="1"/>
    </xf>
    <xf numFmtId="0" fontId="24" fillId="0" borderId="12" xfId="0" applyFont="1" applyBorder="1" applyAlignment="1">
      <alignment horizontal="center" vertical="center" textRotation="90" wrapText="1"/>
    </xf>
    <xf numFmtId="0" fontId="24" fillId="0" borderId="13" xfId="0" applyFont="1" applyBorder="1" applyAlignment="1">
      <alignment horizontal="center" vertical="center" textRotation="90" wrapText="1"/>
    </xf>
    <xf numFmtId="0" fontId="24" fillId="0" borderId="8" xfId="0" applyFont="1" applyBorder="1" applyAlignment="1">
      <alignment horizontal="center" vertical="center" textRotation="90"/>
    </xf>
    <xf numFmtId="0" fontId="24" fillId="0" borderId="12" xfId="0" applyFont="1" applyBorder="1" applyAlignment="1">
      <alignment horizontal="center" vertical="center" textRotation="90"/>
    </xf>
    <xf numFmtId="0" fontId="24" fillId="0" borderId="13" xfId="0" applyFont="1" applyBorder="1" applyAlignment="1">
      <alignment horizontal="center" vertical="center" textRotation="90"/>
    </xf>
    <xf numFmtId="170" fontId="24" fillId="5" borderId="7" xfId="0" applyNumberFormat="1" applyFont="1" applyFill="1" applyBorder="1" applyAlignment="1">
      <alignment horizontal="center" vertical="center"/>
    </xf>
    <xf numFmtId="0" fontId="24" fillId="8" borderId="7" xfId="0" applyFont="1" applyFill="1" applyBorder="1" applyAlignment="1">
      <alignment horizontal="center" vertical="center"/>
    </xf>
    <xf numFmtId="0" fontId="24" fillId="8" borderId="4" xfId="0" applyFont="1" applyFill="1" applyBorder="1" applyAlignment="1">
      <alignment horizontal="center" vertical="center"/>
    </xf>
    <xf numFmtId="0" fontId="24" fillId="8" borderId="15" xfId="0" applyFont="1" applyFill="1" applyBorder="1" applyAlignment="1">
      <alignment horizontal="center" vertical="center"/>
    </xf>
    <xf numFmtId="2" fontId="33" fillId="10" borderId="7" xfId="0" applyNumberFormat="1" applyFont="1" applyFill="1" applyBorder="1" applyAlignment="1">
      <alignment horizontal="left" vertical="center"/>
    </xf>
    <xf numFmtId="2" fontId="33" fillId="10" borderId="4" xfId="0" applyNumberFormat="1" applyFont="1" applyFill="1" applyBorder="1" applyAlignment="1">
      <alignment horizontal="left" vertical="center"/>
    </xf>
    <xf numFmtId="49" fontId="33" fillId="10" borderId="4" xfId="29" applyNumberFormat="1" applyFont="1" applyFill="1" applyBorder="1" applyAlignment="1">
      <alignment horizontal="left" vertical="center"/>
    </xf>
    <xf numFmtId="49" fontId="33" fillId="10" borderId="15" xfId="29" applyNumberFormat="1" applyFont="1" applyFill="1" applyBorder="1" applyAlignment="1">
      <alignment horizontal="left" vertical="center"/>
    </xf>
    <xf numFmtId="49" fontId="24" fillId="7" borderId="7" xfId="0" applyNumberFormat="1" applyFont="1" applyFill="1" applyBorder="1" applyAlignment="1">
      <alignment horizontal="center" vertical="center"/>
    </xf>
    <xf numFmtId="49" fontId="24" fillId="7" borderId="15" xfId="0" applyNumberFormat="1" applyFont="1" applyFill="1" applyBorder="1" applyAlignment="1">
      <alignment horizontal="center" vertical="center"/>
    </xf>
    <xf numFmtId="49" fontId="24" fillId="8" borderId="7" xfId="0" applyNumberFormat="1" applyFont="1" applyFill="1" applyBorder="1" applyAlignment="1">
      <alignment horizontal="center" vertical="center"/>
    </xf>
    <xf numFmtId="49" fontId="24" fillId="8" borderId="15" xfId="0" applyNumberFormat="1" applyFont="1" applyFill="1" applyBorder="1" applyAlignment="1">
      <alignment horizontal="center" vertical="center"/>
    </xf>
    <xf numFmtId="49" fontId="24" fillId="7" borderId="4" xfId="0" applyNumberFormat="1" applyFont="1" applyFill="1" applyBorder="1" applyAlignment="1">
      <alignment horizontal="center" vertical="center"/>
    </xf>
    <xf numFmtId="49" fontId="24" fillId="8" borderId="4" xfId="0" applyNumberFormat="1" applyFont="1" applyFill="1" applyBorder="1" applyAlignment="1">
      <alignment horizontal="center" vertical="center"/>
    </xf>
    <xf numFmtId="0" fontId="33" fillId="9" borderId="7" xfId="0" applyFont="1" applyFill="1" applyBorder="1" applyAlignment="1">
      <alignment horizontal="center" vertical="center" wrapText="1"/>
    </xf>
    <xf numFmtId="0" fontId="33" fillId="9" borderId="4" xfId="0" applyFont="1" applyFill="1" applyBorder="1" applyAlignment="1">
      <alignment horizontal="center" vertical="center" wrapText="1"/>
    </xf>
    <xf numFmtId="0" fontId="33" fillId="9" borderId="15" xfId="0" applyFont="1" applyFill="1" applyBorder="1" applyAlignment="1">
      <alignment horizontal="center" vertical="center" wrapText="1"/>
    </xf>
    <xf numFmtId="0" fontId="35" fillId="7" borderId="8" xfId="0" applyFont="1" applyFill="1" applyBorder="1" applyAlignment="1">
      <alignment horizontal="left" vertical="center" wrapText="1"/>
    </xf>
    <xf numFmtId="0" fontId="35" fillId="7" borderId="23" xfId="0" applyFont="1" applyFill="1" applyBorder="1" applyAlignment="1">
      <alignment horizontal="left" vertical="center" wrapText="1"/>
    </xf>
    <xf numFmtId="0" fontId="35" fillId="7" borderId="12" xfId="0" applyFont="1" applyFill="1" applyBorder="1" applyAlignment="1">
      <alignment horizontal="left" vertical="center" wrapText="1"/>
    </xf>
    <xf numFmtId="0" fontId="35" fillId="7" borderId="30" xfId="0" applyFont="1" applyFill="1" applyBorder="1" applyAlignment="1">
      <alignment horizontal="left" vertical="center" wrapText="1"/>
    </xf>
    <xf numFmtId="0" fontId="35" fillId="7" borderId="13" xfId="0" applyFont="1" applyFill="1" applyBorder="1" applyAlignment="1">
      <alignment horizontal="left" vertical="center" wrapText="1"/>
    </xf>
    <xf numFmtId="0" fontId="35" fillId="7" borderId="14" xfId="0" applyFont="1" applyFill="1" applyBorder="1" applyAlignment="1">
      <alignment horizontal="left" vertical="center" wrapText="1"/>
    </xf>
    <xf numFmtId="10" fontId="26" fillId="5" borderId="10" xfId="44" applyNumberFormat="1" applyFont="1" applyFill="1" applyBorder="1" applyAlignment="1">
      <alignment horizontal="center" vertical="center"/>
    </xf>
    <xf numFmtId="10" fontId="26" fillId="5" borderId="5" xfId="44" applyNumberFormat="1" applyFont="1" applyFill="1" applyBorder="1" applyAlignment="1">
      <alignment horizontal="center" vertical="center"/>
    </xf>
    <xf numFmtId="10" fontId="26" fillId="5" borderId="11" xfId="44" applyNumberFormat="1" applyFont="1" applyFill="1" applyBorder="1" applyAlignment="1">
      <alignment horizontal="center" vertical="center"/>
    </xf>
    <xf numFmtId="0" fontId="60" fillId="13" borderId="7" xfId="0" applyFont="1" applyFill="1" applyBorder="1" applyAlignment="1">
      <alignment horizontal="center" vertical="center"/>
    </xf>
    <xf numFmtId="0" fontId="60" fillId="13" borderId="4" xfId="0" applyFont="1" applyFill="1" applyBorder="1" applyAlignment="1">
      <alignment horizontal="center" vertical="center"/>
    </xf>
    <xf numFmtId="0" fontId="60" fillId="13" borderId="15" xfId="0" applyFont="1" applyFill="1" applyBorder="1" applyAlignment="1">
      <alignment horizontal="center" vertical="center"/>
    </xf>
    <xf numFmtId="0" fontId="24" fillId="7" borderId="7" xfId="0" quotePrefix="1" applyFont="1" applyFill="1" applyBorder="1" applyAlignment="1">
      <alignment horizontal="left" vertical="center"/>
    </xf>
    <xf numFmtId="0" fontId="24" fillId="7" borderId="4" xfId="0" applyFont="1" applyFill="1" applyBorder="1" applyAlignment="1">
      <alignment horizontal="left" vertical="center"/>
    </xf>
    <xf numFmtId="0" fontId="24" fillId="7" borderId="15" xfId="0" applyFont="1" applyFill="1" applyBorder="1" applyAlignment="1">
      <alignment horizontal="left" vertical="center"/>
    </xf>
    <xf numFmtId="0" fontId="24" fillId="8" borderId="7" xfId="0" quotePrefix="1" applyFont="1" applyFill="1" applyBorder="1" applyAlignment="1">
      <alignment horizontal="left" vertical="center"/>
    </xf>
    <xf numFmtId="0" fontId="24" fillId="8" borderId="4" xfId="0" applyFont="1" applyFill="1" applyBorder="1" applyAlignment="1">
      <alignment horizontal="left" vertical="center"/>
    </xf>
    <xf numFmtId="0" fontId="24" fillId="8" borderId="15" xfId="0" applyFont="1" applyFill="1" applyBorder="1" applyAlignment="1">
      <alignment horizontal="left" vertical="center"/>
    </xf>
    <xf numFmtId="0" fontId="24" fillId="8" borderId="7" xfId="0" applyFont="1" applyFill="1" applyBorder="1" applyAlignment="1">
      <alignment horizontal="left" vertical="center"/>
    </xf>
    <xf numFmtId="0" fontId="33" fillId="0" borderId="0" xfId="0" applyFont="1" applyFill="1" applyBorder="1" applyAlignment="1">
      <alignment horizontal="center" vertical="center" wrapText="1"/>
    </xf>
    <xf numFmtId="0" fontId="30" fillId="0" borderId="0" xfId="29" applyFont="1" applyFill="1" applyBorder="1"/>
    <xf numFmtId="0" fontId="41" fillId="13" borderId="10" xfId="0" applyFont="1" applyFill="1" applyBorder="1" applyAlignment="1">
      <alignment horizontal="center" vertical="center"/>
    </xf>
    <xf numFmtId="0" fontId="41" fillId="13" borderId="10" xfId="0" applyFont="1" applyFill="1" applyBorder="1" applyAlignment="1">
      <alignment vertical="center"/>
    </xf>
    <xf numFmtId="173" fontId="41" fillId="13" borderId="10" xfId="0" applyNumberFormat="1" applyFont="1" applyFill="1" applyBorder="1" applyAlignment="1">
      <alignment vertical="center"/>
    </xf>
    <xf numFmtId="0" fontId="31" fillId="0" borderId="0" xfId="29" applyFont="1" applyFill="1" applyBorder="1"/>
  </cellXfs>
  <cellStyles count="56">
    <cellStyle name="%" xfId="1" xr:uid="{00000000-0005-0000-0000-000000000000}"/>
    <cellStyle name="% 2" xfId="39" xr:uid="{00000000-0005-0000-0000-000001000000}"/>
    <cellStyle name="Berekening" xfId="55" builtinId="22"/>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3" xfId="37" xr:uid="{00000000-0005-0000-0000-000016000000}"/>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3" xfId="47" xr:uid="{00000000-0005-0000-0000-000028000000}"/>
    <cellStyle name="Standaard 3 3" xfId="49" xr:uid="{00000000-0005-0000-0000-000029000000}"/>
    <cellStyle name="Standaard 3 3 2" xfId="52" xr:uid="{00000000-0005-0000-0000-00002A000000}"/>
    <cellStyle name="Standaard 3 4" xfId="50" xr:uid="{00000000-0005-0000-0000-00002B000000}"/>
    <cellStyle name="Standaard 3 5" xfId="45" xr:uid="{00000000-0005-0000-0000-00002C000000}"/>
    <cellStyle name="Standaard 3 6" xfId="53" xr:uid="{00000000-0005-0000-0000-00002D000000}"/>
    <cellStyle name="Standaard 4" xfId="30" xr:uid="{00000000-0005-0000-0000-00002E000000}"/>
    <cellStyle name="Standaard 5" xfId="34" xr:uid="{00000000-0005-0000-0000-00002F000000}"/>
    <cellStyle name="Valuta" xfId="54" builtinId="4"/>
    <cellStyle name="Valuta 2" xfId="31" xr:uid="{00000000-0005-0000-0000-000031000000}"/>
    <cellStyle name="Valuta 3" xfId="36" xr:uid="{00000000-0005-0000-0000-000032000000}"/>
    <cellStyle name="Valuta 4" xfId="48" xr:uid="{00000000-0005-0000-0000-000033000000}"/>
    <cellStyle name="Valuta 5" xfId="46" xr:uid="{00000000-0005-0000-0000-000034000000}"/>
    <cellStyle name="Währung [0]_Aufmaß" xfId="32" xr:uid="{00000000-0005-0000-0000-000035000000}"/>
    <cellStyle name="Währung_Aufmaß" xfId="33" xr:uid="{00000000-0005-0000-0000-000036000000}"/>
  </cellStyles>
  <dxfs count="245">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color rgb="FF9C0006"/>
      </font>
      <fill>
        <patternFill>
          <bgColor rgb="FFFFC7CE"/>
        </patternFill>
      </fill>
    </dxf>
    <dxf>
      <font>
        <b val="0"/>
        <i val="0"/>
        <strike val="0"/>
        <condense val="0"/>
        <extend val="0"/>
        <outline val="0"/>
        <shadow val="0"/>
        <u val="none"/>
        <vertAlign val="baseline"/>
        <sz val="9"/>
        <color theme="1"/>
        <name val="Verdana"/>
        <family val="2"/>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vertAlign val="baseline"/>
        <sz val="9"/>
        <color theme="1"/>
        <name val="Verdana"/>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Verdana"/>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u val="none"/>
        <vertAlign val="baseline"/>
        <sz val="9"/>
        <color theme="1"/>
        <name val="Verdana"/>
        <scheme val="none"/>
      </font>
      <fill>
        <patternFill patternType="solid">
          <fgColor indexed="64"/>
          <bgColor theme="0" tint="-0.249977111117893"/>
        </patternFill>
      </fill>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solid">
          <fgColor theme="4" tint="0.79998168889431442"/>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solid">
          <fgColor theme="4" tint="0.79998168889431442"/>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z val="9"/>
        <color theme="1"/>
        <name val="Verdana"/>
        <family val="2"/>
      </font>
      <numFmt numFmtId="4" formatCode="#,##0.00"/>
      <fill>
        <patternFill patternType="solid">
          <fgColor theme="4" tint="0.79998168889431442"/>
          <bgColor theme="4" tint="0.79998168889431442"/>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4" tint="0.79998168889431442"/>
        </patternFill>
      </fill>
      <alignment horizontal="center" vertical="center" textRotation="0" wrapText="0" indent="0" justifyLastLine="0" shrinkToFit="0" readingOrder="0"/>
    </dxf>
    <dxf>
      <fill>
        <patternFill patternType="solid">
          <fgColor theme="4" tint="0.79998168889431442"/>
          <bgColor theme="0" tint="-0.249977111117893"/>
        </patternFill>
      </fill>
    </dxf>
    <dxf>
      <font>
        <b val="0"/>
        <i val="0"/>
        <strike val="0"/>
        <condense val="0"/>
        <extend val="0"/>
        <outline val="0"/>
        <shadow val="0"/>
        <u val="none"/>
        <vertAlign val="baseline"/>
        <sz val="9"/>
        <color theme="1"/>
        <name val="Verdana"/>
        <family val="2"/>
        <scheme val="none"/>
      </font>
      <fill>
        <patternFill patternType="solid">
          <fgColor theme="4" tint="0.79998168889431442"/>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solid">
          <fgColor theme="4" tint="0.59999389629810485"/>
          <bgColor theme="4" tint="0.59999389629810485"/>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solid">
          <fgColor theme="4" tint="0.79998168889431442"/>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theme="4" tint="0.59999389629810485"/>
          <bgColor theme="0" tint="-0.249977111117893"/>
        </patternFill>
      </fill>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alignment horizontal="righ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solid">
          <fgColor theme="4" tint="0.79998168889431442"/>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2" formatCode="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Verdana"/>
        <scheme val="none"/>
      </font>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alignment vertical="center" textRotation="0" wrapText="0" indent="0" justifyLastLine="0" shrinkToFit="0" readingOrder="0"/>
    </dxf>
    <dxf>
      <alignment vertical="bottom" textRotation="0" wrapText="1" justifyLastLine="0" shrinkToFit="0" readingOrder="0"/>
    </dxf>
    <dxf>
      <font>
        <b val="0"/>
        <i val="0"/>
        <strike val="0"/>
        <condense val="0"/>
        <extend val="0"/>
        <outline val="0"/>
        <shadow val="0"/>
        <u val="none"/>
        <vertAlign val="baseline"/>
        <sz val="9"/>
        <color auto="1"/>
        <name val="Verdana"/>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Verdana"/>
        <scheme val="none"/>
      </font>
      <fill>
        <patternFill patternType="solid">
          <fgColor indexed="64"/>
          <bgColor indexed="11"/>
        </patternFill>
      </fill>
      <alignment horizontal="center" vertical="center" textRotation="0" wrapText="0" indent="0" justifyLastLine="0" shrinkToFit="0" readingOrder="0"/>
    </dxf>
    <dxf>
      <font>
        <b val="0"/>
        <strike val="0"/>
        <outline val="0"/>
        <shadow val="0"/>
        <u val="none"/>
        <vertAlign val="baseline"/>
        <sz val="9"/>
        <color auto="1"/>
        <name val="Verdana"/>
        <scheme val="none"/>
      </font>
      <alignment horizontal="center" vertical="center" textRotation="0" wrapText="0" indent="0" justifyLastLine="0" shrinkToFit="0" readingOrder="0"/>
    </dxf>
    <dxf>
      <alignment horizontal="center" vertical="center" textRotation="0" wrapText="0" indent="0" justifyLastLine="0" shrinkToFit="0" readingOrder="0"/>
    </dxf>
    <dxf>
      <alignment vertical="center" textRotation="0" wrapText="0" indent="0" justifyLastLine="0" shrinkToFit="0" readingOrder="0"/>
    </dxf>
    <dxf>
      <alignment vertical="bottom" textRotation="0" wrapText="1" justifyLastLine="0" shrinkToFit="0" readingOrder="0"/>
    </dxf>
    <dxf>
      <font>
        <b/>
        <i val="0"/>
        <strike val="0"/>
        <condense val="0"/>
        <extend val="0"/>
        <outline val="0"/>
        <shadow val="0"/>
        <u val="none"/>
        <vertAlign val="baseline"/>
        <sz val="9"/>
        <color auto="1"/>
        <name val="Verdana"/>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Verdana"/>
        <scheme val="none"/>
      </font>
      <numFmt numFmtId="2" formatCode="0.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0" indent="0" justifyLastLine="0" shrinkToFit="0" readingOrder="0"/>
    </dxf>
    <dxf>
      <alignment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general" vertical="center" textRotation="0" wrapText="1"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dxf>
    <dxf>
      <border>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1EFA58"/>
      <color rgb="FF9FFDB8"/>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3 (3)"/>
      <sheetName val="Blad3 (2)"/>
      <sheetName val="Blad1"/>
      <sheetName val="Blad2"/>
      <sheetName val="Blad3"/>
      <sheetName val="Blad4"/>
      <sheetName val="Psychiatrie"/>
      <sheetName val="Uitgangspunten"/>
      <sheetName val="Nummers"/>
      <sheetName val="Menu"/>
      <sheetName val="Tijdnormen"/>
      <sheetName val="Frekwenties"/>
      <sheetName val="Vloeren"/>
      <sheetName val="Blad3_(3)"/>
      <sheetName val="Blad3_(2)"/>
      <sheetName val="hiddenSheet"/>
      <sheetName val="dv_info"/>
      <sheetName val="Kalender"/>
      <sheetName val="AZR psychiatrie"/>
      <sheetName val="Normen"/>
      <sheetName val="Kalender (2)"/>
      <sheetName val="Opzoeklijst"/>
      <sheetName val="01.255"/>
      <sheetName val="02.255"/>
      <sheetName val="04.255"/>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s>
    <sheetDataSet>
      <sheetData sheetId="0" refreshError="1"/>
      <sheetData sheetId="1"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855962B-C259-4F3E-8FE1-05CB03C21F90}" name="Tabel10" displayName="Tabel10" ref="A2:Y759" totalsRowShown="0" headerRowDxfId="244" dataDxfId="242" headerRowBorderDxfId="243" tableBorderDxfId="241" totalsRowBorderDxfId="240">
  <autoFilter ref="A2:Y759" xr:uid="{73747577-E1FA-42B2-A7CE-81956999C462}"/>
  <tableColumns count="25">
    <tableColumn id="1" xr3:uid="{FDBBC286-BED6-4E23-A8C8-D9CFA9CB4826}" name="Locatiecode" dataDxfId="239"/>
    <tableColumn id="2" xr3:uid="{9668D36A-C9AA-4EF4-B95B-74DCEA5A4160}" name="Locatie" dataDxfId="238"/>
    <tableColumn id="3" xr3:uid="{60B8E9AB-1D43-43BA-B71C-3FFBA2916E5D}" name="Frequentie" dataDxfId="237"/>
    <tableColumn id="4" xr3:uid="{6BD98C86-24A5-457F-9135-A3EFED76A341}" name="Frequentieomschrijving" dataDxfId="236"/>
    <tableColumn id="5" xr3:uid="{E0391412-2171-4E42-8A4C-C18A69A19432}" name="Vloercode" dataDxfId="235"/>
    <tableColumn id="6" xr3:uid="{12846AEC-D070-47EA-B5F5-332102077573}" name="Code" dataDxfId="234"/>
    <tableColumn id="7" xr3:uid="{8D9F1A5A-4E2E-4897-9F0A-4FB89194DC63}" name="vl1" dataDxfId="233"/>
    <tableColumn id="8" xr3:uid="{BF12E437-CCAB-4180-8119-5B35CDF32DA3}" name="vl2" dataDxfId="232"/>
    <tableColumn id="9" xr3:uid="{0B80C61F-121A-44BC-8B6D-C18C14DFDD19}" name="vl3" dataDxfId="231"/>
    <tableColumn id="10" xr3:uid="{ECAA6594-AFFF-46A3-8881-FC8BDE613418}" name="vl4" dataDxfId="230"/>
    <tableColumn id="11" xr3:uid="{86129126-AC1F-4F3C-8FCC-34DF12D28385}" name="vl5" dataDxfId="229"/>
    <tableColumn id="12" xr3:uid="{8B33D965-A92E-4705-B02A-2B32213C5F00}" name="vl6" dataDxfId="228"/>
    <tableColumn id="13" xr3:uid="{97BDDBA6-EB91-4C42-BF9A-BF86F3A55418}" name="vl7" dataDxfId="227"/>
    <tableColumn id="14" xr3:uid="{B8727FA1-FA28-4E33-854F-709696025739}" name="vnl" dataDxfId="226"/>
    <tableColumn id="15" xr3:uid="{26020605-4588-49DB-9208-7DCF43A0D9F1}" name="i8" dataDxfId="225"/>
    <tableColumn id="16" xr3:uid="{ABCCB1F5-EC9C-4E9F-8401-3DD82983ADA9}" name="i9" dataDxfId="224"/>
    <tableColumn id="17" xr3:uid="{2FB47FE7-CF2D-44ED-95A8-58F69858FD10}" name="i10" dataDxfId="223"/>
    <tableColumn id="18" xr3:uid="{62AB4548-324F-4FB5-A173-1A3DD80F4082}" name="i11" dataDxfId="222"/>
    <tableColumn id="19" xr3:uid="{A827927C-B3B7-43F3-98A9-76C4DC4DB145}" name="i12" dataDxfId="221"/>
    <tableColumn id="20" xr3:uid="{06230196-7A23-44AE-8E20-B9F20B35D59A}" name="i13" dataDxfId="220"/>
    <tableColumn id="21" xr3:uid="{46CEF54A-2426-4389-9984-0DE7E0089AAD}" name="i14" dataDxfId="219"/>
    <tableColumn id="22" xr3:uid="{A091121C-940A-404A-A0BB-44B9BE28CAE0}" name="inl" dataDxfId="218"/>
    <tableColumn id="23" xr3:uid="{E6469A51-5CBE-48F0-99C1-4541D237BE29}" name="s15" dataDxfId="217"/>
    <tableColumn id="24" xr3:uid="{5E2ECD66-1D1E-4179-830B-6B7E8A06BA19}" name="s16" dataDxfId="216"/>
    <tableColumn id="25" xr3:uid="{3FCE17E7-D014-40D7-83A3-3A8F26430826}" name="snl" dataDxfId="215"/>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4:G30" totalsRowCount="1" headerRowDxfId="73" dataDxfId="72" totalsRowDxfId="71">
  <autoFilter ref="A24:G29" xr:uid="{00000000-0009-0000-0100-000004000000}"/>
  <tableColumns count="7">
    <tableColumn id="1" xr3:uid="{00000000-0010-0000-0600-000001000000}" name="Code Locatie" totalsRowLabel="Totaal" dataDxfId="70" totalsRowDxfId="69"/>
    <tableColumn id="2" xr3:uid="{00000000-0010-0000-0600-000002000000}" name="Locatie" dataDxfId="68" totalsRowDxfId="67">
      <calculatedColumnFormula>VLOOKUP(OverzichtGlas[[#This Row],[Code Locatie]],Locaties[],2,0)</calculatedColumnFormula>
    </tableColumn>
    <tableColumn id="3" xr3:uid="{00000000-0010-0000-0600-000003000000}" name="Code taak" dataDxfId="66" totalsRowDxfId="65"/>
    <tableColumn id="4" xr3:uid="{00000000-0010-0000-0600-000004000000}" name="Glassoort/voorziening" dataDxfId="64" totalsRowDxfId="63">
      <calculatedColumnFormula>IF(Glasbewassing!$C25&gt;0,VLOOKUP(Glasbewassing!$C25,$A$8:$B$22,2,FALSE),"Hier vult u de inzet van eventuele hoogwerkers in")</calculatedColumnFormula>
    </tableColumn>
    <tableColumn id="5" xr3:uid="{00000000-0010-0000-0600-000005000000}" name="Oppervlakte of dagen" dataDxfId="62" totalsRowDxfId="61"/>
    <tableColumn id="7" xr3:uid="{00000000-0010-0000-0600-000007000000}" name="Frequentie" dataDxfId="60" totalsRowDxfId="59"/>
    <tableColumn id="8" xr3:uid="{00000000-0010-0000-0600-000008000000}" name="Kosten/jaar excl. BTW" totalsRowFunction="sum" dataDxfId="58" totalsRowDxfId="57">
      <calculatedColumnFormula>F25*#REF!*E25</calculatedColumnFormula>
    </tableColumn>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8" totalsRowCount="1" headerRowDxfId="56" dataDxfId="55" totalsRowDxfId="54">
  <autoFilter ref="B8:I37" xr:uid="{00000000-0009-0000-0100-00000B000000}"/>
  <tableColumns count="8">
    <tableColumn id="1" xr3:uid="{00000000-0010-0000-0B00-000001000000}" name="Werkzaamheid" totalsRowLabel="Totaal" totalsRowDxfId="53"/>
    <tableColumn id="2" xr3:uid="{00000000-0010-0000-0B00-000002000000}" name="Eenheid" totalsRowDxfId="52"/>
    <tableColumn id="3" xr3:uid="{00000000-0010-0000-0B00-000003000000}" name="Prijs excl. BTW" totalsRowDxfId="51"/>
    <tableColumn id="4" xr3:uid="{2E20D920-2191-4560-A759-2923E0E4B2E9}" name="2022" dataDxfId="50" totalsRowDxfId="49">
      <calculatedColumnFormula>(InvulRegie[[#This Row],[Prijs excl. BTW]]*Tariefsopbouw!$I$37)+InvulRegie[[#This Row],[Prijs excl. BTW]]</calculatedColumnFormula>
    </tableColumn>
    <tableColumn id="5" xr3:uid="{E07DCD3D-260A-444B-A6CA-1CC63BE62556}" name="2023" dataDxfId="48" totalsRowDxfId="47">
      <calculatedColumnFormula>(InvulRegie[[#This Row],[2022]]*Tariefsopbouw!$K$37)+InvulRegie[[#This Row],[2022]]</calculatedColumnFormula>
    </tableColumn>
    <tableColumn id="6" xr3:uid="{340BBD89-E507-4946-81EB-627281944A06}" name="2024" dataDxfId="46" totalsRowDxfId="45">
      <calculatedColumnFormula>(InvulRegie[[#This Row],[Prijs excl. BTW]]*Tariefsopbouw!$M$37)+InvulRegie[[#This Row],[2023]]</calculatedColumnFormula>
    </tableColumn>
    <tableColumn id="7" xr3:uid="{AADC3B52-D2F5-44D5-ACFD-6D7AB5C6F4D1}" name="2025" dataDxfId="44" totalsRowDxfId="43">
      <calculatedColumnFormula>(InvulRegie[[#This Row],[2024]]*Tariefsopbouw!$O$37)+InvulRegie[[#This Row],[2024]]</calculatedColumnFormula>
    </tableColumn>
    <tableColumn id="8" xr3:uid="{0812A91D-6C4A-4EC9-9D7A-DE1C09213D0B}" name="2026" dataDxfId="42" totalsRowDxfId="41">
      <calculatedColumnFormula>(InvulRegie[[#This Row],[2025]]*Tariefsopbouw!$Q$37)+InvulRegie[[#This Row],[2025]]</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5:H7" totalsRowCount="1" headerRowDxfId="40" dataDxfId="38" totalsRowDxfId="36" headerRowBorderDxfId="39" tableBorderDxfId="37">
  <autoFilter ref="A5:H6" xr:uid="{00000000-0009-0000-0100-00000E000000}"/>
  <tableColumns count="8">
    <tableColumn id="8" xr3:uid="{00000000-0010-0000-0C00-000008000000}" name="Code Locatie" dataDxfId="35" totalsRowDxfId="34"/>
    <tableColumn id="1" xr3:uid="{00000000-0010-0000-0C00-000001000000}" name="Locatie" totalsRowLabel="Totaal" dataDxfId="33" totalsRowDxfId="32"/>
    <tableColumn id="2" xr3:uid="{00000000-0010-0000-0C00-000002000000}" name="Oppervlakte i/o" totalsRowFunction="sum" dataDxfId="31" totalsRowDxfId="30"/>
    <tableColumn id="3" xr3:uid="{00000000-0010-0000-0C00-000003000000}" name="Prest. (m2 /jaar)" totalsRowFunction="sum" dataDxfId="29" totalsRowDxfId="28"/>
    <tableColumn id="4" xr3:uid="{00000000-0010-0000-0C00-000004000000}" name="Uren / jaar" totalsRowFunction="sum" dataDxfId="27" totalsRowDxfId="26"/>
    <tableColumn id="5" xr3:uid="{00000000-0010-0000-0C00-000005000000}" name="Norm (m2/uur)" totalsRowFunction="custom" dataDxfId="25" totalsRowDxfId="24">
      <calculatedColumnFormula>D6/E6</calculatedColumnFormula>
      <totalsRowFormula>Samenvattingschoonmaak[[#Totals],[Prest. (m2 /jaar)]]/Samenvattingschoonmaak[[#Totals],[Uren / jaar]]</totalsRowFormula>
    </tableColumn>
    <tableColumn id="6" xr3:uid="{00000000-0010-0000-0C00-000006000000}" name="Kosten / jaar" totalsRowFunction="sum" dataDxfId="23" totalsRowDxfId="22"/>
    <tableColumn id="7" xr3:uid="{00000000-0010-0000-0C00-000007000000}" name="Kosten / m2" totalsRowFunction="custom" dataDxfId="21" totalsRowDxfId="20">
      <calculatedColumnFormula>G6/C6</calculatedColumnFormula>
      <totalsRowFormula>Samenvattingschoonmaak[[#Totals],[Kosten / jaar]]/Samenvattingschoonmaak[[#Totals],[Oppervlakte i/o]]</totalsRowFormula>
    </tableColumn>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0:G12" totalsRowCount="1" headerRowDxfId="19" dataDxfId="17" totalsRowDxfId="15" headerRowBorderDxfId="18" tableBorderDxfId="16">
  <autoFilter ref="A10:G11" xr:uid="{00000000-0009-0000-0100-00000F000000}"/>
  <tableColumns count="7">
    <tableColumn id="8" xr3:uid="{00000000-0010-0000-0D00-000008000000}" name="Code Locatie" dataDxfId="14" totalsRowDxfId="6"/>
    <tableColumn id="1" xr3:uid="{00000000-0010-0000-0D00-000001000000}" name="Locaties" totalsRowLabel="Totaal" dataDxfId="13" totalsRowDxfId="5">
      <calculatedColumnFormula>VLOOKUP(Totalisatie[[#This Row],[Code Locatie]],Locaties[],2,0)</calculatedColumnFormula>
    </tableColumn>
    <tableColumn id="4" xr3:uid="{00000000-0010-0000-0D00-000004000000}" name="Schoonmaakonderhoud_x000a_Kosten / jaar" totalsRowFunction="sum" dataDxfId="12" totalsRowDxfId="4">
      <calculatedColumnFormula>SUMIF('Ruimtestaat'!A:A,Totalisatie[[#This Row],[Code Locatie]],'Ruimtestaat'!AG:AG)</calculatedColumnFormula>
    </tableColumn>
    <tableColumn id="6" xr3:uid="{00000000-0010-0000-0D00-000006000000}" name="Glasbewassing_x000a_Kosten / jaar" totalsRowFunction="sum" dataDxfId="11" totalsRowDxfId="3">
      <calculatedColumnFormula>SUMIF(Glasbewassing!$A$24:$A$29,Totalisatie[[#This Row],[Code Locatie]],Glasbewassing!$G$24:$G$29)</calculatedColumnFormula>
    </tableColumn>
    <tableColumn id="2" xr3:uid="{00000000-0010-0000-0D00-000002000000}" name="Vloeronderhoud_x000a_Kosten / jaar" totalsRowFunction="sum" dataDxfId="10" totalsRowDxfId="2">
      <calculatedColumnFormula>SUMIF(Vloeronderhoud!$A$23:$A$30,Totalisatie[[#This Row],[Code Locatie]],Vloeronderhoud!$H$23:$H$30)</calculatedColumnFormula>
    </tableColumn>
    <tableColumn id="3" xr3:uid="{E57852CA-4508-4A57-AD88-513D0A815C03}" name="sanitair" totalsRowFunction="sum" dataDxfId="8" totalsRowDxfId="1">
      <calculatedColumnFormula>sanitair!G12</calculatedColumnFormula>
    </tableColumn>
    <tableColumn id="7" xr3:uid="{00000000-0010-0000-0D00-000007000000}" name="Totaalprijs_x000a_Kosten / jaar" totalsRowFunction="sum" dataDxfId="9" totalsRowDxfId="0">
      <calculatedColumnFormula>SUM(Totalisatie[[#This Row],[Schoonmaakonderhoud
Kosten / jaar]:[sanitair]])</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10:D33" totalsRowShown="0" headerRowDxfId="214" dataDxfId="213" headerRowCellStyle="Standaard 4">
  <autoFilter ref="A10:D33" xr:uid="{00000000-0009-0000-0100-000006000000}"/>
  <tableColumns count="4">
    <tableColumn id="1" xr3:uid="{00000000-0010-0000-0000-000001000000}" name="Code" dataDxfId="212" dataCellStyle="Standaard 4"/>
    <tableColumn id="2" xr3:uid="{00000000-0010-0000-0000-000002000000}" name="Ruimte omschrijving" dataDxfId="211" dataCellStyle="Standaard 4"/>
    <tableColumn id="3" xr3:uid="{00000000-0010-0000-0000-000003000000}" name="Norm (5w)" dataDxfId="210"/>
    <tableColumn id="4" xr3:uid="{00000000-0010-0000-0000-000004000000}" name="Inspectiecategorie" dataDxfId="209"/>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6:F41" totalsRowShown="0" headerRowDxfId="208" dataDxfId="207">
  <autoFilter ref="A36:F41" xr:uid="{00000000-0009-0000-0100-000007000000}"/>
  <tableColumns count="6">
    <tableColumn id="1" xr3:uid="{00000000-0010-0000-0100-000001000000}" name="Code" dataDxfId="206"/>
    <tableColumn id="4" xr3:uid="{00000000-0010-0000-0100-000004000000}" name="Naam" dataDxfId="205"/>
    <tableColumn id="5" xr3:uid="{00000000-0010-0000-0100-000005000000}" name="Aanpassing norm" dataDxfId="204" dataCellStyle="Procent"/>
    <tableColumn id="2" xr3:uid="{00000000-0010-0000-0100-000002000000}" name="Vloersoort omschrijving" dataDxfId="203" dataCellStyle="Standaard 4"/>
    <tableColumn id="7" xr3:uid="{00000000-0010-0000-0100-000007000000}" name="Kolom2" dataDxfId="202" dataCellStyle="Standaard 4"/>
    <tableColumn id="6" xr3:uid="{00000000-0010-0000-0100-000006000000}" name="Kolom1" dataDxfId="201"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4:D54" totalsRowShown="0" headerRowDxfId="200" dataDxfId="199">
  <autoFilter ref="A44:D54" xr:uid="{00000000-0009-0000-0100-000008000000}"/>
  <tableColumns count="4">
    <tableColumn id="1" xr3:uid="{00000000-0010-0000-0200-000001000000}" name="Code" dataDxfId="198" dataCellStyle="Standaard 4"/>
    <tableColumn id="2" xr3:uid="{00000000-0010-0000-0200-000002000000}" name="Frequentie omschrijving" dataDxfId="197" dataCellStyle="Standaard 4"/>
    <tableColumn id="3" xr3:uid="{00000000-0010-0000-0200-000003000000}" name="Aanpassing norm" dataDxfId="196" dataCellStyle="Procent"/>
    <tableColumn id="4" xr3:uid="{00000000-0010-0000-0200-000004000000}" name="Uitvoeringen" dataDxfId="195" dataCellStyle="Procent"/>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6:F7" totalsRowShown="0" dataDxfId="194">
  <autoFilter ref="A6:F7" xr:uid="{00000000-0009-0000-0100-00000D000000}"/>
  <tableColumns count="6">
    <tableColumn id="1" xr3:uid="{00000000-0010-0000-0300-000001000000}" name="Code" dataDxfId="193"/>
    <tableColumn id="2" xr3:uid="{00000000-0010-0000-0300-000002000000}" name="Locatie" dataDxfId="192"/>
    <tableColumn id="7" xr3:uid="{00000000-0010-0000-0300-000007000000}" name="Aanpassing norm" dataDxfId="191"/>
    <tableColumn id="3" xr3:uid="{00000000-0010-0000-0300-000003000000}" name="Adres" dataDxfId="190"/>
    <tableColumn id="4" xr3:uid="{00000000-0010-0000-0300-000004000000}" name="Postcode" dataDxfId="189"/>
    <tableColumn id="5" xr3:uid="{00000000-0010-0000-0300-000005000000}" name="Plaats" dataDxfId="188"/>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W235" totalsRowShown="0" headerRowDxfId="187" dataDxfId="186">
  <autoFilter ref="A4:BW235" xr:uid="{B78C5E8C-24C7-4A23-AB0F-63FB43A90518}"/>
  <tableColumns count="75">
    <tableColumn id="32" xr3:uid="{00000000-0010-0000-0400-000020000000}" name="Code" dataDxfId="185"/>
    <tableColumn id="1" xr3:uid="{00000000-0010-0000-0400-000001000000}" name="Locatie" dataDxfId="184"/>
    <tableColumn id="3" xr3:uid="{00000000-0010-0000-0400-000003000000}" name="Adres" dataDxfId="183">
      <calculatedColumnFormula>VLOOKUP(Ruimtestaat[[#This Row],[Code]],Locaties[#All],4,FALSE)</calculatedColumnFormula>
    </tableColumn>
    <tableColumn id="4" xr3:uid="{00000000-0010-0000-0400-000004000000}" name="Postcode" dataDxfId="182">
      <calculatedColumnFormula>VLOOKUP(Ruimtestaat[[#This Row],[Code]],Locaties[#All],5,FALSE)</calculatedColumnFormula>
    </tableColumn>
    <tableColumn id="5" xr3:uid="{00000000-0010-0000-0400-000005000000}" name="Plaats" dataDxfId="181">
      <calculatedColumnFormula>VLOOKUP(Ruimtestaat[[#This Row],[Code]],Locaties[#All],6,FALSE)</calculatedColumnFormula>
    </tableColumn>
    <tableColumn id="2" xr3:uid="{00000000-0010-0000-0400-000002000000}" name="Gebouw gedeelte" dataDxfId="180"/>
    <tableColumn id="6" xr3:uid="{00000000-0010-0000-0400-000006000000}" name="Etage" dataDxfId="179"/>
    <tableColumn id="7" xr3:uid="{00000000-0010-0000-0400-000007000000}" name="Ruimte- nummer" dataDxfId="178"/>
    <tableColumn id="8" xr3:uid="{00000000-0010-0000-0400-000008000000}" name="Ruimte omschrijving" dataDxfId="177"/>
    <tableColumn id="9" xr3:uid="{00000000-0010-0000-0400-000009000000}" name="Ruimte code" dataDxfId="176"/>
    <tableColumn id="10" xr3:uid="{00000000-0010-0000-0400-00000A000000}" name="Ruimtesoort" dataDxfId="175">
      <calculatedColumnFormula>VLOOKUP(J5,Ruimtegroepen[],2,FALSE)</calculatedColumnFormula>
    </tableColumn>
    <tableColumn id="11" xr3:uid="{00000000-0010-0000-0400-00000B000000}" name="Vloer code" dataDxfId="174"/>
    <tableColumn id="12" xr3:uid="{00000000-0010-0000-0400-00000C000000}" name="Vloer afwerking" dataDxfId="173"/>
    <tableColumn id="13" xr3:uid="{00000000-0010-0000-0400-00000D000000}" name="Oppervlak (netto)" dataDxfId="172"/>
    <tableColumn id="14" xr3:uid="{00000000-0010-0000-0400-00000E000000}" name="Oppervlakte n.i.o." dataDxfId="171"/>
    <tableColumn id="15" xr3:uid="{00000000-0010-0000-0400-00000F000000}" name="Inspectie categorie" dataDxfId="170">
      <calculatedColumnFormula>VLOOKUP(Ruimtestaat[[#This Row],[Ruimte code]],Ruimtegroepen[],4,FALSE)</calculatedColumnFormula>
    </tableColumn>
    <tableColumn id="16" xr3:uid="{D92A9B08-46F1-4256-8927-FB4E54089B42}" name="Opmerking" dataDxfId="169"/>
    <tableColumn id="17" xr3:uid="{00000000-0010-0000-0400-000011000000}" name="Aantal weken/jr" dataDxfId="168"/>
    <tableColumn id="18" xr3:uid="{00000000-0010-0000-0400-000012000000}" name="Frequentie werkdagen" dataDxfId="167"/>
    <tableColumn id="34" xr3:uid="{81A5852C-32E2-42DA-8316-55647F89214B}" name="Frequentie weekend" dataDxfId="166"/>
    <tableColumn id="19" xr3:uid="{00000000-0010-0000-0400-000013000000}" name="Uitvoeringen werkdagen" dataDxfId="165">
      <calculatedColumnFormula>IF(R5&gt;0,IF(RIGHT(Ruimtestaat[[#This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164">
      <calculatedColumnFormula>IF(U5&gt;0,VLOOKUP($J5,Ruimtegroepen[],3,FALSE)*VLOOKUP($L5,Vloersoorten[],3,FALSE)*VLOOKUP($S5,Frequenties[],3,FALSE)*VLOOKUP($A5,Locaties[],3,FALSE),0)</calculatedColumnFormula>
    </tableColumn>
    <tableColumn id="21" xr3:uid="{00000000-0010-0000-0400-000015000000}" name="Prest. (m2 /jaar) werkdagen" dataDxfId="163">
      <calculatedColumnFormula>Ruimtestaat[[#This Row],[Uitvoeringen werkdagen]]*Ruimtestaat[[#This Row],[Oppervlak (netto)]]</calculatedColumnFormula>
    </tableColumn>
    <tableColumn id="22" xr3:uid="{00000000-0010-0000-0400-000016000000}" name="uren / jaar werkdagen" dataDxfId="162">
      <calculatedColumnFormula>IF(V5&gt;0,Ruimtestaat[[#This Row],[Prest. (m2 /jaar) werkdagen]]/Ruimtestaat[[#This Row],[Norm (m2/uur) werkdagen]],0)</calculatedColumnFormula>
    </tableColumn>
    <tableColumn id="23" xr3:uid="{00000000-0010-0000-0400-000017000000}" name="kosten / jaar werkdagen" dataDxfId="161">
      <calculatedColumnFormula>Ruimtestaat[[#This Row],[uren / jaar werkdagen]]*Tariefsopbouw!$D$38</calculatedColumnFormula>
    </tableColumn>
    <tableColumn id="38" xr3:uid="{00000000-0010-0000-0400-000026000000}" name="Uitvoeringen weekend" dataDxfId="160">
      <calculatedColumnFormula>IF(Ruimtestaat[[#This Row],[Frequentie weekend]]&gt;0,VALUE(LEFT(T5,1))*R5,0)</calculatedColumnFormula>
    </tableColumn>
    <tableColumn id="25" xr3:uid="{00000000-0010-0000-0400-000019000000}" name="Norm (m2/uur) weekend" dataDxfId="159">
      <calculatedColumnFormula>IF($Z5&gt;0,VLOOKUP($J5,Ruimtegroepen[],3,FALSE)*VLOOKUP($L5,Vloersoorten[],3,FALSE)*VLOOKUP(#REF!,Frequenties[],3,FALSE)*VLOOKUP(#REF!,Locaties[],3,FALSE),0)</calculatedColumnFormula>
    </tableColumn>
    <tableColumn id="26" xr3:uid="{00000000-0010-0000-0400-00001A000000}" name="Prest. (m2 /jaar) weekend" dataDxfId="158">
      <calculatedColumnFormula>Ruimtestaat[[#This Row],[Uitvoeringen weekend]]*Ruimtestaat[[#This Row],[Oppervlak (netto)]]</calculatedColumnFormula>
    </tableColumn>
    <tableColumn id="27" xr3:uid="{00000000-0010-0000-0400-00001B000000}" name="uren / jaar weekend" dataDxfId="157">
      <calculatedColumnFormula>IF(AA5&gt;0,Ruimtestaat[[#This Row],[Prest. (m2 /jaar) weekend]]/Ruimtestaat[[#This Row],[Norm (m2/uur) weekend]],0)</calculatedColumnFormula>
    </tableColumn>
    <tableColumn id="28" xr3:uid="{00000000-0010-0000-0400-00001C000000}" name="kosten / jaar weekend" dataDxfId="156">
      <calculatedColumnFormula>Ruimtestaat[[#This Row],[uren / jaar weekend]]*Tariefsopbouw!$D$40</calculatedColumnFormula>
    </tableColumn>
    <tableColumn id="29" xr3:uid="{00000000-0010-0000-0400-00001D000000}" name="Prest. (m2 /jaar)" dataDxfId="155" dataCellStyle="Komma">
      <calculatedColumnFormula>Ruimtestaat[[#This Row],[Prest. (m2 /jaar) weekend]]+Ruimtestaat[[#This Row],[Prest. (m2 /jaar) werkdagen]]</calculatedColumnFormula>
    </tableColumn>
    <tableColumn id="30" xr3:uid="{00000000-0010-0000-0400-00001E000000}" name="uren / jaar" dataDxfId="154" dataCellStyle="Komma">
      <calculatedColumnFormula>Ruimtestaat[[#This Row],[uren / jaar weekend]]+Ruimtestaat[[#This Row],[uren / jaar werkdagen]]</calculatedColumnFormula>
    </tableColumn>
    <tableColumn id="31" xr3:uid="{00000000-0010-0000-0400-00001F000000}" name="kosten / jaar" dataDxfId="153">
      <calculatedColumnFormula>Ruimtestaat[[#This Row],[kosten / jaar weekend]]+Ruimtestaat[[#This Row],[kosten / jaar werkdagen]]</calculatedColumnFormula>
    </tableColumn>
    <tableColumn id="35" xr3:uid="{E116C30F-B9BD-4BCB-83E8-7CD5F271DD4C}" name="Kolom2" dataDxfId="152"/>
    <tableColumn id="36" xr3:uid="{71384C48-8ADE-43AD-AFE3-95797FF0BBBD}" name="Programmacode_x000a_Regulier" dataDxfId="151">
      <calculatedColumnFormula>IF(Ruimtestaat[[#This Row],[Frequentie werkdagen]]="","",_xlfn.CONCAT(Ruimtestaat[[#This Row],[Ruimte code]],"-",Ruimtestaat[[#This Row],[Frequentie werkdagen]]," ",Ruimtestaat[[#This Row],[Vloer code]]))</calculatedColumnFormula>
    </tableColumn>
    <tableColumn id="37" xr3:uid="{8BAC751A-CA54-4EAC-A152-90FC5AE897BB}" name="vl1" dataDxfId="150">
      <calculatedColumnFormula>_xlfn.IFNA(VLOOKUP(Ruimtestaat[[#This Row],[Programmacode
Regulier]],Programma!$F$4:$Y$36148,2,0),"_")</calculatedColumnFormula>
    </tableColumn>
    <tableColumn id="39" xr3:uid="{A0BCA5CD-C809-429E-9BB9-A31B08775944}" name="vl2" dataDxfId="149">
      <calculatedColumnFormula>_xlfn.IFNA(VLOOKUP(Ruimtestaat[[#This Row],[Programmacode
Regulier]],Programma!$F$4:$Y$36148,3,0),"_")</calculatedColumnFormula>
    </tableColumn>
    <tableColumn id="40" xr3:uid="{EB077637-EA61-4ED4-9DFD-19F1CA8B31C4}" name="vl3" dataDxfId="148">
      <calculatedColumnFormula>_xlfn.IFNA(VLOOKUP(Ruimtestaat[[#This Row],[Programmacode
Regulier]],Programma!$F$4:$Y$36148,4,0),"_")</calculatedColumnFormula>
    </tableColumn>
    <tableColumn id="41" xr3:uid="{3E5EC074-3DE1-4508-AA8A-895D104A3708}" name="vl4" dataDxfId="147">
      <calculatedColumnFormula>_xlfn.IFNA(VLOOKUP(Ruimtestaat[[#This Row],[Programmacode
Regulier]],Programma!$F$4:$Y$36148,5,0),"_")</calculatedColumnFormula>
    </tableColumn>
    <tableColumn id="42" xr3:uid="{B1AC2A42-55BD-492F-A1BA-940F79402BB2}" name="vl5" dataDxfId="146">
      <calculatedColumnFormula>_xlfn.IFNA(VLOOKUP(Ruimtestaat[[#This Row],[Programmacode
Regulier]],Programma!$F$4:$Y$36148,6,0),"_")</calculatedColumnFormula>
    </tableColumn>
    <tableColumn id="43" xr3:uid="{C47F6DA6-AE0B-4C36-AAC5-D463544D3363}" name="vl6" dataDxfId="145">
      <calculatedColumnFormula>_xlfn.IFNA(VLOOKUP(Ruimtestaat[[#This Row],[Programmacode
Regulier]],Programma!$F$4:$Y$36148,7,0),"_")</calculatedColumnFormula>
    </tableColumn>
    <tableColumn id="44" xr3:uid="{4F3176C1-5B8F-48EB-BD1E-C1ECB6946399}" name="vl7" dataDxfId="144">
      <calculatedColumnFormula>_xlfn.IFNA(VLOOKUP(Ruimtestaat[[#This Row],[Programmacode
Regulier]],Programma!$F$4:$Y$36148,8,0),"_")</calculatedColumnFormula>
    </tableColumn>
    <tableColumn id="45" xr3:uid="{7D54079E-3393-414F-BD8E-8C4A4E661EDF}" name="vnl" dataDxfId="143">
      <calculatedColumnFormula>_xlfn.IFNA(VLOOKUP(Ruimtestaat[[#This Row],[Programmacode
Regulier]],Programma!$F$4:$Y$36148,9,0),"_")</calculatedColumnFormula>
    </tableColumn>
    <tableColumn id="46" xr3:uid="{32840D76-0824-4948-8194-2047C927E294}" name="i8" dataDxfId="142">
      <calculatedColumnFormula>_xlfn.IFNA(VLOOKUP(Ruimtestaat[[#This Row],[Programmacode
Regulier]],Programma!$F$4:$Y$36148,10,0),"_")</calculatedColumnFormula>
    </tableColumn>
    <tableColumn id="47" xr3:uid="{90C4C445-BAB9-4BAE-93FF-4FF0749922CC}" name="i9" dataDxfId="141">
      <calculatedColumnFormula>_xlfn.IFNA(VLOOKUP(Ruimtestaat[[#This Row],[Programmacode
Regulier]],Programma!$F$4:$Y$36148,11,0),"_")</calculatedColumnFormula>
    </tableColumn>
    <tableColumn id="48" xr3:uid="{8BD0E26F-BABF-4B6B-8F6C-FD76E2DA96F2}" name="i10" dataDxfId="140">
      <calculatedColumnFormula>_xlfn.IFNA(VLOOKUP(Ruimtestaat[[#This Row],[Programmacode
Regulier]],Programma!$F$4:$Y$36148,12,0),"_")</calculatedColumnFormula>
    </tableColumn>
    <tableColumn id="49" xr3:uid="{82AF062F-351B-450D-8846-A06BDE631513}" name="i11" dataDxfId="139">
      <calculatedColumnFormula>_xlfn.IFNA(VLOOKUP(Ruimtestaat[[#This Row],[Programmacode
Regulier]],Programma!$F$4:$Y$36148,13,0),"_")</calculatedColumnFormula>
    </tableColumn>
    <tableColumn id="50" xr3:uid="{3BBC35C6-8921-4D12-B346-2D88AC9B8ACC}" name="i12" dataDxfId="138">
      <calculatedColumnFormula>_xlfn.IFNA(VLOOKUP(Ruimtestaat[[#This Row],[Programmacode
Regulier]],Programma!$F$4:$Y$36148,14,0),"_")</calculatedColumnFormula>
    </tableColumn>
    <tableColumn id="51" xr3:uid="{1EF494E3-FB32-4D2C-BCA7-DEADA2C9CC1D}" name="i13" dataDxfId="137">
      <calculatedColumnFormula>_xlfn.IFNA(VLOOKUP(Ruimtestaat[[#This Row],[Programmacode
Regulier]],Programma!$F$4:$Y$36148,15,0),"_")</calculatedColumnFormula>
    </tableColumn>
    <tableColumn id="52" xr3:uid="{B7B1C801-7358-4E35-8121-9C416B89A4F5}" name="i14" dataDxfId="136">
      <calculatedColumnFormula>_xlfn.IFNA(VLOOKUP(Ruimtestaat[[#This Row],[Programmacode
Regulier]],Programma!$F$4:$Y$36148,16,0),"_")</calculatedColumnFormula>
    </tableColumn>
    <tableColumn id="53" xr3:uid="{CB58E9DB-EBBB-4FAB-A830-9EA56BEAC07F}" name="inl" dataDxfId="135">
      <calculatedColumnFormula>_xlfn.IFNA(VLOOKUP(Ruimtestaat[[#This Row],[Programmacode
Regulier]],Programma!$F$4:$Y$36148,17,0),"_")</calculatedColumnFormula>
    </tableColumn>
    <tableColumn id="54" xr3:uid="{554958E2-A4A2-469C-ABFB-78D06B9602BC}" name="s15" dataDxfId="134">
      <calculatedColumnFormula>_xlfn.IFNA(VLOOKUP(Ruimtestaat[[#This Row],[Programmacode
Regulier]],Programma!$F$4:$Y$36148,18,0),"_")</calculatedColumnFormula>
    </tableColumn>
    <tableColumn id="55" xr3:uid="{670CB243-142D-46F8-8F40-EABC01641EEA}" name="s16" dataDxfId="133">
      <calculatedColumnFormula>_xlfn.IFNA(VLOOKUP(Ruimtestaat[[#This Row],[Programmacode
Regulier]],Programma!$F$4:$Y$36148,19,0),"_")</calculatedColumnFormula>
    </tableColumn>
    <tableColumn id="56" xr3:uid="{5AE3B2FE-F979-46D6-87D7-D3FC83A16984}" name="snl" dataDxfId="132">
      <calculatedColumnFormula>_xlfn.IFNA(VLOOKUP(Ruimtestaat[[#This Row],[Programmacode
Regulier]],Programma!$F$4:$Y$36148,20,0),"_")</calculatedColumnFormula>
    </tableColumn>
    <tableColumn id="57" xr3:uid="{8C0782CF-1989-4B56-932D-83310E432EF5}" name="Kolom1" dataDxfId="131"/>
    <tableColumn id="58" xr3:uid="{F91F8531-47A0-4302-85C4-A4A2E0560444}" name="Code Weekend" dataDxfId="130">
      <calculatedColumnFormula>IF(Ruimtestaat[[#This Row],[Frequentie weekend]]="","",_xlfn.CONCAT(Ruimtestaat[[#This Row],[Ruimte code]],"-",Ruimtestaat[[#This Row],[Frequentie weekend]]," ",Ruimtestaat[[#This Row],[Vloer code]]))</calculatedColumnFormula>
    </tableColumn>
    <tableColumn id="59" xr3:uid="{E0D1B34D-F2E0-4A89-AF3F-FD02974524BB}" name="vl12" dataDxfId="129">
      <calculatedColumnFormula>_xlfn.IFNA(VLOOKUP(Ruimtestaat[[#This Row],[Code Weekend]],Programma!$F$4:$Y$36148,2,0),"_")</calculatedColumnFormula>
    </tableColumn>
    <tableColumn id="60" xr3:uid="{C312A2F3-B5FD-4A40-BFF1-F499F1813865}" name="vl23" dataDxfId="128">
      <calculatedColumnFormula>_xlfn.IFNA(VLOOKUP(Ruimtestaat[[#This Row],[Code Weekend]],Programma!$F$4:$Y$36148,3,0),"_")</calculatedColumnFormula>
    </tableColumn>
    <tableColumn id="61" xr3:uid="{D7555473-D38D-4E40-A9B3-962325E491D5}" name="vl34" dataDxfId="127">
      <calculatedColumnFormula>_xlfn.IFNA(VLOOKUP(Ruimtestaat[[#This Row],[Code Weekend]],Programma!$F$4:$Y$36148,4,0),"_")</calculatedColumnFormula>
    </tableColumn>
    <tableColumn id="62" xr3:uid="{0E2B62FB-1D84-45D7-AE58-004DDBE90E35}" name="vl45" dataDxfId="126">
      <calculatedColumnFormula>_xlfn.IFNA(VLOOKUP(Ruimtestaat[[#This Row],[Code Weekend]],Programma!$F$4:$Y$36148,5,0),"_")</calculatedColumnFormula>
    </tableColumn>
    <tableColumn id="63" xr3:uid="{05AA8CC6-F2E6-41D3-9075-3F355264317B}" name="vl56" dataDxfId="125"/>
    <tableColumn id="64" xr3:uid="{7DCA61ED-7DC2-4D22-B7D2-8379D6CA37BE}" name="vl67" dataDxfId="124">
      <calculatedColumnFormula>_xlfn.IFNA(VLOOKUP(Ruimtestaat[[#This Row],[Code Weekend]],Programma!$F$4:$Y$36148,7,0),"_")</calculatedColumnFormula>
    </tableColumn>
    <tableColumn id="65" xr3:uid="{06F42075-0EB5-4BA9-96DA-6737845477FD}" name="vl78" dataDxfId="123">
      <calculatedColumnFormula>_xlfn.IFNA(VLOOKUP(Ruimtestaat[[#This Row],[Code Weekend]],Programma!$F$4:$Y$36148,8,0),"_")</calculatedColumnFormula>
    </tableColumn>
    <tableColumn id="66" xr3:uid="{21AA5DD1-DBC6-4476-B6AB-859DC9467564}" name="vnl9" dataDxfId="122">
      <calculatedColumnFormula>_xlfn.IFNA(VLOOKUP(Ruimtestaat[[#This Row],[Code Weekend]],Programma!$F$4:$Y$36148,9,0),"_")</calculatedColumnFormula>
    </tableColumn>
    <tableColumn id="67" xr3:uid="{A50FD81B-9F8F-4DE2-8A59-072B55F84800}" name="i810" dataDxfId="121">
      <calculatedColumnFormula>_xlfn.IFNA(VLOOKUP(Ruimtestaat[[#This Row],[Code Weekend]],Programma!$F$4:$Y$36148,10,0),"_")</calculatedColumnFormula>
    </tableColumn>
    <tableColumn id="68" xr3:uid="{F3E83558-18D6-47EE-A009-6697AD599118}" name="i911" dataDxfId="120">
      <calculatedColumnFormula>_xlfn.IFNA(VLOOKUP(Ruimtestaat[[#This Row],[Code Weekend]],Programma!$F$4:$Y$36148,11,0),"_")</calculatedColumnFormula>
    </tableColumn>
    <tableColumn id="69" xr3:uid="{352BB579-3498-4732-9E1C-3664E85241E0}" name="i102" dataDxfId="119">
      <calculatedColumnFormula>_xlfn.IFNA(VLOOKUP(Ruimtestaat[[#This Row],[Code Weekend]],Programma!$F$4:$Y$36148,12,0),"_")</calculatedColumnFormula>
    </tableColumn>
    <tableColumn id="70" xr3:uid="{A5CAB51A-C1CD-4259-96EB-081F42E97AFF}" name="i112" dataDxfId="118">
      <calculatedColumnFormula>_xlfn.IFNA(VLOOKUP(Ruimtestaat[[#This Row],[Code Weekend]],Programma!$F$4:$Y$36148,13,0),"_")</calculatedColumnFormula>
    </tableColumn>
    <tableColumn id="71" xr3:uid="{1EB73518-4AD1-4DE9-860D-B5D0D155ED07}" name="i122" dataDxfId="117">
      <calculatedColumnFormula>_xlfn.IFNA(VLOOKUP(Ruimtestaat[[#This Row],[Code Weekend]],Programma!$F$4:$Y$36148,14,0),"_")</calculatedColumnFormula>
    </tableColumn>
    <tableColumn id="72" xr3:uid="{85622CD6-53B9-4BB4-84DC-722E66CB1D99}" name="i132" dataDxfId="116">
      <calculatedColumnFormula>_xlfn.IFNA(VLOOKUP(Ruimtestaat[[#This Row],[Code Weekend]],Programma!$F$4:$Y$36148,15,0),"_")</calculatedColumnFormula>
    </tableColumn>
    <tableColumn id="73" xr3:uid="{80FB0AA7-48E0-42CD-BF7B-64F8E080061F}" name="i142" dataDxfId="115">
      <calculatedColumnFormula>_xlfn.IFNA(VLOOKUP(Ruimtestaat[[#This Row],[Code Weekend]],Programma!$F$4:$Y$36148,16,0),"_")</calculatedColumnFormula>
    </tableColumn>
    <tableColumn id="74" xr3:uid="{BE9967D8-730E-48F7-9056-ED88EF467AF1}" name="inl2" dataDxfId="114">
      <calculatedColumnFormula>_xlfn.IFNA(VLOOKUP(Ruimtestaat[[#This Row],[Code Weekend]],Programma!$F$4:$Y$36148,17,0),"_")</calculatedColumnFormula>
    </tableColumn>
    <tableColumn id="75" xr3:uid="{1E3384B3-2E3B-4E06-B54A-DAB01C76AFF2}" name="s152" dataDxfId="113">
      <calculatedColumnFormula>_xlfn.IFNA(VLOOKUP(Ruimtestaat[[#This Row],[Code Weekend]],Programma!$F$4:$Y$36148,18,0),"_")</calculatedColumnFormula>
    </tableColumn>
    <tableColumn id="76" xr3:uid="{221D14F3-72B8-402C-836F-8D7AF0F4C402}" name="s162" dataDxfId="112">
      <calculatedColumnFormula>_xlfn.IFNA(VLOOKUP(Ruimtestaat[[#This Row],[Code Weekend]],Programma!$F$4:$Y$36148,19,0),"_")</calculatedColumnFormula>
    </tableColumn>
    <tableColumn id="77" xr3:uid="{C2ED66C9-8B50-4F67-88AE-78ECD203568A}" name="snl2" dataDxfId="111">
      <calculatedColumnFormula>_xlfn.IFNA(VLOOKUP(Ruimtestaat[[#This Row],[Code Weekend]],Programma!$F$4:$Y$36148,20,0),"_")</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7000000}" name="InvulVloer" displayName="InvulVloer" ref="A8:I19" totalsRowShown="0" headerRowDxfId="110">
  <autoFilter ref="A8:I19" xr:uid="{00000000-0009-0000-0100-000001000000}"/>
  <tableColumns count="9">
    <tableColumn id="1" xr3:uid="{00000000-0010-0000-0700-000001000000}" name="Code Taak" dataDxfId="109"/>
    <tableColumn id="2" xr3:uid="{00000000-0010-0000-0700-000002000000}" name="Werkzaamheden"/>
    <tableColumn id="3" xr3:uid="{00000000-0010-0000-0700-000003000000}" name="Prijs" dataDxfId="108"/>
    <tableColumn id="4" xr3:uid="{00000000-0010-0000-0700-000004000000}" name="Omschrijving2" dataDxfId="107"/>
    <tableColumn id="5" xr3:uid="{210DC086-57EB-4085-993F-F8BE1A02D4EA}" name="2022" dataDxfId="106">
      <calculatedColumnFormula>(InvulVloer[[#This Row],[Prijs]]*Tariefsopbouw!$I$37)+InvulVloer[[#This Row],[Prijs]]</calculatedColumnFormula>
    </tableColumn>
    <tableColumn id="6" xr3:uid="{3FF457DD-7604-4A2D-A0A5-231B880C6126}" name="2023" dataDxfId="105">
      <calculatedColumnFormula>(InvulVloer[[#This Row],[2022]]*Tariefsopbouw!$K$37)+InvulVloer[[#This Row],[2022]]</calculatedColumnFormula>
    </tableColumn>
    <tableColumn id="7" xr3:uid="{DF070078-DBD3-4D99-9CAC-3D2A85651569}" name="2024" dataDxfId="104">
      <calculatedColumnFormula>InvulVloer[[#This Row],[2023]]*Tariefsopbouw!$M$37+InvulVloer[[#This Row],[2023]]</calculatedColumnFormula>
    </tableColumn>
    <tableColumn id="8" xr3:uid="{6D837F73-9C51-4D82-9EF0-7FB5A5597B8B}" name="2025" dataDxfId="103">
      <calculatedColumnFormula>(InvulVloer[[#This Row],[2024]]*Tariefsopbouw!$O$37)+InvulVloer[[#This Row],[2024]]</calculatedColumnFormula>
    </tableColumn>
    <tableColumn id="9" xr3:uid="{A6C1CE54-9916-4FDD-B197-7F0519915776}" name="2026" dataDxfId="102">
      <calculatedColumnFormula>(InvulVloer[[#This Row],[2025]]*Tariefsopbouw!$Q$37)+InvulVloer[[#This Row],[2025]]</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8000000}" name="OverzichtVloer" displayName="OverzichtVloer" ref="A22:H30" totalsRowCount="1" headerRowDxfId="101" dataDxfId="100" totalsRowDxfId="99">
  <autoFilter ref="A22:H29" xr:uid="{00000000-0009-0000-0100-000002000000}"/>
  <tableColumns count="8">
    <tableColumn id="11" xr3:uid="{00000000-0010-0000-0800-00000B000000}" name="Code Locatie" dataDxfId="98" totalsRowDxfId="97"/>
    <tableColumn id="1" xr3:uid="{00000000-0010-0000-0800-000001000000}" name="Locatie" totalsRowLabel="Totaal" dataDxfId="96" totalsRowDxfId="95"/>
    <tableColumn id="3" xr3:uid="{00000000-0010-0000-0800-000003000000}" name="Code Taak" dataDxfId="94" totalsRowDxfId="93"/>
    <tableColumn id="4" xr3:uid="{00000000-0010-0000-0800-000004000000}" name="Vloersoort / toelichting" dataDxfId="92" totalsRowDxfId="91">
      <calculatedColumnFormula>IF(Vloeronderhoud!$C23&gt;0,VLOOKUP(Vloeronderhoud!$C23,$A$8:$B$19,2,FALSE),"")</calculatedColumnFormula>
    </tableColumn>
    <tableColumn id="5" xr3:uid="{00000000-0010-0000-0800-000005000000}" name="Vloersoort" dataDxfId="90" totalsRowDxfId="89"/>
    <tableColumn id="6" xr3:uid="{00000000-0010-0000-0800-000006000000}" name="Oppervlakte" dataDxfId="88" totalsRowDxfId="87">
      <calculatedColumnFormula>SUMIFS('Ruimtestaat'!$N:$N,'Ruimtestaat'!L:L,Vloeronderhoud!E23,'Ruimtestaat'!A:A,Vloeronderhoud!A23)</calculatedColumnFormula>
    </tableColumn>
    <tableColumn id="8" xr3:uid="{00000000-0010-0000-0800-000008000000}" name="Frequentie (uitv./jaar)" dataDxfId="86" totalsRowDxfId="85"/>
    <tableColumn id="9" xr3:uid="{00000000-0010-0000-0800-000009000000}" name="Kosten/jaar excl. BTW" totalsRowFunction="sum" dataDxfId="84" totalsRowDxfId="83">
      <calculatedColumnFormula>G23*#REF!*F23</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2" totalsRowShown="0" headerRowDxfId="82">
  <autoFilter ref="A8:I22" xr:uid="{00000000-0009-0000-0100-000003000000}"/>
  <tableColumns count="9">
    <tableColumn id="1" xr3:uid="{00000000-0010-0000-0500-000001000000}" name="Code taak" dataDxfId="81"/>
    <tableColumn id="2" xr3:uid="{00000000-0010-0000-0500-000002000000}" name="Glassoort/voorziening"/>
    <tableColumn id="3" xr3:uid="{00000000-0010-0000-0500-000003000000}" name="Prijs excl. BTW" dataDxfId="80"/>
    <tableColumn id="4" xr3:uid="{00000000-0010-0000-0500-000004000000}" name="Eenheid" dataDxfId="79"/>
    <tableColumn id="5" xr3:uid="{1CD4D785-0ACA-4B06-8E06-4FD2B96C5FF2}" name="2022" dataDxfId="78"/>
    <tableColumn id="6" xr3:uid="{5854DA86-EA83-4FB9-A672-A8EC2F66F19A}" name="2023" dataDxfId="77">
      <calculatedColumnFormula>(InvulGlas[[#This Row],[2022]]*Tariefsopbouw!$K$37)+InvulGlas[[#This Row],[2022]]</calculatedColumnFormula>
    </tableColumn>
    <tableColumn id="7" xr3:uid="{A83C544A-861B-4ACA-86D9-144D0523A37C}" name="2024" dataDxfId="76">
      <calculatedColumnFormula>(InvulGlas[[#This Row],[2023]]*Tariefsopbouw!$M$37)+InvulGlas[[#This Row],[2023]]</calculatedColumnFormula>
    </tableColumn>
    <tableColumn id="8" xr3:uid="{2401BFCA-163E-44D6-BA56-13058ED8F844}" name="2025" dataDxfId="75">
      <calculatedColumnFormula>(InvulGlas[[#This Row],[2024]]*Tariefsopbouw!$O$37)+InvulGlas[[#This Row],[2024]]</calculatedColumnFormula>
    </tableColumn>
    <tableColumn id="9" xr3:uid="{5EC958DB-5902-49C5-A795-D5F52874B53D}" name="2026" dataDxfId="74">
      <calculatedColumnFormula>(InvulGlas[[#This Row],[2025]]*Tariefsopbouw!$Q$37)+InvulGlas[[#This Row],[2025]]</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table" Target="../tables/table12.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4.bin"/><Relationship Id="rId5" Type="http://schemas.openxmlformats.org/officeDocument/2006/relationships/table" Target="../tables/table5.xml"/><Relationship Id="rId4" Type="http://schemas.openxmlformats.org/officeDocument/2006/relationships/table" Target="../tables/table4.xml"/></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9">
    <tabColor theme="0" tint="-0.14999847407452621"/>
  </sheetPr>
  <dimension ref="A1:E173"/>
  <sheetViews>
    <sheetView showGridLines="0" view="pageBreakPreview" zoomScale="90" zoomScaleNormal="100" zoomScaleSheetLayoutView="90" workbookViewId="0">
      <selection sqref="A1:B2"/>
    </sheetView>
  </sheetViews>
  <sheetFormatPr defaultColWidth="9.140625" defaultRowHeight="11.25"/>
  <cols>
    <col min="1" max="1" width="4" style="9" bestFit="1" customWidth="1"/>
    <col min="2" max="2" width="113.85546875" style="9" customWidth="1"/>
    <col min="3" max="3" width="29" style="9" bestFit="1" customWidth="1"/>
    <col min="4" max="4" width="5.7109375" style="9" customWidth="1"/>
    <col min="5" max="5" width="9.140625" style="9"/>
    <col min="6" max="6" width="17.85546875" style="9" bestFit="1" customWidth="1"/>
    <col min="7" max="9" width="9.140625" style="9"/>
    <col min="10" max="10" width="19.7109375" style="9" customWidth="1"/>
    <col min="11" max="16384" width="9.140625" style="9"/>
  </cols>
  <sheetData>
    <row r="1" spans="1:5" s="99" customFormat="1" ht="15">
      <c r="A1" s="372" t="s">
        <v>1354</v>
      </c>
      <c r="B1" s="373"/>
      <c r="C1" s="273"/>
      <c r="D1" s="100"/>
      <c r="E1" s="101"/>
    </row>
    <row r="2" spans="1:5" s="99" customFormat="1" ht="15">
      <c r="A2" s="372"/>
      <c r="B2" s="373"/>
      <c r="C2" s="274"/>
      <c r="D2" s="100"/>
      <c r="E2" s="101"/>
    </row>
    <row r="3" spans="1:5" s="99" customFormat="1" ht="15.75" customHeight="1" thickBot="1">
      <c r="A3" s="282"/>
      <c r="B3" s="282"/>
      <c r="C3" s="100"/>
      <c r="D3" s="100"/>
      <c r="E3" s="101"/>
    </row>
    <row r="4" spans="1:5" ht="15">
      <c r="A4" s="279"/>
      <c r="B4" s="276" t="s">
        <v>1256</v>
      </c>
      <c r="C4" s="32"/>
      <c r="D4" s="32"/>
    </row>
    <row r="5" spans="1:5">
      <c r="A5" s="277" t="s">
        <v>307</v>
      </c>
      <c r="B5" s="278" t="s">
        <v>1257</v>
      </c>
      <c r="C5" s="32"/>
      <c r="D5" s="32"/>
    </row>
    <row r="6" spans="1:5" ht="12.75">
      <c r="A6" s="258"/>
      <c r="B6" s="259" t="s">
        <v>1258</v>
      </c>
      <c r="C6" s="32"/>
    </row>
    <row r="7" spans="1:5" ht="12.75">
      <c r="A7" s="258"/>
      <c r="B7" s="259" t="s">
        <v>1259</v>
      </c>
      <c r="C7" s="32"/>
    </row>
    <row r="8" spans="1:5" ht="12.75">
      <c r="A8" s="258"/>
      <c r="B8" s="259" t="s">
        <v>1260</v>
      </c>
    </row>
    <row r="9" spans="1:5" ht="12.75">
      <c r="A9" s="258"/>
      <c r="B9" s="259" t="s">
        <v>45</v>
      </c>
      <c r="D9" s="34"/>
    </row>
    <row r="10" spans="1:5" ht="13.5" thickBot="1">
      <c r="A10" s="260"/>
      <c r="B10" s="261"/>
      <c r="C10" s="34"/>
    </row>
    <row r="11" spans="1:5">
      <c r="A11" s="275" t="s">
        <v>308</v>
      </c>
      <c r="B11" s="275" t="s">
        <v>1261</v>
      </c>
      <c r="C11" s="34"/>
    </row>
    <row r="12" spans="1:5" ht="12.75">
      <c r="A12" s="258"/>
      <c r="B12" s="259" t="s">
        <v>1262</v>
      </c>
    </row>
    <row r="13" spans="1:5" ht="12.75">
      <c r="A13" s="258"/>
      <c r="B13" s="259" t="s">
        <v>1263</v>
      </c>
    </row>
    <row r="14" spans="1:5" ht="13.5" thickBot="1">
      <c r="A14" s="260"/>
      <c r="B14" s="261"/>
    </row>
    <row r="15" spans="1:5">
      <c r="A15" s="275" t="s">
        <v>309</v>
      </c>
      <c r="B15" s="275" t="s">
        <v>1264</v>
      </c>
    </row>
    <row r="16" spans="1:5" ht="12.75">
      <c r="A16" s="258"/>
      <c r="B16" s="262" t="s">
        <v>1265</v>
      </c>
    </row>
    <row r="17" spans="1:2" ht="12.75">
      <c r="A17" s="258"/>
      <c r="B17" s="259" t="s">
        <v>1266</v>
      </c>
    </row>
    <row r="18" spans="1:2" ht="12.75">
      <c r="A18" s="258"/>
      <c r="B18" s="259" t="s">
        <v>1267</v>
      </c>
    </row>
    <row r="19" spans="1:2" ht="12.75">
      <c r="A19" s="258"/>
      <c r="B19" s="259" t="s">
        <v>1268</v>
      </c>
    </row>
    <row r="20" spans="1:2" ht="13.5" thickBot="1">
      <c r="A20" s="260"/>
      <c r="B20" s="261"/>
    </row>
    <row r="21" spans="1:2">
      <c r="A21" s="275" t="s">
        <v>310</v>
      </c>
      <c r="B21" s="275" t="s">
        <v>1269</v>
      </c>
    </row>
    <row r="22" spans="1:2" ht="12.75">
      <c r="A22" s="258"/>
      <c r="B22" s="259" t="s">
        <v>1270</v>
      </c>
    </row>
    <row r="23" spans="1:2" ht="13.5" thickBot="1">
      <c r="A23" s="260"/>
      <c r="B23" s="261"/>
    </row>
    <row r="24" spans="1:2">
      <c r="A24" s="275" t="s">
        <v>311</v>
      </c>
      <c r="B24" s="275" t="s">
        <v>1271</v>
      </c>
    </row>
    <row r="25" spans="1:2" ht="12.75">
      <c r="A25" s="258"/>
      <c r="B25" s="259" t="s">
        <v>1272</v>
      </c>
    </row>
    <row r="26" spans="1:2" ht="13.5" thickBot="1">
      <c r="A26" s="260"/>
      <c r="B26" s="317"/>
    </row>
    <row r="27" spans="1:2">
      <c r="A27" s="275" t="s">
        <v>312</v>
      </c>
      <c r="B27" s="275" t="s">
        <v>1273</v>
      </c>
    </row>
    <row r="28" spans="1:2" ht="12.75">
      <c r="A28" s="258"/>
      <c r="B28" s="259" t="s">
        <v>1274</v>
      </c>
    </row>
    <row r="29" spans="1:2" ht="13.5" thickBot="1">
      <c r="A29" s="260"/>
      <c r="B29" s="261"/>
    </row>
    <row r="30" spans="1:2">
      <c r="A30" s="275" t="s">
        <v>313</v>
      </c>
      <c r="B30" s="275" t="s">
        <v>1275</v>
      </c>
    </row>
    <row r="31" spans="1:2" ht="12.75">
      <c r="A31" s="258"/>
      <c r="B31" s="262" t="s">
        <v>1276</v>
      </c>
    </row>
    <row r="32" spans="1:2" ht="12.75">
      <c r="A32" s="258"/>
      <c r="B32" s="262" t="s">
        <v>1277</v>
      </c>
    </row>
    <row r="33" spans="1:2" ht="12.75">
      <c r="A33" s="258"/>
      <c r="B33" s="262"/>
    </row>
    <row r="34" spans="1:2" ht="12.75">
      <c r="A34" s="258"/>
      <c r="B34" s="262" t="s">
        <v>1278</v>
      </c>
    </row>
    <row r="35" spans="1:2" ht="12.75">
      <c r="A35" s="258"/>
      <c r="B35" s="262" t="s">
        <v>1279</v>
      </c>
    </row>
    <row r="36" spans="1:2" ht="13.5" thickBot="1">
      <c r="A36" s="260"/>
      <c r="B36" s="263"/>
    </row>
    <row r="37" spans="1:2">
      <c r="A37" s="275" t="s">
        <v>314</v>
      </c>
      <c r="B37" s="275" t="s">
        <v>1280</v>
      </c>
    </row>
    <row r="38" spans="1:2" ht="12.75">
      <c r="A38" s="258"/>
      <c r="B38" s="264" t="s">
        <v>1281</v>
      </c>
    </row>
    <row r="39" spans="1:2" ht="13.5" thickBot="1">
      <c r="A39" s="260"/>
      <c r="B39" s="263"/>
    </row>
    <row r="40" spans="1:2" ht="12.75">
      <c r="A40" s="257"/>
      <c r="B40" s="257"/>
    </row>
    <row r="41" spans="1:2" ht="13.5" thickBot="1">
      <c r="A41" s="257"/>
      <c r="B41" s="257"/>
    </row>
    <row r="42" spans="1:2" ht="15">
      <c r="A42" s="279"/>
      <c r="B42" s="276" t="s">
        <v>1282</v>
      </c>
    </row>
    <row r="43" spans="1:2">
      <c r="A43" s="277" t="s">
        <v>315</v>
      </c>
      <c r="B43" s="278" t="s">
        <v>1283</v>
      </c>
    </row>
    <row r="44" spans="1:2" ht="12.75">
      <c r="A44" s="258"/>
      <c r="B44" s="259" t="s">
        <v>1284</v>
      </c>
    </row>
    <row r="45" spans="1:2" ht="12.75">
      <c r="A45" s="258"/>
      <c r="B45" s="259" t="s">
        <v>1285</v>
      </c>
    </row>
    <row r="46" spans="1:2" ht="12.75">
      <c r="A46" s="258"/>
      <c r="B46" s="259" t="s">
        <v>1286</v>
      </c>
    </row>
    <row r="47" spans="1:2" ht="12.75">
      <c r="A47" s="258"/>
      <c r="B47" s="259" t="s">
        <v>1287</v>
      </c>
    </row>
    <row r="48" spans="1:2" ht="12.75">
      <c r="A48" s="258"/>
      <c r="B48" s="259" t="s">
        <v>1288</v>
      </c>
    </row>
    <row r="49" spans="1:2" ht="13.5" customHeight="1">
      <c r="A49" s="258"/>
      <c r="B49" s="259" t="s">
        <v>1289</v>
      </c>
    </row>
    <row r="50" spans="1:2" ht="13.5" thickBot="1">
      <c r="A50" s="260"/>
      <c r="B50" s="261"/>
    </row>
    <row r="51" spans="1:2">
      <c r="A51" s="275" t="s">
        <v>316</v>
      </c>
      <c r="B51" s="275" t="s">
        <v>1290</v>
      </c>
    </row>
    <row r="52" spans="1:2" ht="12.75">
      <c r="A52" s="258"/>
      <c r="B52" s="262" t="s">
        <v>1291</v>
      </c>
    </row>
    <row r="53" spans="1:2" ht="12.75">
      <c r="A53" s="258"/>
      <c r="B53" s="265" t="s">
        <v>1292</v>
      </c>
    </row>
    <row r="54" spans="1:2" ht="12.75">
      <c r="A54" s="258"/>
      <c r="B54" s="259" t="s">
        <v>47</v>
      </c>
    </row>
    <row r="55" spans="1:2" ht="12.75">
      <c r="A55" s="258"/>
      <c r="B55" s="259" t="s">
        <v>46</v>
      </c>
    </row>
    <row r="56" spans="1:2" ht="13.5" thickBot="1">
      <c r="A56" s="260"/>
      <c r="B56" s="261"/>
    </row>
    <row r="57" spans="1:2">
      <c r="A57" s="275" t="s">
        <v>317</v>
      </c>
      <c r="B57" s="275" t="s">
        <v>1293</v>
      </c>
    </row>
    <row r="58" spans="1:2" ht="12.75">
      <c r="A58" s="258"/>
      <c r="B58" s="262" t="s">
        <v>1294</v>
      </c>
    </row>
    <row r="59" spans="1:2" ht="25.5">
      <c r="A59" s="258"/>
      <c r="B59" s="265" t="s">
        <v>1295</v>
      </c>
    </row>
    <row r="60" spans="1:2" ht="12.75">
      <c r="A60" s="258"/>
      <c r="B60" s="262" t="s">
        <v>1296</v>
      </c>
    </row>
    <row r="61" spans="1:2" ht="12.75">
      <c r="A61" s="258"/>
      <c r="B61" s="265" t="s">
        <v>1297</v>
      </c>
    </row>
    <row r="62" spans="1:2" ht="13.5" thickBot="1">
      <c r="A62" s="260"/>
      <c r="B62" s="263"/>
    </row>
    <row r="63" spans="1:2">
      <c r="A63" s="275" t="s">
        <v>318</v>
      </c>
      <c r="B63" s="275" t="s">
        <v>1298</v>
      </c>
    </row>
    <row r="64" spans="1:2" ht="12.75">
      <c r="A64" s="258"/>
      <c r="B64" s="262" t="s">
        <v>1299</v>
      </c>
    </row>
    <row r="65" spans="1:2" ht="12.75">
      <c r="A65" s="258"/>
      <c r="B65" s="262" t="s">
        <v>1300</v>
      </c>
    </row>
    <row r="66" spans="1:2" ht="25.5">
      <c r="A66" s="258"/>
      <c r="B66" s="265" t="s">
        <v>1301</v>
      </c>
    </row>
    <row r="67" spans="1:2" ht="13.5" thickBot="1">
      <c r="A67" s="260"/>
      <c r="B67" s="263"/>
    </row>
    <row r="68" spans="1:2">
      <c r="A68" s="275" t="s">
        <v>319</v>
      </c>
      <c r="B68" s="275" t="s">
        <v>1302</v>
      </c>
    </row>
    <row r="69" spans="1:2" ht="12.75">
      <c r="A69" s="258"/>
      <c r="B69" s="265" t="s">
        <v>1303</v>
      </c>
    </row>
    <row r="70" spans="1:2" ht="12.75">
      <c r="A70" s="258"/>
      <c r="B70" s="265" t="s">
        <v>48</v>
      </c>
    </row>
    <row r="71" spans="1:2" ht="12.75">
      <c r="A71" s="258"/>
      <c r="B71" s="259" t="s">
        <v>1304</v>
      </c>
    </row>
    <row r="72" spans="1:2" ht="25.5">
      <c r="A72" s="258"/>
      <c r="B72" s="259" t="s">
        <v>1305</v>
      </c>
    </row>
    <row r="73" spans="1:2" ht="13.5" thickBot="1">
      <c r="A73" s="260"/>
      <c r="B73" s="261"/>
    </row>
    <row r="74" spans="1:2">
      <c r="A74" s="275" t="s">
        <v>320</v>
      </c>
      <c r="B74" s="275" t="s">
        <v>1473</v>
      </c>
    </row>
    <row r="75" spans="1:2" ht="12.75">
      <c r="A75" s="258"/>
      <c r="B75" s="262" t="s">
        <v>1306</v>
      </c>
    </row>
    <row r="76" spans="1:2" ht="12.75">
      <c r="A76" s="258"/>
      <c r="B76" s="265" t="s">
        <v>1307</v>
      </c>
    </row>
    <row r="77" spans="1:2" ht="13.5" thickBot="1">
      <c r="A77" s="260"/>
      <c r="B77" s="261"/>
    </row>
    <row r="78" spans="1:2">
      <c r="A78" s="275" t="s">
        <v>321</v>
      </c>
      <c r="B78" s="275" t="s">
        <v>1308</v>
      </c>
    </row>
    <row r="79" spans="1:2" ht="12.75">
      <c r="A79" s="258"/>
      <c r="B79" s="265" t="s">
        <v>49</v>
      </c>
    </row>
    <row r="80" spans="1:2" ht="12.75">
      <c r="A80" s="258"/>
      <c r="B80" s="265" t="s">
        <v>1309</v>
      </c>
    </row>
    <row r="81" spans="1:2" ht="13.5" thickBot="1">
      <c r="A81" s="260"/>
      <c r="B81" s="266"/>
    </row>
    <row r="82" spans="1:2">
      <c r="A82" s="275" t="s">
        <v>322</v>
      </c>
      <c r="B82" s="275" t="s">
        <v>1310</v>
      </c>
    </row>
    <row r="83" spans="1:2" ht="12.75">
      <c r="A83" s="258"/>
      <c r="B83" s="265" t="s">
        <v>1311</v>
      </c>
    </row>
    <row r="84" spans="1:2" ht="13.5" thickBot="1">
      <c r="A84" s="260"/>
      <c r="B84" s="263"/>
    </row>
    <row r="85" spans="1:2" ht="12.75">
      <c r="A85" s="257"/>
      <c r="B85" s="257"/>
    </row>
    <row r="86" spans="1:2" ht="13.5" thickBot="1">
      <c r="A86" s="257"/>
      <c r="B86" s="267"/>
    </row>
    <row r="87" spans="1:2" ht="15">
      <c r="A87" s="279"/>
      <c r="B87" s="276" t="s">
        <v>22</v>
      </c>
    </row>
    <row r="88" spans="1:2" ht="12.75" customHeight="1">
      <c r="A88" s="277" t="s">
        <v>323</v>
      </c>
      <c r="B88" s="278" t="s">
        <v>1312</v>
      </c>
    </row>
    <row r="89" spans="1:2" ht="12.75">
      <c r="A89" s="258"/>
      <c r="B89" s="265" t="s">
        <v>1313</v>
      </c>
    </row>
    <row r="90" spans="1:2" ht="12.75">
      <c r="A90" s="258"/>
      <c r="B90" s="262" t="s">
        <v>1314</v>
      </c>
    </row>
    <row r="91" spans="1:2" ht="12.75">
      <c r="A91" s="258"/>
      <c r="B91" s="262" t="s">
        <v>1315</v>
      </c>
    </row>
    <row r="92" spans="1:2" ht="12.75">
      <c r="A92" s="258"/>
      <c r="B92" s="262" t="s">
        <v>27</v>
      </c>
    </row>
    <row r="93" spans="1:2" ht="12.75">
      <c r="A93" s="258"/>
      <c r="B93" s="265" t="s">
        <v>1316</v>
      </c>
    </row>
    <row r="94" spans="1:2" ht="13.5" thickBot="1">
      <c r="A94" s="260"/>
      <c r="B94" s="261"/>
    </row>
    <row r="95" spans="1:2" ht="15" customHeight="1">
      <c r="A95" s="275" t="s">
        <v>324</v>
      </c>
      <c r="B95" s="275" t="s">
        <v>1317</v>
      </c>
    </row>
    <row r="96" spans="1:2" ht="12.75">
      <c r="A96" s="258"/>
      <c r="B96" s="262" t="s">
        <v>1318</v>
      </c>
    </row>
    <row r="97" spans="1:2" ht="13.5" thickBot="1">
      <c r="A97" s="260"/>
      <c r="B97" s="263"/>
    </row>
    <row r="98" spans="1:2" ht="12.75">
      <c r="A98" s="258"/>
      <c r="B98" s="265"/>
    </row>
    <row r="99" spans="1:2">
      <c r="A99" s="275" t="s">
        <v>325</v>
      </c>
      <c r="B99" s="275" t="s">
        <v>37</v>
      </c>
    </row>
    <row r="100" spans="1:2" ht="12.75">
      <c r="A100" s="258"/>
      <c r="B100" s="262" t="s">
        <v>26</v>
      </c>
    </row>
    <row r="101" spans="1:2" ht="12.75">
      <c r="A101" s="258"/>
      <c r="B101" s="265" t="s">
        <v>1313</v>
      </c>
    </row>
    <row r="102" spans="1:2" ht="12.75">
      <c r="A102" s="258"/>
      <c r="B102" s="262" t="s">
        <v>27</v>
      </c>
    </row>
    <row r="103" spans="1:2" ht="12.75">
      <c r="A103" s="258"/>
      <c r="B103" s="265" t="s">
        <v>1316</v>
      </c>
    </row>
    <row r="104" spans="1:2" ht="13.5" thickBot="1">
      <c r="A104" s="260"/>
      <c r="B104" s="266"/>
    </row>
    <row r="105" spans="1:2" ht="12.75">
      <c r="A105" s="257"/>
      <c r="B105" s="268"/>
    </row>
    <row r="106" spans="1:2" ht="13.5" thickBot="1">
      <c r="A106" s="257"/>
      <c r="B106" s="257"/>
    </row>
    <row r="107" spans="1:2" ht="12.75" customHeight="1">
      <c r="A107" s="374" t="s">
        <v>1319</v>
      </c>
      <c r="B107" s="375"/>
    </row>
    <row r="108" spans="1:2" ht="13.5" customHeight="1" thickBot="1">
      <c r="A108" s="376"/>
      <c r="B108" s="377"/>
    </row>
    <row r="109" spans="1:2" ht="12.75">
      <c r="A109" s="269"/>
      <c r="B109" s="270" t="s">
        <v>1320</v>
      </c>
    </row>
    <row r="110" spans="1:2" ht="25.5">
      <c r="A110" s="258"/>
      <c r="B110" s="259" t="s">
        <v>1321</v>
      </c>
    </row>
    <row r="111" spans="1:2" ht="12.75">
      <c r="A111" s="258"/>
      <c r="B111" s="259"/>
    </row>
    <row r="112" spans="1:2" ht="12.75">
      <c r="A112" s="258"/>
      <c r="B112" s="271" t="s">
        <v>1322</v>
      </c>
    </row>
    <row r="113" spans="1:2" ht="12.75">
      <c r="A113" s="258"/>
      <c r="B113" s="259" t="s">
        <v>1323</v>
      </c>
    </row>
    <row r="114" spans="1:2" ht="12.75">
      <c r="A114" s="258"/>
      <c r="B114" s="259" t="s">
        <v>1324</v>
      </c>
    </row>
    <row r="115" spans="1:2" ht="12.75">
      <c r="A115" s="258"/>
      <c r="B115" s="259" t="s">
        <v>1325</v>
      </c>
    </row>
    <row r="116" spans="1:2" ht="12.75">
      <c r="A116" s="258"/>
      <c r="B116" s="259"/>
    </row>
    <row r="117" spans="1:2" ht="12.75">
      <c r="A117" s="258"/>
      <c r="B117" s="259" t="s">
        <v>1326</v>
      </c>
    </row>
    <row r="118" spans="1:2" ht="12.75">
      <c r="A118" s="258"/>
      <c r="B118" s="259"/>
    </row>
    <row r="119" spans="1:2" ht="12.75">
      <c r="A119" s="258"/>
      <c r="B119" s="271" t="s">
        <v>1327</v>
      </c>
    </row>
    <row r="120" spans="1:2" ht="25.5">
      <c r="A120" s="258"/>
      <c r="B120" s="259" t="s">
        <v>1328</v>
      </c>
    </row>
    <row r="121" spans="1:2" ht="12.75">
      <c r="A121" s="258"/>
      <c r="B121" s="259"/>
    </row>
    <row r="122" spans="1:2" ht="12.75">
      <c r="A122" s="258"/>
      <c r="B122" s="271" t="s">
        <v>1329</v>
      </c>
    </row>
    <row r="123" spans="1:2" ht="25.5">
      <c r="A123" s="258"/>
      <c r="B123" s="259" t="s">
        <v>1355</v>
      </c>
    </row>
    <row r="124" spans="1:2" ht="12.75">
      <c r="A124" s="258"/>
      <c r="B124" s="259"/>
    </row>
    <row r="125" spans="1:2" ht="12.75">
      <c r="A125" s="258"/>
      <c r="B125" s="271" t="s">
        <v>1330</v>
      </c>
    </row>
    <row r="126" spans="1:2" ht="25.5">
      <c r="A126" s="258"/>
      <c r="B126" s="259" t="s">
        <v>1331</v>
      </c>
    </row>
    <row r="127" spans="1:2" ht="12.75">
      <c r="A127" s="258"/>
      <c r="B127" s="259"/>
    </row>
    <row r="128" spans="1:2" ht="12.75">
      <c r="A128" s="258"/>
      <c r="B128" s="271" t="s">
        <v>1332</v>
      </c>
    </row>
    <row r="129" spans="1:2" ht="12.75">
      <c r="A129" s="258"/>
      <c r="B129" s="259" t="s">
        <v>1333</v>
      </c>
    </row>
    <row r="130" spans="1:2" ht="12.75">
      <c r="A130" s="258"/>
      <c r="B130" s="259"/>
    </row>
    <row r="131" spans="1:2" ht="12.75">
      <c r="A131" s="258"/>
      <c r="B131" s="271" t="s">
        <v>1334</v>
      </c>
    </row>
    <row r="132" spans="1:2" ht="12.75">
      <c r="A132" s="258"/>
      <c r="B132" s="259" t="s">
        <v>1335</v>
      </c>
    </row>
    <row r="133" spans="1:2" ht="12.75">
      <c r="A133" s="258"/>
      <c r="B133" s="259"/>
    </row>
    <row r="134" spans="1:2" ht="12.75">
      <c r="A134" s="258"/>
      <c r="B134" s="271" t="s">
        <v>1336</v>
      </c>
    </row>
    <row r="135" spans="1:2" ht="12.75">
      <c r="A135" s="258"/>
      <c r="B135" s="259" t="s">
        <v>1323</v>
      </c>
    </row>
    <row r="136" spans="1:2" ht="12.75">
      <c r="A136" s="258"/>
      <c r="B136" s="259" t="s">
        <v>1337</v>
      </c>
    </row>
    <row r="137" spans="1:2" ht="12.75">
      <c r="A137" s="258"/>
      <c r="B137" s="259" t="s">
        <v>1338</v>
      </c>
    </row>
    <row r="138" spans="1:2" ht="12.75">
      <c r="A138" s="258"/>
      <c r="B138" s="259" t="s">
        <v>28</v>
      </c>
    </row>
    <row r="139" spans="1:2" ht="12.75">
      <c r="A139" s="258"/>
      <c r="B139" s="259"/>
    </row>
    <row r="140" spans="1:2" ht="12.75">
      <c r="A140" s="258"/>
      <c r="B140" s="271" t="s">
        <v>1339</v>
      </c>
    </row>
    <row r="141" spans="1:2" ht="25.5">
      <c r="A141" s="258"/>
      <c r="B141" s="259" t="s">
        <v>1340</v>
      </c>
    </row>
    <row r="142" spans="1:2" ht="12.75">
      <c r="A142" s="258"/>
      <c r="B142" s="259"/>
    </row>
    <row r="143" spans="1:2" ht="12.75">
      <c r="A143" s="258"/>
      <c r="B143" s="271" t="s">
        <v>1341</v>
      </c>
    </row>
    <row r="144" spans="1:2" ht="25.5">
      <c r="A144" s="258"/>
      <c r="B144" s="259" t="s">
        <v>1342</v>
      </c>
    </row>
    <row r="145" spans="1:2" ht="15.75">
      <c r="A145" s="258"/>
      <c r="B145" s="272"/>
    </row>
    <row r="146" spans="1:2" ht="12.75">
      <c r="A146" s="258"/>
      <c r="B146" s="271" t="s">
        <v>1343</v>
      </c>
    </row>
    <row r="147" spans="1:2" ht="12.75">
      <c r="A147" s="258"/>
      <c r="B147" s="259" t="s">
        <v>1344</v>
      </c>
    </row>
    <row r="148" spans="1:2" ht="12.75">
      <c r="A148" s="258"/>
      <c r="B148" s="259"/>
    </row>
    <row r="149" spans="1:2" ht="12.75">
      <c r="A149" s="258"/>
      <c r="B149" s="271" t="s">
        <v>1345</v>
      </c>
    </row>
    <row r="150" spans="1:2" ht="25.5">
      <c r="A150" s="258"/>
      <c r="B150" s="259" t="s">
        <v>1346</v>
      </c>
    </row>
    <row r="151" spans="1:2" ht="12.75">
      <c r="A151" s="258"/>
      <c r="B151" s="259"/>
    </row>
    <row r="152" spans="1:2" ht="12.75">
      <c r="A152" s="258"/>
      <c r="B152" s="259" t="s">
        <v>1347</v>
      </c>
    </row>
    <row r="153" spans="1:2" ht="12.75">
      <c r="A153" s="258"/>
      <c r="B153" s="259"/>
    </row>
    <row r="154" spans="1:2" ht="25.5">
      <c r="A154" s="258"/>
      <c r="B154" s="259" t="s">
        <v>1348</v>
      </c>
    </row>
    <row r="155" spans="1:2" ht="12.75">
      <c r="A155" s="258"/>
      <c r="B155" s="259"/>
    </row>
    <row r="156" spans="1:2" ht="12.75">
      <c r="A156" s="258"/>
      <c r="B156" s="259" t="s">
        <v>1349</v>
      </c>
    </row>
    <row r="157" spans="1:2" ht="12.75">
      <c r="A157" s="258"/>
      <c r="B157" s="259"/>
    </row>
    <row r="158" spans="1:2" ht="12.75">
      <c r="A158" s="258"/>
      <c r="B158" s="271" t="s">
        <v>1356</v>
      </c>
    </row>
    <row r="159" spans="1:2" ht="12.75">
      <c r="A159" s="258"/>
      <c r="B159" s="259" t="s">
        <v>1357</v>
      </c>
    </row>
    <row r="160" spans="1:2" ht="12.75">
      <c r="A160" s="258"/>
      <c r="B160" s="259"/>
    </row>
    <row r="161" spans="1:2" ht="12.75">
      <c r="A161" s="258"/>
      <c r="B161" s="271" t="s">
        <v>1350</v>
      </c>
    </row>
    <row r="162" spans="1:2" ht="12.75">
      <c r="A162" s="258"/>
      <c r="B162" s="259" t="s">
        <v>1351</v>
      </c>
    </row>
    <row r="163" spans="1:2" ht="12.75">
      <c r="A163" s="258"/>
      <c r="B163" s="259"/>
    </row>
    <row r="164" spans="1:2" ht="12.75">
      <c r="A164" s="258"/>
      <c r="B164" s="271" t="s">
        <v>1352</v>
      </c>
    </row>
    <row r="165" spans="1:2" ht="12.75">
      <c r="A165" s="258"/>
      <c r="B165" s="259" t="s">
        <v>1353</v>
      </c>
    </row>
    <row r="167" spans="1:2" ht="12.75">
      <c r="B167" s="271" t="s">
        <v>1474</v>
      </c>
    </row>
    <row r="168" spans="1:2" ht="12.75">
      <c r="B168" s="259" t="s">
        <v>1472</v>
      </c>
    </row>
    <row r="169" spans="1:2">
      <c r="B169" s="9" t="s">
        <v>1477</v>
      </c>
    </row>
    <row r="171" spans="1:2" ht="12.75">
      <c r="B171" s="271" t="s">
        <v>1475</v>
      </c>
    </row>
    <row r="172" spans="1:2" ht="12.75">
      <c r="B172" s="259" t="s">
        <v>1476</v>
      </c>
    </row>
    <row r="173" spans="1:2">
      <c r="B173" s="9" t="s">
        <v>1478</v>
      </c>
    </row>
  </sheetData>
  <dataConsolidate/>
  <mergeCells count="2">
    <mergeCell ref="A1:B2"/>
    <mergeCell ref="A107:B108"/>
  </mergeCells>
  <phoneticPr fontId="19" type="noConversion"/>
  <pageMargins left="0.2" right="0.21" top="0.57999999999999996" bottom="0.59" header="0.5" footer="0.5"/>
  <pageSetup paperSize="9" scale="79" fitToHeight="0" orientation="portrait" r:id="rId1"/>
  <headerFooter alignWithMargins="0"/>
  <rowBreaks count="3" manualBreakCount="3">
    <brk id="56" max="16383" man="1"/>
    <brk id="76" max="16383" man="1"/>
    <brk id="145" max="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I85"/>
  <sheetViews>
    <sheetView view="pageBreakPreview" zoomScaleNormal="100" zoomScaleSheetLayoutView="100" workbookViewId="0">
      <selection activeCell="B14" sqref="B14:I14"/>
    </sheetView>
  </sheetViews>
  <sheetFormatPr defaultColWidth="9.140625" defaultRowHeight="18.75" customHeight="1"/>
  <cols>
    <col min="1" max="1" width="9.140625" style="80"/>
    <col min="2" max="2" width="107.85546875" style="2" bestFit="1" customWidth="1"/>
    <col min="3" max="3" width="23.42578125" style="2" customWidth="1"/>
    <col min="4" max="4" width="15.140625" style="2" customWidth="1"/>
    <col min="5" max="5" width="9.140625" style="2"/>
    <col min="6" max="6" width="17.7109375" style="2" bestFit="1" customWidth="1"/>
    <col min="7" max="16384" width="9.140625" style="2"/>
  </cols>
  <sheetData>
    <row r="1" spans="1:9" s="9" customFormat="1" ht="26.25" customHeight="1">
      <c r="A1" s="406" t="s">
        <v>198</v>
      </c>
      <c r="B1" s="406"/>
      <c r="C1" s="406"/>
      <c r="D1" s="406"/>
    </row>
    <row r="2" spans="1:9" s="9" customFormat="1" ht="18.75" customHeight="1">
      <c r="A2" s="429" t="s">
        <v>234</v>
      </c>
      <c r="B2" s="405"/>
      <c r="C2" s="405"/>
      <c r="D2" s="405"/>
    </row>
    <row r="3" spans="1:9" s="88" customFormat="1" ht="18.75" customHeight="1">
      <c r="A3" s="87"/>
    </row>
    <row r="4" spans="1:9" s="88" customFormat="1" ht="18.75" customHeight="1">
      <c r="A4" s="88" t="s">
        <v>197</v>
      </c>
    </row>
    <row r="5" spans="1:9" s="88" customFormat="1" ht="18.75" customHeight="1">
      <c r="A5" s="88" t="s">
        <v>199</v>
      </c>
    </row>
    <row r="6" spans="1:9" s="88" customFormat="1" ht="18.75" customHeight="1">
      <c r="A6" s="88" t="s">
        <v>249</v>
      </c>
    </row>
    <row r="7" spans="1:9" s="88" customFormat="1" ht="18.75" customHeight="1">
      <c r="A7" s="87"/>
      <c r="E7" s="422" t="s">
        <v>1401</v>
      </c>
      <c r="F7" s="422"/>
      <c r="G7" s="422"/>
      <c r="H7" s="422"/>
      <c r="I7" s="422"/>
    </row>
    <row r="8" spans="1:9" s="35" customFormat="1" ht="26.25" customHeight="1">
      <c r="A8" s="85"/>
      <c r="B8" s="84" t="s">
        <v>200</v>
      </c>
      <c r="C8" s="84" t="s">
        <v>166</v>
      </c>
      <c r="D8" s="37" t="s">
        <v>196</v>
      </c>
      <c r="E8" s="296" t="s">
        <v>1407</v>
      </c>
      <c r="F8" s="296" t="s">
        <v>1408</v>
      </c>
      <c r="G8" s="296" t="s">
        <v>1409</v>
      </c>
      <c r="H8" s="296" t="s">
        <v>1410</v>
      </c>
      <c r="I8" s="296" t="s">
        <v>1471</v>
      </c>
    </row>
    <row r="9" spans="1:9" ht="18.75" customHeight="1">
      <c r="A9" s="426" t="s">
        <v>215</v>
      </c>
      <c r="B9" s="84" t="s">
        <v>202</v>
      </c>
      <c r="C9" s="84" t="s">
        <v>201</v>
      </c>
      <c r="D9" s="86">
        <v>0</v>
      </c>
      <c r="E9" s="297" t="e">
        <f>(InvulRegie[[#This Row],[Prijs excl. BTW]]*Tariefsopbouw!$I$37)+InvulRegie[[#This Row],[Prijs excl. BTW]]</f>
        <v>#DIV/0!</v>
      </c>
      <c r="F9" s="297" t="e">
        <f>(InvulRegie[[#This Row],[2022]]*Tariefsopbouw!$K$37)+InvulRegie[[#This Row],[2022]]</f>
        <v>#DIV/0!</v>
      </c>
      <c r="G9" s="297" t="e">
        <f>(InvulRegie[[#This Row],[Prijs excl. BTW]]*Tariefsopbouw!$M$37)+InvulRegie[[#This Row],[2023]]</f>
        <v>#DIV/0!</v>
      </c>
      <c r="H9" s="297" t="e">
        <f>(InvulRegie[[#This Row],[2024]]*Tariefsopbouw!$O$37)+InvulRegie[[#This Row],[2024]]</f>
        <v>#DIV/0!</v>
      </c>
      <c r="I9" s="297" t="e">
        <f>(InvulRegie[[#This Row],[2025]]*Tariefsopbouw!$Q$37)+InvulRegie[[#This Row],[2025]]</f>
        <v>#DIV/0!</v>
      </c>
    </row>
    <row r="10" spans="1:9" ht="18.75" customHeight="1">
      <c r="A10" s="427"/>
      <c r="B10" s="84" t="s">
        <v>203</v>
      </c>
      <c r="C10" s="84" t="s">
        <v>201</v>
      </c>
      <c r="D10" s="86">
        <v>0</v>
      </c>
      <c r="E10" s="297" t="e">
        <f>(InvulRegie[[#This Row],[Prijs excl. BTW]]*Tariefsopbouw!$I$37)+InvulRegie[[#This Row],[Prijs excl. BTW]]</f>
        <v>#DIV/0!</v>
      </c>
      <c r="F10" s="297" t="e">
        <f>(InvulRegie[[#This Row],[2022]]*Tariefsopbouw!$K$37)+InvulRegie[[#This Row],[2022]]</f>
        <v>#DIV/0!</v>
      </c>
      <c r="G10" s="297" t="e">
        <f>(InvulRegie[[#This Row],[Prijs excl. BTW]]*Tariefsopbouw!$M$37)+InvulRegie[[#This Row],[2023]]</f>
        <v>#DIV/0!</v>
      </c>
      <c r="H10" s="297" t="e">
        <f>(InvulRegie[[#This Row],[2024]]*Tariefsopbouw!$O$37)+InvulRegie[[#This Row],[2024]]</f>
        <v>#DIV/0!</v>
      </c>
      <c r="I10" s="297" t="e">
        <f>(InvulRegie[[#This Row],[2025]]*Tariefsopbouw!$Q$37)+InvulRegie[[#This Row],[2025]]</f>
        <v>#DIV/0!</v>
      </c>
    </row>
    <row r="11" spans="1:9" ht="18.75" customHeight="1">
      <c r="A11" s="427"/>
      <c r="B11" s="84" t="s">
        <v>204</v>
      </c>
      <c r="C11" s="84" t="s">
        <v>201</v>
      </c>
      <c r="D11" s="86">
        <v>0</v>
      </c>
      <c r="E11" s="297" t="e">
        <f>(InvulRegie[[#This Row],[Prijs excl. BTW]]*Tariefsopbouw!$I$37)+InvulRegie[[#This Row],[Prijs excl. BTW]]</f>
        <v>#DIV/0!</v>
      </c>
      <c r="F11" s="297" t="e">
        <f>(InvulRegie[[#This Row],[2022]]*Tariefsopbouw!$K$37)+InvulRegie[[#This Row],[2022]]</f>
        <v>#DIV/0!</v>
      </c>
      <c r="G11" s="297" t="e">
        <f>(InvulRegie[[#This Row],[Prijs excl. BTW]]*Tariefsopbouw!$M$37)+InvulRegie[[#This Row],[2023]]</f>
        <v>#DIV/0!</v>
      </c>
      <c r="H11" s="297" t="e">
        <f>(InvulRegie[[#This Row],[2024]]*Tariefsopbouw!$O$37)+InvulRegie[[#This Row],[2024]]</f>
        <v>#DIV/0!</v>
      </c>
      <c r="I11" s="297" t="e">
        <f>(InvulRegie[[#This Row],[2025]]*Tariefsopbouw!$Q$37)+InvulRegie[[#This Row],[2025]]</f>
        <v>#DIV/0!</v>
      </c>
    </row>
    <row r="12" spans="1:9" ht="18.75" customHeight="1">
      <c r="A12" s="427"/>
      <c r="B12" s="83" t="s">
        <v>205</v>
      </c>
      <c r="C12" s="84" t="s">
        <v>201</v>
      </c>
      <c r="D12" s="86">
        <v>0</v>
      </c>
      <c r="E12" s="297" t="e">
        <f>(InvulRegie[[#This Row],[Prijs excl. BTW]]*Tariefsopbouw!$I$37)+InvulRegie[[#This Row],[Prijs excl. BTW]]</f>
        <v>#DIV/0!</v>
      </c>
      <c r="F12" s="297" t="e">
        <f>(InvulRegie[[#This Row],[2022]]*Tariefsopbouw!$K$37)+InvulRegie[[#This Row],[2022]]</f>
        <v>#DIV/0!</v>
      </c>
      <c r="G12" s="297" t="e">
        <f>(InvulRegie[[#This Row],[Prijs excl. BTW]]*Tariefsopbouw!$M$37)+InvulRegie[[#This Row],[2023]]</f>
        <v>#DIV/0!</v>
      </c>
      <c r="H12" s="297" t="e">
        <f>(InvulRegie[[#This Row],[2024]]*Tariefsopbouw!$O$37)+InvulRegie[[#This Row],[2024]]</f>
        <v>#DIV/0!</v>
      </c>
      <c r="I12" s="297" t="e">
        <f>(InvulRegie[[#This Row],[2025]]*Tariefsopbouw!$Q$37)+InvulRegie[[#This Row],[2025]]</f>
        <v>#DIV/0!</v>
      </c>
    </row>
    <row r="13" spans="1:9" ht="18.75" customHeight="1">
      <c r="A13" s="427"/>
      <c r="B13" s="83" t="s">
        <v>223</v>
      </c>
      <c r="C13" s="84" t="s">
        <v>201</v>
      </c>
      <c r="D13" s="86">
        <v>0</v>
      </c>
      <c r="E13" s="297" t="e">
        <f>(InvulRegie[[#This Row],[Prijs excl. BTW]]*Tariefsopbouw!$I$37)+InvulRegie[[#This Row],[Prijs excl. BTW]]</f>
        <v>#DIV/0!</v>
      </c>
      <c r="F13" s="297" t="e">
        <f>(InvulRegie[[#This Row],[2022]]*Tariefsopbouw!$K$37)+InvulRegie[[#This Row],[2022]]</f>
        <v>#DIV/0!</v>
      </c>
      <c r="G13" s="297" t="e">
        <f>(InvulRegie[[#This Row],[Prijs excl. BTW]]*Tariefsopbouw!$M$37)+InvulRegie[[#This Row],[2023]]</f>
        <v>#DIV/0!</v>
      </c>
      <c r="H13" s="297" t="e">
        <f>(InvulRegie[[#This Row],[2024]]*Tariefsopbouw!$O$37)+InvulRegie[[#This Row],[2024]]</f>
        <v>#DIV/0!</v>
      </c>
      <c r="I13" s="297" t="e">
        <f>(InvulRegie[[#This Row],[2025]]*Tariefsopbouw!$Q$37)+InvulRegie[[#This Row],[2025]]</f>
        <v>#DIV/0!</v>
      </c>
    </row>
    <row r="14" spans="1:9" ht="18.75" customHeight="1">
      <c r="A14" s="428"/>
      <c r="B14" s="84" t="s">
        <v>211</v>
      </c>
      <c r="C14" s="84" t="s">
        <v>201</v>
      </c>
      <c r="D14" s="86">
        <v>0</v>
      </c>
      <c r="E14" s="297" t="e">
        <f>(InvulRegie[[#This Row],[Prijs excl. BTW]]*Tariefsopbouw!$I$37)+InvulRegie[[#This Row],[Prijs excl. BTW]]</f>
        <v>#DIV/0!</v>
      </c>
      <c r="F14" s="297" t="e">
        <f>(InvulRegie[[#This Row],[2022]]*Tariefsopbouw!$K$37)+InvulRegie[[#This Row],[2022]]</f>
        <v>#DIV/0!</v>
      </c>
      <c r="G14" s="297" t="e">
        <f>(InvulRegie[[#This Row],[Prijs excl. BTW]]*Tariefsopbouw!$M$37)+InvulRegie[[#This Row],[2023]]</f>
        <v>#DIV/0!</v>
      </c>
      <c r="H14" s="297" t="e">
        <f>(InvulRegie[[#This Row],[2024]]*Tariefsopbouw!$O$37)+InvulRegie[[#This Row],[2024]]</f>
        <v>#DIV/0!</v>
      </c>
      <c r="I14" s="297" t="e">
        <f>(InvulRegie[[#This Row],[2025]]*Tariefsopbouw!$Q$37)+InvulRegie[[#This Row],[2025]]</f>
        <v>#DIV/0!</v>
      </c>
    </row>
    <row r="15" spans="1:9" ht="18.75" customHeight="1">
      <c r="A15" s="426" t="s">
        <v>145</v>
      </c>
      <c r="B15" s="84" t="s">
        <v>52</v>
      </c>
      <c r="C15" s="84" t="s">
        <v>53</v>
      </c>
      <c r="D15" s="86">
        <v>0</v>
      </c>
      <c r="E15" s="297" t="e">
        <f>(InvulRegie[[#This Row],[Prijs excl. BTW]]*Tariefsopbouw!$I$37)+InvulRegie[[#This Row],[Prijs excl. BTW]]</f>
        <v>#DIV/0!</v>
      </c>
      <c r="F15" s="297" t="e">
        <f>(InvulRegie[[#This Row],[2022]]*Tariefsopbouw!$K$37)+InvulRegie[[#This Row],[2022]]</f>
        <v>#DIV/0!</v>
      </c>
      <c r="G15" s="297" t="e">
        <f>(InvulRegie[[#This Row],[Prijs excl. BTW]]*Tariefsopbouw!$M$37)+InvulRegie[[#This Row],[2023]]</f>
        <v>#DIV/0!</v>
      </c>
      <c r="H15" s="297" t="e">
        <f>(InvulRegie[[#This Row],[2024]]*Tariefsopbouw!$O$37)+InvulRegie[[#This Row],[2024]]</f>
        <v>#DIV/0!</v>
      </c>
      <c r="I15" s="297" t="e">
        <f>(InvulRegie[[#This Row],[2025]]*Tariefsopbouw!$Q$37)+InvulRegie[[#This Row],[2025]]</f>
        <v>#DIV/0!</v>
      </c>
    </row>
    <row r="16" spans="1:9" ht="18.75" customHeight="1">
      <c r="A16" s="427"/>
      <c r="B16" s="84" t="s">
        <v>54</v>
      </c>
      <c r="C16" s="84" t="s">
        <v>206</v>
      </c>
      <c r="D16" s="86">
        <v>0</v>
      </c>
      <c r="E16" s="297" t="e">
        <f>(InvulRegie[[#This Row],[Prijs excl. BTW]]*Tariefsopbouw!$I$37)+InvulRegie[[#This Row],[Prijs excl. BTW]]</f>
        <v>#DIV/0!</v>
      </c>
      <c r="F16" s="297" t="e">
        <f>(InvulRegie[[#This Row],[2022]]*Tariefsopbouw!$K$37)+InvulRegie[[#This Row],[2022]]</f>
        <v>#DIV/0!</v>
      </c>
      <c r="G16" s="297" t="e">
        <f>(InvulRegie[[#This Row],[Prijs excl. BTW]]*Tariefsopbouw!$M$37)+InvulRegie[[#This Row],[2023]]</f>
        <v>#DIV/0!</v>
      </c>
      <c r="H16" s="297" t="e">
        <f>(InvulRegie[[#This Row],[2024]]*Tariefsopbouw!$O$37)+InvulRegie[[#This Row],[2024]]</f>
        <v>#DIV/0!</v>
      </c>
      <c r="I16" s="297" t="e">
        <f>(InvulRegie[[#This Row],[2025]]*Tariefsopbouw!$Q$37)+InvulRegie[[#This Row],[2025]]</f>
        <v>#DIV/0!</v>
      </c>
    </row>
    <row r="17" spans="1:9" ht="18.75" customHeight="1">
      <c r="A17" s="427"/>
      <c r="B17" s="84" t="s">
        <v>207</v>
      </c>
      <c r="C17" s="84" t="s">
        <v>206</v>
      </c>
      <c r="D17" s="86">
        <v>0</v>
      </c>
      <c r="E17" s="297" t="e">
        <f>(InvulRegie[[#This Row],[Prijs excl. BTW]]*Tariefsopbouw!$I$37)+InvulRegie[[#This Row],[Prijs excl. BTW]]</f>
        <v>#DIV/0!</v>
      </c>
      <c r="F17" s="297" t="e">
        <f>(InvulRegie[[#This Row],[2022]]*Tariefsopbouw!$K$37)+InvulRegie[[#This Row],[2022]]</f>
        <v>#DIV/0!</v>
      </c>
      <c r="G17" s="297" t="e">
        <f>(InvulRegie[[#This Row],[Prijs excl. BTW]]*Tariefsopbouw!$M$37)+InvulRegie[[#This Row],[2023]]</f>
        <v>#DIV/0!</v>
      </c>
      <c r="H17" s="297" t="e">
        <f>(InvulRegie[[#This Row],[2024]]*Tariefsopbouw!$O$37)+InvulRegie[[#This Row],[2024]]</f>
        <v>#DIV/0!</v>
      </c>
      <c r="I17" s="297" t="e">
        <f>(InvulRegie[[#This Row],[2025]]*Tariefsopbouw!$Q$37)+InvulRegie[[#This Row],[2025]]</f>
        <v>#DIV/0!</v>
      </c>
    </row>
    <row r="18" spans="1:9" ht="18.75" customHeight="1">
      <c r="A18" s="427"/>
      <c r="B18" s="84" t="s">
        <v>208</v>
      </c>
      <c r="C18" s="84" t="s">
        <v>55</v>
      </c>
      <c r="D18" s="86">
        <v>0</v>
      </c>
      <c r="E18" s="297" t="e">
        <f>(InvulRegie[[#This Row],[Prijs excl. BTW]]*Tariefsopbouw!$I$37)+InvulRegie[[#This Row],[Prijs excl. BTW]]</f>
        <v>#DIV/0!</v>
      </c>
      <c r="F18" s="297" t="e">
        <f>(InvulRegie[[#This Row],[2022]]*Tariefsopbouw!$K$37)+InvulRegie[[#This Row],[2022]]</f>
        <v>#DIV/0!</v>
      </c>
      <c r="G18" s="297" t="e">
        <f>(InvulRegie[[#This Row],[Prijs excl. BTW]]*Tariefsopbouw!$M$37)+InvulRegie[[#This Row],[2023]]</f>
        <v>#DIV/0!</v>
      </c>
      <c r="H18" s="297" t="e">
        <f>(InvulRegie[[#This Row],[2024]]*Tariefsopbouw!$O$37)+InvulRegie[[#This Row],[2024]]</f>
        <v>#DIV/0!</v>
      </c>
      <c r="I18" s="297" t="e">
        <f>(InvulRegie[[#This Row],[2025]]*Tariefsopbouw!$Q$37)+InvulRegie[[#This Row],[2025]]</f>
        <v>#DIV/0!</v>
      </c>
    </row>
    <row r="19" spans="1:9" ht="18.75" customHeight="1">
      <c r="A19" s="427"/>
      <c r="B19" s="84" t="s">
        <v>271</v>
      </c>
      <c r="C19" s="84" t="s">
        <v>55</v>
      </c>
      <c r="D19" s="86">
        <v>0</v>
      </c>
      <c r="E19" s="297" t="e">
        <f>(InvulRegie[[#This Row],[Prijs excl. BTW]]*Tariefsopbouw!$I$37)+InvulRegie[[#This Row],[Prijs excl. BTW]]</f>
        <v>#DIV/0!</v>
      </c>
      <c r="F19" s="297" t="e">
        <f>(InvulRegie[[#This Row],[2022]]*Tariefsopbouw!$K$37)+InvulRegie[[#This Row],[2022]]</f>
        <v>#DIV/0!</v>
      </c>
      <c r="G19" s="297" t="e">
        <f>(InvulRegie[[#This Row],[Prijs excl. BTW]]*Tariefsopbouw!$M$37)+InvulRegie[[#This Row],[2023]]</f>
        <v>#DIV/0!</v>
      </c>
      <c r="H19" s="297" t="e">
        <f>(InvulRegie[[#This Row],[2024]]*Tariefsopbouw!$O$37)+InvulRegie[[#This Row],[2024]]</f>
        <v>#DIV/0!</v>
      </c>
      <c r="I19" s="297" t="e">
        <f>(InvulRegie[[#This Row],[2025]]*Tariefsopbouw!$Q$37)+InvulRegie[[#This Row],[2025]]</f>
        <v>#DIV/0!</v>
      </c>
    </row>
    <row r="20" spans="1:9" ht="18.75" customHeight="1">
      <c r="A20" s="427"/>
      <c r="B20" s="84" t="s">
        <v>209</v>
      </c>
      <c r="C20" s="84" t="s">
        <v>55</v>
      </c>
      <c r="D20" s="86">
        <v>0</v>
      </c>
      <c r="E20" s="297" t="e">
        <f>(InvulRegie[[#This Row],[Prijs excl. BTW]]*Tariefsopbouw!$I$37)+InvulRegie[[#This Row],[Prijs excl. BTW]]</f>
        <v>#DIV/0!</v>
      </c>
      <c r="F20" s="297" t="e">
        <f>(InvulRegie[[#This Row],[2022]]*Tariefsopbouw!$K$37)+InvulRegie[[#This Row],[2022]]</f>
        <v>#DIV/0!</v>
      </c>
      <c r="G20" s="297" t="e">
        <f>(InvulRegie[[#This Row],[Prijs excl. BTW]]*Tariefsopbouw!$M$37)+InvulRegie[[#This Row],[2023]]</f>
        <v>#DIV/0!</v>
      </c>
      <c r="H20" s="297" t="e">
        <f>(InvulRegie[[#This Row],[2024]]*Tariefsopbouw!$O$37)+InvulRegie[[#This Row],[2024]]</f>
        <v>#DIV/0!</v>
      </c>
      <c r="I20" s="297" t="e">
        <f>(InvulRegie[[#This Row],[2025]]*Tariefsopbouw!$Q$37)+InvulRegie[[#This Row],[2025]]</f>
        <v>#DIV/0!</v>
      </c>
    </row>
    <row r="21" spans="1:9" ht="18.75" customHeight="1">
      <c r="A21" s="428"/>
      <c r="B21" s="84" t="s">
        <v>210</v>
      </c>
      <c r="C21" s="84" t="s">
        <v>55</v>
      </c>
      <c r="D21" s="86">
        <v>0</v>
      </c>
      <c r="E21" s="297" t="e">
        <f>(InvulRegie[[#This Row],[Prijs excl. BTW]]*Tariefsopbouw!$I$37)+InvulRegie[[#This Row],[Prijs excl. BTW]]</f>
        <v>#DIV/0!</v>
      </c>
      <c r="F21" s="297" t="e">
        <f>(InvulRegie[[#This Row],[2022]]*Tariefsopbouw!$K$37)+InvulRegie[[#This Row],[2022]]</f>
        <v>#DIV/0!</v>
      </c>
      <c r="G21" s="297" t="e">
        <f>(InvulRegie[[#This Row],[Prijs excl. BTW]]*Tariefsopbouw!$M$37)+InvulRegie[[#This Row],[2023]]</f>
        <v>#DIV/0!</v>
      </c>
      <c r="H21" s="297" t="e">
        <f>(InvulRegie[[#This Row],[2024]]*Tariefsopbouw!$O$37)+InvulRegie[[#This Row],[2024]]</f>
        <v>#DIV/0!</v>
      </c>
      <c r="I21" s="297" t="e">
        <f>(InvulRegie[[#This Row],[2025]]*Tariefsopbouw!$Q$37)+InvulRegie[[#This Row],[2025]]</f>
        <v>#DIV/0!</v>
      </c>
    </row>
    <row r="22" spans="1:9" ht="18.75" customHeight="1">
      <c r="A22" s="426" t="s">
        <v>212</v>
      </c>
      <c r="B22" s="84" t="s">
        <v>68</v>
      </c>
      <c r="C22" s="84" t="s">
        <v>60</v>
      </c>
      <c r="D22" s="86">
        <v>0</v>
      </c>
      <c r="E22" s="297" t="e">
        <f>(InvulRegie[[#This Row],[Prijs excl. BTW]]*Tariefsopbouw!$I$37)+InvulRegie[[#This Row],[Prijs excl. BTW]]</f>
        <v>#DIV/0!</v>
      </c>
      <c r="F22" s="297" t="e">
        <f>(InvulRegie[[#This Row],[2022]]*Tariefsopbouw!$K$37)+InvulRegie[[#This Row],[2022]]</f>
        <v>#DIV/0!</v>
      </c>
      <c r="G22" s="297" t="e">
        <f>(InvulRegie[[#This Row],[Prijs excl. BTW]]*Tariefsopbouw!$M$37)+InvulRegie[[#This Row],[2023]]</f>
        <v>#DIV/0!</v>
      </c>
      <c r="H22" s="297" t="e">
        <f>(InvulRegie[[#This Row],[2024]]*Tariefsopbouw!$O$37)+InvulRegie[[#This Row],[2024]]</f>
        <v>#DIV/0!</v>
      </c>
      <c r="I22" s="297" t="e">
        <f>(InvulRegie[[#This Row],[2025]]*Tariefsopbouw!$Q$37)+InvulRegie[[#This Row],[2025]]</f>
        <v>#DIV/0!</v>
      </c>
    </row>
    <row r="23" spans="1:9" ht="18.75" customHeight="1">
      <c r="A23" s="428"/>
      <c r="B23" s="84" t="s">
        <v>56</v>
      </c>
      <c r="C23" s="84" t="s">
        <v>85</v>
      </c>
      <c r="D23" s="86">
        <v>0</v>
      </c>
      <c r="E23" s="297" t="e">
        <f>(InvulRegie[[#This Row],[Prijs excl. BTW]]*Tariefsopbouw!$I$37)+InvulRegie[[#This Row],[Prijs excl. BTW]]</f>
        <v>#DIV/0!</v>
      </c>
      <c r="F23" s="297" t="e">
        <f>(InvulRegie[[#This Row],[2022]]*Tariefsopbouw!$K$37)+InvulRegie[[#This Row],[2022]]</f>
        <v>#DIV/0!</v>
      </c>
      <c r="G23" s="297" t="e">
        <f>(InvulRegie[[#This Row],[Prijs excl. BTW]]*Tariefsopbouw!$M$37)+InvulRegie[[#This Row],[2023]]</f>
        <v>#DIV/0!</v>
      </c>
      <c r="H23" s="297" t="e">
        <f>(InvulRegie[[#This Row],[2024]]*Tariefsopbouw!$O$37)+InvulRegie[[#This Row],[2024]]</f>
        <v>#DIV/0!</v>
      </c>
      <c r="I23" s="297" t="e">
        <f>(InvulRegie[[#This Row],[2025]]*Tariefsopbouw!$Q$37)+InvulRegie[[#This Row],[2025]]</f>
        <v>#DIV/0!</v>
      </c>
    </row>
    <row r="24" spans="1:9" ht="18.75" customHeight="1">
      <c r="A24" s="426" t="s">
        <v>224</v>
      </c>
      <c r="B24" s="84" t="s">
        <v>213</v>
      </c>
      <c r="C24" s="84" t="s">
        <v>214</v>
      </c>
      <c r="D24" s="86">
        <v>0</v>
      </c>
      <c r="E24" s="297" t="e">
        <f>(InvulRegie[[#This Row],[Prijs excl. BTW]]*Tariefsopbouw!$I$37)+InvulRegie[[#This Row],[Prijs excl. BTW]]</f>
        <v>#DIV/0!</v>
      </c>
      <c r="F24" s="297" t="e">
        <f>(InvulRegie[[#This Row],[2022]]*Tariefsopbouw!$K$37)+InvulRegie[[#This Row],[2022]]</f>
        <v>#DIV/0!</v>
      </c>
      <c r="G24" s="297" t="e">
        <f>(InvulRegie[[#This Row],[Prijs excl. BTW]]*Tariefsopbouw!$M$37)+InvulRegie[[#This Row],[2023]]</f>
        <v>#DIV/0!</v>
      </c>
      <c r="H24" s="297" t="e">
        <f>(InvulRegie[[#This Row],[2024]]*Tariefsopbouw!$O$37)+InvulRegie[[#This Row],[2024]]</f>
        <v>#DIV/0!</v>
      </c>
      <c r="I24" s="297" t="e">
        <f>(InvulRegie[[#This Row],[2025]]*Tariefsopbouw!$Q$37)+InvulRegie[[#This Row],[2025]]</f>
        <v>#DIV/0!</v>
      </c>
    </row>
    <row r="25" spans="1:9" ht="18.75" customHeight="1">
      <c r="A25" s="427"/>
      <c r="B25" s="84" t="s">
        <v>264</v>
      </c>
      <c r="C25" s="84" t="s">
        <v>214</v>
      </c>
      <c r="D25" s="86">
        <v>0</v>
      </c>
      <c r="E25" s="297" t="e">
        <f>(InvulRegie[[#This Row],[Prijs excl. BTW]]*Tariefsopbouw!$I$37)+InvulRegie[[#This Row],[Prijs excl. BTW]]</f>
        <v>#DIV/0!</v>
      </c>
      <c r="F25" s="297" t="e">
        <f>(InvulRegie[[#This Row],[2022]]*Tariefsopbouw!$K$37)+InvulRegie[[#This Row],[2022]]</f>
        <v>#DIV/0!</v>
      </c>
      <c r="G25" s="297" t="e">
        <f>(InvulRegie[[#This Row],[Prijs excl. BTW]]*Tariefsopbouw!$M$37)+InvulRegie[[#This Row],[2023]]</f>
        <v>#DIV/0!</v>
      </c>
      <c r="H25" s="297" t="e">
        <f>(InvulRegie[[#This Row],[2024]]*Tariefsopbouw!$O$37)+InvulRegie[[#This Row],[2024]]</f>
        <v>#DIV/0!</v>
      </c>
      <c r="I25" s="297" t="e">
        <f>(InvulRegie[[#This Row],[2025]]*Tariefsopbouw!$Q$37)+InvulRegie[[#This Row],[2025]]</f>
        <v>#DIV/0!</v>
      </c>
    </row>
    <row r="26" spans="1:9" ht="18.75" customHeight="1">
      <c r="A26" s="427"/>
      <c r="B26" s="84" t="s">
        <v>266</v>
      </c>
      <c r="C26" s="84" t="s">
        <v>214</v>
      </c>
      <c r="D26" s="86">
        <v>0</v>
      </c>
      <c r="E26" s="297" t="e">
        <f>(InvulRegie[[#This Row],[Prijs excl. BTW]]*Tariefsopbouw!$I$37)+InvulRegie[[#This Row],[Prijs excl. BTW]]</f>
        <v>#DIV/0!</v>
      </c>
      <c r="F26" s="297" t="e">
        <f>(InvulRegie[[#This Row],[2022]]*Tariefsopbouw!$K$37)+InvulRegie[[#This Row],[2022]]</f>
        <v>#DIV/0!</v>
      </c>
      <c r="G26" s="297" t="e">
        <f>(InvulRegie[[#This Row],[Prijs excl. BTW]]*Tariefsopbouw!$M$37)+InvulRegie[[#This Row],[2023]]</f>
        <v>#DIV/0!</v>
      </c>
      <c r="H26" s="297" t="e">
        <f>(InvulRegie[[#This Row],[2024]]*Tariefsopbouw!$O$37)+InvulRegie[[#This Row],[2024]]</f>
        <v>#DIV/0!</v>
      </c>
      <c r="I26" s="297" t="e">
        <f>(InvulRegie[[#This Row],[2025]]*Tariefsopbouw!$Q$37)+InvulRegie[[#This Row],[2025]]</f>
        <v>#DIV/0!</v>
      </c>
    </row>
    <row r="27" spans="1:9" ht="18.75" customHeight="1">
      <c r="A27" s="427"/>
      <c r="B27" s="84" t="s">
        <v>265</v>
      </c>
      <c r="C27" s="84" t="s">
        <v>214</v>
      </c>
      <c r="D27" s="86">
        <v>0</v>
      </c>
      <c r="E27" s="297" t="e">
        <f>(InvulRegie[[#This Row],[Prijs excl. BTW]]*Tariefsopbouw!$I$37)+InvulRegie[[#This Row],[Prijs excl. BTW]]</f>
        <v>#DIV/0!</v>
      </c>
      <c r="F27" s="297" t="e">
        <f>(InvulRegie[[#This Row],[2022]]*Tariefsopbouw!$K$37)+InvulRegie[[#This Row],[2022]]</f>
        <v>#DIV/0!</v>
      </c>
      <c r="G27" s="297" t="e">
        <f>(InvulRegie[[#This Row],[Prijs excl. BTW]]*Tariefsopbouw!$M$37)+InvulRegie[[#This Row],[2023]]</f>
        <v>#DIV/0!</v>
      </c>
      <c r="H27" s="297" t="e">
        <f>(InvulRegie[[#This Row],[2024]]*Tariefsopbouw!$O$37)+InvulRegie[[#This Row],[2024]]</f>
        <v>#DIV/0!</v>
      </c>
      <c r="I27" s="297" t="e">
        <f>(InvulRegie[[#This Row],[2025]]*Tariefsopbouw!$Q$37)+InvulRegie[[#This Row],[2025]]</f>
        <v>#DIV/0!</v>
      </c>
    </row>
    <row r="28" spans="1:9" ht="18.75" customHeight="1">
      <c r="A28" s="428"/>
      <c r="B28" s="84" t="s">
        <v>59</v>
      </c>
      <c r="C28" s="84" t="s">
        <v>214</v>
      </c>
      <c r="D28" s="86">
        <v>0</v>
      </c>
      <c r="E28" s="297" t="e">
        <f>(InvulRegie[[#This Row],[Prijs excl. BTW]]*Tariefsopbouw!$I$37)+InvulRegie[[#This Row],[Prijs excl. BTW]]</f>
        <v>#DIV/0!</v>
      </c>
      <c r="F28" s="297" t="e">
        <f>(InvulRegie[[#This Row],[2022]]*Tariefsopbouw!$K$37)+InvulRegie[[#This Row],[2022]]</f>
        <v>#DIV/0!</v>
      </c>
      <c r="G28" s="297" t="e">
        <f>(InvulRegie[[#This Row],[Prijs excl. BTW]]*Tariefsopbouw!$M$37)+InvulRegie[[#This Row],[2023]]</f>
        <v>#DIV/0!</v>
      </c>
      <c r="H28" s="297" t="e">
        <f>(InvulRegie[[#This Row],[2024]]*Tariefsopbouw!$O$37)+InvulRegie[[#This Row],[2024]]</f>
        <v>#DIV/0!</v>
      </c>
      <c r="I28" s="297" t="e">
        <f>(InvulRegie[[#This Row],[2025]]*Tariefsopbouw!$Q$37)+InvulRegie[[#This Row],[2025]]</f>
        <v>#DIV/0!</v>
      </c>
    </row>
    <row r="29" spans="1:9" ht="18.75" customHeight="1">
      <c r="A29" s="426" t="s">
        <v>219</v>
      </c>
      <c r="B29" s="84" t="s">
        <v>61</v>
      </c>
      <c r="C29" s="84" t="s">
        <v>60</v>
      </c>
      <c r="D29" s="86">
        <v>0</v>
      </c>
      <c r="E29" s="297" t="e">
        <f>(InvulRegie[[#This Row],[Prijs excl. BTW]]*Tariefsopbouw!$I$37)+InvulRegie[[#This Row],[Prijs excl. BTW]]</f>
        <v>#DIV/0!</v>
      </c>
      <c r="F29" s="297" t="e">
        <f>(InvulRegie[[#This Row],[2022]]*Tariefsopbouw!$K$37)+InvulRegie[[#This Row],[2022]]</f>
        <v>#DIV/0!</v>
      </c>
      <c r="G29" s="297" t="e">
        <f>(InvulRegie[[#This Row],[Prijs excl. BTW]]*Tariefsopbouw!$M$37)+InvulRegie[[#This Row],[2023]]</f>
        <v>#DIV/0!</v>
      </c>
      <c r="H29" s="297" t="e">
        <f>(InvulRegie[[#This Row],[2024]]*Tariefsopbouw!$O$37)+InvulRegie[[#This Row],[2024]]</f>
        <v>#DIV/0!</v>
      </c>
      <c r="I29" s="297" t="e">
        <f>(InvulRegie[[#This Row],[2025]]*Tariefsopbouw!$Q$37)+InvulRegie[[#This Row],[2025]]</f>
        <v>#DIV/0!</v>
      </c>
    </row>
    <row r="30" spans="1:9" ht="18.75" customHeight="1">
      <c r="A30" s="427"/>
      <c r="B30" s="84" t="s">
        <v>62</v>
      </c>
      <c r="C30" s="84" t="s">
        <v>60</v>
      </c>
      <c r="D30" s="86">
        <v>0</v>
      </c>
      <c r="E30" s="297" t="e">
        <f>(InvulRegie[[#This Row],[Prijs excl. BTW]]*Tariefsopbouw!$I$37)+InvulRegie[[#This Row],[Prijs excl. BTW]]</f>
        <v>#DIV/0!</v>
      </c>
      <c r="F30" s="297" t="e">
        <f>(InvulRegie[[#This Row],[2022]]*Tariefsopbouw!$K$37)+InvulRegie[[#This Row],[2022]]</f>
        <v>#DIV/0!</v>
      </c>
      <c r="G30" s="297" t="e">
        <f>(InvulRegie[[#This Row],[Prijs excl. BTW]]*Tariefsopbouw!$M$37)+InvulRegie[[#This Row],[2023]]</f>
        <v>#DIV/0!</v>
      </c>
      <c r="H30" s="297" t="e">
        <f>(InvulRegie[[#This Row],[2024]]*Tariefsopbouw!$O$37)+InvulRegie[[#This Row],[2024]]</f>
        <v>#DIV/0!</v>
      </c>
      <c r="I30" s="297" t="e">
        <f>(InvulRegie[[#This Row],[2025]]*Tariefsopbouw!$Q$37)+InvulRegie[[#This Row],[2025]]</f>
        <v>#DIV/0!</v>
      </c>
    </row>
    <row r="31" spans="1:9" ht="18.75" customHeight="1">
      <c r="A31" s="427"/>
      <c r="B31" s="84" t="s">
        <v>63</v>
      </c>
      <c r="C31" s="84" t="s">
        <v>60</v>
      </c>
      <c r="D31" s="86">
        <v>0</v>
      </c>
      <c r="E31" s="297" t="e">
        <f>(InvulRegie[[#This Row],[Prijs excl. BTW]]*Tariefsopbouw!$I$37)+InvulRegie[[#This Row],[Prijs excl. BTW]]</f>
        <v>#DIV/0!</v>
      </c>
      <c r="F31" s="297" t="e">
        <f>(InvulRegie[[#This Row],[2022]]*Tariefsopbouw!$K$37)+InvulRegie[[#This Row],[2022]]</f>
        <v>#DIV/0!</v>
      </c>
      <c r="G31" s="297" t="e">
        <f>(InvulRegie[[#This Row],[Prijs excl. BTW]]*Tariefsopbouw!$M$37)+InvulRegie[[#This Row],[2023]]</f>
        <v>#DIV/0!</v>
      </c>
      <c r="H31" s="297" t="e">
        <f>(InvulRegie[[#This Row],[2024]]*Tariefsopbouw!$O$37)+InvulRegie[[#This Row],[2024]]</f>
        <v>#DIV/0!</v>
      </c>
      <c r="I31" s="297" t="e">
        <f>(InvulRegie[[#This Row],[2025]]*Tariefsopbouw!$Q$37)+InvulRegie[[#This Row],[2025]]</f>
        <v>#DIV/0!</v>
      </c>
    </row>
    <row r="32" spans="1:9" ht="18.75" customHeight="1">
      <c r="A32" s="427"/>
      <c r="B32" s="84" t="s">
        <v>64</v>
      </c>
      <c r="C32" s="84" t="s">
        <v>60</v>
      </c>
      <c r="D32" s="86">
        <v>0</v>
      </c>
      <c r="E32" s="297" t="e">
        <f>(InvulRegie[[#This Row],[Prijs excl. BTW]]*Tariefsopbouw!$I$37)+InvulRegie[[#This Row],[Prijs excl. BTW]]</f>
        <v>#DIV/0!</v>
      </c>
      <c r="F32" s="297" t="e">
        <f>(InvulRegie[[#This Row],[2022]]*Tariefsopbouw!$K$37)+InvulRegie[[#This Row],[2022]]</f>
        <v>#DIV/0!</v>
      </c>
      <c r="G32" s="297" t="e">
        <f>(InvulRegie[[#This Row],[Prijs excl. BTW]]*Tariefsopbouw!$M$37)+InvulRegie[[#This Row],[2023]]</f>
        <v>#DIV/0!</v>
      </c>
      <c r="H32" s="297" t="e">
        <f>(InvulRegie[[#This Row],[2024]]*Tariefsopbouw!$O$37)+InvulRegie[[#This Row],[2024]]</f>
        <v>#DIV/0!</v>
      </c>
      <c r="I32" s="297" t="e">
        <f>(InvulRegie[[#This Row],[2025]]*Tariefsopbouw!$Q$37)+InvulRegie[[#This Row],[2025]]</f>
        <v>#DIV/0!</v>
      </c>
    </row>
    <row r="33" spans="1:9" ht="18.75" customHeight="1">
      <c r="A33" s="428"/>
      <c r="B33" s="84" t="s">
        <v>57</v>
      </c>
      <c r="C33" s="84" t="s">
        <v>58</v>
      </c>
      <c r="D33" s="86">
        <v>0</v>
      </c>
      <c r="E33" s="297" t="e">
        <f>(InvulRegie[[#This Row],[Prijs excl. BTW]]*Tariefsopbouw!$I$37)+InvulRegie[[#This Row],[Prijs excl. BTW]]</f>
        <v>#DIV/0!</v>
      </c>
      <c r="F33" s="297" t="e">
        <f>(InvulRegie[[#This Row],[2022]]*Tariefsopbouw!$K$37)+InvulRegie[[#This Row],[2022]]</f>
        <v>#DIV/0!</v>
      </c>
      <c r="G33" s="297" t="e">
        <f>(InvulRegie[[#This Row],[Prijs excl. BTW]]*Tariefsopbouw!$M$37)+InvulRegie[[#This Row],[2023]]</f>
        <v>#DIV/0!</v>
      </c>
      <c r="H33" s="297" t="e">
        <f>(InvulRegie[[#This Row],[2024]]*Tariefsopbouw!$O$37)+InvulRegie[[#This Row],[2024]]</f>
        <v>#DIV/0!</v>
      </c>
      <c r="I33" s="297" t="e">
        <f>(InvulRegie[[#This Row],[2025]]*Tariefsopbouw!$Q$37)+InvulRegie[[#This Row],[2025]]</f>
        <v>#DIV/0!</v>
      </c>
    </row>
    <row r="34" spans="1:9" ht="18.75" customHeight="1">
      <c r="A34" s="423" t="s">
        <v>220</v>
      </c>
      <c r="B34" s="84" t="s">
        <v>65</v>
      </c>
      <c r="C34" s="84" t="s">
        <v>248</v>
      </c>
      <c r="D34" s="86">
        <v>0</v>
      </c>
      <c r="E34" s="297" t="e">
        <f>(InvulRegie[[#This Row],[Prijs excl. BTW]]*Tariefsopbouw!$I$37)+InvulRegie[[#This Row],[Prijs excl. BTW]]</f>
        <v>#DIV/0!</v>
      </c>
      <c r="F34" s="297" t="e">
        <f>(InvulRegie[[#This Row],[2022]]*Tariefsopbouw!$K$37)+InvulRegie[[#This Row],[2022]]</f>
        <v>#DIV/0!</v>
      </c>
      <c r="G34" s="297" t="e">
        <f>(InvulRegie[[#This Row],[Prijs excl. BTW]]*Tariefsopbouw!$M$37)+InvulRegie[[#This Row],[2023]]</f>
        <v>#DIV/0!</v>
      </c>
      <c r="H34" s="297" t="e">
        <f>(InvulRegie[[#This Row],[2024]]*Tariefsopbouw!$O$37)+InvulRegie[[#This Row],[2024]]</f>
        <v>#DIV/0!</v>
      </c>
      <c r="I34" s="297" t="e">
        <f>(InvulRegie[[#This Row],[2025]]*Tariefsopbouw!$Q$37)+InvulRegie[[#This Row],[2025]]</f>
        <v>#DIV/0!</v>
      </c>
    </row>
    <row r="35" spans="1:9" ht="18.75" customHeight="1">
      <c r="A35" s="424"/>
      <c r="B35" s="84" t="s">
        <v>66</v>
      </c>
      <c r="C35" s="84" t="s">
        <v>67</v>
      </c>
      <c r="D35" s="86">
        <v>0</v>
      </c>
      <c r="E35" s="297" t="e">
        <f>(InvulRegie[[#This Row],[Prijs excl. BTW]]*Tariefsopbouw!$I$37)+InvulRegie[[#This Row],[Prijs excl. BTW]]</f>
        <v>#DIV/0!</v>
      </c>
      <c r="F35" s="297" t="e">
        <f>(InvulRegie[[#This Row],[2022]]*Tariefsopbouw!$K$37)+InvulRegie[[#This Row],[2022]]</f>
        <v>#DIV/0!</v>
      </c>
      <c r="G35" s="297" t="e">
        <f>(InvulRegie[[#This Row],[Prijs excl. BTW]]*Tariefsopbouw!$M$37)+InvulRegie[[#This Row],[2023]]</f>
        <v>#DIV/0!</v>
      </c>
      <c r="H35" s="297" t="e">
        <f>(InvulRegie[[#This Row],[2024]]*Tariefsopbouw!$O$37)+InvulRegie[[#This Row],[2024]]</f>
        <v>#DIV/0!</v>
      </c>
      <c r="I35" s="297" t="e">
        <f>(InvulRegie[[#This Row],[2025]]*Tariefsopbouw!$Q$37)+InvulRegie[[#This Row],[2025]]</f>
        <v>#DIV/0!</v>
      </c>
    </row>
    <row r="36" spans="1:9" ht="18.75" customHeight="1">
      <c r="A36" s="424"/>
      <c r="B36" s="84" t="s">
        <v>221</v>
      </c>
      <c r="C36" s="84" t="s">
        <v>67</v>
      </c>
      <c r="D36" s="86">
        <v>0</v>
      </c>
      <c r="E36" s="297" t="e">
        <f>(InvulRegie[[#This Row],[Prijs excl. BTW]]*Tariefsopbouw!$I$37)+InvulRegie[[#This Row],[Prijs excl. BTW]]</f>
        <v>#DIV/0!</v>
      </c>
      <c r="F36" s="297" t="e">
        <f>(InvulRegie[[#This Row],[2022]]*Tariefsopbouw!$K$37)+InvulRegie[[#This Row],[2022]]</f>
        <v>#DIV/0!</v>
      </c>
      <c r="G36" s="297" t="e">
        <f>(InvulRegie[[#This Row],[Prijs excl. BTW]]*Tariefsopbouw!$M$37)+InvulRegie[[#This Row],[2023]]</f>
        <v>#DIV/0!</v>
      </c>
      <c r="H36" s="297" t="e">
        <f>(InvulRegie[[#This Row],[2024]]*Tariefsopbouw!$O$37)+InvulRegie[[#This Row],[2024]]</f>
        <v>#DIV/0!</v>
      </c>
      <c r="I36" s="297" t="e">
        <f>(InvulRegie[[#This Row],[2025]]*Tariefsopbouw!$Q$37)+InvulRegie[[#This Row],[2025]]</f>
        <v>#DIV/0!</v>
      </c>
    </row>
    <row r="37" spans="1:9" ht="18.75" customHeight="1">
      <c r="A37" s="425"/>
      <c r="B37" s="84" t="s">
        <v>222</v>
      </c>
      <c r="C37" s="84" t="s">
        <v>67</v>
      </c>
      <c r="D37" s="86">
        <v>0</v>
      </c>
      <c r="E37" s="297" t="e">
        <f>(InvulRegie[[#This Row],[Prijs excl. BTW]]*Tariefsopbouw!$I$37)+InvulRegie[[#This Row],[Prijs excl. BTW]]</f>
        <v>#DIV/0!</v>
      </c>
      <c r="F37" s="297" t="e">
        <f>(InvulRegie[[#This Row],[2022]]*Tariefsopbouw!$K$37)+InvulRegie[[#This Row],[2022]]</f>
        <v>#DIV/0!</v>
      </c>
      <c r="G37" s="297" t="e">
        <f>(InvulRegie[[#This Row],[Prijs excl. BTW]]*Tariefsopbouw!$M$37)+InvulRegie[[#This Row],[2023]]</f>
        <v>#DIV/0!</v>
      </c>
      <c r="H37" s="297" t="e">
        <f>(InvulRegie[[#This Row],[2024]]*Tariefsopbouw!$O$37)+InvulRegie[[#This Row],[2024]]</f>
        <v>#DIV/0!</v>
      </c>
      <c r="I37" s="297" t="e">
        <f>(InvulRegie[[#This Row],[2025]]*Tariefsopbouw!$Q$37)+InvulRegie[[#This Row],[2025]]</f>
        <v>#DIV/0!</v>
      </c>
    </row>
    <row r="38" spans="1:9" s="153" customFormat="1" ht="26.25" customHeight="1">
      <c r="A38" s="151"/>
      <c r="B38" s="152" t="s">
        <v>36</v>
      </c>
      <c r="C38" s="152"/>
      <c r="D38" s="152"/>
      <c r="E38" s="152"/>
      <c r="F38" s="152"/>
      <c r="G38" s="152"/>
      <c r="H38" s="152"/>
      <c r="I38" s="152"/>
    </row>
    <row r="73" spans="1:1" ht="18.75" customHeight="1">
      <c r="A73" s="81"/>
    </row>
    <row r="74" spans="1:1" ht="18.75" customHeight="1">
      <c r="A74" s="81"/>
    </row>
    <row r="75" spans="1:1" ht="18.75" customHeight="1">
      <c r="A75" s="81"/>
    </row>
    <row r="76" spans="1:1" ht="18.75" customHeight="1">
      <c r="A76" s="81"/>
    </row>
    <row r="77" spans="1:1" ht="18.75" customHeight="1">
      <c r="A77" s="81"/>
    </row>
    <row r="78" spans="1:1" ht="18.75" customHeight="1">
      <c r="A78" s="81"/>
    </row>
    <row r="79" spans="1:1" ht="18.75" customHeight="1">
      <c r="A79" s="81"/>
    </row>
    <row r="80" spans="1:1" ht="18.75" customHeight="1">
      <c r="A80" s="81"/>
    </row>
    <row r="81" spans="1:1" ht="18.75" customHeight="1">
      <c r="A81" s="81"/>
    </row>
    <row r="82" spans="1:1" ht="18.75" customHeight="1">
      <c r="A82" s="81"/>
    </row>
    <row r="83" spans="1:1" ht="18.75" customHeight="1">
      <c r="A83" s="81"/>
    </row>
    <row r="84" spans="1:1" ht="18.75" customHeight="1">
      <c r="A84" s="81"/>
    </row>
    <row r="85" spans="1:1" ht="18.75" customHeight="1">
      <c r="A85" s="81"/>
    </row>
  </sheetData>
  <mergeCells count="9">
    <mergeCell ref="A1:D1"/>
    <mergeCell ref="A2:D2"/>
    <mergeCell ref="A29:A33"/>
    <mergeCell ref="A34:A37"/>
    <mergeCell ref="A24:A28"/>
    <mergeCell ref="A15:A21"/>
    <mergeCell ref="A22:A23"/>
    <mergeCell ref="E7:I7"/>
    <mergeCell ref="A9:A14"/>
  </mergeCells>
  <phoneticPr fontId="20" type="noConversion"/>
  <pageMargins left="0.70866141732283472" right="0.70866141732283472" top="0.74803149606299213" bottom="0.74803149606299213" header="0.31496062992125984" footer="0.31496062992125984"/>
  <pageSetup paperSize="9" scale="42" fitToHeight="0" orientation="portrait" r:id="rId1"/>
  <headerFooter alignWithMargins="0">
    <oddFooter>&amp;L&amp;F&amp;C&amp;D&amp;R&amp;A</oddFooter>
  </headerFooter>
  <rowBreaks count="1" manualBreakCount="1">
    <brk id="87" max="16383" man="1"/>
  </rowBreaks>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pageSetUpPr fitToPage="1"/>
  </sheetPr>
  <dimension ref="A1:H35"/>
  <sheetViews>
    <sheetView showGridLines="0" view="pageBreakPreview" zoomScaleNormal="100" zoomScaleSheetLayoutView="100" workbookViewId="0">
      <selection activeCell="G5" sqref="G5"/>
    </sheetView>
  </sheetViews>
  <sheetFormatPr defaultColWidth="9.140625" defaultRowHeight="18.75" customHeight="1"/>
  <cols>
    <col min="1" max="1" width="13.7109375" style="3" customWidth="1"/>
    <col min="2" max="2" width="40.5703125" style="143" customWidth="1"/>
    <col min="3" max="8" width="23.28515625" style="3" customWidth="1"/>
    <col min="9" max="11" width="15.85546875" style="3" customWidth="1"/>
    <col min="12" max="16384" width="9.140625" style="3"/>
  </cols>
  <sheetData>
    <row r="1" spans="1:8" s="9" customFormat="1" ht="25.5" customHeight="1">
      <c r="A1" s="387" t="s">
        <v>236</v>
      </c>
      <c r="B1" s="387"/>
      <c r="C1" s="387"/>
      <c r="D1" s="387"/>
      <c r="E1" s="387"/>
      <c r="F1" s="387"/>
      <c r="G1" s="387"/>
      <c r="H1" s="387"/>
    </row>
    <row r="2" spans="1:8" s="9" customFormat="1" ht="15" customHeight="1">
      <c r="A2" s="421" t="s">
        <v>250</v>
      </c>
      <c r="B2" s="389"/>
      <c r="C2" s="389"/>
      <c r="D2" s="389"/>
      <c r="E2" s="389"/>
      <c r="F2" s="389"/>
      <c r="G2" s="389"/>
      <c r="H2" s="389"/>
    </row>
    <row r="3" spans="1:8" s="4" customFormat="1" ht="15" customHeight="1">
      <c r="B3" s="22"/>
    </row>
    <row r="4" spans="1:8" ht="26.25" customHeight="1">
      <c r="A4" s="95" t="s">
        <v>247</v>
      </c>
      <c r="B4" s="3"/>
    </row>
    <row r="5" spans="1:8" s="47" customFormat="1" ht="25.5" customHeight="1">
      <c r="A5" s="139" t="s">
        <v>229</v>
      </c>
      <c r="B5" s="140" t="s">
        <v>160</v>
      </c>
      <c r="C5" s="139" t="s">
        <v>187</v>
      </c>
      <c r="D5" s="141" t="s">
        <v>142</v>
      </c>
      <c r="E5" s="141" t="s">
        <v>188</v>
      </c>
      <c r="F5" s="139" t="s">
        <v>141</v>
      </c>
      <c r="G5" s="142" t="s">
        <v>189</v>
      </c>
      <c r="H5" s="48" t="s">
        <v>190</v>
      </c>
    </row>
    <row r="6" spans="1:8" ht="18.75" customHeight="1">
      <c r="A6" s="187">
        <v>1</v>
      </c>
      <c r="B6" s="188" t="str">
        <f>VLOOKUP(Samenvattingschoonmaak[[#This Row],[Code Locatie]],Locaties[],2,0)</f>
        <v>ESH Secondary School</v>
      </c>
      <c r="C6" s="189">
        <f>SUMIF('Ruimtestaat'!$A:$A,Totalisatie!$A6,'Ruimtestaat'!$N:$N)</f>
        <v>9005</v>
      </c>
      <c r="D6" s="189">
        <f>SUMIF('Ruimtestaat'!$A:$A,Totalisatie!$A6,'Ruimtestaat'!$AE:$AE)</f>
        <v>1758724</v>
      </c>
      <c r="E6" s="190">
        <f>SUMIF('Ruimtestaat'!$A:$A,Totalisatie!$A6,'Ruimtestaat'!$AF:$AF)</f>
        <v>0</v>
      </c>
      <c r="F6" s="191" t="e">
        <f>D6/E6</f>
        <v>#DIV/0!</v>
      </c>
      <c r="G6" s="192">
        <f>SUMIF('Ruimtestaat'!$A:$A,Totalisatie!$A6,'Ruimtestaat'!$AG:$AG)</f>
        <v>0</v>
      </c>
      <c r="H6" s="193">
        <f>G6/C6</f>
        <v>0</v>
      </c>
    </row>
    <row r="7" spans="1:8" s="47" customFormat="1" ht="25.5" customHeight="1">
      <c r="A7" s="180"/>
      <c r="B7" s="181" t="s">
        <v>36</v>
      </c>
      <c r="C7" s="182">
        <f>SUBTOTAL(109,Samenvattingschoonmaak[Oppervlakte i/o])</f>
        <v>9005</v>
      </c>
      <c r="D7" s="182">
        <f>SUBTOTAL(109,Samenvattingschoonmaak[Prest. (m2 /jaar)])</f>
        <v>1758724</v>
      </c>
      <c r="E7" s="183">
        <f>SUBTOTAL(109,Samenvattingschoonmaak[Uren / jaar])</f>
        <v>0</v>
      </c>
      <c r="F7" s="182" t="e">
        <f>Samenvattingschoonmaak[[#Totals],[Prest. (m2 /jaar)]]/Samenvattingschoonmaak[[#Totals],[Uren / jaar]]</f>
        <v>#DIV/0!</v>
      </c>
      <c r="G7" s="184">
        <f>SUBTOTAL(109,Samenvattingschoonmaak[Kosten / jaar])</f>
        <v>0</v>
      </c>
      <c r="H7" s="185">
        <f>Samenvattingschoonmaak[[#Totals],[Kosten / jaar]]/Samenvattingschoonmaak[[#Totals],[Oppervlakte i/o]]</f>
        <v>0</v>
      </c>
    </row>
    <row r="8" spans="1:8" ht="18.75" customHeight="1">
      <c r="A8" s="143"/>
      <c r="B8" s="3"/>
    </row>
    <row r="9" spans="1:8" ht="18.75" customHeight="1">
      <c r="A9" s="95" t="s">
        <v>193</v>
      </c>
      <c r="B9" s="46"/>
      <c r="C9" s="46"/>
      <c r="D9" s="46"/>
      <c r="E9" s="46"/>
      <c r="G9" s="46"/>
      <c r="H9" s="46"/>
    </row>
    <row r="10" spans="1:8" ht="25.5" customHeight="1">
      <c r="A10" s="139" t="s">
        <v>229</v>
      </c>
      <c r="B10" s="140" t="s">
        <v>238</v>
      </c>
      <c r="C10" s="139" t="s">
        <v>195</v>
      </c>
      <c r="D10" s="142" t="s">
        <v>191</v>
      </c>
      <c r="E10" s="142" t="s">
        <v>192</v>
      </c>
      <c r="F10" s="142" t="s">
        <v>1816</v>
      </c>
      <c r="G10" s="142" t="s">
        <v>237</v>
      </c>
      <c r="H10" s="47"/>
    </row>
    <row r="11" spans="1:8" ht="18.75" customHeight="1">
      <c r="A11" s="187">
        <v>1</v>
      </c>
      <c r="B11" s="188" t="str">
        <f>VLOOKUP(Totalisatie[[#This Row],[Code Locatie]],Locaties[],2,0)</f>
        <v>ESH Secondary School</v>
      </c>
      <c r="C11" s="192">
        <f>+G6</f>
        <v>0</v>
      </c>
      <c r="D11" s="194">
        <f>SUMIF(Glasbewassing!$A$24:$A$29,Totalisatie[[#This Row],[Code Locatie]],Glasbewassing!$G$24:$G$29)</f>
        <v>0</v>
      </c>
      <c r="E11" s="192">
        <f>SUMIF(Vloeronderhoud!$A$23:$A$30,Totalisatie[[#This Row],[Code Locatie]],Vloeronderhoud!$H$23:$H$30)</f>
        <v>0</v>
      </c>
      <c r="F11" s="192">
        <f>sanitair!G12</f>
        <v>0</v>
      </c>
      <c r="G11" s="280">
        <f>SUM(Totalisatie[[#This Row],[Schoonmaakonderhoud
Kosten / jaar]:[sanitair]])</f>
        <v>0</v>
      </c>
    </row>
    <row r="12" spans="1:8" ht="18.75" customHeight="1">
      <c r="A12" s="467"/>
      <c r="B12" s="468" t="s">
        <v>36</v>
      </c>
      <c r="C12" s="469">
        <f>SUBTOTAL(109,Totalisatie[Schoonmaakonderhoud
Kosten / jaar])</f>
        <v>0</v>
      </c>
      <c r="D12" s="469">
        <f>SUBTOTAL(109,Totalisatie[Glasbewassing
Kosten / jaar])</f>
        <v>0</v>
      </c>
      <c r="E12" s="469">
        <f>SUBTOTAL(109,Totalisatie[Vloeronderhoud
Kosten / jaar])</f>
        <v>0</v>
      </c>
      <c r="F12" s="469">
        <f>SUBTOTAL(109,Totalisatie[sanitair])</f>
        <v>0</v>
      </c>
      <c r="G12" s="469">
        <f>SUBTOTAL(109,Totalisatie[Totaalprijs
Kosten / jaar])</f>
        <v>0</v>
      </c>
    </row>
    <row r="13" spans="1:8" ht="18.75" customHeight="1">
      <c r="A13" s="299"/>
      <c r="B13" s="300"/>
      <c r="C13" s="301"/>
      <c r="D13" s="465"/>
      <c r="E13" s="301"/>
      <c r="F13" s="466"/>
      <c r="G13" s="470"/>
      <c r="H13" s="466"/>
    </row>
    <row r="14" spans="1:8" ht="18.75" customHeight="1">
      <c r="A14" s="95" t="s">
        <v>1412</v>
      </c>
      <c r="B14" s="3"/>
    </row>
    <row r="15" spans="1:8" ht="18.75" customHeight="1">
      <c r="A15" s="302"/>
      <c r="B15" s="303"/>
      <c r="C15" s="303"/>
      <c r="D15" s="304" t="s">
        <v>225</v>
      </c>
      <c r="E15" s="303"/>
      <c r="F15" s="303"/>
      <c r="G15" s="305"/>
    </row>
    <row r="16" spans="1:8" ht="18.75" customHeight="1">
      <c r="A16" s="306" t="s">
        <v>1413</v>
      </c>
      <c r="B16" s="307"/>
      <c r="C16" s="298">
        <v>0</v>
      </c>
      <c r="D16" s="458" t="s">
        <v>1414</v>
      </c>
      <c r="E16" s="459"/>
      <c r="F16" s="459"/>
      <c r="G16" s="460"/>
    </row>
    <row r="17" spans="1:8" ht="18.75" customHeight="1">
      <c r="A17" s="308" t="s">
        <v>1415</v>
      </c>
      <c r="B17" s="309"/>
      <c r="C17" s="310">
        <f>(Totalisatie[[#Totals],[Schoonmaakonderhoud
Kosten / jaar]]*(1-C16))/12</f>
        <v>0</v>
      </c>
      <c r="D17" s="461" t="s">
        <v>1416</v>
      </c>
      <c r="E17" s="462"/>
      <c r="F17" s="462"/>
      <c r="G17" s="463"/>
    </row>
    <row r="18" spans="1:8" ht="18.75" customHeight="1">
      <c r="A18" s="306" t="s">
        <v>1417</v>
      </c>
      <c r="B18" s="307"/>
      <c r="C18" s="311">
        <f>C16*Totalisatie[[#Totals],[Schoonmaakonderhoud
Kosten / jaar]]/4</f>
        <v>0</v>
      </c>
      <c r="D18" s="458" t="s">
        <v>1418</v>
      </c>
      <c r="E18" s="459"/>
      <c r="F18" s="459"/>
      <c r="G18" s="460"/>
    </row>
    <row r="19" spans="1:8" ht="18.75" customHeight="1">
      <c r="A19" s="464" t="s">
        <v>1419</v>
      </c>
      <c r="B19" s="462"/>
      <c r="C19" s="462"/>
      <c r="D19" s="462"/>
      <c r="E19" s="462"/>
      <c r="F19" s="462"/>
      <c r="G19" s="463"/>
    </row>
    <row r="20" spans="1:8" ht="18.75" customHeight="1">
      <c r="A20" s="312"/>
      <c r="B20" s="41"/>
      <c r="C20" s="313"/>
      <c r="D20" s="314"/>
      <c r="E20" s="83"/>
      <c r="F20" s="83"/>
      <c r="G20" s="83"/>
    </row>
    <row r="21" spans="1:8" ht="18.75" customHeight="1">
      <c r="A21" s="95" t="s">
        <v>1420</v>
      </c>
      <c r="B21" s="3"/>
    </row>
    <row r="22" spans="1:8" ht="18.75" customHeight="1">
      <c r="A22" s="443" t="s">
        <v>1420</v>
      </c>
      <c r="B22" s="444"/>
      <c r="C22" s="445"/>
    </row>
    <row r="23" spans="1:8" ht="18.75" customHeight="1">
      <c r="A23" s="446" t="s">
        <v>1421</v>
      </c>
      <c r="B23" s="447"/>
      <c r="C23" s="452">
        <v>0</v>
      </c>
    </row>
    <row r="24" spans="1:8" ht="18.75" customHeight="1">
      <c r="A24" s="448"/>
      <c r="B24" s="449"/>
      <c r="C24" s="453"/>
    </row>
    <row r="25" spans="1:8" ht="18.75" customHeight="1">
      <c r="A25" s="448"/>
      <c r="B25" s="449"/>
      <c r="C25" s="453"/>
    </row>
    <row r="26" spans="1:8" ht="18.75" customHeight="1">
      <c r="A26" s="450"/>
      <c r="B26" s="451"/>
      <c r="C26" s="454"/>
    </row>
    <row r="27" spans="1:8" ht="18.75" customHeight="1">
      <c r="A27" s="455"/>
      <c r="B27" s="456"/>
      <c r="C27" s="457"/>
    </row>
    <row r="28" spans="1:8" ht="18.75" customHeight="1">
      <c r="A28" s="299"/>
      <c r="B28" s="300"/>
      <c r="C28" s="301"/>
      <c r="D28" s="301"/>
      <c r="E28" s="301"/>
      <c r="F28" s="301"/>
      <c r="G28" s="301"/>
    </row>
    <row r="29" spans="1:8" ht="37.5" customHeight="1">
      <c r="A29" s="95" t="s">
        <v>239</v>
      </c>
      <c r="B29" s="3"/>
      <c r="H29" s="160"/>
    </row>
    <row r="30" spans="1:8" ht="18.75" customHeight="1">
      <c r="A30" s="433" t="s">
        <v>243</v>
      </c>
      <c r="B30" s="434"/>
      <c r="C30" s="435" t="s">
        <v>246</v>
      </c>
      <c r="D30" s="435"/>
      <c r="E30" s="435"/>
      <c r="F30" s="435"/>
      <c r="G30" s="436"/>
    </row>
    <row r="31" spans="1:8" ht="18.75" customHeight="1">
      <c r="A31" s="144" t="s">
        <v>146</v>
      </c>
      <c r="B31" s="437" t="s">
        <v>251</v>
      </c>
      <c r="C31" s="438"/>
      <c r="D31" s="144" t="s">
        <v>146</v>
      </c>
      <c r="E31" s="437" t="s">
        <v>251</v>
      </c>
      <c r="F31" s="441"/>
      <c r="G31" s="438"/>
    </row>
    <row r="32" spans="1:8" ht="18.75" customHeight="1">
      <c r="A32" s="145" t="s">
        <v>240</v>
      </c>
      <c r="B32" s="439" t="s">
        <v>251</v>
      </c>
      <c r="C32" s="440"/>
      <c r="D32" s="145" t="s">
        <v>240</v>
      </c>
      <c r="E32" s="439" t="s">
        <v>251</v>
      </c>
      <c r="F32" s="442"/>
      <c r="G32" s="440"/>
    </row>
    <row r="33" spans="1:7" ht="18.75" customHeight="1">
      <c r="A33" s="144" t="s">
        <v>241</v>
      </c>
      <c r="B33" s="437" t="s">
        <v>251</v>
      </c>
      <c r="C33" s="438"/>
      <c r="D33" s="144" t="s">
        <v>241</v>
      </c>
      <c r="E33" s="437" t="s">
        <v>251</v>
      </c>
      <c r="F33" s="441"/>
      <c r="G33" s="438"/>
    </row>
    <row r="34" spans="1:7" ht="37.5" customHeight="1">
      <c r="A34" s="145" t="s">
        <v>242</v>
      </c>
      <c r="B34" s="439" t="s">
        <v>251</v>
      </c>
      <c r="C34" s="440"/>
      <c r="D34" s="145" t="s">
        <v>242</v>
      </c>
      <c r="E34" s="430" t="s">
        <v>251</v>
      </c>
      <c r="F34" s="431"/>
      <c r="G34" s="432"/>
    </row>
    <row r="35" spans="1:7" ht="18.75" customHeight="1">
      <c r="A35" s="144" t="s">
        <v>245</v>
      </c>
      <c r="B35" s="146"/>
      <c r="C35" s="147"/>
      <c r="D35" s="148"/>
      <c r="E35" s="149"/>
      <c r="F35" s="149"/>
      <c r="G35" s="150"/>
    </row>
  </sheetData>
  <mergeCells count="20">
    <mergeCell ref="A22:C22"/>
    <mergeCell ref="A23:B26"/>
    <mergeCell ref="C23:C26"/>
    <mergeCell ref="A27:C27"/>
    <mergeCell ref="A1:H1"/>
    <mergeCell ref="A2:H2"/>
    <mergeCell ref="D16:G16"/>
    <mergeCell ref="D17:G17"/>
    <mergeCell ref="D18:G18"/>
    <mergeCell ref="A19:G19"/>
    <mergeCell ref="E34:G34"/>
    <mergeCell ref="A30:B30"/>
    <mergeCell ref="C30:G30"/>
    <mergeCell ref="B31:C31"/>
    <mergeCell ref="B32:C32"/>
    <mergeCell ref="B33:C33"/>
    <mergeCell ref="B34:C34"/>
    <mergeCell ref="E31:G31"/>
    <mergeCell ref="E32:G32"/>
    <mergeCell ref="E33:G33"/>
  </mergeCells>
  <phoneticPr fontId="11" type="noConversion"/>
  <pageMargins left="0.70866141732283472" right="0.70866141732283472" top="0.74803149606299213" bottom="0.74803149606299213" header="0.31496062992125984" footer="0.31496062992125984"/>
  <pageSetup paperSize="9" scale="45"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4">
    <tabColor theme="0" tint="-0.14999847407452621"/>
  </sheetPr>
  <dimension ref="A1:Q60"/>
  <sheetViews>
    <sheetView showGridLines="0" view="pageBreakPreview" zoomScaleNormal="100" zoomScaleSheetLayoutView="100" workbookViewId="0">
      <selection sqref="A1:E1"/>
    </sheetView>
  </sheetViews>
  <sheetFormatPr defaultColWidth="7.85546875" defaultRowHeight="15" customHeight="1"/>
  <cols>
    <col min="1" max="1" width="38.42578125" style="4" customWidth="1"/>
    <col min="2" max="2" width="26" style="4" customWidth="1"/>
    <col min="3" max="3" width="18.28515625" style="4" customWidth="1"/>
    <col min="4" max="4" width="14.85546875" style="4" customWidth="1"/>
    <col min="5" max="5" width="18.28515625" style="19" customWidth="1"/>
    <col min="6" max="6" width="2.85546875" style="4" customWidth="1"/>
    <col min="7" max="7" width="11" style="4" bestFit="1" customWidth="1"/>
    <col min="8" max="8" width="12" style="4" bestFit="1" customWidth="1"/>
    <col min="9" max="9" width="10" style="4" bestFit="1" customWidth="1"/>
    <col min="10" max="10" width="12.7109375" style="4" customWidth="1"/>
    <col min="11" max="11" width="10" style="4" bestFit="1" customWidth="1"/>
    <col min="12" max="12" width="12" style="4" bestFit="1" customWidth="1"/>
    <col min="13" max="13" width="10" style="4" bestFit="1" customWidth="1"/>
    <col min="14" max="14" width="12" style="4" bestFit="1" customWidth="1"/>
    <col min="15" max="15" width="10" style="4" bestFit="1" customWidth="1"/>
    <col min="16" max="16" width="12" style="4" bestFit="1" customWidth="1"/>
    <col min="17" max="17" width="10" style="4" bestFit="1" customWidth="1"/>
    <col min="18" max="16384" width="7.85546875" style="4"/>
  </cols>
  <sheetData>
    <row r="1" spans="1:17" s="9" customFormat="1" ht="26.25" customHeight="1">
      <c r="A1" s="387" t="s">
        <v>39</v>
      </c>
      <c r="B1" s="387"/>
      <c r="C1" s="387"/>
      <c r="D1" s="387"/>
      <c r="E1" s="387"/>
    </row>
    <row r="2" spans="1:17" s="9" customFormat="1" ht="15" customHeight="1">
      <c r="A2" s="389" t="s">
        <v>233</v>
      </c>
      <c r="B2" s="389"/>
      <c r="C2" s="389"/>
      <c r="D2" s="389"/>
      <c r="E2" s="389"/>
      <c r="G2" s="396" t="s">
        <v>1401</v>
      </c>
      <c r="H2" s="396"/>
      <c r="I2" s="396"/>
      <c r="J2" s="396"/>
      <c r="K2" s="396"/>
      <c r="L2" s="396"/>
      <c r="M2" s="396"/>
      <c r="N2" s="396"/>
      <c r="O2" s="396"/>
      <c r="P2" s="396"/>
      <c r="Q2" s="396"/>
    </row>
    <row r="3" spans="1:17" ht="15" customHeight="1">
      <c r="E3" s="4"/>
      <c r="G3" s="287"/>
      <c r="H3" s="401">
        <v>2022</v>
      </c>
      <c r="I3" s="401"/>
      <c r="J3" s="402">
        <v>2023</v>
      </c>
      <c r="K3" s="403"/>
      <c r="L3" s="402">
        <v>2024</v>
      </c>
      <c r="M3" s="403"/>
      <c r="N3" s="402">
        <v>2025</v>
      </c>
      <c r="O3" s="403"/>
      <c r="P3" s="402">
        <v>2026</v>
      </c>
      <c r="Q3" s="403"/>
    </row>
    <row r="4" spans="1:17" s="8" customFormat="1" ht="26.25" customHeight="1">
      <c r="A4" s="382" t="s">
        <v>91</v>
      </c>
      <c r="B4" s="384"/>
      <c r="C4" s="102" t="s">
        <v>228</v>
      </c>
      <c r="D4" s="102" t="s">
        <v>244</v>
      </c>
      <c r="E4" s="102" t="s">
        <v>98</v>
      </c>
      <c r="G4" s="287" t="s">
        <v>1406</v>
      </c>
      <c r="H4" s="287" t="s">
        <v>1405</v>
      </c>
      <c r="I4" s="287" t="s">
        <v>1411</v>
      </c>
      <c r="J4" s="287" t="s">
        <v>1405</v>
      </c>
      <c r="K4" s="287" t="s">
        <v>1411</v>
      </c>
      <c r="L4" s="287" t="s">
        <v>1405</v>
      </c>
      <c r="M4" s="287" t="s">
        <v>1411</v>
      </c>
      <c r="N4" s="287" t="s">
        <v>1405</v>
      </c>
      <c r="O4" s="287" t="s">
        <v>1411</v>
      </c>
      <c r="P4" s="287" t="s">
        <v>1405</v>
      </c>
      <c r="Q4" s="287" t="s">
        <v>1411</v>
      </c>
    </row>
    <row r="5" spans="1:17" ht="15" customHeight="1">
      <c r="A5" s="380" t="s">
        <v>114</v>
      </c>
      <c r="B5" s="381"/>
      <c r="C5" s="10">
        <v>0</v>
      </c>
      <c r="D5" s="11">
        <v>0</v>
      </c>
      <c r="E5" s="12">
        <f>C5*D5</f>
        <v>0</v>
      </c>
      <c r="G5" s="285"/>
      <c r="H5" s="285"/>
      <c r="I5" s="285"/>
      <c r="J5" s="285"/>
      <c r="K5" s="285"/>
      <c r="L5" s="285"/>
      <c r="M5" s="285"/>
      <c r="N5" s="285"/>
      <c r="O5" s="285"/>
      <c r="P5" s="285"/>
      <c r="Q5" s="285"/>
    </row>
    <row r="6" spans="1:17" ht="15" customHeight="1">
      <c r="A6" s="380" t="s">
        <v>81</v>
      </c>
      <c r="B6" s="381"/>
      <c r="C6" s="10">
        <v>0</v>
      </c>
      <c r="D6" s="11">
        <v>0</v>
      </c>
      <c r="E6" s="12">
        <f>C6*D6</f>
        <v>0</v>
      </c>
      <c r="G6" s="285"/>
      <c r="H6" s="285"/>
      <c r="I6" s="285"/>
      <c r="J6" s="285"/>
      <c r="K6" s="285"/>
      <c r="L6" s="285"/>
      <c r="M6" s="285"/>
      <c r="N6" s="285"/>
      <c r="O6" s="285"/>
      <c r="P6" s="285"/>
      <c r="Q6" s="285"/>
    </row>
    <row r="7" spans="1:17" ht="15" customHeight="1">
      <c r="A7" s="385" t="s">
        <v>82</v>
      </c>
      <c r="B7" s="386"/>
      <c r="C7" s="10">
        <v>0</v>
      </c>
      <c r="D7" s="11">
        <v>0</v>
      </c>
      <c r="E7" s="12">
        <f>C7*D7</f>
        <v>0</v>
      </c>
      <c r="G7" s="285"/>
      <c r="H7" s="285"/>
      <c r="I7" s="285"/>
      <c r="J7" s="285"/>
      <c r="K7" s="285"/>
      <c r="L7" s="285"/>
      <c r="M7" s="285"/>
      <c r="N7" s="285"/>
      <c r="O7" s="285"/>
      <c r="P7" s="285"/>
      <c r="Q7" s="285"/>
    </row>
    <row r="8" spans="1:17" ht="15" customHeight="1">
      <c r="A8" s="378" t="s">
        <v>83</v>
      </c>
      <c r="B8" s="379"/>
      <c r="C8" s="10">
        <v>0</v>
      </c>
      <c r="D8" s="11">
        <v>0</v>
      </c>
      <c r="E8" s="12">
        <f>C8*D8</f>
        <v>0</v>
      </c>
      <c r="G8" s="285"/>
      <c r="H8" s="285"/>
      <c r="I8" s="285"/>
      <c r="J8" s="285"/>
      <c r="K8" s="285"/>
      <c r="L8" s="285"/>
      <c r="M8" s="285"/>
      <c r="N8" s="285"/>
      <c r="O8" s="285"/>
      <c r="P8" s="285"/>
      <c r="Q8" s="285"/>
    </row>
    <row r="9" spans="1:17" ht="15" customHeight="1">
      <c r="A9" s="385" t="s">
        <v>115</v>
      </c>
      <c r="B9" s="395"/>
      <c r="C9" s="386"/>
      <c r="D9" s="13">
        <f>SUM(D5:D8)</f>
        <v>0</v>
      </c>
      <c r="E9" s="12" t="str">
        <f>IF(SUM($D$5:$D$8)=100%,SUM(E5:E8),"    GEEN 100%")</f>
        <v xml:space="preserve">    GEEN 100%</v>
      </c>
      <c r="G9" s="285"/>
      <c r="H9" s="288"/>
      <c r="I9" s="285"/>
      <c r="J9" s="285"/>
      <c r="K9" s="285"/>
      <c r="L9" s="285"/>
      <c r="M9" s="285"/>
      <c r="N9" s="285"/>
      <c r="O9" s="285"/>
      <c r="P9" s="285"/>
      <c r="Q9" s="285"/>
    </row>
    <row r="10" spans="1:17" ht="15" customHeight="1">
      <c r="A10" s="388" t="s">
        <v>84</v>
      </c>
      <c r="B10" s="388"/>
      <c r="C10" s="388"/>
      <c r="D10" s="155" t="s">
        <v>3</v>
      </c>
      <c r="E10" s="157">
        <f>SUM(E9:E9)</f>
        <v>0</v>
      </c>
      <c r="G10" s="285" t="s">
        <v>1402</v>
      </c>
      <c r="H10" s="288"/>
      <c r="I10" s="157">
        <f t="shared" ref="I10" si="0">(E10*H10)+E10</f>
        <v>0</v>
      </c>
      <c r="J10" s="288"/>
      <c r="K10" s="157">
        <f>(I10*J10)+I10</f>
        <v>0</v>
      </c>
      <c r="L10" s="288"/>
      <c r="M10" s="157">
        <f>(K10*L10)+K10</f>
        <v>0</v>
      </c>
      <c r="N10" s="288"/>
      <c r="O10" s="157">
        <f>(M10*N10)+M10</f>
        <v>0</v>
      </c>
      <c r="P10" s="288"/>
      <c r="Q10" s="157">
        <f>(O10*P10)+O10</f>
        <v>0</v>
      </c>
    </row>
    <row r="11" spans="1:17" ht="15" customHeight="1">
      <c r="A11" s="17"/>
      <c r="B11" s="18"/>
      <c r="C11" s="18"/>
      <c r="D11" s="18"/>
      <c r="G11" s="285"/>
      <c r="H11" s="285"/>
      <c r="I11" s="285"/>
      <c r="J11" s="285"/>
      <c r="K11" s="285"/>
      <c r="L11" s="285"/>
      <c r="M11" s="285"/>
      <c r="N11" s="285"/>
      <c r="O11" s="285"/>
      <c r="P11" s="285"/>
      <c r="Q11" s="285"/>
    </row>
    <row r="12" spans="1:17" s="8" customFormat="1" ht="26.25" customHeight="1">
      <c r="A12" s="382" t="s">
        <v>86</v>
      </c>
      <c r="B12" s="383"/>
      <c r="C12" s="384"/>
      <c r="D12" s="103" t="s">
        <v>95</v>
      </c>
      <c r="E12" s="102" t="s">
        <v>98</v>
      </c>
      <c r="G12" s="102"/>
      <c r="H12" s="102"/>
      <c r="I12" s="102"/>
      <c r="J12" s="102"/>
      <c r="K12" s="102"/>
      <c r="L12" s="102"/>
      <c r="M12" s="102"/>
      <c r="N12" s="102"/>
      <c r="O12" s="102"/>
      <c r="P12" s="102"/>
      <c r="Q12" s="102"/>
    </row>
    <row r="13" spans="1:17" ht="15" customHeight="1">
      <c r="A13" s="390" t="s">
        <v>4</v>
      </c>
      <c r="B13" s="391"/>
      <c r="C13" s="391"/>
      <c r="D13" s="14">
        <v>0</v>
      </c>
      <c r="E13" s="16">
        <f>SUM($E$10*D13)</f>
        <v>0</v>
      </c>
      <c r="G13" s="286" t="s">
        <v>1403</v>
      </c>
      <c r="H13" s="288"/>
      <c r="I13" s="289">
        <f>(E13*H13)+E13</f>
        <v>0</v>
      </c>
      <c r="J13" s="291"/>
      <c r="K13" s="289">
        <f>(I13*J13)+I13</f>
        <v>0</v>
      </c>
      <c r="L13" s="291"/>
      <c r="M13" s="289">
        <f>(K13*L13)+K13</f>
        <v>0</v>
      </c>
      <c r="N13" s="291"/>
      <c r="O13" s="289">
        <f>(M13*N13)+M13</f>
        <v>0</v>
      </c>
      <c r="P13" s="291"/>
      <c r="Q13" s="289">
        <f>(O13*P13)+O13</f>
        <v>0</v>
      </c>
    </row>
    <row r="14" spans="1:17" ht="15" customHeight="1">
      <c r="A14" s="391" t="s">
        <v>100</v>
      </c>
      <c r="B14" s="391"/>
      <c r="C14" s="391"/>
      <c r="D14" s="14">
        <v>0</v>
      </c>
      <c r="E14" s="16">
        <f>SUM($E$10*D14)</f>
        <v>0</v>
      </c>
      <c r="G14" s="286" t="s">
        <v>1403</v>
      </c>
      <c r="H14" s="288"/>
      <c r="I14" s="289">
        <f t="shared" ref="I14:I17" si="1">(E14*H14)+E14</f>
        <v>0</v>
      </c>
      <c r="J14" s="291"/>
      <c r="K14" s="289">
        <f t="shared" ref="K14:K17" si="2">(I14*J14)+I14</f>
        <v>0</v>
      </c>
      <c r="L14" s="291"/>
      <c r="M14" s="289">
        <f t="shared" ref="M14:M17" si="3">(K14*L14)+K14</f>
        <v>0</v>
      </c>
      <c r="N14" s="291"/>
      <c r="O14" s="289">
        <f t="shared" ref="O14:O17" si="4">(M14*N14)+M14</f>
        <v>0</v>
      </c>
      <c r="P14" s="291"/>
      <c r="Q14" s="289">
        <f t="shared" ref="Q14:Q17" si="5">(O14*P14)+O14</f>
        <v>0</v>
      </c>
    </row>
    <row r="15" spans="1:17" ht="15" customHeight="1">
      <c r="A15" s="391" t="s">
        <v>5</v>
      </c>
      <c r="B15" s="391"/>
      <c r="C15" s="391"/>
      <c r="D15" s="14">
        <v>0</v>
      </c>
      <c r="E15" s="16">
        <f>SUM($E$10*D15)</f>
        <v>0</v>
      </c>
      <c r="G15" s="286" t="s">
        <v>1403</v>
      </c>
      <c r="H15" s="288"/>
      <c r="I15" s="289">
        <f t="shared" si="1"/>
        <v>0</v>
      </c>
      <c r="J15" s="291"/>
      <c r="K15" s="289">
        <f t="shared" si="2"/>
        <v>0</v>
      </c>
      <c r="L15" s="291"/>
      <c r="M15" s="289">
        <f t="shared" si="3"/>
        <v>0</v>
      </c>
      <c r="N15" s="291"/>
      <c r="O15" s="289">
        <f t="shared" si="4"/>
        <v>0</v>
      </c>
      <c r="P15" s="291"/>
      <c r="Q15" s="289">
        <f t="shared" si="5"/>
        <v>0</v>
      </c>
    </row>
    <row r="16" spans="1:17" ht="15" customHeight="1">
      <c r="A16" s="391" t="s">
        <v>6</v>
      </c>
      <c r="B16" s="391"/>
      <c r="C16" s="391"/>
      <c r="D16" s="14">
        <v>0</v>
      </c>
      <c r="E16" s="16">
        <f>SUM($E$10*D16)</f>
        <v>0</v>
      </c>
      <c r="G16" s="286" t="s">
        <v>1403</v>
      </c>
      <c r="H16" s="288"/>
      <c r="I16" s="289">
        <f t="shared" si="1"/>
        <v>0</v>
      </c>
      <c r="J16" s="291"/>
      <c r="K16" s="289">
        <f t="shared" si="2"/>
        <v>0</v>
      </c>
      <c r="L16" s="291"/>
      <c r="M16" s="289">
        <f t="shared" si="3"/>
        <v>0</v>
      </c>
      <c r="N16" s="291"/>
      <c r="O16" s="289">
        <f t="shared" si="4"/>
        <v>0</v>
      </c>
      <c r="P16" s="291"/>
      <c r="Q16" s="289">
        <f t="shared" si="5"/>
        <v>0</v>
      </c>
    </row>
    <row r="17" spans="1:17" ht="15" customHeight="1">
      <c r="A17" s="392" t="s">
        <v>103</v>
      </c>
      <c r="B17" s="393"/>
      <c r="C17" s="394"/>
      <c r="D17" s="14">
        <v>0</v>
      </c>
      <c r="E17" s="16">
        <f>SUM($E$10*D17)</f>
        <v>0</v>
      </c>
      <c r="G17" s="286" t="s">
        <v>1403</v>
      </c>
      <c r="H17" s="288"/>
      <c r="I17" s="289">
        <f t="shared" si="1"/>
        <v>0</v>
      </c>
      <c r="J17" s="291"/>
      <c r="K17" s="289">
        <f t="shared" si="2"/>
        <v>0</v>
      </c>
      <c r="L17" s="291"/>
      <c r="M17" s="289">
        <f t="shared" si="3"/>
        <v>0</v>
      </c>
      <c r="N17" s="291"/>
      <c r="O17" s="289">
        <f t="shared" si="4"/>
        <v>0</v>
      </c>
      <c r="P17" s="291"/>
      <c r="Q17" s="289">
        <f t="shared" si="5"/>
        <v>0</v>
      </c>
    </row>
    <row r="18" spans="1:17" ht="15" customHeight="1">
      <c r="A18" s="388" t="s">
        <v>92</v>
      </c>
      <c r="B18" s="388"/>
      <c r="C18" s="388"/>
      <c r="D18" s="158"/>
      <c r="E18" s="159">
        <f>SUM(E13:E17)</f>
        <v>0</v>
      </c>
      <c r="G18" s="285"/>
      <c r="H18" s="285"/>
      <c r="I18" s="159">
        <f>SUM(I13:I17)</f>
        <v>0</v>
      </c>
      <c r="J18" s="285"/>
      <c r="K18" s="159">
        <f>SUM(K13:K17)</f>
        <v>0</v>
      </c>
      <c r="L18" s="285"/>
      <c r="M18" s="159">
        <f>SUM(M13:M17)</f>
        <v>0</v>
      </c>
      <c r="N18" s="285"/>
      <c r="O18" s="159">
        <f>SUM(O13:O17)</f>
        <v>0</v>
      </c>
      <c r="P18" s="285"/>
      <c r="Q18" s="159">
        <f>SUM(Q13:Q17)</f>
        <v>0</v>
      </c>
    </row>
    <row r="19" spans="1:17" ht="15" customHeight="1">
      <c r="D19" s="20"/>
      <c r="E19" s="21"/>
      <c r="G19" s="285"/>
      <c r="H19" s="285"/>
      <c r="I19" s="285"/>
      <c r="J19" s="285"/>
      <c r="K19" s="285"/>
      <c r="L19" s="285"/>
      <c r="M19" s="285"/>
      <c r="N19" s="285"/>
      <c r="O19" s="285"/>
      <c r="P19" s="285"/>
      <c r="Q19" s="285"/>
    </row>
    <row r="20" spans="1:17" s="8" customFormat="1" ht="26.25" customHeight="1">
      <c r="A20" s="382" t="s">
        <v>87</v>
      </c>
      <c r="B20" s="383"/>
      <c r="C20" s="384"/>
      <c r="D20" s="103" t="s">
        <v>96</v>
      </c>
      <c r="E20" s="102" t="s">
        <v>98</v>
      </c>
      <c r="G20" s="102"/>
      <c r="H20" s="102"/>
      <c r="I20" s="102"/>
      <c r="J20" s="102"/>
      <c r="K20" s="102"/>
      <c r="L20" s="102"/>
      <c r="M20" s="102"/>
      <c r="N20" s="102"/>
      <c r="O20" s="102"/>
      <c r="P20" s="102"/>
      <c r="Q20" s="102"/>
    </row>
    <row r="21" spans="1:17" ht="15" customHeight="1">
      <c r="A21" s="391" t="s">
        <v>7</v>
      </c>
      <c r="B21" s="391"/>
      <c r="C21" s="391"/>
      <c r="D21" s="283" t="e">
        <f>E21/$E$35</f>
        <v>#DIV/0!</v>
      </c>
      <c r="E21" s="284">
        <v>0</v>
      </c>
      <c r="G21" s="285" t="s">
        <v>1403</v>
      </c>
      <c r="H21" s="288"/>
      <c r="I21" s="289">
        <f t="shared" ref="I21:I25" si="6">(E21*H21)+E21</f>
        <v>0</v>
      </c>
      <c r="J21" s="291"/>
      <c r="K21" s="289">
        <f t="shared" ref="K21:K25" si="7">(I21*J21)+I21</f>
        <v>0</v>
      </c>
      <c r="L21" s="291"/>
      <c r="M21" s="289">
        <f t="shared" ref="M21:M25" si="8">(K21*L21)+K21</f>
        <v>0</v>
      </c>
      <c r="N21" s="291"/>
      <c r="O21" s="289">
        <f t="shared" ref="O21:O25" si="9">(M21*N21)+M21</f>
        <v>0</v>
      </c>
      <c r="P21" s="291"/>
      <c r="Q21" s="289">
        <f t="shared" ref="Q21:Q25" si="10">(O21*P21)+O21</f>
        <v>0</v>
      </c>
    </row>
    <row r="22" spans="1:17" ht="15" customHeight="1">
      <c r="A22" s="390" t="s">
        <v>8</v>
      </c>
      <c r="B22" s="391"/>
      <c r="C22" s="391"/>
      <c r="D22" s="283" t="e">
        <f t="shared" ref="D22:D25" si="11">E22/$E$35</f>
        <v>#DIV/0!</v>
      </c>
      <c r="E22" s="284">
        <v>0</v>
      </c>
      <c r="G22" s="285" t="s">
        <v>1403</v>
      </c>
      <c r="H22" s="288"/>
      <c r="I22" s="289">
        <f t="shared" si="6"/>
        <v>0</v>
      </c>
      <c r="J22" s="291"/>
      <c r="K22" s="289">
        <f t="shared" si="7"/>
        <v>0</v>
      </c>
      <c r="L22" s="291"/>
      <c r="M22" s="289">
        <f t="shared" si="8"/>
        <v>0</v>
      </c>
      <c r="N22" s="291"/>
      <c r="O22" s="289">
        <f t="shared" si="9"/>
        <v>0</v>
      </c>
      <c r="P22" s="291"/>
      <c r="Q22" s="289">
        <f t="shared" si="10"/>
        <v>0</v>
      </c>
    </row>
    <row r="23" spans="1:17" ht="15" customHeight="1">
      <c r="A23" s="391" t="s">
        <v>9</v>
      </c>
      <c r="B23" s="391"/>
      <c r="C23" s="391"/>
      <c r="D23" s="283" t="e">
        <f t="shared" si="11"/>
        <v>#DIV/0!</v>
      </c>
      <c r="E23" s="284">
        <v>0</v>
      </c>
      <c r="G23" s="285" t="s">
        <v>1403</v>
      </c>
      <c r="H23" s="288"/>
      <c r="I23" s="290">
        <f t="shared" si="6"/>
        <v>0</v>
      </c>
      <c r="J23" s="291"/>
      <c r="K23" s="289">
        <f t="shared" si="7"/>
        <v>0</v>
      </c>
      <c r="L23" s="291"/>
      <c r="M23" s="289">
        <f t="shared" si="8"/>
        <v>0</v>
      </c>
      <c r="N23" s="291"/>
      <c r="O23" s="289">
        <f t="shared" si="9"/>
        <v>0</v>
      </c>
      <c r="P23" s="291"/>
      <c r="Q23" s="289">
        <f t="shared" si="10"/>
        <v>0</v>
      </c>
    </row>
    <row r="24" spans="1:17" ht="15" customHeight="1">
      <c r="A24" s="378" t="s">
        <v>10</v>
      </c>
      <c r="B24" s="400"/>
      <c r="C24" s="379"/>
      <c r="D24" s="14">
        <v>0</v>
      </c>
      <c r="E24" s="15">
        <f>D24*$E$10</f>
        <v>0</v>
      </c>
      <c r="G24" s="285" t="s">
        <v>1402</v>
      </c>
      <c r="H24" s="288"/>
      <c r="I24" s="289">
        <f t="shared" si="6"/>
        <v>0</v>
      </c>
      <c r="J24" s="291"/>
      <c r="K24" s="289">
        <f t="shared" si="7"/>
        <v>0</v>
      </c>
      <c r="L24" s="291"/>
      <c r="M24" s="289">
        <f t="shared" si="8"/>
        <v>0</v>
      </c>
      <c r="N24" s="291"/>
      <c r="O24" s="289">
        <f t="shared" si="9"/>
        <v>0</v>
      </c>
      <c r="P24" s="291"/>
      <c r="Q24" s="289">
        <f t="shared" si="10"/>
        <v>0</v>
      </c>
    </row>
    <row r="25" spans="1:17" ht="15" customHeight="1">
      <c r="A25" s="392" t="s">
        <v>101</v>
      </c>
      <c r="B25" s="393"/>
      <c r="C25" s="394"/>
      <c r="D25" s="283" t="e">
        <f t="shared" si="11"/>
        <v>#DIV/0!</v>
      </c>
      <c r="E25" s="284">
        <v>0</v>
      </c>
      <c r="G25" s="285" t="s">
        <v>1403</v>
      </c>
      <c r="H25" s="288"/>
      <c r="I25" s="290">
        <f t="shared" si="6"/>
        <v>0</v>
      </c>
      <c r="J25" s="291"/>
      <c r="K25" s="289">
        <f t="shared" si="7"/>
        <v>0</v>
      </c>
      <c r="L25" s="291"/>
      <c r="M25" s="289">
        <f t="shared" si="8"/>
        <v>0</v>
      </c>
      <c r="N25" s="291"/>
      <c r="O25" s="289">
        <f t="shared" si="9"/>
        <v>0</v>
      </c>
      <c r="P25" s="291"/>
      <c r="Q25" s="289">
        <f t="shared" si="10"/>
        <v>0</v>
      </c>
    </row>
    <row r="26" spans="1:17" ht="15" customHeight="1">
      <c r="A26" s="388" t="s">
        <v>93</v>
      </c>
      <c r="B26" s="388"/>
      <c r="C26" s="388"/>
      <c r="D26" s="155" t="s">
        <v>3</v>
      </c>
      <c r="E26" s="157">
        <f>SUM(E21:E25)</f>
        <v>0</v>
      </c>
      <c r="G26" s="285"/>
      <c r="H26" s="285"/>
      <c r="I26" s="157">
        <f>SUM(I21:I25)</f>
        <v>0</v>
      </c>
      <c r="J26" s="285"/>
      <c r="K26" s="157">
        <f>SUM(K21:K25)</f>
        <v>0</v>
      </c>
      <c r="L26" s="285"/>
      <c r="M26" s="157">
        <f>SUM(M21:M25)</f>
        <v>0</v>
      </c>
      <c r="N26" s="285"/>
      <c r="O26" s="157">
        <f>SUM(O21:O25)</f>
        <v>0</v>
      </c>
      <c r="P26" s="285"/>
      <c r="Q26" s="157">
        <f>SUM(Q21:Q25)</f>
        <v>0</v>
      </c>
    </row>
    <row r="27" spans="1:17" ht="15" customHeight="1">
      <c r="A27" s="22"/>
      <c r="B27" s="22"/>
      <c r="C27" s="22"/>
      <c r="D27" s="23"/>
      <c r="E27" s="24"/>
      <c r="G27" s="285"/>
      <c r="H27" s="285"/>
      <c r="I27" s="285"/>
      <c r="J27" s="285"/>
      <c r="K27" s="285"/>
      <c r="L27" s="285"/>
      <c r="M27" s="285"/>
      <c r="N27" s="285"/>
      <c r="O27" s="285"/>
      <c r="P27" s="285"/>
      <c r="Q27" s="285"/>
    </row>
    <row r="28" spans="1:17" s="8" customFormat="1" ht="26.25" customHeight="1">
      <c r="A28" s="382" t="s">
        <v>88</v>
      </c>
      <c r="B28" s="383"/>
      <c r="C28" s="384"/>
      <c r="D28" s="103" t="s">
        <v>96</v>
      </c>
      <c r="E28" s="102" t="s">
        <v>98</v>
      </c>
      <c r="G28" s="102"/>
      <c r="H28" s="102"/>
      <c r="I28" s="102"/>
      <c r="J28" s="102"/>
      <c r="K28" s="102"/>
      <c r="L28" s="102"/>
      <c r="M28" s="102"/>
      <c r="N28" s="102"/>
      <c r="O28" s="102"/>
      <c r="P28" s="102"/>
      <c r="Q28" s="102"/>
    </row>
    <row r="29" spans="1:17" ht="15" customHeight="1">
      <c r="A29" s="390" t="s">
        <v>11</v>
      </c>
      <c r="B29" s="391"/>
      <c r="C29" s="391"/>
      <c r="D29" s="14">
        <v>0</v>
      </c>
      <c r="E29" s="15">
        <f>D29*($E$18+$E$10)</f>
        <v>0</v>
      </c>
      <c r="G29" s="286" t="s">
        <v>1403</v>
      </c>
      <c r="H29" s="288"/>
      <c r="I29" s="289">
        <f t="shared" ref="I29:I32" si="12">(E29*H29)+E29</f>
        <v>0</v>
      </c>
      <c r="J29" s="291"/>
      <c r="K29" s="289">
        <f t="shared" ref="K29:K32" si="13">(I29*J29)+I29</f>
        <v>0</v>
      </c>
      <c r="L29" s="291"/>
      <c r="M29" s="289">
        <f t="shared" ref="M29:M32" si="14">(K29*L29)+K29</f>
        <v>0</v>
      </c>
      <c r="N29" s="291"/>
      <c r="O29" s="289">
        <f t="shared" ref="O29:O32" si="15">(M29*N29)+M29</f>
        <v>0</v>
      </c>
      <c r="P29" s="291"/>
      <c r="Q29" s="289">
        <f t="shared" ref="Q29:Q32" si="16">(O29*P29)+O29</f>
        <v>0</v>
      </c>
    </row>
    <row r="30" spans="1:17" ht="15" customHeight="1">
      <c r="A30" s="390" t="s">
        <v>89</v>
      </c>
      <c r="B30" s="391"/>
      <c r="C30" s="391"/>
      <c r="D30" s="293" t="e">
        <f t="shared" ref="D30:D31" si="17">E30/$E$35</f>
        <v>#DIV/0!</v>
      </c>
      <c r="E30" s="284">
        <v>0</v>
      </c>
      <c r="G30" s="285" t="s">
        <v>1403</v>
      </c>
      <c r="H30" s="288"/>
      <c r="I30" s="290">
        <f t="shared" si="12"/>
        <v>0</v>
      </c>
      <c r="J30" s="291"/>
      <c r="K30" s="289">
        <f t="shared" si="13"/>
        <v>0</v>
      </c>
      <c r="L30" s="291"/>
      <c r="M30" s="289">
        <f t="shared" si="14"/>
        <v>0</v>
      </c>
      <c r="N30" s="291"/>
      <c r="O30" s="289">
        <f t="shared" si="15"/>
        <v>0</v>
      </c>
      <c r="P30" s="291"/>
      <c r="Q30" s="289">
        <f t="shared" si="16"/>
        <v>0</v>
      </c>
    </row>
    <row r="31" spans="1:17" ht="15" customHeight="1">
      <c r="A31" s="392" t="s">
        <v>102</v>
      </c>
      <c r="B31" s="393"/>
      <c r="C31" s="394"/>
      <c r="D31" s="283" t="e">
        <f t="shared" si="17"/>
        <v>#DIV/0!</v>
      </c>
      <c r="E31" s="284">
        <v>0</v>
      </c>
      <c r="G31" s="285" t="s">
        <v>1403</v>
      </c>
      <c r="H31" s="288"/>
      <c r="I31" s="290">
        <f t="shared" si="12"/>
        <v>0</v>
      </c>
      <c r="J31" s="291"/>
      <c r="K31" s="289">
        <f t="shared" si="13"/>
        <v>0</v>
      </c>
      <c r="L31" s="291"/>
      <c r="M31" s="289">
        <f t="shared" si="14"/>
        <v>0</v>
      </c>
      <c r="N31" s="291"/>
      <c r="O31" s="289">
        <f t="shared" si="15"/>
        <v>0</v>
      </c>
      <c r="P31" s="291"/>
      <c r="Q31" s="289">
        <f t="shared" si="16"/>
        <v>0</v>
      </c>
    </row>
    <row r="32" spans="1:17" ht="15" customHeight="1">
      <c r="A32" s="391" t="s">
        <v>90</v>
      </c>
      <c r="B32" s="391"/>
      <c r="C32" s="391"/>
      <c r="D32" s="293" t="e">
        <f>E32/$E$35</f>
        <v>#DIV/0!</v>
      </c>
      <c r="E32" s="284">
        <v>0</v>
      </c>
      <c r="G32" s="285"/>
      <c r="H32" s="285"/>
      <c r="I32" s="290">
        <f t="shared" si="12"/>
        <v>0</v>
      </c>
      <c r="J32" s="291"/>
      <c r="K32" s="289">
        <f t="shared" si="13"/>
        <v>0</v>
      </c>
      <c r="L32" s="291"/>
      <c r="M32" s="289">
        <f t="shared" si="14"/>
        <v>0</v>
      </c>
      <c r="N32" s="291"/>
      <c r="O32" s="289">
        <f t="shared" si="15"/>
        <v>0</v>
      </c>
      <c r="P32" s="291"/>
      <c r="Q32" s="289">
        <f t="shared" si="16"/>
        <v>0</v>
      </c>
    </row>
    <row r="33" spans="1:17" ht="15" customHeight="1">
      <c r="A33" s="388" t="s">
        <v>94</v>
      </c>
      <c r="B33" s="388"/>
      <c r="C33" s="388"/>
      <c r="D33" s="155"/>
      <c r="E33" s="156">
        <f>SUM(E29:E32)</f>
        <v>0</v>
      </c>
      <c r="G33" s="285"/>
      <c r="H33" s="285"/>
      <c r="I33" s="156">
        <f>SUM(I29:I32)</f>
        <v>0</v>
      </c>
      <c r="J33" s="285"/>
      <c r="K33" s="156">
        <f>SUM(K29:K32)</f>
        <v>0</v>
      </c>
      <c r="L33" s="285"/>
      <c r="M33" s="156">
        <f>SUM(M29:M32)</f>
        <v>0</v>
      </c>
      <c r="N33" s="285"/>
      <c r="O33" s="156">
        <f>SUM(O29:O32)</f>
        <v>0</v>
      </c>
      <c r="P33" s="285"/>
      <c r="Q33" s="156">
        <f>SUM(Q29:Q32)</f>
        <v>0</v>
      </c>
    </row>
    <row r="34" spans="1:17" ht="15" customHeight="1">
      <c r="A34" s="22"/>
      <c r="B34" s="22"/>
      <c r="C34" s="22"/>
      <c r="D34" s="23"/>
      <c r="E34" s="25"/>
      <c r="H34" s="285"/>
      <c r="I34" s="285"/>
      <c r="J34" s="285"/>
      <c r="K34" s="285"/>
      <c r="L34" s="285"/>
      <c r="M34" s="285"/>
      <c r="N34" s="285"/>
      <c r="O34" s="285"/>
      <c r="P34" s="285"/>
      <c r="Q34" s="285"/>
    </row>
    <row r="35" spans="1:17" ht="26.25" customHeight="1">
      <c r="A35" s="397" t="s">
        <v>113</v>
      </c>
      <c r="B35" s="398"/>
      <c r="C35" s="398"/>
      <c r="D35" s="399"/>
      <c r="E35" s="154">
        <f>E33+E26+E18+E10</f>
        <v>0</v>
      </c>
      <c r="G35" s="30"/>
      <c r="H35" s="285"/>
      <c r="I35" s="154">
        <f>I33+I26+I18+I10</f>
        <v>0</v>
      </c>
      <c r="J35" s="285"/>
      <c r="K35" s="154">
        <f>K33+K26+K18+K10</f>
        <v>0</v>
      </c>
      <c r="L35" s="285"/>
      <c r="M35" s="154">
        <f>M33+M26+M18+M10</f>
        <v>0</v>
      </c>
      <c r="N35" s="285"/>
      <c r="O35" s="154">
        <f>O33+O26+O18+O10</f>
        <v>0</v>
      </c>
      <c r="P35" s="285"/>
      <c r="Q35" s="154">
        <f>Q33+Q26+Q18+Q10</f>
        <v>0</v>
      </c>
    </row>
    <row r="36" spans="1:17" ht="15" customHeight="1">
      <c r="D36" s="20"/>
      <c r="E36" s="21"/>
    </row>
    <row r="37" spans="1:17" ht="26.25" customHeight="1">
      <c r="A37" s="104" t="s">
        <v>97</v>
      </c>
      <c r="B37" s="105"/>
      <c r="C37" s="103" t="s">
        <v>112</v>
      </c>
      <c r="D37" s="103" t="s">
        <v>110</v>
      </c>
      <c r="E37" s="103" t="s">
        <v>111</v>
      </c>
      <c r="H37" s="103" t="s">
        <v>1404</v>
      </c>
      <c r="I37" s="292" t="e">
        <f>(I35/E35)-100%</f>
        <v>#DIV/0!</v>
      </c>
      <c r="J37" s="103"/>
      <c r="K37" s="292" t="e">
        <f>(K35/I35)-100%</f>
        <v>#DIV/0!</v>
      </c>
      <c r="L37" s="103"/>
      <c r="M37" s="292" t="e">
        <f>(M35/K35)-100%</f>
        <v>#DIV/0!</v>
      </c>
      <c r="N37" s="103"/>
      <c r="O37" s="292" t="e">
        <f>(O35/M35)-100%</f>
        <v>#DIV/0!</v>
      </c>
      <c r="P37" s="103"/>
      <c r="Q37" s="292" t="e">
        <f>(Q35/O35)-100%</f>
        <v>#DIV/0!</v>
      </c>
    </row>
    <row r="38" spans="1:17" ht="15" customHeight="1">
      <c r="A38" s="26" t="s">
        <v>99</v>
      </c>
      <c r="B38" s="26" t="s">
        <v>105</v>
      </c>
      <c r="C38" s="27">
        <v>0</v>
      </c>
      <c r="D38" s="28">
        <f>SUM($E$10,$E$18,$E$26,$E$33)+(C38*($E$18+$E$10))</f>
        <v>0</v>
      </c>
      <c r="E38" s="29">
        <f>D38*121%</f>
        <v>0</v>
      </c>
      <c r="F38" s="30"/>
      <c r="H38" s="285"/>
      <c r="I38" s="12" t="e">
        <f>(D38*$I$37)+D38</f>
        <v>#DIV/0!</v>
      </c>
      <c r="J38" s="285"/>
      <c r="K38" s="12" t="e">
        <f>(I38*$K$37)+I38</f>
        <v>#DIV/0!</v>
      </c>
      <c r="L38" s="285"/>
      <c r="M38" s="12" t="e">
        <f>(K38*$M$37)+K38</f>
        <v>#DIV/0!</v>
      </c>
      <c r="N38" s="285"/>
      <c r="O38" s="12" t="e">
        <f>(M38*$O$37)+M38</f>
        <v>#DIV/0!</v>
      </c>
      <c r="P38" s="285"/>
      <c r="Q38" s="12" t="e">
        <f>(O38*$Q$37)+O38</f>
        <v>#DIV/0!</v>
      </c>
    </row>
    <row r="39" spans="1:17" ht="15" customHeight="1">
      <c r="A39" s="26" t="s">
        <v>104</v>
      </c>
      <c r="B39" s="26" t="s">
        <v>106</v>
      </c>
      <c r="C39" s="27">
        <v>0.3</v>
      </c>
      <c r="D39" s="28">
        <f>SUM($E$10,$E$18,$E$26,$E$33)+(C39*($E$18+$E$10))</f>
        <v>0</v>
      </c>
      <c r="E39" s="29">
        <f>D39*121%</f>
        <v>0</v>
      </c>
      <c r="F39" s="30"/>
      <c r="H39" s="12"/>
      <c r="I39" s="12" t="e">
        <f t="shared" ref="I39:I41" si="18">(D39*$I$37)+D39</f>
        <v>#DIV/0!</v>
      </c>
      <c r="J39" s="285"/>
      <c r="K39" s="12" t="e">
        <f t="shared" ref="K39:K41" si="19">(I39*$K$37)+I39</f>
        <v>#DIV/0!</v>
      </c>
      <c r="L39" s="285"/>
      <c r="M39" s="12" t="e">
        <f t="shared" ref="M39:M41" si="20">(K39*$M$37)+K39</f>
        <v>#DIV/0!</v>
      </c>
      <c r="N39" s="285"/>
      <c r="O39" s="12" t="e">
        <f t="shared" ref="O39:O41" si="21">(M39*$O$37)+M39</f>
        <v>#DIV/0!</v>
      </c>
      <c r="P39" s="285"/>
      <c r="Q39" s="12" t="e">
        <f t="shared" ref="Q39:Q41" si="22">(O39*$Q$37)+O39</f>
        <v>#DIV/0!</v>
      </c>
    </row>
    <row r="40" spans="1:17" ht="15" customHeight="1">
      <c r="A40" s="26" t="s">
        <v>24</v>
      </c>
      <c r="B40" s="26" t="s">
        <v>107</v>
      </c>
      <c r="C40" s="27">
        <v>0.5</v>
      </c>
      <c r="D40" s="28">
        <f>SUM($E$10,$E$18,$E$26,$E$33)+(C40*($E$18+$E$10))</f>
        <v>0</v>
      </c>
      <c r="E40" s="29">
        <f>D40*121%</f>
        <v>0</v>
      </c>
      <c r="F40" s="30"/>
      <c r="H40" s="285"/>
      <c r="I40" s="12" t="e">
        <f t="shared" si="18"/>
        <v>#DIV/0!</v>
      </c>
      <c r="J40" s="285"/>
      <c r="K40" s="12" t="e">
        <f t="shared" si="19"/>
        <v>#DIV/0!</v>
      </c>
      <c r="L40" s="285"/>
      <c r="M40" s="12" t="e">
        <f t="shared" si="20"/>
        <v>#DIV/0!</v>
      </c>
      <c r="N40" s="285"/>
      <c r="O40" s="12" t="e">
        <f t="shared" si="21"/>
        <v>#DIV/0!</v>
      </c>
      <c r="P40" s="285"/>
      <c r="Q40" s="12" t="e">
        <f t="shared" si="22"/>
        <v>#DIV/0!</v>
      </c>
    </row>
    <row r="41" spans="1:17" ht="15" customHeight="1">
      <c r="A41" s="26" t="s">
        <v>108</v>
      </c>
      <c r="B41" s="31" t="s">
        <v>109</v>
      </c>
      <c r="C41" s="27">
        <v>1.5</v>
      </c>
      <c r="D41" s="28">
        <f>SUM($E$10,$E$18,$E$26,$E$33)+(C41*($E$18+$E$10))</f>
        <v>0</v>
      </c>
      <c r="E41" s="29">
        <f>D41*121%</f>
        <v>0</v>
      </c>
      <c r="F41" s="30"/>
      <c r="H41" s="285"/>
      <c r="I41" s="12" t="e">
        <f t="shared" si="18"/>
        <v>#DIV/0!</v>
      </c>
      <c r="J41" s="285"/>
      <c r="K41" s="12" t="e">
        <f t="shared" si="19"/>
        <v>#DIV/0!</v>
      </c>
      <c r="L41" s="285"/>
      <c r="M41" s="12" t="e">
        <f t="shared" si="20"/>
        <v>#DIV/0!</v>
      </c>
      <c r="N41" s="285"/>
      <c r="O41" s="12" t="e">
        <f t="shared" si="21"/>
        <v>#DIV/0!</v>
      </c>
      <c r="P41" s="285"/>
      <c r="Q41" s="12" t="e">
        <f t="shared" si="22"/>
        <v>#DIV/0!</v>
      </c>
    </row>
    <row r="42" spans="1:17" ht="15" customHeight="1">
      <c r="E42" s="4"/>
    </row>
    <row r="43" spans="1:17" ht="15" customHeight="1">
      <c r="E43" s="4"/>
    </row>
    <row r="44" spans="1:17" ht="15" customHeight="1">
      <c r="E44" s="4"/>
    </row>
    <row r="45" spans="1:17" ht="15" customHeight="1">
      <c r="E45" s="4"/>
    </row>
    <row r="46" spans="1:17" ht="15" customHeight="1">
      <c r="E46" s="4"/>
    </row>
    <row r="47" spans="1:17" ht="15" customHeight="1">
      <c r="E47" s="4"/>
    </row>
    <row r="48" spans="1:17" ht="15" customHeight="1">
      <c r="E48" s="4"/>
    </row>
    <row r="49" spans="5:5" ht="15" customHeight="1">
      <c r="E49" s="4"/>
    </row>
    <row r="50" spans="5:5" ht="15" customHeight="1">
      <c r="E50" s="4"/>
    </row>
    <row r="51" spans="5:5" ht="15" customHeight="1">
      <c r="E51" s="4"/>
    </row>
    <row r="52" spans="5:5" ht="15" customHeight="1">
      <c r="E52" s="4"/>
    </row>
    <row r="53" spans="5:5" ht="15" customHeight="1">
      <c r="E53" s="4"/>
    </row>
    <row r="54" spans="5:5" ht="15" customHeight="1">
      <c r="E54" s="4"/>
    </row>
    <row r="55" spans="5:5" ht="15" customHeight="1">
      <c r="E55" s="4"/>
    </row>
    <row r="56" spans="5:5" ht="15" customHeight="1">
      <c r="E56" s="4"/>
    </row>
    <row r="57" spans="5:5" ht="15" customHeight="1">
      <c r="E57" s="4"/>
    </row>
    <row r="58" spans="5:5" ht="15" customHeight="1">
      <c r="E58" s="4"/>
    </row>
    <row r="59" spans="5:5" ht="15" customHeight="1">
      <c r="E59" s="4"/>
    </row>
    <row r="60" spans="5:5" ht="15" customHeight="1">
      <c r="E60" s="4"/>
    </row>
  </sheetData>
  <mergeCells count="36">
    <mergeCell ref="H3:I3"/>
    <mergeCell ref="J3:K3"/>
    <mergeCell ref="L3:M3"/>
    <mergeCell ref="N3:O3"/>
    <mergeCell ref="P3:Q3"/>
    <mergeCell ref="G2:Q2"/>
    <mergeCell ref="A35:D35"/>
    <mergeCell ref="A14:C14"/>
    <mergeCell ref="A24:C24"/>
    <mergeCell ref="A31:C31"/>
    <mergeCell ref="A25:C25"/>
    <mergeCell ref="A28:C28"/>
    <mergeCell ref="A33:C33"/>
    <mergeCell ref="A26:C26"/>
    <mergeCell ref="A29:C29"/>
    <mergeCell ref="A30:C30"/>
    <mergeCell ref="A32:C32"/>
    <mergeCell ref="A21:C21"/>
    <mergeCell ref="A23:C23"/>
    <mergeCell ref="A22:C22"/>
    <mergeCell ref="A10:C10"/>
    <mergeCell ref="A8:B8"/>
    <mergeCell ref="A6:B6"/>
    <mergeCell ref="A20:C20"/>
    <mergeCell ref="A7:B7"/>
    <mergeCell ref="A1:E1"/>
    <mergeCell ref="A18:C18"/>
    <mergeCell ref="A2:E2"/>
    <mergeCell ref="A4:B4"/>
    <mergeCell ref="A12:C12"/>
    <mergeCell ref="A13:C13"/>
    <mergeCell ref="A15:C15"/>
    <mergeCell ref="A16:C16"/>
    <mergeCell ref="A17:C17"/>
    <mergeCell ref="A5:B5"/>
    <mergeCell ref="A9:C9"/>
  </mergeCells>
  <phoneticPr fontId="6" type="noConversion"/>
  <conditionalFormatting sqref="E9">
    <cfRule type="containsText" dxfId="7"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63" orientation="portrait" r:id="rId1"/>
  <headerFooter alignWithMargins="0">
    <oddFooter>&amp;L&amp;F&amp;C&amp;D&amp;R&amp;A</oddFooter>
  </headerFooter>
  <colBreaks count="1" manualBreakCount="1">
    <brk id="5" max="40"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sheetPr>
  <dimension ref="A1:R20"/>
  <sheetViews>
    <sheetView workbookViewId="0">
      <selection activeCell="B20" sqref="B20"/>
    </sheetView>
  </sheetViews>
  <sheetFormatPr defaultRowHeight="12.75"/>
  <cols>
    <col min="1" max="1" width="2.7109375" style="153" bestFit="1" customWidth="1"/>
    <col min="2" max="2" width="10.140625" style="153" bestFit="1" customWidth="1"/>
    <col min="3" max="3" width="12.5703125" style="153" bestFit="1" customWidth="1"/>
    <col min="4" max="4" width="14.7109375" style="153" bestFit="1" customWidth="1"/>
    <col min="5" max="5" width="14.42578125" style="153" bestFit="1" customWidth="1"/>
    <col min="6" max="6" width="16.42578125" style="153" customWidth="1"/>
    <col min="7" max="7" width="11.28515625" style="204" bestFit="1" customWidth="1"/>
    <col min="8" max="8" width="7.42578125" style="153" bestFit="1" customWidth="1"/>
    <col min="9" max="9" width="10.28515625" style="204" bestFit="1" customWidth="1"/>
    <col min="10" max="10" width="10.7109375" style="204" bestFit="1" customWidth="1"/>
    <col min="11" max="12" width="12.42578125" style="153" customWidth="1"/>
    <col min="13" max="13" width="10.7109375" style="153" customWidth="1"/>
    <col min="14" max="14" width="11.28515625" style="153" customWidth="1"/>
    <col min="15" max="15" width="17.7109375" style="153" customWidth="1"/>
    <col min="16" max="16" width="18.28515625" style="153" customWidth="1"/>
    <col min="17" max="17" width="16.85546875" style="204" customWidth="1"/>
    <col min="18" max="18" width="12.5703125" style="153" customWidth="1"/>
  </cols>
  <sheetData>
    <row r="1" spans="1:18" ht="45" customHeight="1">
      <c r="A1" s="208"/>
      <c r="B1" s="208" t="s">
        <v>283</v>
      </c>
      <c r="C1" s="208" t="s">
        <v>1480</v>
      </c>
      <c r="D1" s="208" t="s">
        <v>284</v>
      </c>
      <c r="E1" s="208" t="s">
        <v>285</v>
      </c>
      <c r="F1" s="208" t="s">
        <v>286</v>
      </c>
      <c r="G1" s="208" t="s">
        <v>287</v>
      </c>
      <c r="H1" s="208" t="s">
        <v>240</v>
      </c>
      <c r="I1" s="208" t="s">
        <v>288</v>
      </c>
      <c r="J1" s="208" t="s">
        <v>289</v>
      </c>
      <c r="K1" s="208" t="s">
        <v>290</v>
      </c>
      <c r="L1" s="208" t="s">
        <v>291</v>
      </c>
      <c r="M1" s="208" t="s">
        <v>292</v>
      </c>
      <c r="N1" s="208" t="s">
        <v>293</v>
      </c>
      <c r="O1" s="208" t="s">
        <v>294</v>
      </c>
      <c r="P1" s="208" t="s">
        <v>295</v>
      </c>
      <c r="Q1" s="208" t="s">
        <v>296</v>
      </c>
      <c r="R1" s="208" t="s">
        <v>160</v>
      </c>
    </row>
    <row r="2" spans="1:18">
      <c r="A2" s="195"/>
      <c r="B2" s="196"/>
      <c r="C2" s="196"/>
      <c r="D2" s="196"/>
      <c r="E2" s="188"/>
      <c r="F2" s="197"/>
      <c r="G2" s="187"/>
      <c r="H2" s="188"/>
      <c r="I2" s="187"/>
      <c r="J2" s="187"/>
      <c r="K2" s="198"/>
      <c r="L2" s="199"/>
      <c r="M2" s="188"/>
      <c r="N2" s="188"/>
      <c r="O2" s="187"/>
      <c r="P2" s="187"/>
      <c r="Q2" s="187"/>
      <c r="R2" s="188"/>
    </row>
    <row r="3" spans="1:18">
      <c r="A3" s="195"/>
      <c r="B3" s="196"/>
      <c r="C3" s="196"/>
      <c r="D3" s="196"/>
      <c r="E3" s="188"/>
      <c r="F3" s="197"/>
      <c r="G3" s="187"/>
      <c r="H3" s="188"/>
      <c r="I3" s="187"/>
      <c r="J3" s="187"/>
      <c r="K3" s="198"/>
      <c r="L3" s="209"/>
      <c r="M3" s="188"/>
      <c r="N3" s="188"/>
      <c r="O3" s="187"/>
      <c r="P3" s="187"/>
      <c r="Q3" s="187"/>
      <c r="R3" s="188"/>
    </row>
    <row r="4" spans="1:18">
      <c r="A4" s="195"/>
      <c r="B4" s="196"/>
      <c r="C4" s="196"/>
      <c r="D4" s="196"/>
      <c r="E4" s="188"/>
      <c r="F4" s="197"/>
      <c r="G4" s="187"/>
      <c r="H4" s="188"/>
      <c r="I4" s="187"/>
      <c r="J4" s="187"/>
      <c r="K4" s="198"/>
      <c r="L4" s="209"/>
      <c r="M4" s="188"/>
      <c r="N4" s="188"/>
      <c r="O4" s="187"/>
      <c r="P4" s="187"/>
      <c r="Q4" s="187"/>
      <c r="R4" s="188"/>
    </row>
    <row r="5" spans="1:18">
      <c r="A5" s="195"/>
      <c r="B5" s="196"/>
      <c r="C5" s="196"/>
      <c r="D5" s="196"/>
      <c r="E5" s="188"/>
      <c r="F5" s="197"/>
      <c r="G5" s="187"/>
      <c r="H5" s="188"/>
      <c r="I5" s="187"/>
      <c r="J5" s="187"/>
      <c r="K5" s="198"/>
      <c r="L5" s="209"/>
      <c r="M5" s="188"/>
      <c r="N5" s="188"/>
      <c r="O5" s="187"/>
      <c r="P5" s="187"/>
      <c r="Q5" s="187"/>
      <c r="R5" s="188"/>
    </row>
    <row r="6" spans="1:18">
      <c r="A6" s="195"/>
      <c r="B6" s="196"/>
      <c r="C6" s="196"/>
      <c r="D6" s="196"/>
      <c r="E6" s="188"/>
      <c r="F6" s="197"/>
      <c r="G6" s="187"/>
      <c r="H6" s="188"/>
      <c r="I6" s="187"/>
      <c r="J6" s="187"/>
      <c r="K6" s="198"/>
      <c r="L6" s="209"/>
      <c r="M6" s="188"/>
      <c r="N6" s="188"/>
      <c r="O6" s="187"/>
      <c r="P6" s="187"/>
      <c r="Q6" s="187"/>
      <c r="R6" s="188"/>
    </row>
    <row r="7" spans="1:18">
      <c r="A7" s="195"/>
      <c r="B7" s="196"/>
      <c r="C7" s="196"/>
      <c r="D7" s="196"/>
      <c r="E7" s="188"/>
      <c r="F7" s="197"/>
      <c r="G7" s="187"/>
      <c r="H7" s="188"/>
      <c r="I7" s="187"/>
      <c r="J7" s="187"/>
      <c r="K7" s="198"/>
      <c r="L7" s="209"/>
      <c r="M7" s="188"/>
      <c r="N7" s="188"/>
      <c r="O7" s="187"/>
      <c r="P7" s="187"/>
      <c r="Q7" s="187"/>
      <c r="R7" s="188"/>
    </row>
    <row r="8" spans="1:18">
      <c r="A8" s="195"/>
      <c r="B8" s="196"/>
      <c r="C8" s="196"/>
      <c r="D8" s="196"/>
      <c r="E8" s="188"/>
      <c r="F8" s="197"/>
      <c r="G8" s="187"/>
      <c r="H8" s="188"/>
      <c r="I8" s="187"/>
      <c r="J8" s="187"/>
      <c r="K8" s="198"/>
      <c r="L8" s="209"/>
      <c r="M8" s="188"/>
      <c r="N8" s="188"/>
      <c r="O8" s="187"/>
      <c r="P8" s="187"/>
      <c r="Q8" s="187"/>
      <c r="R8" s="188"/>
    </row>
    <row r="9" spans="1:18">
      <c r="A9" s="195"/>
      <c r="B9" s="196"/>
      <c r="C9" s="196"/>
      <c r="D9" s="196"/>
      <c r="E9" s="188"/>
      <c r="F9" s="197"/>
      <c r="G9" s="187"/>
      <c r="H9" s="188"/>
      <c r="I9" s="187"/>
      <c r="J9" s="187"/>
      <c r="K9" s="198"/>
      <c r="L9" s="209"/>
      <c r="M9" s="188"/>
      <c r="N9" s="188"/>
      <c r="O9" s="187"/>
      <c r="P9" s="187"/>
      <c r="Q9" s="187"/>
      <c r="R9" s="188"/>
    </row>
    <row r="10" spans="1:18">
      <c r="A10" s="195"/>
      <c r="B10" s="196"/>
      <c r="C10" s="196"/>
      <c r="D10" s="196"/>
      <c r="E10" s="188"/>
      <c r="F10" s="197"/>
      <c r="G10" s="187"/>
      <c r="H10" s="188"/>
      <c r="I10" s="187"/>
      <c r="J10" s="187"/>
      <c r="K10" s="198"/>
      <c r="L10" s="209"/>
      <c r="M10" s="188"/>
      <c r="N10" s="188"/>
      <c r="O10" s="187"/>
      <c r="P10" s="187"/>
      <c r="Q10" s="187"/>
      <c r="R10" s="188"/>
    </row>
    <row r="11" spans="1:18">
      <c r="A11" s="195"/>
      <c r="B11" s="196"/>
      <c r="C11" s="196"/>
      <c r="D11" s="196"/>
      <c r="E11" s="207"/>
      <c r="F11" s="197"/>
      <c r="G11" s="187"/>
      <c r="H11" s="188"/>
      <c r="I11" s="187"/>
      <c r="J11" s="187"/>
      <c r="K11" s="198"/>
      <c r="L11" s="209"/>
      <c r="M11" s="188"/>
      <c r="N11" s="188"/>
      <c r="O11" s="187"/>
      <c r="P11" s="187"/>
      <c r="Q11" s="187"/>
      <c r="R11" s="188"/>
    </row>
    <row r="12" spans="1:18">
      <c r="A12" s="195"/>
      <c r="B12" s="196"/>
      <c r="C12" s="196"/>
      <c r="D12" s="196"/>
      <c r="E12" s="188"/>
      <c r="F12" s="197"/>
      <c r="G12" s="187"/>
      <c r="H12" s="188"/>
      <c r="I12" s="187"/>
      <c r="J12" s="187"/>
      <c r="K12" s="198"/>
      <c r="L12" s="209"/>
      <c r="M12" s="188"/>
      <c r="N12" s="188"/>
      <c r="O12" s="187"/>
      <c r="P12" s="187"/>
      <c r="Q12" s="187"/>
      <c r="R12" s="188"/>
    </row>
    <row r="13" spans="1:18">
      <c r="A13" s="195"/>
      <c r="B13" s="196"/>
      <c r="C13" s="196"/>
      <c r="D13" s="196"/>
      <c r="E13" s="188"/>
      <c r="F13" s="197"/>
      <c r="G13" s="187"/>
      <c r="H13" s="188"/>
      <c r="I13" s="187"/>
      <c r="J13" s="187"/>
      <c r="K13" s="198"/>
      <c r="L13" s="209"/>
      <c r="M13" s="188"/>
      <c r="N13" s="188"/>
      <c r="O13" s="187"/>
      <c r="P13" s="187"/>
      <c r="Q13" s="187"/>
      <c r="R13" s="188"/>
    </row>
    <row r="14" spans="1:18">
      <c r="A14" s="195"/>
      <c r="B14" s="196"/>
      <c r="C14" s="196"/>
      <c r="D14" s="196"/>
      <c r="E14" s="188"/>
      <c r="F14" s="197"/>
      <c r="G14" s="187"/>
      <c r="H14" s="188"/>
      <c r="I14" s="187"/>
      <c r="J14" s="187"/>
      <c r="K14" s="198"/>
      <c r="L14" s="209"/>
      <c r="M14" s="188"/>
      <c r="N14" s="188"/>
      <c r="O14" s="187"/>
      <c r="P14" s="187"/>
      <c r="Q14" s="187"/>
      <c r="R14" s="188"/>
    </row>
    <row r="15" spans="1:18">
      <c r="A15" s="195"/>
      <c r="B15" s="201"/>
      <c r="C15" s="201"/>
      <c r="D15" s="201"/>
      <c r="E15" s="200"/>
      <c r="F15" s="200"/>
      <c r="G15" s="202"/>
      <c r="H15" s="200"/>
      <c r="I15" s="202"/>
      <c r="J15" s="202"/>
      <c r="K15" s="203"/>
      <c r="L15" s="210"/>
      <c r="M15" s="200"/>
      <c r="N15" s="200"/>
      <c r="O15" s="200"/>
      <c r="P15" s="206"/>
      <c r="Q15" s="202"/>
      <c r="R15" s="200"/>
    </row>
    <row r="16" spans="1:18">
      <c r="A16" s="195"/>
      <c r="B16" s="201"/>
      <c r="C16" s="201"/>
      <c r="D16" s="201"/>
      <c r="E16" s="200"/>
      <c r="F16" s="200"/>
      <c r="G16" s="202"/>
      <c r="H16" s="200"/>
      <c r="I16" s="202"/>
      <c r="J16" s="202"/>
      <c r="K16" s="203"/>
      <c r="L16" s="210"/>
      <c r="M16" s="200"/>
      <c r="N16" s="200"/>
      <c r="O16" s="200"/>
      <c r="P16" s="200"/>
      <c r="Q16" s="202"/>
      <c r="R16" s="200"/>
    </row>
    <row r="17" spans="1:18">
      <c r="A17" s="200"/>
      <c r="B17" s="201"/>
      <c r="C17" s="201"/>
      <c r="D17" s="201"/>
      <c r="E17" s="200"/>
      <c r="F17" s="200"/>
      <c r="G17" s="202"/>
      <c r="H17" s="200"/>
      <c r="I17" s="202"/>
      <c r="J17" s="202"/>
      <c r="K17" s="203"/>
      <c r="L17" s="200"/>
      <c r="M17" s="200"/>
      <c r="N17" s="200"/>
      <c r="O17" s="200"/>
      <c r="P17" s="200"/>
      <c r="Q17" s="202"/>
      <c r="R17" s="200"/>
    </row>
    <row r="18" spans="1:18">
      <c r="A18" s="200"/>
      <c r="B18" s="201"/>
      <c r="C18" s="201"/>
      <c r="D18" s="201"/>
      <c r="E18" s="200"/>
      <c r="F18" s="200"/>
      <c r="G18" s="202"/>
      <c r="H18" s="200"/>
      <c r="I18" s="202"/>
      <c r="J18" s="202"/>
      <c r="K18" s="203"/>
      <c r="L18" s="200"/>
      <c r="M18" s="200"/>
      <c r="N18" s="200"/>
      <c r="O18" s="200"/>
      <c r="P18" s="200"/>
      <c r="Q18" s="202"/>
      <c r="R18" s="200"/>
    </row>
    <row r="20" spans="1:18">
      <c r="B20" s="358" t="s">
        <v>1796</v>
      </c>
      <c r="C20" s="358"/>
      <c r="D20" s="358"/>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85102-6CF4-4990-BFAA-92E340139A49}">
  <sheetPr>
    <tabColor theme="0" tint="-0.14999847407452621"/>
  </sheetPr>
  <dimension ref="A1:Y991"/>
  <sheetViews>
    <sheetView workbookViewId="0">
      <pane ySplit="2" topLeftCell="A3" activePane="bottomLeft" state="frozen"/>
      <selection pane="bottomLeft"/>
    </sheetView>
  </sheetViews>
  <sheetFormatPr defaultRowHeight="12.75"/>
  <cols>
    <col min="1" max="1" width="12.85546875" style="216" customWidth="1"/>
    <col min="2" max="2" width="21" bestFit="1" customWidth="1"/>
    <col min="3" max="3" width="16.140625" style="216" customWidth="1"/>
    <col min="4" max="4" width="25.140625" bestFit="1" customWidth="1"/>
    <col min="5" max="5" width="9.7109375" style="216" customWidth="1"/>
    <col min="6" max="6" width="10.28515625" style="216" bestFit="1" customWidth="1"/>
    <col min="7" max="25" width="5.5703125" style="216" bestFit="1" customWidth="1"/>
  </cols>
  <sheetData>
    <row r="1" spans="1:25" ht="33.75">
      <c r="A1" s="215" t="s">
        <v>1230</v>
      </c>
    </row>
    <row r="2" spans="1:25" ht="30" customHeight="1">
      <c r="A2" s="217" t="s">
        <v>304</v>
      </c>
      <c r="B2" s="218" t="s">
        <v>160</v>
      </c>
      <c r="C2" s="219" t="s">
        <v>140</v>
      </c>
      <c r="D2" s="218" t="s">
        <v>305</v>
      </c>
      <c r="E2" s="219" t="s">
        <v>306</v>
      </c>
      <c r="F2" s="219" t="s">
        <v>38</v>
      </c>
      <c r="G2" s="220" t="s">
        <v>307</v>
      </c>
      <c r="H2" s="220" t="s">
        <v>308</v>
      </c>
      <c r="I2" s="220" t="s">
        <v>309</v>
      </c>
      <c r="J2" s="220" t="s">
        <v>310</v>
      </c>
      <c r="K2" s="220" t="s">
        <v>311</v>
      </c>
      <c r="L2" s="220" t="s">
        <v>312</v>
      </c>
      <c r="M2" s="220" t="s">
        <v>313</v>
      </c>
      <c r="N2" s="220" t="s">
        <v>314</v>
      </c>
      <c r="O2" s="221" t="s">
        <v>315</v>
      </c>
      <c r="P2" s="221" t="s">
        <v>316</v>
      </c>
      <c r="Q2" s="221" t="s">
        <v>317</v>
      </c>
      <c r="R2" s="221" t="s">
        <v>318</v>
      </c>
      <c r="S2" s="221" t="s">
        <v>319</v>
      </c>
      <c r="T2" s="221" t="s">
        <v>320</v>
      </c>
      <c r="U2" s="221" t="s">
        <v>321</v>
      </c>
      <c r="V2" s="221" t="s">
        <v>322</v>
      </c>
      <c r="W2" s="222" t="s">
        <v>323</v>
      </c>
      <c r="X2" s="222" t="s">
        <v>324</v>
      </c>
      <c r="Y2" s="222" t="s">
        <v>325</v>
      </c>
    </row>
    <row r="3" spans="1:25">
      <c r="A3" s="223">
        <v>1</v>
      </c>
      <c r="B3" s="224" t="str">
        <f>VLOOKUP(Tabel10[[#This Row],[Locatiecode]],Ruimtegroepen[[#All],[Code]:[Ruimte omschrijving]],2,FALSE)</f>
        <v>Magazijnen/bergingen</v>
      </c>
      <c r="C3" s="225" t="s">
        <v>326</v>
      </c>
      <c r="D3" s="224" t="s">
        <v>32</v>
      </c>
      <c r="E3" s="226" t="s">
        <v>121</v>
      </c>
      <c r="F3" s="225" t="s">
        <v>327</v>
      </c>
      <c r="G3" s="227" t="s">
        <v>328</v>
      </c>
      <c r="H3" s="227" t="s">
        <v>328</v>
      </c>
      <c r="I3" s="228" t="s">
        <v>2</v>
      </c>
      <c r="J3" s="228" t="s">
        <v>15</v>
      </c>
      <c r="K3" s="227" t="s">
        <v>328</v>
      </c>
      <c r="L3" s="227" t="s">
        <v>328</v>
      </c>
      <c r="M3" s="227" t="s">
        <v>328</v>
      </c>
      <c r="N3" s="228" t="s">
        <v>2</v>
      </c>
      <c r="O3" s="229" t="s">
        <v>328</v>
      </c>
      <c r="P3" s="229" t="s">
        <v>328</v>
      </c>
      <c r="Q3" s="229" t="s">
        <v>328</v>
      </c>
      <c r="R3" s="229" t="s">
        <v>328</v>
      </c>
      <c r="S3" s="229" t="s">
        <v>375</v>
      </c>
      <c r="T3" s="229" t="s">
        <v>375</v>
      </c>
      <c r="U3" s="229" t="s">
        <v>375</v>
      </c>
      <c r="V3" s="229" t="s">
        <v>328</v>
      </c>
      <c r="W3" s="230" t="s">
        <v>328</v>
      </c>
      <c r="X3" s="230" t="s">
        <v>328</v>
      </c>
      <c r="Y3" s="231" t="s">
        <v>328</v>
      </c>
    </row>
    <row r="4" spans="1:25">
      <c r="A4" s="223">
        <v>1</v>
      </c>
      <c r="B4" s="224" t="str">
        <f>VLOOKUP(Tabel10[[#This Row],[Locatiecode]],Ruimtegroepen[[#All],[Code]:[Ruimte omschrijving]],2,FALSE)</f>
        <v>Magazijnen/bergingen</v>
      </c>
      <c r="C4" s="225" t="s">
        <v>326</v>
      </c>
      <c r="D4" s="224" t="s">
        <v>32</v>
      </c>
      <c r="E4" s="226" t="s">
        <v>120</v>
      </c>
      <c r="F4" s="225" t="s">
        <v>329</v>
      </c>
      <c r="G4" s="228" t="s">
        <v>20</v>
      </c>
      <c r="H4" s="228" t="s">
        <v>15</v>
      </c>
      <c r="I4" s="227" t="s">
        <v>328</v>
      </c>
      <c r="J4" s="227" t="s">
        <v>328</v>
      </c>
      <c r="K4" s="227" t="s">
        <v>328</v>
      </c>
      <c r="L4" s="227" t="s">
        <v>328</v>
      </c>
      <c r="M4" s="227" t="s">
        <v>328</v>
      </c>
      <c r="N4" s="228" t="s">
        <v>2</v>
      </c>
      <c r="O4" s="229" t="s">
        <v>328</v>
      </c>
      <c r="P4" s="229" t="s">
        <v>328</v>
      </c>
      <c r="Q4" s="229" t="s">
        <v>328</v>
      </c>
      <c r="R4" s="229" t="s">
        <v>328</v>
      </c>
      <c r="S4" s="229" t="s">
        <v>375</v>
      </c>
      <c r="T4" s="229" t="s">
        <v>375</v>
      </c>
      <c r="U4" s="229" t="s">
        <v>375</v>
      </c>
      <c r="V4" s="229" t="s">
        <v>328</v>
      </c>
      <c r="W4" s="230" t="s">
        <v>328</v>
      </c>
      <c r="X4" s="230" t="s">
        <v>328</v>
      </c>
      <c r="Y4" s="231" t="s">
        <v>328</v>
      </c>
    </row>
    <row r="5" spans="1:25">
      <c r="A5" s="223">
        <v>1</v>
      </c>
      <c r="B5" s="224" t="str">
        <f>VLOOKUP(Tabel10[[#This Row],[Locatiecode]],Ruimtegroepen[[#All],[Code]:[Ruimte omschrijving]],2,FALSE)</f>
        <v>Magazijnen/bergingen</v>
      </c>
      <c r="C5" s="225" t="s">
        <v>326</v>
      </c>
      <c r="D5" s="224" t="s">
        <v>32</v>
      </c>
      <c r="E5" s="226" t="s">
        <v>122</v>
      </c>
      <c r="F5" s="225" t="s">
        <v>330</v>
      </c>
      <c r="G5" s="227" t="s">
        <v>328</v>
      </c>
      <c r="H5" s="227" t="s">
        <v>328</v>
      </c>
      <c r="I5" s="228" t="s">
        <v>2</v>
      </c>
      <c r="J5" s="228" t="s">
        <v>15</v>
      </c>
      <c r="K5" s="228" t="s">
        <v>331</v>
      </c>
      <c r="L5" s="227" t="s">
        <v>328</v>
      </c>
      <c r="M5" s="227" t="s">
        <v>328</v>
      </c>
      <c r="N5" s="228" t="s">
        <v>2</v>
      </c>
      <c r="O5" s="229" t="s">
        <v>328</v>
      </c>
      <c r="P5" s="229" t="s">
        <v>328</v>
      </c>
      <c r="Q5" s="229" t="s">
        <v>328</v>
      </c>
      <c r="R5" s="229" t="s">
        <v>328</v>
      </c>
      <c r="S5" s="229" t="s">
        <v>375</v>
      </c>
      <c r="T5" s="229" t="s">
        <v>375</v>
      </c>
      <c r="U5" s="229" t="s">
        <v>375</v>
      </c>
      <c r="V5" s="229" t="s">
        <v>328</v>
      </c>
      <c r="W5" s="230" t="s">
        <v>328</v>
      </c>
      <c r="X5" s="230" t="s">
        <v>328</v>
      </c>
      <c r="Y5" s="231" t="s">
        <v>328</v>
      </c>
    </row>
    <row r="6" spans="1:25">
      <c r="A6" s="223">
        <v>1</v>
      </c>
      <c r="B6" s="224" t="str">
        <f>VLOOKUP(Tabel10[[#This Row],[Locatiecode]],Ruimtegroepen[[#All],[Code]:[Ruimte omschrijving]],2,FALSE)</f>
        <v>Magazijnen/bergingen</v>
      </c>
      <c r="C6" s="225" t="s">
        <v>326</v>
      </c>
      <c r="D6" s="224" t="s">
        <v>32</v>
      </c>
      <c r="E6" s="226" t="s">
        <v>123</v>
      </c>
      <c r="F6" s="225" t="s">
        <v>332</v>
      </c>
      <c r="G6" s="227" t="s">
        <v>328</v>
      </c>
      <c r="H6" s="227" t="s">
        <v>328</v>
      </c>
      <c r="I6" s="228" t="s">
        <v>2</v>
      </c>
      <c r="J6" s="228" t="s">
        <v>15</v>
      </c>
      <c r="K6" s="227" t="s">
        <v>328</v>
      </c>
      <c r="L6" s="228" t="s">
        <v>328</v>
      </c>
      <c r="M6" s="227" t="s">
        <v>328</v>
      </c>
      <c r="N6" s="228" t="s">
        <v>2</v>
      </c>
      <c r="O6" s="229" t="s">
        <v>328</v>
      </c>
      <c r="P6" s="229" t="s">
        <v>328</v>
      </c>
      <c r="Q6" s="229" t="s">
        <v>328</v>
      </c>
      <c r="R6" s="229" t="s">
        <v>328</v>
      </c>
      <c r="S6" s="229" t="s">
        <v>375</v>
      </c>
      <c r="T6" s="229" t="s">
        <v>375</v>
      </c>
      <c r="U6" s="229" t="s">
        <v>375</v>
      </c>
      <c r="V6" s="229" t="s">
        <v>328</v>
      </c>
      <c r="W6" s="230" t="s">
        <v>328</v>
      </c>
      <c r="X6" s="230" t="s">
        <v>328</v>
      </c>
      <c r="Y6" s="231" t="s">
        <v>328</v>
      </c>
    </row>
    <row r="7" spans="1:25">
      <c r="A7" s="223">
        <v>1</v>
      </c>
      <c r="B7" s="224" t="str">
        <f>VLOOKUP(Tabel10[[#This Row],[Locatiecode]],Ruimtegroepen[[#All],[Code]:[Ruimte omschrijving]],2,FALSE)</f>
        <v>Magazijnen/bergingen</v>
      </c>
      <c r="C7" s="225" t="s">
        <v>333</v>
      </c>
      <c r="D7" s="224" t="s">
        <v>1</v>
      </c>
      <c r="E7" s="226" t="s">
        <v>121</v>
      </c>
      <c r="F7" s="225" t="s">
        <v>334</v>
      </c>
      <c r="G7" s="228" t="s">
        <v>328</v>
      </c>
      <c r="H7" s="228" t="s">
        <v>328</v>
      </c>
      <c r="I7" s="227" t="s">
        <v>2</v>
      </c>
      <c r="J7" s="227" t="s">
        <v>15</v>
      </c>
      <c r="K7" s="227" t="s">
        <v>328</v>
      </c>
      <c r="L7" s="228" t="s">
        <v>328</v>
      </c>
      <c r="M7" s="227" t="s">
        <v>328</v>
      </c>
      <c r="N7" s="228" t="s">
        <v>328</v>
      </c>
      <c r="O7" s="229" t="s">
        <v>328</v>
      </c>
      <c r="P7" s="229" t="s">
        <v>328</v>
      </c>
      <c r="Q7" s="229" t="s">
        <v>328</v>
      </c>
      <c r="R7" s="229" t="s">
        <v>328</v>
      </c>
      <c r="S7" s="229" t="s">
        <v>375</v>
      </c>
      <c r="T7" s="229" t="s">
        <v>375</v>
      </c>
      <c r="U7" s="229" t="s">
        <v>375</v>
      </c>
      <c r="V7" s="229" t="s">
        <v>328</v>
      </c>
      <c r="W7" s="230" t="s">
        <v>328</v>
      </c>
      <c r="X7" s="230" t="s">
        <v>328</v>
      </c>
      <c r="Y7" s="231" t="s">
        <v>328</v>
      </c>
    </row>
    <row r="8" spans="1:25">
      <c r="A8" s="223">
        <v>1</v>
      </c>
      <c r="B8" s="224" t="str">
        <f>VLOOKUP(Tabel10[[#This Row],[Locatiecode]],Ruimtegroepen[[#All],[Code]:[Ruimte omschrijving]],2,FALSE)</f>
        <v>Magazijnen/bergingen</v>
      </c>
      <c r="C8" s="225" t="s">
        <v>333</v>
      </c>
      <c r="D8" s="224" t="s">
        <v>1</v>
      </c>
      <c r="E8" s="226" t="s">
        <v>120</v>
      </c>
      <c r="F8" s="225" t="s">
        <v>335</v>
      </c>
      <c r="G8" s="228" t="s">
        <v>20</v>
      </c>
      <c r="H8" s="228" t="s">
        <v>15</v>
      </c>
      <c r="I8" s="227" t="s">
        <v>328</v>
      </c>
      <c r="J8" s="227" t="s">
        <v>328</v>
      </c>
      <c r="K8" s="227" t="s">
        <v>328</v>
      </c>
      <c r="L8" s="228" t="s">
        <v>328</v>
      </c>
      <c r="M8" s="227" t="s">
        <v>328</v>
      </c>
      <c r="N8" s="228" t="s">
        <v>328</v>
      </c>
      <c r="O8" s="229" t="s">
        <v>328</v>
      </c>
      <c r="P8" s="229" t="s">
        <v>328</v>
      </c>
      <c r="Q8" s="229" t="s">
        <v>328</v>
      </c>
      <c r="R8" s="229" t="s">
        <v>328</v>
      </c>
      <c r="S8" s="229" t="s">
        <v>375</v>
      </c>
      <c r="T8" s="229" t="s">
        <v>375</v>
      </c>
      <c r="U8" s="229" t="s">
        <v>375</v>
      </c>
      <c r="V8" s="229" t="s">
        <v>328</v>
      </c>
      <c r="W8" s="230" t="s">
        <v>328</v>
      </c>
      <c r="X8" s="230" t="s">
        <v>328</v>
      </c>
      <c r="Y8" s="231" t="s">
        <v>328</v>
      </c>
    </row>
    <row r="9" spans="1:25">
      <c r="A9" s="223">
        <v>1</v>
      </c>
      <c r="B9" s="224" t="str">
        <f>VLOOKUP(Tabel10[[#This Row],[Locatiecode]],Ruimtegroepen[[#All],[Code]:[Ruimte omschrijving]],2,FALSE)</f>
        <v>Magazijnen/bergingen</v>
      </c>
      <c r="C9" s="225" t="s">
        <v>333</v>
      </c>
      <c r="D9" s="224" t="s">
        <v>1</v>
      </c>
      <c r="E9" s="226" t="s">
        <v>122</v>
      </c>
      <c r="F9" s="225" t="s">
        <v>336</v>
      </c>
      <c r="G9" s="228" t="s">
        <v>328</v>
      </c>
      <c r="H9" s="228" t="s">
        <v>328</v>
      </c>
      <c r="I9" s="227" t="s">
        <v>2</v>
      </c>
      <c r="J9" s="227" t="s">
        <v>15</v>
      </c>
      <c r="K9" s="227" t="s">
        <v>331</v>
      </c>
      <c r="L9" s="228" t="s">
        <v>328</v>
      </c>
      <c r="M9" s="227" t="s">
        <v>328</v>
      </c>
      <c r="N9" s="228" t="s">
        <v>328</v>
      </c>
      <c r="O9" s="229" t="s">
        <v>328</v>
      </c>
      <c r="P9" s="229" t="s">
        <v>328</v>
      </c>
      <c r="Q9" s="229" t="s">
        <v>328</v>
      </c>
      <c r="R9" s="229" t="s">
        <v>328</v>
      </c>
      <c r="S9" s="229" t="s">
        <v>375</v>
      </c>
      <c r="T9" s="229" t="s">
        <v>375</v>
      </c>
      <c r="U9" s="229" t="s">
        <v>375</v>
      </c>
      <c r="V9" s="229" t="s">
        <v>328</v>
      </c>
      <c r="W9" s="230" t="s">
        <v>328</v>
      </c>
      <c r="X9" s="230" t="s">
        <v>328</v>
      </c>
      <c r="Y9" s="231" t="s">
        <v>328</v>
      </c>
    </row>
    <row r="10" spans="1:25">
      <c r="A10" s="223">
        <v>1</v>
      </c>
      <c r="B10" s="224" t="str">
        <f>VLOOKUP(Tabel10[[#This Row],[Locatiecode]],Ruimtegroepen[[#All],[Code]:[Ruimte omschrijving]],2,FALSE)</f>
        <v>Magazijnen/bergingen</v>
      </c>
      <c r="C10" s="225" t="s">
        <v>333</v>
      </c>
      <c r="D10" s="224" t="s">
        <v>1</v>
      </c>
      <c r="E10" s="226" t="s">
        <v>123</v>
      </c>
      <c r="F10" s="225" t="s">
        <v>337</v>
      </c>
      <c r="G10" s="228" t="s">
        <v>328</v>
      </c>
      <c r="H10" s="228" t="s">
        <v>328</v>
      </c>
      <c r="I10" s="227" t="s">
        <v>2</v>
      </c>
      <c r="J10" s="227" t="s">
        <v>15</v>
      </c>
      <c r="K10" s="227" t="s">
        <v>328</v>
      </c>
      <c r="L10" s="228" t="s">
        <v>328</v>
      </c>
      <c r="M10" s="227" t="s">
        <v>328</v>
      </c>
      <c r="N10" s="228" t="s">
        <v>328</v>
      </c>
      <c r="O10" s="229" t="s">
        <v>328</v>
      </c>
      <c r="P10" s="229" t="s">
        <v>328</v>
      </c>
      <c r="Q10" s="229" t="s">
        <v>328</v>
      </c>
      <c r="R10" s="229" t="s">
        <v>328</v>
      </c>
      <c r="S10" s="229" t="s">
        <v>375</v>
      </c>
      <c r="T10" s="229" t="s">
        <v>375</v>
      </c>
      <c r="U10" s="229" t="s">
        <v>375</v>
      </c>
      <c r="V10" s="229" t="s">
        <v>328</v>
      </c>
      <c r="W10" s="230" t="s">
        <v>328</v>
      </c>
      <c r="X10" s="230" t="s">
        <v>328</v>
      </c>
      <c r="Y10" s="231" t="s">
        <v>328</v>
      </c>
    </row>
    <row r="11" spans="1:25">
      <c r="A11" s="223">
        <v>1</v>
      </c>
      <c r="B11" s="224" t="str">
        <f>VLOOKUP(Tabel10[[#This Row],[Locatiecode]],Ruimtegroepen[[#All],[Code]:[Ruimte omschrijving]],2,FALSE)</f>
        <v>Magazijnen/bergingen</v>
      </c>
      <c r="C11" s="225" t="s">
        <v>338</v>
      </c>
      <c r="D11" s="224" t="s">
        <v>21</v>
      </c>
      <c r="E11" s="226" t="s">
        <v>121</v>
      </c>
      <c r="F11" s="225" t="s">
        <v>339</v>
      </c>
      <c r="G11" s="228" t="s">
        <v>328</v>
      </c>
      <c r="H11" s="228" t="s">
        <v>328</v>
      </c>
      <c r="I11" s="227" t="s">
        <v>20</v>
      </c>
      <c r="J11" s="227" t="s">
        <v>15</v>
      </c>
      <c r="K11" s="227" t="s">
        <v>328</v>
      </c>
      <c r="L11" s="228" t="s">
        <v>328</v>
      </c>
      <c r="M11" s="227" t="s">
        <v>328</v>
      </c>
      <c r="N11" s="228" t="s">
        <v>328</v>
      </c>
      <c r="O11" s="229" t="s">
        <v>328</v>
      </c>
      <c r="P11" s="229" t="s">
        <v>328</v>
      </c>
      <c r="Q11" s="229" t="s">
        <v>328</v>
      </c>
      <c r="R11" s="229" t="s">
        <v>328</v>
      </c>
      <c r="S11" s="229" t="s">
        <v>375</v>
      </c>
      <c r="T11" s="229" t="s">
        <v>375</v>
      </c>
      <c r="U11" s="229" t="s">
        <v>375</v>
      </c>
      <c r="V11" s="229" t="s">
        <v>328</v>
      </c>
      <c r="W11" s="230" t="s">
        <v>328</v>
      </c>
      <c r="X11" s="230" t="s">
        <v>328</v>
      </c>
      <c r="Y11" s="231" t="s">
        <v>328</v>
      </c>
    </row>
    <row r="12" spans="1:25">
      <c r="A12" s="223">
        <v>1</v>
      </c>
      <c r="B12" s="224" t="str">
        <f>VLOOKUP(Tabel10[[#This Row],[Locatiecode]],Ruimtegroepen[[#All],[Code]:[Ruimte omschrijving]],2,FALSE)</f>
        <v>Magazijnen/bergingen</v>
      </c>
      <c r="C12" s="225" t="s">
        <v>338</v>
      </c>
      <c r="D12" s="224" t="s">
        <v>21</v>
      </c>
      <c r="E12" s="226" t="s">
        <v>120</v>
      </c>
      <c r="F12" s="225" t="s">
        <v>340</v>
      </c>
      <c r="G12" s="228" t="s">
        <v>18</v>
      </c>
      <c r="H12" s="228" t="s">
        <v>15</v>
      </c>
      <c r="I12" s="227" t="s">
        <v>328</v>
      </c>
      <c r="J12" s="227" t="s">
        <v>328</v>
      </c>
      <c r="K12" s="227" t="s">
        <v>328</v>
      </c>
      <c r="L12" s="228" t="s">
        <v>328</v>
      </c>
      <c r="M12" s="227" t="s">
        <v>328</v>
      </c>
      <c r="N12" s="228" t="s">
        <v>328</v>
      </c>
      <c r="O12" s="229" t="s">
        <v>328</v>
      </c>
      <c r="P12" s="229" t="s">
        <v>328</v>
      </c>
      <c r="Q12" s="229" t="s">
        <v>328</v>
      </c>
      <c r="R12" s="229" t="s">
        <v>328</v>
      </c>
      <c r="S12" s="229" t="s">
        <v>375</v>
      </c>
      <c r="T12" s="229" t="s">
        <v>375</v>
      </c>
      <c r="U12" s="229" t="s">
        <v>375</v>
      </c>
      <c r="V12" s="229" t="s">
        <v>328</v>
      </c>
      <c r="W12" s="230" t="s">
        <v>328</v>
      </c>
      <c r="X12" s="230" t="s">
        <v>328</v>
      </c>
      <c r="Y12" s="231" t="s">
        <v>328</v>
      </c>
    </row>
    <row r="13" spans="1:25">
      <c r="A13" s="223">
        <v>1</v>
      </c>
      <c r="B13" s="224" t="str">
        <f>VLOOKUP(Tabel10[[#This Row],[Locatiecode]],Ruimtegroepen[[#All],[Code]:[Ruimte omschrijving]],2,FALSE)</f>
        <v>Magazijnen/bergingen</v>
      </c>
      <c r="C13" s="225" t="s">
        <v>338</v>
      </c>
      <c r="D13" s="224" t="s">
        <v>21</v>
      </c>
      <c r="E13" s="226" t="s">
        <v>122</v>
      </c>
      <c r="F13" s="225" t="s">
        <v>341</v>
      </c>
      <c r="G13" s="228" t="s">
        <v>328</v>
      </c>
      <c r="H13" s="228" t="s">
        <v>328</v>
      </c>
      <c r="I13" s="227" t="s">
        <v>20</v>
      </c>
      <c r="J13" s="227" t="s">
        <v>15</v>
      </c>
      <c r="K13" s="227" t="s">
        <v>331</v>
      </c>
      <c r="L13" s="228" t="s">
        <v>328</v>
      </c>
      <c r="M13" s="227" t="s">
        <v>328</v>
      </c>
      <c r="N13" s="228" t="s">
        <v>328</v>
      </c>
      <c r="O13" s="232" t="s">
        <v>328</v>
      </c>
      <c r="P13" s="229" t="s">
        <v>328</v>
      </c>
      <c r="Q13" s="229" t="s">
        <v>328</v>
      </c>
      <c r="R13" s="229" t="s">
        <v>328</v>
      </c>
      <c r="S13" s="229" t="s">
        <v>375</v>
      </c>
      <c r="T13" s="229" t="s">
        <v>375</v>
      </c>
      <c r="U13" s="229" t="s">
        <v>375</v>
      </c>
      <c r="V13" s="229" t="s">
        <v>328</v>
      </c>
      <c r="W13" s="230" t="s">
        <v>328</v>
      </c>
      <c r="X13" s="230" t="s">
        <v>328</v>
      </c>
      <c r="Y13" s="231" t="s">
        <v>328</v>
      </c>
    </row>
    <row r="14" spans="1:25">
      <c r="A14" s="223">
        <v>1</v>
      </c>
      <c r="B14" s="224" t="str">
        <f>VLOOKUP(Tabel10[[#This Row],[Locatiecode]],Ruimtegroepen[[#All],[Code]:[Ruimte omschrijving]],2,FALSE)</f>
        <v>Magazijnen/bergingen</v>
      </c>
      <c r="C14" s="225" t="s">
        <v>338</v>
      </c>
      <c r="D14" s="224" t="s">
        <v>21</v>
      </c>
      <c r="E14" s="226" t="s">
        <v>123</v>
      </c>
      <c r="F14" s="225" t="s">
        <v>342</v>
      </c>
      <c r="G14" s="228" t="s">
        <v>328</v>
      </c>
      <c r="H14" s="228" t="s">
        <v>328</v>
      </c>
      <c r="I14" s="227" t="s">
        <v>20</v>
      </c>
      <c r="J14" s="227" t="s">
        <v>15</v>
      </c>
      <c r="K14" s="227" t="s">
        <v>328</v>
      </c>
      <c r="L14" s="228" t="s">
        <v>328</v>
      </c>
      <c r="M14" s="227" t="s">
        <v>328</v>
      </c>
      <c r="N14" s="228" t="s">
        <v>328</v>
      </c>
      <c r="O14" s="229" t="s">
        <v>328</v>
      </c>
      <c r="P14" s="229" t="s">
        <v>328</v>
      </c>
      <c r="Q14" s="229" t="s">
        <v>328</v>
      </c>
      <c r="R14" s="229" t="s">
        <v>328</v>
      </c>
      <c r="S14" s="229" t="s">
        <v>375</v>
      </c>
      <c r="T14" s="229" t="s">
        <v>375</v>
      </c>
      <c r="U14" s="229" t="s">
        <v>375</v>
      </c>
      <c r="V14" s="229" t="s">
        <v>328</v>
      </c>
      <c r="W14" s="230" t="s">
        <v>328</v>
      </c>
      <c r="X14" s="230" t="s">
        <v>328</v>
      </c>
      <c r="Y14" s="231" t="s">
        <v>328</v>
      </c>
    </row>
    <row r="15" spans="1:25">
      <c r="A15" s="223">
        <v>1</v>
      </c>
      <c r="B15" s="224" t="str">
        <f>VLOOKUP(Tabel10[[#This Row],[Locatiecode]],Ruimtegroepen[[#All],[Code]:[Ruimte omschrijving]],2,FALSE)</f>
        <v>Magazijnen/bergingen</v>
      </c>
      <c r="C15" s="225" t="s">
        <v>343</v>
      </c>
      <c r="D15" s="224" t="s">
        <v>12</v>
      </c>
      <c r="E15" s="226" t="s">
        <v>121</v>
      </c>
      <c r="F15" s="225" t="s">
        <v>344</v>
      </c>
      <c r="G15" s="228" t="s">
        <v>328</v>
      </c>
      <c r="H15" s="228" t="s">
        <v>328</v>
      </c>
      <c r="I15" s="227" t="s">
        <v>18</v>
      </c>
      <c r="J15" s="227" t="s">
        <v>15</v>
      </c>
      <c r="K15" s="227" t="s">
        <v>328</v>
      </c>
      <c r="L15" s="228" t="s">
        <v>328</v>
      </c>
      <c r="M15" s="227" t="s">
        <v>328</v>
      </c>
      <c r="N15" s="228" t="s">
        <v>328</v>
      </c>
      <c r="O15" s="229" t="s">
        <v>328</v>
      </c>
      <c r="P15" s="229" t="s">
        <v>328</v>
      </c>
      <c r="Q15" s="229" t="s">
        <v>328</v>
      </c>
      <c r="R15" s="229" t="s">
        <v>328</v>
      </c>
      <c r="S15" s="229" t="s">
        <v>375</v>
      </c>
      <c r="T15" s="229" t="s">
        <v>375</v>
      </c>
      <c r="U15" s="229" t="s">
        <v>375</v>
      </c>
      <c r="V15" s="229" t="s">
        <v>328</v>
      </c>
      <c r="W15" s="230" t="s">
        <v>328</v>
      </c>
      <c r="X15" s="230" t="s">
        <v>328</v>
      </c>
      <c r="Y15" s="231" t="s">
        <v>328</v>
      </c>
    </row>
    <row r="16" spans="1:25">
      <c r="A16" s="223">
        <v>1</v>
      </c>
      <c r="B16" s="224" t="str">
        <f>VLOOKUP(Tabel10[[#This Row],[Locatiecode]],Ruimtegroepen[[#All],[Code]:[Ruimte omschrijving]],2,FALSE)</f>
        <v>Magazijnen/bergingen</v>
      </c>
      <c r="C16" s="225" t="s">
        <v>343</v>
      </c>
      <c r="D16" s="224" t="s">
        <v>12</v>
      </c>
      <c r="E16" s="226" t="s">
        <v>120</v>
      </c>
      <c r="F16" s="225" t="s">
        <v>345</v>
      </c>
      <c r="G16" s="228" t="s">
        <v>17</v>
      </c>
      <c r="H16" s="228" t="s">
        <v>15</v>
      </c>
      <c r="I16" s="227" t="s">
        <v>328</v>
      </c>
      <c r="J16" s="227" t="s">
        <v>328</v>
      </c>
      <c r="K16" s="227" t="s">
        <v>328</v>
      </c>
      <c r="L16" s="228" t="s">
        <v>328</v>
      </c>
      <c r="M16" s="227" t="s">
        <v>328</v>
      </c>
      <c r="N16" s="228" t="s">
        <v>328</v>
      </c>
      <c r="O16" s="229" t="s">
        <v>328</v>
      </c>
      <c r="P16" s="229" t="s">
        <v>328</v>
      </c>
      <c r="Q16" s="229" t="s">
        <v>328</v>
      </c>
      <c r="R16" s="229" t="s">
        <v>328</v>
      </c>
      <c r="S16" s="229" t="s">
        <v>375</v>
      </c>
      <c r="T16" s="229" t="s">
        <v>375</v>
      </c>
      <c r="U16" s="229" t="s">
        <v>375</v>
      </c>
      <c r="V16" s="229" t="s">
        <v>328</v>
      </c>
      <c r="W16" s="230" t="s">
        <v>328</v>
      </c>
      <c r="X16" s="230" t="s">
        <v>328</v>
      </c>
      <c r="Y16" s="231" t="s">
        <v>328</v>
      </c>
    </row>
    <row r="17" spans="1:25">
      <c r="A17" s="223">
        <v>1</v>
      </c>
      <c r="B17" s="224" t="str">
        <f>VLOOKUP(Tabel10[[#This Row],[Locatiecode]],Ruimtegroepen[[#All],[Code]:[Ruimte omschrijving]],2,FALSE)</f>
        <v>Magazijnen/bergingen</v>
      </c>
      <c r="C17" s="225" t="s">
        <v>343</v>
      </c>
      <c r="D17" s="224" t="s">
        <v>12</v>
      </c>
      <c r="E17" s="226" t="s">
        <v>122</v>
      </c>
      <c r="F17" s="225" t="s">
        <v>346</v>
      </c>
      <c r="G17" s="228" t="s">
        <v>328</v>
      </c>
      <c r="H17" s="228" t="s">
        <v>328</v>
      </c>
      <c r="I17" s="227" t="s">
        <v>18</v>
      </c>
      <c r="J17" s="227" t="s">
        <v>15</v>
      </c>
      <c r="K17" s="227" t="s">
        <v>331</v>
      </c>
      <c r="L17" s="228" t="s">
        <v>328</v>
      </c>
      <c r="M17" s="227" t="s">
        <v>328</v>
      </c>
      <c r="N17" s="228" t="s">
        <v>328</v>
      </c>
      <c r="O17" s="229" t="s">
        <v>328</v>
      </c>
      <c r="P17" s="229" t="s">
        <v>328</v>
      </c>
      <c r="Q17" s="229" t="s">
        <v>328</v>
      </c>
      <c r="R17" s="229" t="s">
        <v>328</v>
      </c>
      <c r="S17" s="229" t="s">
        <v>375</v>
      </c>
      <c r="T17" s="229" t="s">
        <v>375</v>
      </c>
      <c r="U17" s="229" t="s">
        <v>375</v>
      </c>
      <c r="V17" s="229" t="s">
        <v>328</v>
      </c>
      <c r="W17" s="230" t="s">
        <v>328</v>
      </c>
      <c r="X17" s="230" t="s">
        <v>328</v>
      </c>
      <c r="Y17" s="231" t="s">
        <v>328</v>
      </c>
    </row>
    <row r="18" spans="1:25">
      <c r="A18" s="223">
        <v>1</v>
      </c>
      <c r="B18" s="224" t="str">
        <f>VLOOKUP(Tabel10[[#This Row],[Locatiecode]],Ruimtegroepen[[#All],[Code]:[Ruimte omschrijving]],2,FALSE)</f>
        <v>Magazijnen/bergingen</v>
      </c>
      <c r="C18" s="225" t="s">
        <v>343</v>
      </c>
      <c r="D18" s="224" t="s">
        <v>12</v>
      </c>
      <c r="E18" s="226" t="s">
        <v>123</v>
      </c>
      <c r="F18" s="225" t="s">
        <v>347</v>
      </c>
      <c r="G18" s="228" t="s">
        <v>328</v>
      </c>
      <c r="H18" s="228" t="s">
        <v>328</v>
      </c>
      <c r="I18" s="227" t="s">
        <v>18</v>
      </c>
      <c r="J18" s="227" t="s">
        <v>15</v>
      </c>
      <c r="K18" s="227" t="s">
        <v>328</v>
      </c>
      <c r="L18" s="228" t="s">
        <v>328</v>
      </c>
      <c r="M18" s="227" t="s">
        <v>328</v>
      </c>
      <c r="N18" s="228" t="s">
        <v>328</v>
      </c>
      <c r="O18" s="229" t="s">
        <v>328</v>
      </c>
      <c r="P18" s="229" t="s">
        <v>328</v>
      </c>
      <c r="Q18" s="229" t="s">
        <v>328</v>
      </c>
      <c r="R18" s="229" t="s">
        <v>328</v>
      </c>
      <c r="S18" s="229" t="s">
        <v>375</v>
      </c>
      <c r="T18" s="229" t="s">
        <v>375</v>
      </c>
      <c r="U18" s="229" t="s">
        <v>375</v>
      </c>
      <c r="V18" s="229" t="s">
        <v>328</v>
      </c>
      <c r="W18" s="230" t="s">
        <v>328</v>
      </c>
      <c r="X18" s="230" t="s">
        <v>328</v>
      </c>
      <c r="Y18" s="231" t="s">
        <v>328</v>
      </c>
    </row>
    <row r="19" spans="1:25">
      <c r="A19" s="223">
        <v>1</v>
      </c>
      <c r="B19" s="224" t="str">
        <f>VLOOKUP(Tabel10[[#This Row],[Locatiecode]],Ruimtegroepen[[#All],[Code]:[Ruimte omschrijving]],2,FALSE)</f>
        <v>Magazijnen/bergingen</v>
      </c>
      <c r="C19" s="225" t="s">
        <v>348</v>
      </c>
      <c r="D19" s="224" t="s">
        <v>14</v>
      </c>
      <c r="E19" s="226" t="s">
        <v>121</v>
      </c>
      <c r="F19" s="225" t="s">
        <v>349</v>
      </c>
      <c r="G19" s="228" t="s">
        <v>328</v>
      </c>
      <c r="H19" s="228" t="s">
        <v>328</v>
      </c>
      <c r="I19" s="227" t="s">
        <v>17</v>
      </c>
      <c r="J19" s="227" t="s">
        <v>15</v>
      </c>
      <c r="K19" s="227" t="s">
        <v>328</v>
      </c>
      <c r="L19" s="228" t="s">
        <v>328</v>
      </c>
      <c r="M19" s="227" t="s">
        <v>328</v>
      </c>
      <c r="N19" s="228" t="s">
        <v>328</v>
      </c>
      <c r="O19" s="229" t="s">
        <v>328</v>
      </c>
      <c r="P19" s="229" t="s">
        <v>328</v>
      </c>
      <c r="Q19" s="229" t="s">
        <v>328</v>
      </c>
      <c r="R19" s="229" t="s">
        <v>328</v>
      </c>
      <c r="S19" s="229" t="s">
        <v>375</v>
      </c>
      <c r="T19" s="229" t="s">
        <v>375</v>
      </c>
      <c r="U19" s="229" t="s">
        <v>375</v>
      </c>
      <c r="V19" s="229" t="s">
        <v>328</v>
      </c>
      <c r="W19" s="230" t="s">
        <v>328</v>
      </c>
      <c r="X19" s="230" t="s">
        <v>328</v>
      </c>
      <c r="Y19" s="231" t="s">
        <v>328</v>
      </c>
    </row>
    <row r="20" spans="1:25">
      <c r="A20" s="223">
        <v>1</v>
      </c>
      <c r="B20" s="224" t="str">
        <f>VLOOKUP(Tabel10[[#This Row],[Locatiecode]],Ruimtegroepen[[#All],[Code]:[Ruimte omschrijving]],2,FALSE)</f>
        <v>Magazijnen/bergingen</v>
      </c>
      <c r="C20" s="225" t="s">
        <v>348</v>
      </c>
      <c r="D20" s="224" t="s">
        <v>14</v>
      </c>
      <c r="E20" s="226" t="s">
        <v>120</v>
      </c>
      <c r="F20" s="225" t="s">
        <v>350</v>
      </c>
      <c r="G20" s="228" t="s">
        <v>15</v>
      </c>
      <c r="H20" s="228" t="s">
        <v>15</v>
      </c>
      <c r="I20" s="227" t="s">
        <v>328</v>
      </c>
      <c r="J20" s="227" t="s">
        <v>328</v>
      </c>
      <c r="K20" s="227" t="s">
        <v>328</v>
      </c>
      <c r="L20" s="228" t="s">
        <v>328</v>
      </c>
      <c r="M20" s="227" t="s">
        <v>328</v>
      </c>
      <c r="N20" s="228" t="s">
        <v>328</v>
      </c>
      <c r="O20" s="229" t="s">
        <v>328</v>
      </c>
      <c r="P20" s="229" t="s">
        <v>328</v>
      </c>
      <c r="Q20" s="229" t="s">
        <v>328</v>
      </c>
      <c r="R20" s="229" t="s">
        <v>328</v>
      </c>
      <c r="S20" s="229" t="s">
        <v>375</v>
      </c>
      <c r="T20" s="229" t="s">
        <v>375</v>
      </c>
      <c r="U20" s="229" t="s">
        <v>375</v>
      </c>
      <c r="V20" s="229" t="s">
        <v>328</v>
      </c>
      <c r="W20" s="230" t="s">
        <v>328</v>
      </c>
      <c r="X20" s="230" t="s">
        <v>328</v>
      </c>
      <c r="Y20" s="231" t="s">
        <v>328</v>
      </c>
    </row>
    <row r="21" spans="1:25">
      <c r="A21" s="223">
        <v>1</v>
      </c>
      <c r="B21" s="224" t="str">
        <f>VLOOKUP(Tabel10[[#This Row],[Locatiecode]],Ruimtegroepen[[#All],[Code]:[Ruimte omschrijving]],2,FALSE)</f>
        <v>Magazijnen/bergingen</v>
      </c>
      <c r="C21" s="225" t="s">
        <v>348</v>
      </c>
      <c r="D21" s="224" t="s">
        <v>14</v>
      </c>
      <c r="E21" s="226" t="s">
        <v>122</v>
      </c>
      <c r="F21" s="225" t="s">
        <v>351</v>
      </c>
      <c r="G21" s="228" t="s">
        <v>328</v>
      </c>
      <c r="H21" s="228" t="s">
        <v>328</v>
      </c>
      <c r="I21" s="227" t="s">
        <v>17</v>
      </c>
      <c r="J21" s="227" t="s">
        <v>15</v>
      </c>
      <c r="K21" s="227" t="s">
        <v>331</v>
      </c>
      <c r="L21" s="228" t="s">
        <v>328</v>
      </c>
      <c r="M21" s="227" t="s">
        <v>328</v>
      </c>
      <c r="N21" s="228" t="s">
        <v>328</v>
      </c>
      <c r="O21" s="229" t="s">
        <v>328</v>
      </c>
      <c r="P21" s="229" t="s">
        <v>328</v>
      </c>
      <c r="Q21" s="229" t="s">
        <v>328</v>
      </c>
      <c r="R21" s="229" t="s">
        <v>328</v>
      </c>
      <c r="S21" s="229" t="s">
        <v>375</v>
      </c>
      <c r="T21" s="229" t="s">
        <v>375</v>
      </c>
      <c r="U21" s="229" t="s">
        <v>375</v>
      </c>
      <c r="V21" s="229" t="s">
        <v>328</v>
      </c>
      <c r="W21" s="230" t="s">
        <v>328</v>
      </c>
      <c r="X21" s="230" t="s">
        <v>328</v>
      </c>
      <c r="Y21" s="231" t="s">
        <v>328</v>
      </c>
    </row>
    <row r="22" spans="1:25">
      <c r="A22" s="223">
        <v>1</v>
      </c>
      <c r="B22" s="224" t="str">
        <f>VLOOKUP(Tabel10[[#This Row],[Locatiecode]],Ruimtegroepen[[#All],[Code]:[Ruimte omschrijving]],2,FALSE)</f>
        <v>Magazijnen/bergingen</v>
      </c>
      <c r="C22" s="225" t="s">
        <v>348</v>
      </c>
      <c r="D22" s="224" t="s">
        <v>14</v>
      </c>
      <c r="E22" s="226" t="s">
        <v>123</v>
      </c>
      <c r="F22" s="225" t="s">
        <v>352</v>
      </c>
      <c r="G22" s="228" t="s">
        <v>328</v>
      </c>
      <c r="H22" s="228" t="s">
        <v>328</v>
      </c>
      <c r="I22" s="227" t="s">
        <v>17</v>
      </c>
      <c r="J22" s="227" t="s">
        <v>15</v>
      </c>
      <c r="K22" s="227" t="s">
        <v>328</v>
      </c>
      <c r="L22" s="228" t="s">
        <v>328</v>
      </c>
      <c r="M22" s="227" t="s">
        <v>328</v>
      </c>
      <c r="N22" s="228" t="s">
        <v>328</v>
      </c>
      <c r="O22" s="229" t="s">
        <v>328</v>
      </c>
      <c r="P22" s="229" t="s">
        <v>328</v>
      </c>
      <c r="Q22" s="229" t="s">
        <v>328</v>
      </c>
      <c r="R22" s="229" t="s">
        <v>328</v>
      </c>
      <c r="S22" s="229" t="s">
        <v>375</v>
      </c>
      <c r="T22" s="229" t="s">
        <v>375</v>
      </c>
      <c r="U22" s="229" t="s">
        <v>375</v>
      </c>
      <c r="V22" s="229" t="s">
        <v>328</v>
      </c>
      <c r="W22" s="230" t="s">
        <v>328</v>
      </c>
      <c r="X22" s="230" t="s">
        <v>328</v>
      </c>
      <c r="Y22" s="231" t="s">
        <v>328</v>
      </c>
    </row>
    <row r="23" spans="1:25">
      <c r="A23" s="223">
        <v>1</v>
      </c>
      <c r="B23" s="224" t="str">
        <f>VLOOKUP(Tabel10[[#This Row],[Locatiecode]],Ruimtegroepen[[#All],[Code]:[Ruimte omschrijving]],2,FALSE)</f>
        <v>Magazijnen/bergingen</v>
      </c>
      <c r="C23" s="225" t="s">
        <v>353</v>
      </c>
      <c r="D23" s="224" t="s">
        <v>13</v>
      </c>
      <c r="E23" s="226" t="s">
        <v>121</v>
      </c>
      <c r="F23" s="225" t="s">
        <v>354</v>
      </c>
      <c r="G23" s="228" t="s">
        <v>328</v>
      </c>
      <c r="H23" s="228" t="s">
        <v>328</v>
      </c>
      <c r="I23" s="227" t="s">
        <v>15</v>
      </c>
      <c r="J23" s="227" t="s">
        <v>15</v>
      </c>
      <c r="K23" s="227" t="s">
        <v>328</v>
      </c>
      <c r="L23" s="228" t="s">
        <v>328</v>
      </c>
      <c r="M23" s="227" t="s">
        <v>328</v>
      </c>
      <c r="N23" s="228" t="s">
        <v>328</v>
      </c>
      <c r="O23" s="229" t="s">
        <v>328</v>
      </c>
      <c r="P23" s="229" t="s">
        <v>328</v>
      </c>
      <c r="Q23" s="229" t="s">
        <v>328</v>
      </c>
      <c r="R23" s="229" t="s">
        <v>328</v>
      </c>
      <c r="S23" s="229" t="s">
        <v>375</v>
      </c>
      <c r="T23" s="229" t="s">
        <v>375</v>
      </c>
      <c r="U23" s="229" t="s">
        <v>375</v>
      </c>
      <c r="V23" s="229" t="s">
        <v>328</v>
      </c>
      <c r="W23" s="230" t="s">
        <v>328</v>
      </c>
      <c r="X23" s="230" t="s">
        <v>328</v>
      </c>
      <c r="Y23" s="231" t="s">
        <v>328</v>
      </c>
    </row>
    <row r="24" spans="1:25">
      <c r="A24" s="223">
        <v>1</v>
      </c>
      <c r="B24" s="224" t="str">
        <f>VLOOKUP(Tabel10[[#This Row],[Locatiecode]],Ruimtegroepen[[#All],[Code]:[Ruimte omschrijving]],2,FALSE)</f>
        <v>Magazijnen/bergingen</v>
      </c>
      <c r="C24" s="225" t="s">
        <v>353</v>
      </c>
      <c r="D24" s="224" t="s">
        <v>13</v>
      </c>
      <c r="E24" s="226" t="s">
        <v>120</v>
      </c>
      <c r="F24" s="225" t="s">
        <v>355</v>
      </c>
      <c r="G24" s="228" t="s">
        <v>328</v>
      </c>
      <c r="H24" s="228" t="s">
        <v>15</v>
      </c>
      <c r="I24" s="227" t="s">
        <v>328</v>
      </c>
      <c r="J24" s="227" t="s">
        <v>328</v>
      </c>
      <c r="K24" s="227" t="s">
        <v>328</v>
      </c>
      <c r="L24" s="228" t="s">
        <v>328</v>
      </c>
      <c r="M24" s="227" t="s">
        <v>328</v>
      </c>
      <c r="N24" s="228" t="s">
        <v>328</v>
      </c>
      <c r="O24" s="229" t="s">
        <v>328</v>
      </c>
      <c r="P24" s="229" t="s">
        <v>328</v>
      </c>
      <c r="Q24" s="229" t="s">
        <v>328</v>
      </c>
      <c r="R24" s="229" t="s">
        <v>328</v>
      </c>
      <c r="S24" s="229" t="s">
        <v>375</v>
      </c>
      <c r="T24" s="229" t="s">
        <v>375</v>
      </c>
      <c r="U24" s="229" t="s">
        <v>375</v>
      </c>
      <c r="V24" s="229" t="s">
        <v>328</v>
      </c>
      <c r="W24" s="230" t="s">
        <v>328</v>
      </c>
      <c r="X24" s="230" t="s">
        <v>328</v>
      </c>
      <c r="Y24" s="231" t="s">
        <v>328</v>
      </c>
    </row>
    <row r="25" spans="1:25">
      <c r="A25" s="223">
        <v>1</v>
      </c>
      <c r="B25" s="224" t="str">
        <f>VLOOKUP(Tabel10[[#This Row],[Locatiecode]],Ruimtegroepen[[#All],[Code]:[Ruimte omschrijving]],2,FALSE)</f>
        <v>Magazijnen/bergingen</v>
      </c>
      <c r="C25" s="225" t="s">
        <v>353</v>
      </c>
      <c r="D25" s="224" t="s">
        <v>13</v>
      </c>
      <c r="E25" s="226" t="s">
        <v>122</v>
      </c>
      <c r="F25" s="225" t="s">
        <v>356</v>
      </c>
      <c r="G25" s="228" t="s">
        <v>328</v>
      </c>
      <c r="H25" s="228" t="s">
        <v>328</v>
      </c>
      <c r="I25" s="227" t="s">
        <v>15</v>
      </c>
      <c r="J25" s="227" t="s">
        <v>15</v>
      </c>
      <c r="K25" s="227" t="s">
        <v>331</v>
      </c>
      <c r="L25" s="228" t="s">
        <v>328</v>
      </c>
      <c r="M25" s="227" t="s">
        <v>328</v>
      </c>
      <c r="N25" s="228" t="s">
        <v>328</v>
      </c>
      <c r="O25" s="229" t="s">
        <v>328</v>
      </c>
      <c r="P25" s="229" t="s">
        <v>328</v>
      </c>
      <c r="Q25" s="229" t="s">
        <v>328</v>
      </c>
      <c r="R25" s="229" t="s">
        <v>328</v>
      </c>
      <c r="S25" s="229" t="s">
        <v>375</v>
      </c>
      <c r="T25" s="229" t="s">
        <v>375</v>
      </c>
      <c r="U25" s="229" t="s">
        <v>375</v>
      </c>
      <c r="V25" s="229" t="s">
        <v>328</v>
      </c>
      <c r="W25" s="230" t="s">
        <v>328</v>
      </c>
      <c r="X25" s="230" t="s">
        <v>328</v>
      </c>
      <c r="Y25" s="231" t="s">
        <v>328</v>
      </c>
    </row>
    <row r="26" spans="1:25">
      <c r="A26" s="223">
        <v>1</v>
      </c>
      <c r="B26" s="224" t="str">
        <f>VLOOKUP(Tabel10[[#This Row],[Locatiecode]],Ruimtegroepen[[#All],[Code]:[Ruimte omschrijving]],2,FALSE)</f>
        <v>Magazijnen/bergingen</v>
      </c>
      <c r="C26" s="225" t="s">
        <v>353</v>
      </c>
      <c r="D26" s="224" t="s">
        <v>13</v>
      </c>
      <c r="E26" s="226" t="s">
        <v>123</v>
      </c>
      <c r="F26" s="225" t="s">
        <v>357</v>
      </c>
      <c r="G26" s="228" t="s">
        <v>328</v>
      </c>
      <c r="H26" s="228" t="s">
        <v>328</v>
      </c>
      <c r="I26" s="227" t="s">
        <v>15</v>
      </c>
      <c r="J26" s="227" t="s">
        <v>15</v>
      </c>
      <c r="K26" s="227" t="s">
        <v>328</v>
      </c>
      <c r="L26" s="228" t="s">
        <v>328</v>
      </c>
      <c r="M26" s="227" t="s">
        <v>328</v>
      </c>
      <c r="N26" s="228" t="s">
        <v>328</v>
      </c>
      <c r="O26" s="229" t="s">
        <v>328</v>
      </c>
      <c r="P26" s="229" t="s">
        <v>328</v>
      </c>
      <c r="Q26" s="229" t="s">
        <v>328</v>
      </c>
      <c r="R26" s="229" t="s">
        <v>328</v>
      </c>
      <c r="S26" s="229" t="s">
        <v>375</v>
      </c>
      <c r="T26" s="229" t="s">
        <v>375</v>
      </c>
      <c r="U26" s="229" t="s">
        <v>375</v>
      </c>
      <c r="V26" s="229" t="s">
        <v>328</v>
      </c>
      <c r="W26" s="230" t="s">
        <v>328</v>
      </c>
      <c r="X26" s="230" t="s">
        <v>328</v>
      </c>
      <c r="Y26" s="231" t="s">
        <v>328</v>
      </c>
    </row>
    <row r="27" spans="1:25">
      <c r="A27" s="223">
        <v>1</v>
      </c>
      <c r="B27" s="224" t="str">
        <f>VLOOKUP(Tabel10[[#This Row],[Locatiecode]],Ruimtegroepen[[#All],[Code]:[Ruimte omschrijving]],2,FALSE)</f>
        <v>Magazijnen/bergingen</v>
      </c>
      <c r="C27" s="225" t="s">
        <v>358</v>
      </c>
      <c r="D27" s="224" t="s">
        <v>0</v>
      </c>
      <c r="E27" s="226" t="s">
        <v>121</v>
      </c>
      <c r="F27" s="225" t="s">
        <v>359</v>
      </c>
      <c r="G27" s="228" t="s">
        <v>328</v>
      </c>
      <c r="H27" s="228" t="s">
        <v>328</v>
      </c>
      <c r="I27" s="227" t="s">
        <v>16</v>
      </c>
      <c r="J27" s="227" t="s">
        <v>16</v>
      </c>
      <c r="K27" s="227" t="s">
        <v>328</v>
      </c>
      <c r="L27" s="228" t="s">
        <v>328</v>
      </c>
      <c r="M27" s="227" t="s">
        <v>328</v>
      </c>
      <c r="N27" s="228" t="s">
        <v>328</v>
      </c>
      <c r="O27" s="229" t="s">
        <v>328</v>
      </c>
      <c r="P27" s="229" t="s">
        <v>328</v>
      </c>
      <c r="Q27" s="229" t="s">
        <v>328</v>
      </c>
      <c r="R27" s="229" t="s">
        <v>328</v>
      </c>
      <c r="S27" s="229" t="s">
        <v>331</v>
      </c>
      <c r="T27" s="229" t="s">
        <v>331</v>
      </c>
      <c r="U27" s="229" t="s">
        <v>331</v>
      </c>
      <c r="V27" s="229" t="s">
        <v>328</v>
      </c>
      <c r="W27" s="230" t="s">
        <v>328</v>
      </c>
      <c r="X27" s="230" t="s">
        <v>328</v>
      </c>
      <c r="Y27" s="231" t="s">
        <v>328</v>
      </c>
    </row>
    <row r="28" spans="1:25">
      <c r="A28" s="223">
        <v>1</v>
      </c>
      <c r="B28" s="224" t="str">
        <f>VLOOKUP(Tabel10[[#This Row],[Locatiecode]],Ruimtegroepen[[#All],[Code]:[Ruimte omschrijving]],2,FALSE)</f>
        <v>Magazijnen/bergingen</v>
      </c>
      <c r="C28" s="225" t="s">
        <v>358</v>
      </c>
      <c r="D28" s="224" t="s">
        <v>0</v>
      </c>
      <c r="E28" s="226" t="s">
        <v>120</v>
      </c>
      <c r="F28" s="225" t="s">
        <v>360</v>
      </c>
      <c r="G28" s="228" t="s">
        <v>328</v>
      </c>
      <c r="H28" s="228" t="s">
        <v>16</v>
      </c>
      <c r="I28" s="227" t="s">
        <v>328</v>
      </c>
      <c r="J28" s="227" t="s">
        <v>328</v>
      </c>
      <c r="K28" s="227" t="s">
        <v>328</v>
      </c>
      <c r="L28" s="228" t="s">
        <v>328</v>
      </c>
      <c r="M28" s="227" t="s">
        <v>328</v>
      </c>
      <c r="N28" s="228" t="s">
        <v>328</v>
      </c>
      <c r="O28" s="229" t="s">
        <v>328</v>
      </c>
      <c r="P28" s="229" t="s">
        <v>328</v>
      </c>
      <c r="Q28" s="229" t="s">
        <v>328</v>
      </c>
      <c r="R28" s="229" t="s">
        <v>328</v>
      </c>
      <c r="S28" s="229" t="s">
        <v>331</v>
      </c>
      <c r="T28" s="229" t="s">
        <v>331</v>
      </c>
      <c r="U28" s="229" t="s">
        <v>331</v>
      </c>
      <c r="V28" s="229" t="s">
        <v>328</v>
      </c>
      <c r="W28" s="230" t="s">
        <v>328</v>
      </c>
      <c r="X28" s="230" t="s">
        <v>328</v>
      </c>
      <c r="Y28" s="231" t="s">
        <v>328</v>
      </c>
    </row>
    <row r="29" spans="1:25">
      <c r="A29" s="223">
        <v>1</v>
      </c>
      <c r="B29" s="224" t="str">
        <f>VLOOKUP(Tabel10[[#This Row],[Locatiecode]],Ruimtegroepen[[#All],[Code]:[Ruimte omschrijving]],2,FALSE)</f>
        <v>Magazijnen/bergingen</v>
      </c>
      <c r="C29" s="225" t="s">
        <v>358</v>
      </c>
      <c r="D29" s="224" t="s">
        <v>0</v>
      </c>
      <c r="E29" s="226" t="s">
        <v>122</v>
      </c>
      <c r="F29" s="225" t="s">
        <v>361</v>
      </c>
      <c r="G29" s="228" t="s">
        <v>328</v>
      </c>
      <c r="H29" s="228" t="s">
        <v>328</v>
      </c>
      <c r="I29" s="227" t="s">
        <v>16</v>
      </c>
      <c r="J29" s="227" t="s">
        <v>16</v>
      </c>
      <c r="K29" s="227" t="s">
        <v>331</v>
      </c>
      <c r="L29" s="228" t="s">
        <v>328</v>
      </c>
      <c r="M29" s="227" t="s">
        <v>328</v>
      </c>
      <c r="N29" s="228" t="s">
        <v>328</v>
      </c>
      <c r="O29" s="229" t="s">
        <v>328</v>
      </c>
      <c r="P29" s="229" t="s">
        <v>328</v>
      </c>
      <c r="Q29" s="229" t="s">
        <v>328</v>
      </c>
      <c r="R29" s="229" t="s">
        <v>328</v>
      </c>
      <c r="S29" s="229" t="s">
        <v>331</v>
      </c>
      <c r="T29" s="229" t="s">
        <v>331</v>
      </c>
      <c r="U29" s="229" t="s">
        <v>331</v>
      </c>
      <c r="V29" s="229" t="s">
        <v>328</v>
      </c>
      <c r="W29" s="230" t="s">
        <v>328</v>
      </c>
      <c r="X29" s="230" t="s">
        <v>328</v>
      </c>
      <c r="Y29" s="231" t="s">
        <v>328</v>
      </c>
    </row>
    <row r="30" spans="1:25">
      <c r="A30" s="223">
        <v>1</v>
      </c>
      <c r="B30" s="224" t="str">
        <f>VLOOKUP(Tabel10[[#This Row],[Locatiecode]],Ruimtegroepen[[#All],[Code]:[Ruimte omschrijving]],2,FALSE)</f>
        <v>Magazijnen/bergingen</v>
      </c>
      <c r="C30" s="225" t="s">
        <v>358</v>
      </c>
      <c r="D30" s="224" t="s">
        <v>0</v>
      </c>
      <c r="E30" s="226" t="s">
        <v>123</v>
      </c>
      <c r="F30" s="225" t="s">
        <v>362</v>
      </c>
      <c r="G30" s="228" t="s">
        <v>328</v>
      </c>
      <c r="H30" s="228" t="s">
        <v>328</v>
      </c>
      <c r="I30" s="227" t="s">
        <v>16</v>
      </c>
      <c r="J30" s="227" t="s">
        <v>16</v>
      </c>
      <c r="K30" s="227" t="s">
        <v>328</v>
      </c>
      <c r="L30" s="228" t="s">
        <v>328</v>
      </c>
      <c r="M30" s="227" t="s">
        <v>328</v>
      </c>
      <c r="N30" s="228" t="s">
        <v>328</v>
      </c>
      <c r="O30" s="229" t="s">
        <v>328</v>
      </c>
      <c r="P30" s="229" t="s">
        <v>328</v>
      </c>
      <c r="Q30" s="229" t="s">
        <v>328</v>
      </c>
      <c r="R30" s="229" t="s">
        <v>328</v>
      </c>
      <c r="S30" s="229" t="s">
        <v>331</v>
      </c>
      <c r="T30" s="229" t="s">
        <v>331</v>
      </c>
      <c r="U30" s="229" t="s">
        <v>331</v>
      </c>
      <c r="V30" s="229" t="s">
        <v>328</v>
      </c>
      <c r="W30" s="230" t="s">
        <v>328</v>
      </c>
      <c r="X30" s="230" t="s">
        <v>328</v>
      </c>
      <c r="Y30" s="231" t="s">
        <v>328</v>
      </c>
    </row>
    <row r="31" spans="1:25">
      <c r="A31" s="223">
        <v>1</v>
      </c>
      <c r="B31" s="224" t="str">
        <f>VLOOKUP(Tabel10[[#This Row],[Locatiecode]],Ruimtegroepen[[#All],[Code]:[Ruimte omschrijving]],2,FALSE)</f>
        <v>Magazijnen/bergingen</v>
      </c>
      <c r="C31" s="225" t="s">
        <v>363</v>
      </c>
      <c r="D31" s="224" t="s">
        <v>30</v>
      </c>
      <c r="E31" s="226" t="s">
        <v>121</v>
      </c>
      <c r="F31" s="225" t="s">
        <v>364</v>
      </c>
      <c r="G31" s="228" t="s">
        <v>328</v>
      </c>
      <c r="H31" s="228" t="s">
        <v>328</v>
      </c>
      <c r="I31" s="227" t="s">
        <v>15</v>
      </c>
      <c r="J31" s="227" t="s">
        <v>15</v>
      </c>
      <c r="K31" s="227" t="s">
        <v>328</v>
      </c>
      <c r="L31" s="228" t="s">
        <v>328</v>
      </c>
      <c r="M31" s="227" t="s">
        <v>328</v>
      </c>
      <c r="N31" s="228" t="s">
        <v>328</v>
      </c>
      <c r="O31" s="229" t="s">
        <v>328</v>
      </c>
      <c r="P31" s="229" t="s">
        <v>328</v>
      </c>
      <c r="Q31" s="229" t="s">
        <v>328</v>
      </c>
      <c r="R31" s="229" t="s">
        <v>328</v>
      </c>
      <c r="S31" s="229" t="s">
        <v>328</v>
      </c>
      <c r="T31" s="229" t="s">
        <v>328</v>
      </c>
      <c r="U31" s="229" t="s">
        <v>328</v>
      </c>
      <c r="V31" s="229" t="s">
        <v>328</v>
      </c>
      <c r="W31" s="230" t="s">
        <v>328</v>
      </c>
      <c r="X31" s="230" t="s">
        <v>328</v>
      </c>
      <c r="Y31" s="231" t="s">
        <v>328</v>
      </c>
    </row>
    <row r="32" spans="1:25">
      <c r="A32" s="223">
        <v>1</v>
      </c>
      <c r="B32" s="224" t="str">
        <f>VLOOKUP(Tabel10[[#This Row],[Locatiecode]],Ruimtegroepen[[#All],[Code]:[Ruimte omschrijving]],2,FALSE)</f>
        <v>Magazijnen/bergingen</v>
      </c>
      <c r="C32" s="225" t="s">
        <v>363</v>
      </c>
      <c r="D32" s="224" t="s">
        <v>30</v>
      </c>
      <c r="E32" s="226" t="s">
        <v>120</v>
      </c>
      <c r="F32" s="225" t="s">
        <v>365</v>
      </c>
      <c r="G32" s="228" t="s">
        <v>328</v>
      </c>
      <c r="H32" s="228" t="s">
        <v>15</v>
      </c>
      <c r="I32" s="227" t="s">
        <v>328</v>
      </c>
      <c r="J32" s="227" t="s">
        <v>328</v>
      </c>
      <c r="K32" s="227" t="s">
        <v>328</v>
      </c>
      <c r="L32" s="228" t="s">
        <v>328</v>
      </c>
      <c r="M32" s="227" t="s">
        <v>328</v>
      </c>
      <c r="N32" s="228" t="s">
        <v>328</v>
      </c>
      <c r="O32" s="229" t="s">
        <v>328</v>
      </c>
      <c r="P32" s="229" t="s">
        <v>328</v>
      </c>
      <c r="Q32" s="229" t="s">
        <v>328</v>
      </c>
      <c r="R32" s="229" t="s">
        <v>328</v>
      </c>
      <c r="S32" s="229" t="s">
        <v>328</v>
      </c>
      <c r="T32" s="229" t="s">
        <v>328</v>
      </c>
      <c r="U32" s="229" t="s">
        <v>328</v>
      </c>
      <c r="V32" s="229" t="s">
        <v>328</v>
      </c>
      <c r="W32" s="230" t="s">
        <v>328</v>
      </c>
      <c r="X32" s="230" t="s">
        <v>328</v>
      </c>
      <c r="Y32" s="231" t="s">
        <v>328</v>
      </c>
    </row>
    <row r="33" spans="1:25">
      <c r="A33" s="223">
        <v>1</v>
      </c>
      <c r="B33" s="224" t="str">
        <f>VLOOKUP(Tabel10[[#This Row],[Locatiecode]],Ruimtegroepen[[#All],[Code]:[Ruimte omschrijving]],2,FALSE)</f>
        <v>Magazijnen/bergingen</v>
      </c>
      <c r="C33" s="225" t="s">
        <v>363</v>
      </c>
      <c r="D33" s="224" t="s">
        <v>30</v>
      </c>
      <c r="E33" s="226" t="s">
        <v>122</v>
      </c>
      <c r="F33" s="225" t="s">
        <v>366</v>
      </c>
      <c r="G33" s="228" t="s">
        <v>328</v>
      </c>
      <c r="H33" s="228" t="s">
        <v>328</v>
      </c>
      <c r="I33" s="227" t="s">
        <v>15</v>
      </c>
      <c r="J33" s="227" t="s">
        <v>15</v>
      </c>
      <c r="K33" s="227" t="s">
        <v>328</v>
      </c>
      <c r="L33" s="228" t="s">
        <v>328</v>
      </c>
      <c r="M33" s="227" t="s">
        <v>328</v>
      </c>
      <c r="N33" s="228" t="s">
        <v>328</v>
      </c>
      <c r="O33" s="229" t="s">
        <v>328</v>
      </c>
      <c r="P33" s="229" t="s">
        <v>328</v>
      </c>
      <c r="Q33" s="229" t="s">
        <v>328</v>
      </c>
      <c r="R33" s="229" t="s">
        <v>328</v>
      </c>
      <c r="S33" s="229" t="s">
        <v>328</v>
      </c>
      <c r="T33" s="229" t="s">
        <v>328</v>
      </c>
      <c r="U33" s="229" t="s">
        <v>328</v>
      </c>
      <c r="V33" s="229" t="s">
        <v>328</v>
      </c>
      <c r="W33" s="230" t="s">
        <v>328</v>
      </c>
      <c r="X33" s="230" t="s">
        <v>328</v>
      </c>
      <c r="Y33" s="231" t="s">
        <v>328</v>
      </c>
    </row>
    <row r="34" spans="1:25">
      <c r="A34" s="223">
        <v>1</v>
      </c>
      <c r="B34" s="224" t="str">
        <f>VLOOKUP(Tabel10[[#This Row],[Locatiecode]],Ruimtegroepen[[#All],[Code]:[Ruimte omschrijving]],2,FALSE)</f>
        <v>Magazijnen/bergingen</v>
      </c>
      <c r="C34" s="225" t="s">
        <v>363</v>
      </c>
      <c r="D34" s="224" t="s">
        <v>30</v>
      </c>
      <c r="E34" s="226" t="s">
        <v>123</v>
      </c>
      <c r="F34" s="225" t="s">
        <v>367</v>
      </c>
      <c r="G34" s="228" t="s">
        <v>328</v>
      </c>
      <c r="H34" s="228" t="s">
        <v>328</v>
      </c>
      <c r="I34" s="227" t="s">
        <v>15</v>
      </c>
      <c r="J34" s="227" t="s">
        <v>15</v>
      </c>
      <c r="K34" s="227" t="s">
        <v>328</v>
      </c>
      <c r="L34" s="228" t="s">
        <v>328</v>
      </c>
      <c r="M34" s="227" t="s">
        <v>328</v>
      </c>
      <c r="N34" s="228" t="s">
        <v>328</v>
      </c>
      <c r="O34" s="229" t="s">
        <v>328</v>
      </c>
      <c r="P34" s="229" t="s">
        <v>328</v>
      </c>
      <c r="Q34" s="229" t="s">
        <v>328</v>
      </c>
      <c r="R34" s="229" t="s">
        <v>328</v>
      </c>
      <c r="S34" s="229" t="s">
        <v>328</v>
      </c>
      <c r="T34" s="229" t="s">
        <v>328</v>
      </c>
      <c r="U34" s="229" t="s">
        <v>328</v>
      </c>
      <c r="V34" s="229" t="s">
        <v>328</v>
      </c>
      <c r="W34" s="230" t="s">
        <v>328</v>
      </c>
      <c r="X34" s="230" t="s">
        <v>328</v>
      </c>
      <c r="Y34" s="231" t="s">
        <v>328</v>
      </c>
    </row>
    <row r="35" spans="1:25">
      <c r="A35" s="223">
        <v>1</v>
      </c>
      <c r="B35" s="224" t="str">
        <f>VLOOKUP(Tabel10[[#This Row],[Locatiecode]],Ruimtegroepen[[#All],[Code]:[Ruimte omschrijving]],2,FALSE)</f>
        <v>Magazijnen/bergingen</v>
      </c>
      <c r="C35" s="225" t="s">
        <v>368</v>
      </c>
      <c r="D35" s="224" t="s">
        <v>31</v>
      </c>
      <c r="E35" s="226" t="s">
        <v>121</v>
      </c>
      <c r="F35" s="225" t="s">
        <v>369</v>
      </c>
      <c r="G35" s="228" t="s">
        <v>328</v>
      </c>
      <c r="H35" s="228" t="s">
        <v>328</v>
      </c>
      <c r="I35" s="227" t="s">
        <v>17</v>
      </c>
      <c r="J35" s="227" t="s">
        <v>15</v>
      </c>
      <c r="K35" s="227" t="s">
        <v>328</v>
      </c>
      <c r="L35" s="228" t="s">
        <v>328</v>
      </c>
      <c r="M35" s="227" t="s">
        <v>328</v>
      </c>
      <c r="N35" s="228" t="s">
        <v>328</v>
      </c>
      <c r="O35" s="229" t="s">
        <v>328</v>
      </c>
      <c r="P35" s="229" t="s">
        <v>328</v>
      </c>
      <c r="Q35" s="229" t="s">
        <v>328</v>
      </c>
      <c r="R35" s="229" t="s">
        <v>328</v>
      </c>
      <c r="S35" s="229" t="s">
        <v>328</v>
      </c>
      <c r="T35" s="229" t="s">
        <v>328</v>
      </c>
      <c r="U35" s="229" t="s">
        <v>328</v>
      </c>
      <c r="V35" s="229" t="s">
        <v>328</v>
      </c>
      <c r="W35" s="230" t="s">
        <v>328</v>
      </c>
      <c r="X35" s="230" t="s">
        <v>328</v>
      </c>
      <c r="Y35" s="231" t="s">
        <v>328</v>
      </c>
    </row>
    <row r="36" spans="1:25">
      <c r="A36" s="223">
        <v>1</v>
      </c>
      <c r="B36" s="224" t="str">
        <f>VLOOKUP(Tabel10[[#This Row],[Locatiecode]],Ruimtegroepen[[#All],[Code]:[Ruimte omschrijving]],2,FALSE)</f>
        <v>Magazijnen/bergingen</v>
      </c>
      <c r="C36" s="225" t="s">
        <v>368</v>
      </c>
      <c r="D36" s="224" t="s">
        <v>31</v>
      </c>
      <c r="E36" s="226" t="s">
        <v>120</v>
      </c>
      <c r="F36" s="225" t="s">
        <v>370</v>
      </c>
      <c r="G36" s="228" t="s">
        <v>15</v>
      </c>
      <c r="H36" s="228" t="s">
        <v>15</v>
      </c>
      <c r="I36" s="227" t="s">
        <v>328</v>
      </c>
      <c r="J36" s="227" t="s">
        <v>328</v>
      </c>
      <c r="K36" s="227" t="s">
        <v>328</v>
      </c>
      <c r="L36" s="228" t="s">
        <v>328</v>
      </c>
      <c r="M36" s="227" t="s">
        <v>328</v>
      </c>
      <c r="N36" s="228" t="s">
        <v>328</v>
      </c>
      <c r="O36" s="229" t="s">
        <v>328</v>
      </c>
      <c r="P36" s="229" t="s">
        <v>328</v>
      </c>
      <c r="Q36" s="229" t="s">
        <v>328</v>
      </c>
      <c r="R36" s="229" t="s">
        <v>328</v>
      </c>
      <c r="S36" s="229" t="s">
        <v>328</v>
      </c>
      <c r="T36" s="229" t="s">
        <v>328</v>
      </c>
      <c r="U36" s="229" t="s">
        <v>328</v>
      </c>
      <c r="V36" s="229" t="s">
        <v>328</v>
      </c>
      <c r="W36" s="230" t="s">
        <v>328</v>
      </c>
      <c r="X36" s="230" t="s">
        <v>328</v>
      </c>
      <c r="Y36" s="231" t="s">
        <v>328</v>
      </c>
    </row>
    <row r="37" spans="1:25">
      <c r="A37" s="223">
        <v>1</v>
      </c>
      <c r="B37" s="224" t="str">
        <f>VLOOKUP(Tabel10[[#This Row],[Locatiecode]],Ruimtegroepen[[#All],[Code]:[Ruimte omschrijving]],2,FALSE)</f>
        <v>Magazijnen/bergingen</v>
      </c>
      <c r="C37" s="225" t="s">
        <v>368</v>
      </c>
      <c r="D37" s="224" t="s">
        <v>31</v>
      </c>
      <c r="E37" s="226" t="s">
        <v>122</v>
      </c>
      <c r="F37" s="225" t="s">
        <v>371</v>
      </c>
      <c r="G37" s="228" t="s">
        <v>328</v>
      </c>
      <c r="H37" s="228" t="s">
        <v>328</v>
      </c>
      <c r="I37" s="227" t="s">
        <v>17</v>
      </c>
      <c r="J37" s="227" t="s">
        <v>15</v>
      </c>
      <c r="K37" s="227" t="s">
        <v>328</v>
      </c>
      <c r="L37" s="228" t="s">
        <v>328</v>
      </c>
      <c r="M37" s="227" t="s">
        <v>328</v>
      </c>
      <c r="N37" s="228" t="s">
        <v>328</v>
      </c>
      <c r="O37" s="229" t="s">
        <v>328</v>
      </c>
      <c r="P37" s="229" t="s">
        <v>328</v>
      </c>
      <c r="Q37" s="229" t="s">
        <v>328</v>
      </c>
      <c r="R37" s="229" t="s">
        <v>328</v>
      </c>
      <c r="S37" s="229" t="s">
        <v>328</v>
      </c>
      <c r="T37" s="229" t="s">
        <v>328</v>
      </c>
      <c r="U37" s="229" t="s">
        <v>328</v>
      </c>
      <c r="V37" s="229" t="s">
        <v>328</v>
      </c>
      <c r="W37" s="230" t="s">
        <v>328</v>
      </c>
      <c r="X37" s="230" t="s">
        <v>328</v>
      </c>
      <c r="Y37" s="231" t="s">
        <v>328</v>
      </c>
    </row>
    <row r="38" spans="1:25">
      <c r="A38" s="223">
        <v>1</v>
      </c>
      <c r="B38" s="224" t="str">
        <f>VLOOKUP(Tabel10[[#This Row],[Locatiecode]],Ruimtegroepen[[#All],[Code]:[Ruimte omschrijving]],2,FALSE)</f>
        <v>Magazijnen/bergingen</v>
      </c>
      <c r="C38" s="225" t="s">
        <v>368</v>
      </c>
      <c r="D38" s="224" t="s">
        <v>31</v>
      </c>
      <c r="E38" s="226" t="s">
        <v>123</v>
      </c>
      <c r="F38" s="225" t="s">
        <v>372</v>
      </c>
      <c r="G38" s="228" t="s">
        <v>328</v>
      </c>
      <c r="H38" s="228" t="s">
        <v>328</v>
      </c>
      <c r="I38" s="227" t="s">
        <v>17</v>
      </c>
      <c r="J38" s="227" t="s">
        <v>15</v>
      </c>
      <c r="K38" s="227" t="s">
        <v>328</v>
      </c>
      <c r="L38" s="228" t="s">
        <v>328</v>
      </c>
      <c r="M38" s="227" t="s">
        <v>328</v>
      </c>
      <c r="N38" s="228" t="s">
        <v>328</v>
      </c>
      <c r="O38" s="229" t="s">
        <v>328</v>
      </c>
      <c r="P38" s="229" t="s">
        <v>328</v>
      </c>
      <c r="Q38" s="229" t="s">
        <v>328</v>
      </c>
      <c r="R38" s="229" t="s">
        <v>328</v>
      </c>
      <c r="S38" s="229" t="s">
        <v>328</v>
      </c>
      <c r="T38" s="229" t="s">
        <v>328</v>
      </c>
      <c r="U38" s="229" t="s">
        <v>328</v>
      </c>
      <c r="V38" s="229" t="s">
        <v>328</v>
      </c>
      <c r="W38" s="230" t="s">
        <v>328</v>
      </c>
      <c r="X38" s="230" t="s">
        <v>328</v>
      </c>
      <c r="Y38" s="231" t="s">
        <v>328</v>
      </c>
    </row>
    <row r="39" spans="1:25">
      <c r="A39" s="223">
        <v>2</v>
      </c>
      <c r="B39" s="224" t="str">
        <f>VLOOKUP(Tabel10[[#This Row],[Locatiecode]],Ruimtegroepen[[#All],[Code]:[Ruimte omschrijving]],2,FALSE)</f>
        <v>Kantoren</v>
      </c>
      <c r="C39" s="225" t="s">
        <v>373</v>
      </c>
      <c r="D39" s="224" t="s">
        <v>32</v>
      </c>
      <c r="E39" s="226" t="s">
        <v>121</v>
      </c>
      <c r="F39" s="225" t="s">
        <v>374</v>
      </c>
      <c r="G39" s="228" t="s">
        <v>328</v>
      </c>
      <c r="H39" s="228" t="s">
        <v>328</v>
      </c>
      <c r="I39" s="227" t="s">
        <v>2</v>
      </c>
      <c r="J39" s="227" t="s">
        <v>15</v>
      </c>
      <c r="K39" s="227" t="s">
        <v>16</v>
      </c>
      <c r="L39" s="228" t="s">
        <v>328</v>
      </c>
      <c r="M39" s="227" t="s">
        <v>328</v>
      </c>
      <c r="N39" s="228" t="s">
        <v>2</v>
      </c>
      <c r="O39" s="229" t="s">
        <v>2</v>
      </c>
      <c r="P39" s="229" t="s">
        <v>2</v>
      </c>
      <c r="Q39" s="229" t="s">
        <v>15</v>
      </c>
      <c r="R39" s="229" t="s">
        <v>15</v>
      </c>
      <c r="S39" s="229" t="s">
        <v>16</v>
      </c>
      <c r="T39" s="229" t="s">
        <v>375</v>
      </c>
      <c r="U39" s="229" t="s">
        <v>331</v>
      </c>
      <c r="V39" s="229" t="s">
        <v>2</v>
      </c>
      <c r="W39" s="230" t="s">
        <v>328</v>
      </c>
      <c r="X39" s="230" t="s">
        <v>328</v>
      </c>
      <c r="Y39" s="231" t="s">
        <v>328</v>
      </c>
    </row>
    <row r="40" spans="1:25">
      <c r="A40" s="223">
        <v>2</v>
      </c>
      <c r="B40" s="224" t="str">
        <f>VLOOKUP(Tabel10[[#This Row],[Locatiecode]],Ruimtegroepen[[#All],[Code]:[Ruimte omschrijving]],2,FALSE)</f>
        <v>Kantoren</v>
      </c>
      <c r="C40" s="225" t="s">
        <v>373</v>
      </c>
      <c r="D40" s="224" t="s">
        <v>32</v>
      </c>
      <c r="E40" s="226" t="s">
        <v>120</v>
      </c>
      <c r="F40" s="225" t="s">
        <v>376</v>
      </c>
      <c r="G40" s="228" t="s">
        <v>20</v>
      </c>
      <c r="H40" s="228" t="s">
        <v>15</v>
      </c>
      <c r="I40" s="227" t="s">
        <v>328</v>
      </c>
      <c r="J40" s="227" t="s">
        <v>328</v>
      </c>
      <c r="K40" s="227" t="s">
        <v>328</v>
      </c>
      <c r="L40" s="228" t="s">
        <v>328</v>
      </c>
      <c r="M40" s="227" t="s">
        <v>328</v>
      </c>
      <c r="N40" s="228" t="s">
        <v>2</v>
      </c>
      <c r="O40" s="229" t="s">
        <v>2</v>
      </c>
      <c r="P40" s="229" t="s">
        <v>2</v>
      </c>
      <c r="Q40" s="229" t="s">
        <v>15</v>
      </c>
      <c r="R40" s="229" t="s">
        <v>15</v>
      </c>
      <c r="S40" s="229" t="s">
        <v>16</v>
      </c>
      <c r="T40" s="229" t="s">
        <v>375</v>
      </c>
      <c r="U40" s="229" t="s">
        <v>331</v>
      </c>
      <c r="V40" s="229" t="s">
        <v>2</v>
      </c>
      <c r="W40" s="230" t="s">
        <v>328</v>
      </c>
      <c r="X40" s="230" t="s">
        <v>328</v>
      </c>
      <c r="Y40" s="231" t="s">
        <v>328</v>
      </c>
    </row>
    <row r="41" spans="1:25">
      <c r="A41" s="223">
        <v>2</v>
      </c>
      <c r="B41" s="224" t="str">
        <f>VLOOKUP(Tabel10[[#This Row],[Locatiecode]],Ruimtegroepen[[#All],[Code]:[Ruimte omschrijving]],2,FALSE)</f>
        <v>Kantoren</v>
      </c>
      <c r="C41" s="225" t="s">
        <v>373</v>
      </c>
      <c r="D41" s="224" t="s">
        <v>32</v>
      </c>
      <c r="E41" s="226" t="s">
        <v>122</v>
      </c>
      <c r="F41" s="225" t="s">
        <v>377</v>
      </c>
      <c r="G41" s="228" t="s">
        <v>328</v>
      </c>
      <c r="H41" s="228" t="s">
        <v>328</v>
      </c>
      <c r="I41" s="227" t="s">
        <v>2</v>
      </c>
      <c r="J41" s="227" t="s">
        <v>15</v>
      </c>
      <c r="K41" s="227" t="s">
        <v>16</v>
      </c>
      <c r="L41" s="228" t="s">
        <v>328</v>
      </c>
      <c r="M41" s="227" t="s">
        <v>328</v>
      </c>
      <c r="N41" s="228" t="s">
        <v>2</v>
      </c>
      <c r="O41" s="229" t="s">
        <v>2</v>
      </c>
      <c r="P41" s="229" t="s">
        <v>2</v>
      </c>
      <c r="Q41" s="229" t="s">
        <v>15</v>
      </c>
      <c r="R41" s="229" t="s">
        <v>15</v>
      </c>
      <c r="S41" s="229" t="s">
        <v>16</v>
      </c>
      <c r="T41" s="229" t="s">
        <v>375</v>
      </c>
      <c r="U41" s="229" t="s">
        <v>331</v>
      </c>
      <c r="V41" s="229" t="s">
        <v>2</v>
      </c>
      <c r="W41" s="230" t="s">
        <v>328</v>
      </c>
      <c r="X41" s="230" t="s">
        <v>328</v>
      </c>
      <c r="Y41" s="231" t="s">
        <v>328</v>
      </c>
    </row>
    <row r="42" spans="1:25">
      <c r="A42" s="223">
        <v>2</v>
      </c>
      <c r="B42" s="224" t="str">
        <f>VLOOKUP(Tabel10[[#This Row],[Locatiecode]],Ruimtegroepen[[#All],[Code]:[Ruimte omschrijving]],2,FALSE)</f>
        <v>Kantoren</v>
      </c>
      <c r="C42" s="225" t="s">
        <v>373</v>
      </c>
      <c r="D42" s="224" t="s">
        <v>32</v>
      </c>
      <c r="E42" s="226" t="s">
        <v>123</v>
      </c>
      <c r="F42" s="225" t="s">
        <v>378</v>
      </c>
      <c r="G42" s="228" t="s">
        <v>328</v>
      </c>
      <c r="H42" s="228" t="s">
        <v>328</v>
      </c>
      <c r="I42" s="227" t="s">
        <v>2</v>
      </c>
      <c r="J42" s="227" t="s">
        <v>15</v>
      </c>
      <c r="K42" s="227" t="s">
        <v>16</v>
      </c>
      <c r="L42" s="228" t="s">
        <v>328</v>
      </c>
      <c r="M42" s="227" t="s">
        <v>328</v>
      </c>
      <c r="N42" s="228" t="s">
        <v>2</v>
      </c>
      <c r="O42" s="229" t="s">
        <v>2</v>
      </c>
      <c r="P42" s="229" t="s">
        <v>2</v>
      </c>
      <c r="Q42" s="229" t="s">
        <v>15</v>
      </c>
      <c r="R42" s="229" t="s">
        <v>15</v>
      </c>
      <c r="S42" s="229" t="s">
        <v>16</v>
      </c>
      <c r="T42" s="229" t="s">
        <v>375</v>
      </c>
      <c r="U42" s="229" t="s">
        <v>331</v>
      </c>
      <c r="V42" s="229" t="s">
        <v>2</v>
      </c>
      <c r="W42" s="230" t="s">
        <v>328</v>
      </c>
      <c r="X42" s="230" t="s">
        <v>328</v>
      </c>
      <c r="Y42" s="231" t="s">
        <v>328</v>
      </c>
    </row>
    <row r="43" spans="1:25">
      <c r="A43" s="223">
        <v>2</v>
      </c>
      <c r="B43" s="224" t="str">
        <f>VLOOKUP(Tabel10[[#This Row],[Locatiecode]],Ruimtegroepen[[#All],[Code]:[Ruimte omschrijving]],2,FALSE)</f>
        <v>Kantoren</v>
      </c>
      <c r="C43" s="225" t="s">
        <v>379</v>
      </c>
      <c r="D43" s="224" t="s">
        <v>1</v>
      </c>
      <c r="E43" s="226" t="s">
        <v>121</v>
      </c>
      <c r="F43" s="225" t="s">
        <v>380</v>
      </c>
      <c r="G43" s="228" t="s">
        <v>328</v>
      </c>
      <c r="H43" s="228" t="s">
        <v>328</v>
      </c>
      <c r="I43" s="227" t="s">
        <v>2</v>
      </c>
      <c r="J43" s="227" t="s">
        <v>15</v>
      </c>
      <c r="K43" s="227" t="s">
        <v>328</v>
      </c>
      <c r="L43" s="228" t="s">
        <v>328</v>
      </c>
      <c r="M43" s="227" t="s">
        <v>328</v>
      </c>
      <c r="N43" s="228" t="s">
        <v>328</v>
      </c>
      <c r="O43" s="229" t="s">
        <v>2</v>
      </c>
      <c r="P43" s="229" t="s">
        <v>2</v>
      </c>
      <c r="Q43" s="229" t="s">
        <v>15</v>
      </c>
      <c r="R43" s="229" t="s">
        <v>15</v>
      </c>
      <c r="S43" s="229" t="s">
        <v>16</v>
      </c>
      <c r="T43" s="229" t="s">
        <v>375</v>
      </c>
      <c r="U43" s="229" t="s">
        <v>331</v>
      </c>
      <c r="V43" s="229" t="s">
        <v>328</v>
      </c>
      <c r="W43" s="230" t="s">
        <v>328</v>
      </c>
      <c r="X43" s="230" t="s">
        <v>328</v>
      </c>
      <c r="Y43" s="231" t="s">
        <v>328</v>
      </c>
    </row>
    <row r="44" spans="1:25">
      <c r="A44" s="223">
        <v>2</v>
      </c>
      <c r="B44" s="224" t="str">
        <f>VLOOKUP(Tabel10[[#This Row],[Locatiecode]],Ruimtegroepen[[#All],[Code]:[Ruimte omschrijving]],2,FALSE)</f>
        <v>Kantoren</v>
      </c>
      <c r="C44" s="225" t="s">
        <v>379</v>
      </c>
      <c r="D44" s="224" t="s">
        <v>1</v>
      </c>
      <c r="E44" s="226" t="s">
        <v>120</v>
      </c>
      <c r="F44" s="225" t="s">
        <v>381</v>
      </c>
      <c r="G44" s="228" t="s">
        <v>20</v>
      </c>
      <c r="H44" s="228" t="s">
        <v>15</v>
      </c>
      <c r="I44" s="227" t="s">
        <v>328</v>
      </c>
      <c r="J44" s="227" t="s">
        <v>328</v>
      </c>
      <c r="K44" s="227" t="s">
        <v>328</v>
      </c>
      <c r="L44" s="228" t="s">
        <v>328</v>
      </c>
      <c r="M44" s="227" t="s">
        <v>328</v>
      </c>
      <c r="N44" s="228" t="s">
        <v>328</v>
      </c>
      <c r="O44" s="229" t="s">
        <v>2</v>
      </c>
      <c r="P44" s="229" t="s">
        <v>2</v>
      </c>
      <c r="Q44" s="229" t="s">
        <v>15</v>
      </c>
      <c r="R44" s="229" t="s">
        <v>15</v>
      </c>
      <c r="S44" s="229" t="s">
        <v>16</v>
      </c>
      <c r="T44" s="229" t="s">
        <v>375</v>
      </c>
      <c r="U44" s="229" t="s">
        <v>331</v>
      </c>
      <c r="V44" s="229" t="s">
        <v>328</v>
      </c>
      <c r="W44" s="230" t="s">
        <v>328</v>
      </c>
      <c r="X44" s="230" t="s">
        <v>328</v>
      </c>
      <c r="Y44" s="231" t="s">
        <v>328</v>
      </c>
    </row>
    <row r="45" spans="1:25">
      <c r="A45" s="223">
        <v>2</v>
      </c>
      <c r="B45" s="224" t="str">
        <f>VLOOKUP(Tabel10[[#This Row],[Locatiecode]],Ruimtegroepen[[#All],[Code]:[Ruimte omschrijving]],2,FALSE)</f>
        <v>Kantoren</v>
      </c>
      <c r="C45" s="225" t="s">
        <v>379</v>
      </c>
      <c r="D45" s="224" t="s">
        <v>1</v>
      </c>
      <c r="E45" s="226" t="s">
        <v>122</v>
      </c>
      <c r="F45" s="225" t="s">
        <v>382</v>
      </c>
      <c r="G45" s="228" t="s">
        <v>328</v>
      </c>
      <c r="H45" s="228" t="s">
        <v>328</v>
      </c>
      <c r="I45" s="227" t="s">
        <v>2</v>
      </c>
      <c r="J45" s="227" t="s">
        <v>15</v>
      </c>
      <c r="K45" s="227" t="s">
        <v>16</v>
      </c>
      <c r="L45" s="228" t="s">
        <v>328</v>
      </c>
      <c r="M45" s="227" t="s">
        <v>328</v>
      </c>
      <c r="N45" s="228" t="s">
        <v>328</v>
      </c>
      <c r="O45" s="229" t="s">
        <v>2</v>
      </c>
      <c r="P45" s="229" t="s">
        <v>2</v>
      </c>
      <c r="Q45" s="229" t="s">
        <v>15</v>
      </c>
      <c r="R45" s="229" t="s">
        <v>15</v>
      </c>
      <c r="S45" s="229" t="s">
        <v>16</v>
      </c>
      <c r="T45" s="229" t="s">
        <v>375</v>
      </c>
      <c r="U45" s="229" t="s">
        <v>331</v>
      </c>
      <c r="V45" s="229" t="s">
        <v>328</v>
      </c>
      <c r="W45" s="230" t="s">
        <v>328</v>
      </c>
      <c r="X45" s="230" t="s">
        <v>328</v>
      </c>
      <c r="Y45" s="231" t="s">
        <v>328</v>
      </c>
    </row>
    <row r="46" spans="1:25">
      <c r="A46" s="223">
        <v>2</v>
      </c>
      <c r="B46" s="224" t="str">
        <f>VLOOKUP(Tabel10[[#This Row],[Locatiecode]],Ruimtegroepen[[#All],[Code]:[Ruimte omschrijving]],2,FALSE)</f>
        <v>Kantoren</v>
      </c>
      <c r="C46" s="225" t="s">
        <v>379</v>
      </c>
      <c r="D46" s="224" t="s">
        <v>1</v>
      </c>
      <c r="E46" s="226" t="s">
        <v>123</v>
      </c>
      <c r="F46" s="225" t="s">
        <v>383</v>
      </c>
      <c r="G46" s="228" t="s">
        <v>328</v>
      </c>
      <c r="H46" s="228" t="s">
        <v>328</v>
      </c>
      <c r="I46" s="227" t="s">
        <v>2</v>
      </c>
      <c r="J46" s="227" t="s">
        <v>15</v>
      </c>
      <c r="K46" s="227" t="s">
        <v>16</v>
      </c>
      <c r="L46" s="228" t="s">
        <v>328</v>
      </c>
      <c r="M46" s="227" t="s">
        <v>328</v>
      </c>
      <c r="N46" s="228" t="s">
        <v>328</v>
      </c>
      <c r="O46" s="229" t="s">
        <v>2</v>
      </c>
      <c r="P46" s="229" t="s">
        <v>2</v>
      </c>
      <c r="Q46" s="229" t="s">
        <v>15</v>
      </c>
      <c r="R46" s="229" t="s">
        <v>15</v>
      </c>
      <c r="S46" s="229" t="s">
        <v>16</v>
      </c>
      <c r="T46" s="229" t="s">
        <v>375</v>
      </c>
      <c r="U46" s="229" t="s">
        <v>331</v>
      </c>
      <c r="V46" s="229" t="s">
        <v>328</v>
      </c>
      <c r="W46" s="230" t="s">
        <v>328</v>
      </c>
      <c r="X46" s="230" t="s">
        <v>328</v>
      </c>
      <c r="Y46" s="231" t="s">
        <v>328</v>
      </c>
    </row>
    <row r="47" spans="1:25">
      <c r="A47" s="223">
        <v>2</v>
      </c>
      <c r="B47" s="224" t="str">
        <f>VLOOKUP(Tabel10[[#This Row],[Locatiecode]],Ruimtegroepen[[#All],[Code]:[Ruimte omschrijving]],2,FALSE)</f>
        <v>Kantoren</v>
      </c>
      <c r="C47" s="225" t="s">
        <v>384</v>
      </c>
      <c r="D47" s="224" t="s">
        <v>21</v>
      </c>
      <c r="E47" s="226" t="s">
        <v>121</v>
      </c>
      <c r="F47" s="225" t="s">
        <v>385</v>
      </c>
      <c r="G47" s="228" t="s">
        <v>328</v>
      </c>
      <c r="H47" s="228" t="s">
        <v>328</v>
      </c>
      <c r="I47" s="227" t="s">
        <v>20</v>
      </c>
      <c r="J47" s="227" t="s">
        <v>15</v>
      </c>
      <c r="K47" s="227" t="s">
        <v>328</v>
      </c>
      <c r="L47" s="228" t="s">
        <v>328</v>
      </c>
      <c r="M47" s="227" t="s">
        <v>328</v>
      </c>
      <c r="N47" s="228" t="s">
        <v>328</v>
      </c>
      <c r="O47" s="229" t="s">
        <v>20</v>
      </c>
      <c r="P47" s="229" t="s">
        <v>20</v>
      </c>
      <c r="Q47" s="229" t="s">
        <v>15</v>
      </c>
      <c r="R47" s="229" t="s">
        <v>15</v>
      </c>
      <c r="S47" s="229" t="s">
        <v>16</v>
      </c>
      <c r="T47" s="229" t="s">
        <v>375</v>
      </c>
      <c r="U47" s="229" t="s">
        <v>331</v>
      </c>
      <c r="V47" s="229" t="s">
        <v>328</v>
      </c>
      <c r="W47" s="230" t="s">
        <v>328</v>
      </c>
      <c r="X47" s="230" t="s">
        <v>328</v>
      </c>
      <c r="Y47" s="231" t="s">
        <v>328</v>
      </c>
    </row>
    <row r="48" spans="1:25">
      <c r="A48" s="223">
        <v>2</v>
      </c>
      <c r="B48" s="224" t="str">
        <f>VLOOKUP(Tabel10[[#This Row],[Locatiecode]],Ruimtegroepen[[#All],[Code]:[Ruimte omschrijving]],2,FALSE)</f>
        <v>Kantoren</v>
      </c>
      <c r="C48" s="225" t="s">
        <v>384</v>
      </c>
      <c r="D48" s="224" t="s">
        <v>21</v>
      </c>
      <c r="E48" s="226" t="s">
        <v>122</v>
      </c>
      <c r="F48" s="225" t="s">
        <v>387</v>
      </c>
      <c r="G48" s="228" t="s">
        <v>18</v>
      </c>
      <c r="H48" s="228" t="s">
        <v>15</v>
      </c>
      <c r="I48" s="227" t="s">
        <v>328</v>
      </c>
      <c r="J48" s="227" t="s">
        <v>328</v>
      </c>
      <c r="K48" s="227" t="s">
        <v>328</v>
      </c>
      <c r="L48" s="228" t="s">
        <v>328</v>
      </c>
      <c r="M48" s="227" t="s">
        <v>328</v>
      </c>
      <c r="N48" s="228" t="s">
        <v>328</v>
      </c>
      <c r="O48" s="229" t="s">
        <v>20</v>
      </c>
      <c r="P48" s="229" t="s">
        <v>20</v>
      </c>
      <c r="Q48" s="229" t="s">
        <v>15</v>
      </c>
      <c r="R48" s="229" t="s">
        <v>15</v>
      </c>
      <c r="S48" s="229" t="s">
        <v>16</v>
      </c>
      <c r="T48" s="229" t="s">
        <v>375</v>
      </c>
      <c r="U48" s="229" t="s">
        <v>331</v>
      </c>
      <c r="V48" s="229" t="s">
        <v>328</v>
      </c>
      <c r="W48" s="230" t="s">
        <v>328</v>
      </c>
      <c r="X48" s="230" t="s">
        <v>328</v>
      </c>
      <c r="Y48" s="231" t="s">
        <v>328</v>
      </c>
    </row>
    <row r="49" spans="1:25">
      <c r="A49" s="223">
        <v>2</v>
      </c>
      <c r="B49" s="224" t="str">
        <f>VLOOKUP(Tabel10[[#This Row],[Locatiecode]],Ruimtegroepen[[#All],[Code]:[Ruimte omschrijving]],2,FALSE)</f>
        <v>Kantoren</v>
      </c>
      <c r="C49" s="225" t="s">
        <v>384</v>
      </c>
      <c r="D49" s="224" t="s">
        <v>21</v>
      </c>
      <c r="E49" s="226" t="s">
        <v>123</v>
      </c>
      <c r="F49" s="225" t="s">
        <v>388</v>
      </c>
      <c r="G49" s="228" t="s">
        <v>328</v>
      </c>
      <c r="H49" s="228" t="s">
        <v>328</v>
      </c>
      <c r="I49" s="227" t="s">
        <v>20</v>
      </c>
      <c r="J49" s="227" t="s">
        <v>15</v>
      </c>
      <c r="K49" s="227" t="s">
        <v>16</v>
      </c>
      <c r="L49" s="228" t="s">
        <v>328</v>
      </c>
      <c r="M49" s="227" t="s">
        <v>328</v>
      </c>
      <c r="N49" s="228" t="s">
        <v>328</v>
      </c>
      <c r="O49" s="229" t="s">
        <v>20</v>
      </c>
      <c r="P49" s="229" t="s">
        <v>20</v>
      </c>
      <c r="Q49" s="229" t="s">
        <v>15</v>
      </c>
      <c r="R49" s="229" t="s">
        <v>15</v>
      </c>
      <c r="S49" s="229" t="s">
        <v>16</v>
      </c>
      <c r="T49" s="229" t="s">
        <v>375</v>
      </c>
      <c r="U49" s="229" t="s">
        <v>331</v>
      </c>
      <c r="V49" s="229" t="s">
        <v>328</v>
      </c>
      <c r="W49" s="230" t="s">
        <v>328</v>
      </c>
      <c r="X49" s="230" t="s">
        <v>328</v>
      </c>
      <c r="Y49" s="231" t="s">
        <v>328</v>
      </c>
    </row>
    <row r="50" spans="1:25">
      <c r="A50" s="223">
        <v>2</v>
      </c>
      <c r="B50" s="224" t="str">
        <f>VLOOKUP(Tabel10[[#This Row],[Locatiecode]],Ruimtegroepen[[#All],[Code]:[Ruimte omschrijving]],2,FALSE)</f>
        <v>Kantoren</v>
      </c>
      <c r="C50" s="225" t="s">
        <v>384</v>
      </c>
      <c r="D50" s="224" t="s">
        <v>21</v>
      </c>
      <c r="E50" s="226" t="s">
        <v>120</v>
      </c>
      <c r="F50" s="225" t="s">
        <v>386</v>
      </c>
      <c r="G50" s="228" t="s">
        <v>328</v>
      </c>
      <c r="H50" s="228" t="s">
        <v>328</v>
      </c>
      <c r="I50" s="227" t="s">
        <v>20</v>
      </c>
      <c r="J50" s="227" t="s">
        <v>15</v>
      </c>
      <c r="K50" s="227" t="s">
        <v>16</v>
      </c>
      <c r="L50" s="228" t="s">
        <v>328</v>
      </c>
      <c r="M50" s="227" t="s">
        <v>328</v>
      </c>
      <c r="N50" s="228" t="s">
        <v>328</v>
      </c>
      <c r="O50" s="229" t="s">
        <v>20</v>
      </c>
      <c r="P50" s="229" t="s">
        <v>20</v>
      </c>
      <c r="Q50" s="229" t="s">
        <v>15</v>
      </c>
      <c r="R50" s="229" t="s">
        <v>15</v>
      </c>
      <c r="S50" s="229" t="s">
        <v>16</v>
      </c>
      <c r="T50" s="229" t="s">
        <v>375</v>
      </c>
      <c r="U50" s="229" t="s">
        <v>331</v>
      </c>
      <c r="V50" s="229" t="s">
        <v>328</v>
      </c>
      <c r="W50" s="230" t="s">
        <v>328</v>
      </c>
      <c r="X50" s="230" t="s">
        <v>328</v>
      </c>
      <c r="Y50" s="231" t="s">
        <v>328</v>
      </c>
    </row>
    <row r="51" spans="1:25">
      <c r="A51" s="223">
        <v>2</v>
      </c>
      <c r="B51" s="224" t="str">
        <f>VLOOKUP(Tabel10[[#This Row],[Locatiecode]],Ruimtegroepen[[#All],[Code]:[Ruimte omschrijving]],2,FALSE)</f>
        <v>Kantoren</v>
      </c>
      <c r="C51" s="225" t="s">
        <v>389</v>
      </c>
      <c r="D51" s="224" t="s">
        <v>12</v>
      </c>
      <c r="E51" s="226" t="s">
        <v>121</v>
      </c>
      <c r="F51" s="225" t="s">
        <v>390</v>
      </c>
      <c r="G51" s="228" t="s">
        <v>328</v>
      </c>
      <c r="H51" s="228" t="s">
        <v>328</v>
      </c>
      <c r="I51" s="227" t="s">
        <v>18</v>
      </c>
      <c r="J51" s="227" t="s">
        <v>15</v>
      </c>
      <c r="K51" s="227" t="s">
        <v>328</v>
      </c>
      <c r="L51" s="228" t="s">
        <v>328</v>
      </c>
      <c r="M51" s="227" t="s">
        <v>328</v>
      </c>
      <c r="N51" s="228" t="s">
        <v>328</v>
      </c>
      <c r="O51" s="229" t="s">
        <v>18</v>
      </c>
      <c r="P51" s="229" t="s">
        <v>18</v>
      </c>
      <c r="Q51" s="229" t="s">
        <v>15</v>
      </c>
      <c r="R51" s="229" t="s">
        <v>15</v>
      </c>
      <c r="S51" s="229" t="s">
        <v>16</v>
      </c>
      <c r="T51" s="229" t="s">
        <v>375</v>
      </c>
      <c r="U51" s="229" t="s">
        <v>331</v>
      </c>
      <c r="V51" s="229" t="s">
        <v>328</v>
      </c>
      <c r="W51" s="230" t="s">
        <v>328</v>
      </c>
      <c r="X51" s="230" t="s">
        <v>328</v>
      </c>
      <c r="Y51" s="231" t="s">
        <v>328</v>
      </c>
    </row>
    <row r="52" spans="1:25">
      <c r="A52" s="223">
        <v>2</v>
      </c>
      <c r="B52" s="224" t="str">
        <f>VLOOKUP(Tabel10[[#This Row],[Locatiecode]],Ruimtegroepen[[#All],[Code]:[Ruimte omschrijving]],2,FALSE)</f>
        <v>Kantoren</v>
      </c>
      <c r="C52" s="225" t="s">
        <v>389</v>
      </c>
      <c r="D52" s="224" t="s">
        <v>12</v>
      </c>
      <c r="E52" s="226" t="s">
        <v>120</v>
      </c>
      <c r="F52" s="225" t="s">
        <v>391</v>
      </c>
      <c r="G52" s="228" t="s">
        <v>17</v>
      </c>
      <c r="H52" s="228" t="s">
        <v>15</v>
      </c>
      <c r="I52" s="227" t="s">
        <v>328</v>
      </c>
      <c r="J52" s="227" t="s">
        <v>328</v>
      </c>
      <c r="K52" s="227" t="s">
        <v>328</v>
      </c>
      <c r="L52" s="228" t="s">
        <v>328</v>
      </c>
      <c r="M52" s="227" t="s">
        <v>328</v>
      </c>
      <c r="N52" s="228" t="s">
        <v>328</v>
      </c>
      <c r="O52" s="229" t="s">
        <v>18</v>
      </c>
      <c r="P52" s="229" t="s">
        <v>18</v>
      </c>
      <c r="Q52" s="229" t="s">
        <v>15</v>
      </c>
      <c r="R52" s="229" t="s">
        <v>15</v>
      </c>
      <c r="S52" s="229" t="s">
        <v>16</v>
      </c>
      <c r="T52" s="229" t="s">
        <v>375</v>
      </c>
      <c r="U52" s="229" t="s">
        <v>331</v>
      </c>
      <c r="V52" s="229" t="s">
        <v>328</v>
      </c>
      <c r="W52" s="230" t="s">
        <v>328</v>
      </c>
      <c r="X52" s="230" t="s">
        <v>328</v>
      </c>
      <c r="Y52" s="231" t="s">
        <v>328</v>
      </c>
    </row>
    <row r="53" spans="1:25">
      <c r="A53" s="223">
        <v>2</v>
      </c>
      <c r="B53" s="224" t="str">
        <f>VLOOKUP(Tabel10[[#This Row],[Locatiecode]],Ruimtegroepen[[#All],[Code]:[Ruimte omschrijving]],2,FALSE)</f>
        <v>Kantoren</v>
      </c>
      <c r="C53" s="225" t="s">
        <v>389</v>
      </c>
      <c r="D53" s="224" t="s">
        <v>12</v>
      </c>
      <c r="E53" s="226" t="s">
        <v>122</v>
      </c>
      <c r="F53" s="225" t="s">
        <v>392</v>
      </c>
      <c r="G53" s="228" t="s">
        <v>328</v>
      </c>
      <c r="H53" s="228" t="s">
        <v>328</v>
      </c>
      <c r="I53" s="227" t="s">
        <v>18</v>
      </c>
      <c r="J53" s="227" t="s">
        <v>15</v>
      </c>
      <c r="K53" s="227" t="s">
        <v>16</v>
      </c>
      <c r="L53" s="228" t="s">
        <v>328</v>
      </c>
      <c r="M53" s="227" t="s">
        <v>328</v>
      </c>
      <c r="N53" s="228" t="s">
        <v>328</v>
      </c>
      <c r="O53" s="229" t="s">
        <v>18</v>
      </c>
      <c r="P53" s="229" t="s">
        <v>18</v>
      </c>
      <c r="Q53" s="229" t="s">
        <v>15</v>
      </c>
      <c r="R53" s="229" t="s">
        <v>15</v>
      </c>
      <c r="S53" s="229" t="s">
        <v>16</v>
      </c>
      <c r="T53" s="229" t="s">
        <v>375</v>
      </c>
      <c r="U53" s="229" t="s">
        <v>331</v>
      </c>
      <c r="V53" s="229" t="s">
        <v>328</v>
      </c>
      <c r="W53" s="230" t="s">
        <v>328</v>
      </c>
      <c r="X53" s="230" t="s">
        <v>328</v>
      </c>
      <c r="Y53" s="231" t="s">
        <v>328</v>
      </c>
    </row>
    <row r="54" spans="1:25">
      <c r="A54" s="223">
        <v>2</v>
      </c>
      <c r="B54" s="224" t="str">
        <f>VLOOKUP(Tabel10[[#This Row],[Locatiecode]],Ruimtegroepen[[#All],[Code]:[Ruimte omschrijving]],2,FALSE)</f>
        <v>Kantoren</v>
      </c>
      <c r="C54" s="225" t="s">
        <v>389</v>
      </c>
      <c r="D54" s="224" t="s">
        <v>12</v>
      </c>
      <c r="E54" s="226" t="s">
        <v>123</v>
      </c>
      <c r="F54" s="225" t="s">
        <v>393</v>
      </c>
      <c r="G54" s="228" t="s">
        <v>328</v>
      </c>
      <c r="H54" s="228" t="s">
        <v>328</v>
      </c>
      <c r="I54" s="227" t="s">
        <v>18</v>
      </c>
      <c r="J54" s="227" t="s">
        <v>15</v>
      </c>
      <c r="K54" s="227" t="s">
        <v>16</v>
      </c>
      <c r="L54" s="228" t="s">
        <v>328</v>
      </c>
      <c r="M54" s="227" t="s">
        <v>328</v>
      </c>
      <c r="N54" s="228" t="s">
        <v>328</v>
      </c>
      <c r="O54" s="229" t="s">
        <v>18</v>
      </c>
      <c r="P54" s="229" t="s">
        <v>18</v>
      </c>
      <c r="Q54" s="229" t="s">
        <v>15</v>
      </c>
      <c r="R54" s="229" t="s">
        <v>15</v>
      </c>
      <c r="S54" s="229" t="s">
        <v>16</v>
      </c>
      <c r="T54" s="229" t="s">
        <v>375</v>
      </c>
      <c r="U54" s="229" t="s">
        <v>331</v>
      </c>
      <c r="V54" s="229" t="s">
        <v>328</v>
      </c>
      <c r="W54" s="230" t="s">
        <v>328</v>
      </c>
      <c r="X54" s="230" t="s">
        <v>328</v>
      </c>
      <c r="Y54" s="231" t="s">
        <v>328</v>
      </c>
    </row>
    <row r="55" spans="1:25">
      <c r="A55" s="223">
        <v>2</v>
      </c>
      <c r="B55" s="224" t="str">
        <f>VLOOKUP(Tabel10[[#This Row],[Locatiecode]],Ruimtegroepen[[#All],[Code]:[Ruimte omschrijving]],2,FALSE)</f>
        <v>Kantoren</v>
      </c>
      <c r="C55" s="225" t="s">
        <v>394</v>
      </c>
      <c r="D55" s="224" t="s">
        <v>14</v>
      </c>
      <c r="E55" s="226" t="s">
        <v>121</v>
      </c>
      <c r="F55" s="225" t="s">
        <v>395</v>
      </c>
      <c r="G55" s="228" t="s">
        <v>328</v>
      </c>
      <c r="H55" s="228" t="s">
        <v>328</v>
      </c>
      <c r="I55" s="227" t="s">
        <v>17</v>
      </c>
      <c r="J55" s="227" t="s">
        <v>15</v>
      </c>
      <c r="K55" s="227" t="s">
        <v>328</v>
      </c>
      <c r="L55" s="228" t="s">
        <v>328</v>
      </c>
      <c r="M55" s="227" t="s">
        <v>328</v>
      </c>
      <c r="N55" s="228" t="s">
        <v>328</v>
      </c>
      <c r="O55" s="229" t="s">
        <v>17</v>
      </c>
      <c r="P55" s="229" t="s">
        <v>17</v>
      </c>
      <c r="Q55" s="229" t="s">
        <v>15</v>
      </c>
      <c r="R55" s="229" t="s">
        <v>15</v>
      </c>
      <c r="S55" s="229" t="s">
        <v>16</v>
      </c>
      <c r="T55" s="229" t="s">
        <v>375</v>
      </c>
      <c r="U55" s="229" t="s">
        <v>331</v>
      </c>
      <c r="V55" s="229" t="s">
        <v>328</v>
      </c>
      <c r="W55" s="230" t="s">
        <v>328</v>
      </c>
      <c r="X55" s="230" t="s">
        <v>328</v>
      </c>
      <c r="Y55" s="231" t="s">
        <v>328</v>
      </c>
    </row>
    <row r="56" spans="1:25">
      <c r="A56" s="223">
        <v>2</v>
      </c>
      <c r="B56" s="224" t="str">
        <f>VLOOKUP(Tabel10[[#This Row],[Locatiecode]],Ruimtegroepen[[#All],[Code]:[Ruimte omschrijving]],2,FALSE)</f>
        <v>Kantoren</v>
      </c>
      <c r="C56" s="225" t="s">
        <v>394</v>
      </c>
      <c r="D56" s="224" t="s">
        <v>14</v>
      </c>
      <c r="E56" s="226" t="s">
        <v>120</v>
      </c>
      <c r="F56" s="225" t="s">
        <v>396</v>
      </c>
      <c r="G56" s="227" t="s">
        <v>15</v>
      </c>
      <c r="H56" s="228" t="s">
        <v>15</v>
      </c>
      <c r="I56" s="227" t="s">
        <v>328</v>
      </c>
      <c r="J56" s="227" t="s">
        <v>328</v>
      </c>
      <c r="K56" s="227" t="s">
        <v>328</v>
      </c>
      <c r="L56" s="228" t="s">
        <v>328</v>
      </c>
      <c r="M56" s="227" t="s">
        <v>328</v>
      </c>
      <c r="N56" s="228" t="s">
        <v>328</v>
      </c>
      <c r="O56" s="229" t="s">
        <v>17</v>
      </c>
      <c r="P56" s="229" t="s">
        <v>17</v>
      </c>
      <c r="Q56" s="229" t="s">
        <v>15</v>
      </c>
      <c r="R56" s="229" t="s">
        <v>15</v>
      </c>
      <c r="S56" s="229" t="s">
        <v>16</v>
      </c>
      <c r="T56" s="229" t="s">
        <v>375</v>
      </c>
      <c r="U56" s="229" t="s">
        <v>331</v>
      </c>
      <c r="V56" s="229" t="s">
        <v>328</v>
      </c>
      <c r="W56" s="230" t="s">
        <v>328</v>
      </c>
      <c r="X56" s="230" t="s">
        <v>328</v>
      </c>
      <c r="Y56" s="231" t="s">
        <v>328</v>
      </c>
    </row>
    <row r="57" spans="1:25">
      <c r="A57" s="223">
        <v>2</v>
      </c>
      <c r="B57" s="224" t="str">
        <f>VLOOKUP(Tabel10[[#This Row],[Locatiecode]],Ruimtegroepen[[#All],[Code]:[Ruimte omschrijving]],2,FALSE)</f>
        <v>Kantoren</v>
      </c>
      <c r="C57" s="225" t="s">
        <v>394</v>
      </c>
      <c r="D57" s="224" t="s">
        <v>14</v>
      </c>
      <c r="E57" s="226" t="s">
        <v>122</v>
      </c>
      <c r="F57" s="225" t="s">
        <v>397</v>
      </c>
      <c r="G57" s="228" t="s">
        <v>328</v>
      </c>
      <c r="H57" s="228" t="s">
        <v>328</v>
      </c>
      <c r="I57" s="227" t="s">
        <v>17</v>
      </c>
      <c r="J57" s="227" t="s">
        <v>15</v>
      </c>
      <c r="K57" s="227" t="s">
        <v>16</v>
      </c>
      <c r="L57" s="228" t="s">
        <v>328</v>
      </c>
      <c r="M57" s="227" t="s">
        <v>328</v>
      </c>
      <c r="N57" s="228" t="s">
        <v>328</v>
      </c>
      <c r="O57" s="229" t="s">
        <v>17</v>
      </c>
      <c r="P57" s="229" t="s">
        <v>17</v>
      </c>
      <c r="Q57" s="229" t="s">
        <v>15</v>
      </c>
      <c r="R57" s="229" t="s">
        <v>15</v>
      </c>
      <c r="S57" s="229" t="s">
        <v>16</v>
      </c>
      <c r="T57" s="229" t="s">
        <v>375</v>
      </c>
      <c r="U57" s="229" t="s">
        <v>331</v>
      </c>
      <c r="V57" s="229" t="s">
        <v>328</v>
      </c>
      <c r="W57" s="230" t="s">
        <v>328</v>
      </c>
      <c r="X57" s="230" t="s">
        <v>328</v>
      </c>
      <c r="Y57" s="231" t="s">
        <v>328</v>
      </c>
    </row>
    <row r="58" spans="1:25">
      <c r="A58" s="223">
        <v>2</v>
      </c>
      <c r="B58" s="224" t="str">
        <f>VLOOKUP(Tabel10[[#This Row],[Locatiecode]],Ruimtegroepen[[#All],[Code]:[Ruimte omschrijving]],2,FALSE)</f>
        <v>Kantoren</v>
      </c>
      <c r="C58" s="225" t="s">
        <v>394</v>
      </c>
      <c r="D58" s="224" t="s">
        <v>14</v>
      </c>
      <c r="E58" s="226" t="s">
        <v>123</v>
      </c>
      <c r="F58" s="225" t="s">
        <v>398</v>
      </c>
      <c r="G58" s="228" t="s">
        <v>328</v>
      </c>
      <c r="H58" s="228" t="s">
        <v>328</v>
      </c>
      <c r="I58" s="227" t="s">
        <v>17</v>
      </c>
      <c r="J58" s="227" t="s">
        <v>15</v>
      </c>
      <c r="K58" s="227" t="s">
        <v>16</v>
      </c>
      <c r="L58" s="228" t="s">
        <v>328</v>
      </c>
      <c r="M58" s="227" t="s">
        <v>328</v>
      </c>
      <c r="N58" s="228" t="s">
        <v>328</v>
      </c>
      <c r="O58" s="229" t="s">
        <v>17</v>
      </c>
      <c r="P58" s="229" t="s">
        <v>17</v>
      </c>
      <c r="Q58" s="229" t="s">
        <v>15</v>
      </c>
      <c r="R58" s="229" t="s">
        <v>15</v>
      </c>
      <c r="S58" s="229" t="s">
        <v>16</v>
      </c>
      <c r="T58" s="229" t="s">
        <v>375</v>
      </c>
      <c r="U58" s="229" t="s">
        <v>331</v>
      </c>
      <c r="V58" s="229" t="s">
        <v>328</v>
      </c>
      <c r="W58" s="230" t="s">
        <v>328</v>
      </c>
      <c r="X58" s="230" t="s">
        <v>328</v>
      </c>
      <c r="Y58" s="231" t="s">
        <v>328</v>
      </c>
    </row>
    <row r="59" spans="1:25">
      <c r="A59" s="223">
        <v>2</v>
      </c>
      <c r="B59" s="224" t="str">
        <f>VLOOKUP(Tabel10[[#This Row],[Locatiecode]],Ruimtegroepen[[#All],[Code]:[Ruimte omschrijving]],2,FALSE)</f>
        <v>Kantoren</v>
      </c>
      <c r="C59" s="225" t="s">
        <v>399</v>
      </c>
      <c r="D59" s="224" t="s">
        <v>13</v>
      </c>
      <c r="E59" s="226" t="s">
        <v>121</v>
      </c>
      <c r="F59" s="225" t="s">
        <v>400</v>
      </c>
      <c r="G59" s="228" t="s">
        <v>328</v>
      </c>
      <c r="H59" s="228" t="s">
        <v>328</v>
      </c>
      <c r="I59" s="227" t="s">
        <v>15</v>
      </c>
      <c r="J59" s="227" t="s">
        <v>15</v>
      </c>
      <c r="K59" s="227" t="s">
        <v>328</v>
      </c>
      <c r="L59" s="228" t="s">
        <v>328</v>
      </c>
      <c r="M59" s="227" t="s">
        <v>328</v>
      </c>
      <c r="N59" s="228" t="s">
        <v>328</v>
      </c>
      <c r="O59" s="229" t="s">
        <v>15</v>
      </c>
      <c r="P59" s="229" t="s">
        <v>15</v>
      </c>
      <c r="Q59" s="229" t="s">
        <v>15</v>
      </c>
      <c r="R59" s="229" t="s">
        <v>15</v>
      </c>
      <c r="S59" s="229" t="s">
        <v>16</v>
      </c>
      <c r="T59" s="229" t="s">
        <v>375</v>
      </c>
      <c r="U59" s="229" t="s">
        <v>331</v>
      </c>
      <c r="V59" s="229" t="s">
        <v>328</v>
      </c>
      <c r="W59" s="230" t="s">
        <v>328</v>
      </c>
      <c r="X59" s="230" t="s">
        <v>328</v>
      </c>
      <c r="Y59" s="231" t="s">
        <v>328</v>
      </c>
    </row>
    <row r="60" spans="1:25">
      <c r="A60" s="223">
        <v>2</v>
      </c>
      <c r="B60" s="224" t="str">
        <f>VLOOKUP(Tabel10[[#This Row],[Locatiecode]],Ruimtegroepen[[#All],[Code]:[Ruimte omschrijving]],2,FALSE)</f>
        <v>Kantoren</v>
      </c>
      <c r="C60" s="225" t="s">
        <v>399</v>
      </c>
      <c r="D60" s="224" t="s">
        <v>13</v>
      </c>
      <c r="E60" s="226" t="s">
        <v>120</v>
      </c>
      <c r="F60" s="225" t="s">
        <v>401</v>
      </c>
      <c r="G60" s="228" t="s">
        <v>15</v>
      </c>
      <c r="H60" s="228" t="s">
        <v>15</v>
      </c>
      <c r="I60" s="227" t="s">
        <v>328</v>
      </c>
      <c r="J60" s="227" t="s">
        <v>328</v>
      </c>
      <c r="K60" s="227" t="s">
        <v>328</v>
      </c>
      <c r="L60" s="228" t="s">
        <v>328</v>
      </c>
      <c r="M60" s="227" t="s">
        <v>328</v>
      </c>
      <c r="N60" s="228" t="s">
        <v>328</v>
      </c>
      <c r="O60" s="229" t="s">
        <v>15</v>
      </c>
      <c r="P60" s="229" t="s">
        <v>15</v>
      </c>
      <c r="Q60" s="229" t="s">
        <v>15</v>
      </c>
      <c r="R60" s="229" t="s">
        <v>15</v>
      </c>
      <c r="S60" s="229" t="s">
        <v>16</v>
      </c>
      <c r="T60" s="229" t="s">
        <v>375</v>
      </c>
      <c r="U60" s="229" t="s">
        <v>331</v>
      </c>
      <c r="V60" s="229" t="s">
        <v>328</v>
      </c>
      <c r="W60" s="230" t="s">
        <v>328</v>
      </c>
      <c r="X60" s="230" t="s">
        <v>328</v>
      </c>
      <c r="Y60" s="231" t="s">
        <v>328</v>
      </c>
    </row>
    <row r="61" spans="1:25">
      <c r="A61" s="223">
        <v>2</v>
      </c>
      <c r="B61" s="224" t="str">
        <f>VLOOKUP(Tabel10[[#This Row],[Locatiecode]],Ruimtegroepen[[#All],[Code]:[Ruimte omschrijving]],2,FALSE)</f>
        <v>Kantoren</v>
      </c>
      <c r="C61" s="225" t="s">
        <v>399</v>
      </c>
      <c r="D61" s="224" t="s">
        <v>13</v>
      </c>
      <c r="E61" s="226" t="s">
        <v>122</v>
      </c>
      <c r="F61" s="225" t="s">
        <v>402</v>
      </c>
      <c r="G61" s="228" t="s">
        <v>328</v>
      </c>
      <c r="H61" s="228" t="s">
        <v>328</v>
      </c>
      <c r="I61" s="227" t="s">
        <v>15</v>
      </c>
      <c r="J61" s="227" t="s">
        <v>15</v>
      </c>
      <c r="K61" s="227" t="s">
        <v>16</v>
      </c>
      <c r="L61" s="228" t="s">
        <v>328</v>
      </c>
      <c r="M61" s="227" t="s">
        <v>328</v>
      </c>
      <c r="N61" s="228" t="s">
        <v>328</v>
      </c>
      <c r="O61" s="229" t="s">
        <v>15</v>
      </c>
      <c r="P61" s="229" t="s">
        <v>15</v>
      </c>
      <c r="Q61" s="229" t="s">
        <v>15</v>
      </c>
      <c r="R61" s="229" t="s">
        <v>15</v>
      </c>
      <c r="S61" s="229" t="s">
        <v>16</v>
      </c>
      <c r="T61" s="229" t="s">
        <v>375</v>
      </c>
      <c r="U61" s="229" t="s">
        <v>331</v>
      </c>
      <c r="V61" s="229" t="s">
        <v>328</v>
      </c>
      <c r="W61" s="230" t="s">
        <v>328</v>
      </c>
      <c r="X61" s="230" t="s">
        <v>328</v>
      </c>
      <c r="Y61" s="231" t="s">
        <v>328</v>
      </c>
    </row>
    <row r="62" spans="1:25">
      <c r="A62" s="223">
        <v>2</v>
      </c>
      <c r="B62" s="224" t="str">
        <f>VLOOKUP(Tabel10[[#This Row],[Locatiecode]],Ruimtegroepen[[#All],[Code]:[Ruimte omschrijving]],2,FALSE)</f>
        <v>Kantoren</v>
      </c>
      <c r="C62" s="225" t="s">
        <v>399</v>
      </c>
      <c r="D62" s="224" t="s">
        <v>13</v>
      </c>
      <c r="E62" s="226" t="s">
        <v>123</v>
      </c>
      <c r="F62" s="225" t="s">
        <v>403</v>
      </c>
      <c r="G62" s="228" t="s">
        <v>328</v>
      </c>
      <c r="H62" s="228" t="s">
        <v>328</v>
      </c>
      <c r="I62" s="227" t="s">
        <v>15</v>
      </c>
      <c r="J62" s="227" t="s">
        <v>15</v>
      </c>
      <c r="K62" s="227" t="s">
        <v>16</v>
      </c>
      <c r="L62" s="228" t="s">
        <v>328</v>
      </c>
      <c r="M62" s="227" t="s">
        <v>328</v>
      </c>
      <c r="N62" s="228" t="s">
        <v>328</v>
      </c>
      <c r="O62" s="229" t="s">
        <v>15</v>
      </c>
      <c r="P62" s="229" t="s">
        <v>15</v>
      </c>
      <c r="Q62" s="229" t="s">
        <v>15</v>
      </c>
      <c r="R62" s="229" t="s">
        <v>15</v>
      </c>
      <c r="S62" s="229" t="s">
        <v>16</v>
      </c>
      <c r="T62" s="229" t="s">
        <v>375</v>
      </c>
      <c r="U62" s="229" t="s">
        <v>331</v>
      </c>
      <c r="V62" s="229" t="s">
        <v>328</v>
      </c>
      <c r="W62" s="230" t="s">
        <v>328</v>
      </c>
      <c r="X62" s="230" t="s">
        <v>328</v>
      </c>
      <c r="Y62" s="231" t="s">
        <v>328</v>
      </c>
    </row>
    <row r="63" spans="1:25">
      <c r="A63" s="223">
        <v>2</v>
      </c>
      <c r="B63" s="224" t="str">
        <f>VLOOKUP(Tabel10[[#This Row],[Locatiecode]],Ruimtegroepen[[#All],[Code]:[Ruimte omschrijving]],2,FALSE)</f>
        <v>Kantoren</v>
      </c>
      <c r="C63" s="225" t="s">
        <v>404</v>
      </c>
      <c r="D63" s="224" t="s">
        <v>0</v>
      </c>
      <c r="E63" s="226" t="s">
        <v>121</v>
      </c>
      <c r="F63" s="225" t="s">
        <v>405</v>
      </c>
      <c r="G63" s="228" t="s">
        <v>328</v>
      </c>
      <c r="H63" s="228" t="s">
        <v>328</v>
      </c>
      <c r="I63" s="227" t="s">
        <v>16</v>
      </c>
      <c r="J63" s="227" t="s">
        <v>16</v>
      </c>
      <c r="K63" s="227" t="s">
        <v>328</v>
      </c>
      <c r="L63" s="228" t="s">
        <v>328</v>
      </c>
      <c r="M63" s="227" t="s">
        <v>328</v>
      </c>
      <c r="N63" s="228" t="s">
        <v>328</v>
      </c>
      <c r="O63" s="229" t="s">
        <v>16</v>
      </c>
      <c r="P63" s="229" t="s">
        <v>16</v>
      </c>
      <c r="Q63" s="229" t="s">
        <v>16</v>
      </c>
      <c r="R63" s="229" t="s">
        <v>16</v>
      </c>
      <c r="S63" s="229" t="s">
        <v>16</v>
      </c>
      <c r="T63" s="229" t="s">
        <v>375</v>
      </c>
      <c r="U63" s="229" t="s">
        <v>331</v>
      </c>
      <c r="V63" s="229" t="s">
        <v>328</v>
      </c>
      <c r="W63" s="230" t="s">
        <v>328</v>
      </c>
      <c r="X63" s="230" t="s">
        <v>328</v>
      </c>
      <c r="Y63" s="231" t="s">
        <v>328</v>
      </c>
    </row>
    <row r="64" spans="1:25">
      <c r="A64" s="223">
        <v>2</v>
      </c>
      <c r="B64" s="224" t="str">
        <f>VLOOKUP(Tabel10[[#This Row],[Locatiecode]],Ruimtegroepen[[#All],[Code]:[Ruimte omschrijving]],2,FALSE)</f>
        <v>Kantoren</v>
      </c>
      <c r="C64" s="225" t="s">
        <v>404</v>
      </c>
      <c r="D64" s="224" t="s">
        <v>0</v>
      </c>
      <c r="E64" s="226" t="s">
        <v>120</v>
      </c>
      <c r="F64" s="225" t="s">
        <v>406</v>
      </c>
      <c r="G64" s="228" t="s">
        <v>328</v>
      </c>
      <c r="H64" s="228" t="s">
        <v>16</v>
      </c>
      <c r="I64" s="227" t="s">
        <v>328</v>
      </c>
      <c r="J64" s="227" t="s">
        <v>328</v>
      </c>
      <c r="K64" s="227" t="s">
        <v>328</v>
      </c>
      <c r="L64" s="228" t="s">
        <v>328</v>
      </c>
      <c r="M64" s="227" t="s">
        <v>328</v>
      </c>
      <c r="N64" s="228" t="s">
        <v>328</v>
      </c>
      <c r="O64" s="229" t="s">
        <v>16</v>
      </c>
      <c r="P64" s="229" t="s">
        <v>16</v>
      </c>
      <c r="Q64" s="229" t="s">
        <v>16</v>
      </c>
      <c r="R64" s="229" t="s">
        <v>16</v>
      </c>
      <c r="S64" s="229" t="s">
        <v>16</v>
      </c>
      <c r="T64" s="229" t="s">
        <v>375</v>
      </c>
      <c r="U64" s="229" t="s">
        <v>331</v>
      </c>
      <c r="V64" s="229" t="s">
        <v>328</v>
      </c>
      <c r="W64" s="230" t="s">
        <v>328</v>
      </c>
      <c r="X64" s="230" t="s">
        <v>328</v>
      </c>
      <c r="Y64" s="231" t="s">
        <v>328</v>
      </c>
    </row>
    <row r="65" spans="1:25">
      <c r="A65" s="223">
        <v>2</v>
      </c>
      <c r="B65" s="224" t="str">
        <f>VLOOKUP(Tabel10[[#This Row],[Locatiecode]],Ruimtegroepen[[#All],[Code]:[Ruimte omschrijving]],2,FALSE)</f>
        <v>Kantoren</v>
      </c>
      <c r="C65" s="225" t="s">
        <v>404</v>
      </c>
      <c r="D65" s="224" t="s">
        <v>0</v>
      </c>
      <c r="E65" s="226" t="s">
        <v>122</v>
      </c>
      <c r="F65" s="225" t="s">
        <v>408</v>
      </c>
      <c r="G65" s="228" t="s">
        <v>328</v>
      </c>
      <c r="H65" s="228" t="s">
        <v>328</v>
      </c>
      <c r="I65" s="227" t="s">
        <v>16</v>
      </c>
      <c r="J65" s="227" t="s">
        <v>16</v>
      </c>
      <c r="K65" s="227" t="s">
        <v>16</v>
      </c>
      <c r="L65" s="228" t="s">
        <v>328</v>
      </c>
      <c r="M65" s="227" t="s">
        <v>328</v>
      </c>
      <c r="N65" s="228" t="s">
        <v>328</v>
      </c>
      <c r="O65" s="229" t="s">
        <v>16</v>
      </c>
      <c r="P65" s="229" t="s">
        <v>16</v>
      </c>
      <c r="Q65" s="229" t="s">
        <v>16</v>
      </c>
      <c r="R65" s="229" t="s">
        <v>16</v>
      </c>
      <c r="S65" s="229" t="s">
        <v>16</v>
      </c>
      <c r="T65" s="229" t="s">
        <v>375</v>
      </c>
      <c r="U65" s="229" t="s">
        <v>331</v>
      </c>
      <c r="V65" s="229" t="s">
        <v>328</v>
      </c>
      <c r="W65" s="230" t="s">
        <v>328</v>
      </c>
      <c r="X65" s="230" t="s">
        <v>328</v>
      </c>
      <c r="Y65" s="231" t="s">
        <v>328</v>
      </c>
    </row>
    <row r="66" spans="1:25">
      <c r="A66" s="223">
        <v>2</v>
      </c>
      <c r="B66" s="224" t="str">
        <f>VLOOKUP(Tabel10[[#This Row],[Locatiecode]],Ruimtegroepen[[#All],[Code]:[Ruimte omschrijving]],2,FALSE)</f>
        <v>Kantoren</v>
      </c>
      <c r="C66" s="225" t="s">
        <v>404</v>
      </c>
      <c r="D66" s="224" t="s">
        <v>0</v>
      </c>
      <c r="E66" s="226" t="s">
        <v>123</v>
      </c>
      <c r="F66" s="225" t="s">
        <v>409</v>
      </c>
      <c r="G66" s="228" t="s">
        <v>328</v>
      </c>
      <c r="H66" s="228" t="s">
        <v>328</v>
      </c>
      <c r="I66" s="227" t="s">
        <v>16</v>
      </c>
      <c r="J66" s="227" t="s">
        <v>16</v>
      </c>
      <c r="K66" s="227" t="s">
        <v>16</v>
      </c>
      <c r="L66" s="228" t="s">
        <v>328</v>
      </c>
      <c r="M66" s="227" t="s">
        <v>328</v>
      </c>
      <c r="N66" s="228" t="s">
        <v>328</v>
      </c>
      <c r="O66" s="229" t="s">
        <v>16</v>
      </c>
      <c r="P66" s="229" t="s">
        <v>16</v>
      </c>
      <c r="Q66" s="229" t="s">
        <v>16</v>
      </c>
      <c r="R66" s="229" t="s">
        <v>16</v>
      </c>
      <c r="S66" s="229" t="s">
        <v>16</v>
      </c>
      <c r="T66" s="229" t="s">
        <v>375</v>
      </c>
      <c r="U66" s="229" t="s">
        <v>331</v>
      </c>
      <c r="V66" s="229" t="s">
        <v>328</v>
      </c>
      <c r="W66" s="230" t="s">
        <v>328</v>
      </c>
      <c r="X66" s="230" t="s">
        <v>328</v>
      </c>
      <c r="Y66" s="231" t="s">
        <v>328</v>
      </c>
    </row>
    <row r="67" spans="1:25">
      <c r="A67" s="223">
        <v>2</v>
      </c>
      <c r="B67" s="224" t="str">
        <f>VLOOKUP(Tabel10[[#This Row],[Locatiecode]],Ruimtegroepen[[#All],[Code]:[Ruimte omschrijving]],2,FALSE)</f>
        <v>Kantoren</v>
      </c>
      <c r="C67" s="225" t="s">
        <v>410</v>
      </c>
      <c r="D67" s="224" t="s">
        <v>30</v>
      </c>
      <c r="E67" s="226" t="s">
        <v>121</v>
      </c>
      <c r="F67" s="225" t="s">
        <v>411</v>
      </c>
      <c r="G67" s="228" t="s">
        <v>328</v>
      </c>
      <c r="H67" s="228" t="s">
        <v>328</v>
      </c>
      <c r="I67" s="227" t="s">
        <v>15</v>
      </c>
      <c r="J67" s="227" t="s">
        <v>328</v>
      </c>
      <c r="K67" s="227" t="s">
        <v>328</v>
      </c>
      <c r="L67" s="228" t="s">
        <v>328</v>
      </c>
      <c r="M67" s="227" t="s">
        <v>328</v>
      </c>
      <c r="N67" s="228" t="s">
        <v>328</v>
      </c>
      <c r="O67" s="229" t="s">
        <v>15</v>
      </c>
      <c r="P67" s="229" t="s">
        <v>15</v>
      </c>
      <c r="Q67" s="229" t="s">
        <v>15</v>
      </c>
      <c r="R67" s="229" t="s">
        <v>15</v>
      </c>
      <c r="S67" s="229" t="s">
        <v>15</v>
      </c>
      <c r="T67" s="229" t="s">
        <v>375</v>
      </c>
      <c r="U67" s="229" t="s">
        <v>331</v>
      </c>
      <c r="V67" s="229" t="s">
        <v>328</v>
      </c>
      <c r="W67" s="230" t="s">
        <v>328</v>
      </c>
      <c r="X67" s="230" t="s">
        <v>328</v>
      </c>
      <c r="Y67" s="231" t="s">
        <v>328</v>
      </c>
    </row>
    <row r="68" spans="1:25">
      <c r="A68" s="223">
        <v>2</v>
      </c>
      <c r="B68" s="224" t="str">
        <f>VLOOKUP(Tabel10[[#This Row],[Locatiecode]],Ruimtegroepen[[#All],[Code]:[Ruimte omschrijving]],2,FALSE)</f>
        <v>Kantoren</v>
      </c>
      <c r="C68" s="225" t="s">
        <v>410</v>
      </c>
      <c r="D68" s="224" t="s">
        <v>30</v>
      </c>
      <c r="E68" s="226" t="s">
        <v>120</v>
      </c>
      <c r="F68" s="225" t="s">
        <v>412</v>
      </c>
      <c r="G68" s="228" t="s">
        <v>328</v>
      </c>
      <c r="H68" s="228" t="s">
        <v>15</v>
      </c>
      <c r="I68" s="227" t="s">
        <v>328</v>
      </c>
      <c r="J68" s="227" t="s">
        <v>328</v>
      </c>
      <c r="K68" s="227" t="s">
        <v>328</v>
      </c>
      <c r="L68" s="228" t="s">
        <v>328</v>
      </c>
      <c r="M68" s="227" t="s">
        <v>328</v>
      </c>
      <c r="N68" s="228" t="s">
        <v>328</v>
      </c>
      <c r="O68" s="229" t="s">
        <v>15</v>
      </c>
      <c r="P68" s="229" t="s">
        <v>15</v>
      </c>
      <c r="Q68" s="229" t="s">
        <v>15</v>
      </c>
      <c r="R68" s="229" t="s">
        <v>15</v>
      </c>
      <c r="S68" s="229" t="s">
        <v>15</v>
      </c>
      <c r="T68" s="229" t="s">
        <v>375</v>
      </c>
      <c r="U68" s="229" t="s">
        <v>331</v>
      </c>
      <c r="V68" s="229" t="s">
        <v>328</v>
      </c>
      <c r="W68" s="230" t="s">
        <v>328</v>
      </c>
      <c r="X68" s="230" t="s">
        <v>328</v>
      </c>
      <c r="Y68" s="231" t="s">
        <v>328</v>
      </c>
    </row>
    <row r="69" spans="1:25">
      <c r="A69" s="223">
        <v>2</v>
      </c>
      <c r="B69" s="224" t="str">
        <f>VLOOKUP(Tabel10[[#This Row],[Locatiecode]],Ruimtegroepen[[#All],[Code]:[Ruimte omschrijving]],2,FALSE)</f>
        <v>Kantoren</v>
      </c>
      <c r="C69" s="225" t="s">
        <v>410</v>
      </c>
      <c r="D69" s="224" t="s">
        <v>30</v>
      </c>
      <c r="E69" s="226" t="s">
        <v>122</v>
      </c>
      <c r="F69" s="225" t="s">
        <v>413</v>
      </c>
      <c r="G69" s="228" t="s">
        <v>328</v>
      </c>
      <c r="H69" s="228" t="s">
        <v>328</v>
      </c>
      <c r="I69" s="227" t="s">
        <v>15</v>
      </c>
      <c r="J69" s="227" t="s">
        <v>407</v>
      </c>
      <c r="K69" s="227" t="s">
        <v>15</v>
      </c>
      <c r="L69" s="228" t="s">
        <v>328</v>
      </c>
      <c r="M69" s="227" t="s">
        <v>328</v>
      </c>
      <c r="N69" s="228" t="s">
        <v>328</v>
      </c>
      <c r="O69" s="229" t="s">
        <v>15</v>
      </c>
      <c r="P69" s="229" t="s">
        <v>15</v>
      </c>
      <c r="Q69" s="229" t="s">
        <v>15</v>
      </c>
      <c r="R69" s="229" t="s">
        <v>15</v>
      </c>
      <c r="S69" s="229" t="s">
        <v>15</v>
      </c>
      <c r="T69" s="229" t="s">
        <v>375</v>
      </c>
      <c r="U69" s="229" t="s">
        <v>331</v>
      </c>
      <c r="V69" s="229" t="s">
        <v>328</v>
      </c>
      <c r="W69" s="230" t="s">
        <v>328</v>
      </c>
      <c r="X69" s="230" t="s">
        <v>328</v>
      </c>
      <c r="Y69" s="231" t="s">
        <v>328</v>
      </c>
    </row>
    <row r="70" spans="1:25">
      <c r="A70" s="223">
        <v>2</v>
      </c>
      <c r="B70" s="224" t="str">
        <f>VLOOKUP(Tabel10[[#This Row],[Locatiecode]],Ruimtegroepen[[#All],[Code]:[Ruimte omschrijving]],2,FALSE)</f>
        <v>Kantoren</v>
      </c>
      <c r="C70" s="225" t="s">
        <v>410</v>
      </c>
      <c r="D70" s="224" t="s">
        <v>30</v>
      </c>
      <c r="E70" s="226" t="s">
        <v>123</v>
      </c>
      <c r="F70" s="225" t="s">
        <v>414</v>
      </c>
      <c r="G70" s="228" t="s">
        <v>328</v>
      </c>
      <c r="H70" s="228" t="s">
        <v>328</v>
      </c>
      <c r="I70" s="227" t="s">
        <v>15</v>
      </c>
      <c r="J70" s="227" t="s">
        <v>328</v>
      </c>
      <c r="K70" s="227" t="s">
        <v>15</v>
      </c>
      <c r="L70" s="228" t="s">
        <v>328</v>
      </c>
      <c r="M70" s="227" t="s">
        <v>328</v>
      </c>
      <c r="N70" s="228" t="s">
        <v>328</v>
      </c>
      <c r="O70" s="229" t="s">
        <v>15</v>
      </c>
      <c r="P70" s="229" t="s">
        <v>15</v>
      </c>
      <c r="Q70" s="229" t="s">
        <v>15</v>
      </c>
      <c r="R70" s="229" t="s">
        <v>15</v>
      </c>
      <c r="S70" s="229" t="s">
        <v>15</v>
      </c>
      <c r="T70" s="229" t="s">
        <v>375</v>
      </c>
      <c r="U70" s="229" t="s">
        <v>331</v>
      </c>
      <c r="V70" s="229" t="s">
        <v>328</v>
      </c>
      <c r="W70" s="230" t="s">
        <v>328</v>
      </c>
      <c r="X70" s="230" t="s">
        <v>328</v>
      </c>
      <c r="Y70" s="231" t="s">
        <v>328</v>
      </c>
    </row>
    <row r="71" spans="1:25">
      <c r="A71" s="223">
        <v>2</v>
      </c>
      <c r="B71" s="224" t="str">
        <f>VLOOKUP(Tabel10[[#This Row],[Locatiecode]],Ruimtegroepen[[#All],[Code]:[Ruimte omschrijving]],2,FALSE)</f>
        <v>Kantoren</v>
      </c>
      <c r="C71" s="225" t="s">
        <v>415</v>
      </c>
      <c r="D71" s="224" t="s">
        <v>31</v>
      </c>
      <c r="E71" s="226" t="s">
        <v>121</v>
      </c>
      <c r="F71" s="225" t="s">
        <v>416</v>
      </c>
      <c r="G71" s="228" t="s">
        <v>328</v>
      </c>
      <c r="H71" s="228" t="s">
        <v>328</v>
      </c>
      <c r="I71" s="227" t="s">
        <v>17</v>
      </c>
      <c r="J71" s="227" t="s">
        <v>15</v>
      </c>
      <c r="K71" s="227" t="s">
        <v>328</v>
      </c>
      <c r="L71" s="228" t="s">
        <v>328</v>
      </c>
      <c r="M71" s="227" t="s">
        <v>328</v>
      </c>
      <c r="N71" s="228" t="s">
        <v>328</v>
      </c>
      <c r="O71" s="229" t="s">
        <v>17</v>
      </c>
      <c r="P71" s="229" t="s">
        <v>17</v>
      </c>
      <c r="Q71" s="229" t="s">
        <v>15</v>
      </c>
      <c r="R71" s="229" t="s">
        <v>15</v>
      </c>
      <c r="S71" s="229" t="s">
        <v>328</v>
      </c>
      <c r="T71" s="229" t="s">
        <v>328</v>
      </c>
      <c r="U71" s="229" t="s">
        <v>328</v>
      </c>
      <c r="V71" s="229" t="s">
        <v>328</v>
      </c>
      <c r="W71" s="230" t="s">
        <v>328</v>
      </c>
      <c r="X71" s="230" t="s">
        <v>328</v>
      </c>
      <c r="Y71" s="231" t="s">
        <v>328</v>
      </c>
    </row>
    <row r="72" spans="1:25">
      <c r="A72" s="223">
        <v>2</v>
      </c>
      <c r="B72" s="224" t="str">
        <f>VLOOKUP(Tabel10[[#This Row],[Locatiecode]],Ruimtegroepen[[#All],[Code]:[Ruimte omschrijving]],2,FALSE)</f>
        <v>Kantoren</v>
      </c>
      <c r="C72" s="225" t="s">
        <v>415</v>
      </c>
      <c r="D72" s="224" t="s">
        <v>31</v>
      </c>
      <c r="E72" s="226" t="s">
        <v>120</v>
      </c>
      <c r="F72" s="225" t="s">
        <v>417</v>
      </c>
      <c r="G72" s="228" t="s">
        <v>15</v>
      </c>
      <c r="H72" s="228" t="s">
        <v>15</v>
      </c>
      <c r="I72" s="227" t="s">
        <v>328</v>
      </c>
      <c r="J72" s="227" t="s">
        <v>328</v>
      </c>
      <c r="K72" s="227" t="s">
        <v>328</v>
      </c>
      <c r="L72" s="228" t="s">
        <v>328</v>
      </c>
      <c r="M72" s="227" t="s">
        <v>328</v>
      </c>
      <c r="N72" s="228" t="s">
        <v>328</v>
      </c>
      <c r="O72" s="229" t="s">
        <v>17</v>
      </c>
      <c r="P72" s="229" t="s">
        <v>17</v>
      </c>
      <c r="Q72" s="229" t="s">
        <v>15</v>
      </c>
      <c r="R72" s="229" t="s">
        <v>15</v>
      </c>
      <c r="S72" s="229" t="s">
        <v>328</v>
      </c>
      <c r="T72" s="229" t="s">
        <v>328</v>
      </c>
      <c r="U72" s="229" t="s">
        <v>328</v>
      </c>
      <c r="V72" s="229" t="s">
        <v>328</v>
      </c>
      <c r="W72" s="230" t="s">
        <v>328</v>
      </c>
      <c r="X72" s="230" t="s">
        <v>328</v>
      </c>
      <c r="Y72" s="231" t="s">
        <v>328</v>
      </c>
    </row>
    <row r="73" spans="1:25">
      <c r="A73" s="223">
        <v>2</v>
      </c>
      <c r="B73" s="224" t="str">
        <f>VLOOKUP(Tabel10[[#This Row],[Locatiecode]],Ruimtegroepen[[#All],[Code]:[Ruimte omschrijving]],2,FALSE)</f>
        <v>Kantoren</v>
      </c>
      <c r="C73" s="225" t="s">
        <v>415</v>
      </c>
      <c r="D73" s="224" t="s">
        <v>31</v>
      </c>
      <c r="E73" s="226" t="s">
        <v>122</v>
      </c>
      <c r="F73" s="225" t="s">
        <v>418</v>
      </c>
      <c r="G73" s="228" t="s">
        <v>328</v>
      </c>
      <c r="H73" s="228" t="s">
        <v>328</v>
      </c>
      <c r="I73" s="227" t="s">
        <v>17</v>
      </c>
      <c r="J73" s="227" t="s">
        <v>15</v>
      </c>
      <c r="K73" s="227" t="s">
        <v>328</v>
      </c>
      <c r="L73" s="228" t="s">
        <v>328</v>
      </c>
      <c r="M73" s="227" t="s">
        <v>328</v>
      </c>
      <c r="N73" s="228" t="s">
        <v>328</v>
      </c>
      <c r="O73" s="229" t="s">
        <v>17</v>
      </c>
      <c r="P73" s="229" t="s">
        <v>17</v>
      </c>
      <c r="Q73" s="229" t="s">
        <v>15</v>
      </c>
      <c r="R73" s="229" t="s">
        <v>15</v>
      </c>
      <c r="S73" s="229" t="s">
        <v>328</v>
      </c>
      <c r="T73" s="229" t="s">
        <v>328</v>
      </c>
      <c r="U73" s="229" t="s">
        <v>328</v>
      </c>
      <c r="V73" s="229" t="s">
        <v>328</v>
      </c>
      <c r="W73" s="230" t="s">
        <v>328</v>
      </c>
      <c r="X73" s="230" t="s">
        <v>328</v>
      </c>
      <c r="Y73" s="231" t="s">
        <v>328</v>
      </c>
    </row>
    <row r="74" spans="1:25">
      <c r="A74" s="223">
        <v>2</v>
      </c>
      <c r="B74" s="224" t="str">
        <f>VLOOKUP(Tabel10[[#This Row],[Locatiecode]],Ruimtegroepen[[#All],[Code]:[Ruimte omschrijving]],2,FALSE)</f>
        <v>Kantoren</v>
      </c>
      <c r="C74" s="225" t="s">
        <v>415</v>
      </c>
      <c r="D74" s="224" t="s">
        <v>31</v>
      </c>
      <c r="E74" s="226" t="s">
        <v>123</v>
      </c>
      <c r="F74" s="225" t="s">
        <v>419</v>
      </c>
      <c r="G74" s="228" t="s">
        <v>328</v>
      </c>
      <c r="H74" s="228" t="s">
        <v>328</v>
      </c>
      <c r="I74" s="227" t="s">
        <v>17</v>
      </c>
      <c r="J74" s="227" t="s">
        <v>15</v>
      </c>
      <c r="K74" s="227" t="s">
        <v>328</v>
      </c>
      <c r="L74" s="228" t="s">
        <v>328</v>
      </c>
      <c r="M74" s="227" t="s">
        <v>328</v>
      </c>
      <c r="N74" s="228" t="s">
        <v>328</v>
      </c>
      <c r="O74" s="229" t="s">
        <v>17</v>
      </c>
      <c r="P74" s="229" t="s">
        <v>17</v>
      </c>
      <c r="Q74" s="229" t="s">
        <v>15</v>
      </c>
      <c r="R74" s="229" t="s">
        <v>15</v>
      </c>
      <c r="S74" s="229" t="s">
        <v>328</v>
      </c>
      <c r="T74" s="229" t="s">
        <v>328</v>
      </c>
      <c r="U74" s="229" t="s">
        <v>328</v>
      </c>
      <c r="V74" s="229" t="s">
        <v>328</v>
      </c>
      <c r="W74" s="230" t="s">
        <v>328</v>
      </c>
      <c r="X74" s="230" t="s">
        <v>328</v>
      </c>
      <c r="Y74" s="231" t="s">
        <v>328</v>
      </c>
    </row>
    <row r="75" spans="1:25">
      <c r="A75" s="223">
        <v>3</v>
      </c>
      <c r="B75" s="224" t="str">
        <f>VLOOKUP(Tabel10[[#This Row],[Locatiecode]],Ruimtegroepen[[#All],[Code]:[Ruimte omschrijving]],2,FALSE)</f>
        <v>Reproruimte</v>
      </c>
      <c r="C75" s="225" t="s">
        <v>420</v>
      </c>
      <c r="D75" s="224" t="s">
        <v>32</v>
      </c>
      <c r="E75" s="226" t="s">
        <v>121</v>
      </c>
      <c r="F75" s="225" t="s">
        <v>421</v>
      </c>
      <c r="G75" s="228" t="s">
        <v>328</v>
      </c>
      <c r="H75" s="228" t="s">
        <v>328</v>
      </c>
      <c r="I75" s="227" t="s">
        <v>2</v>
      </c>
      <c r="J75" s="227" t="s">
        <v>15</v>
      </c>
      <c r="K75" s="227" t="s">
        <v>328</v>
      </c>
      <c r="L75" s="228" t="s">
        <v>328</v>
      </c>
      <c r="M75" s="227" t="s">
        <v>328</v>
      </c>
      <c r="N75" s="228" t="s">
        <v>2</v>
      </c>
      <c r="O75" s="229" t="s">
        <v>2</v>
      </c>
      <c r="P75" s="229" t="s">
        <v>2</v>
      </c>
      <c r="Q75" s="229" t="s">
        <v>15</v>
      </c>
      <c r="R75" s="229" t="s">
        <v>15</v>
      </c>
      <c r="S75" s="229" t="s">
        <v>16</v>
      </c>
      <c r="T75" s="229" t="s">
        <v>375</v>
      </c>
      <c r="U75" s="229" t="s">
        <v>331</v>
      </c>
      <c r="V75" s="229" t="s">
        <v>2</v>
      </c>
      <c r="W75" s="230" t="s">
        <v>328</v>
      </c>
      <c r="X75" s="230" t="s">
        <v>328</v>
      </c>
      <c r="Y75" s="231" t="s">
        <v>328</v>
      </c>
    </row>
    <row r="76" spans="1:25">
      <c r="A76" s="223">
        <v>3</v>
      </c>
      <c r="B76" s="224" t="str">
        <f>VLOOKUP(Tabel10[[#This Row],[Locatiecode]],Ruimtegroepen[[#All],[Code]:[Ruimte omschrijving]],2,FALSE)</f>
        <v>Reproruimte</v>
      </c>
      <c r="C76" s="225" t="s">
        <v>420</v>
      </c>
      <c r="D76" s="224" t="s">
        <v>32</v>
      </c>
      <c r="E76" s="226" t="s">
        <v>120</v>
      </c>
      <c r="F76" s="225" t="s">
        <v>422</v>
      </c>
      <c r="G76" s="228" t="s">
        <v>20</v>
      </c>
      <c r="H76" s="228" t="s">
        <v>15</v>
      </c>
      <c r="I76" s="227" t="s">
        <v>328</v>
      </c>
      <c r="J76" s="227" t="s">
        <v>328</v>
      </c>
      <c r="K76" s="227" t="s">
        <v>328</v>
      </c>
      <c r="L76" s="228" t="s">
        <v>328</v>
      </c>
      <c r="M76" s="227" t="s">
        <v>328</v>
      </c>
      <c r="N76" s="228" t="s">
        <v>2</v>
      </c>
      <c r="O76" s="229" t="s">
        <v>2</v>
      </c>
      <c r="P76" s="229" t="s">
        <v>2</v>
      </c>
      <c r="Q76" s="229" t="s">
        <v>15</v>
      </c>
      <c r="R76" s="229" t="s">
        <v>15</v>
      </c>
      <c r="S76" s="229" t="s">
        <v>16</v>
      </c>
      <c r="T76" s="229" t="s">
        <v>375</v>
      </c>
      <c r="U76" s="229" t="s">
        <v>331</v>
      </c>
      <c r="V76" s="229" t="s">
        <v>2</v>
      </c>
      <c r="W76" s="230" t="s">
        <v>328</v>
      </c>
      <c r="X76" s="230" t="s">
        <v>328</v>
      </c>
      <c r="Y76" s="231" t="s">
        <v>328</v>
      </c>
    </row>
    <row r="77" spans="1:25">
      <c r="A77" s="223">
        <v>3</v>
      </c>
      <c r="B77" s="224" t="str">
        <f>VLOOKUP(Tabel10[[#This Row],[Locatiecode]],Ruimtegroepen[[#All],[Code]:[Ruimte omschrijving]],2,FALSE)</f>
        <v>Reproruimte</v>
      </c>
      <c r="C77" s="225" t="s">
        <v>420</v>
      </c>
      <c r="D77" s="224" t="s">
        <v>32</v>
      </c>
      <c r="E77" s="226" t="s">
        <v>122</v>
      </c>
      <c r="F77" s="225" t="s">
        <v>423</v>
      </c>
      <c r="G77" s="228" t="s">
        <v>328</v>
      </c>
      <c r="H77" s="228" t="s">
        <v>328</v>
      </c>
      <c r="I77" s="227" t="s">
        <v>2</v>
      </c>
      <c r="J77" s="227" t="s">
        <v>15</v>
      </c>
      <c r="K77" s="227" t="s">
        <v>16</v>
      </c>
      <c r="L77" s="228" t="s">
        <v>328</v>
      </c>
      <c r="M77" s="227" t="s">
        <v>328</v>
      </c>
      <c r="N77" s="228" t="s">
        <v>2</v>
      </c>
      <c r="O77" s="229" t="s">
        <v>2</v>
      </c>
      <c r="P77" s="229" t="s">
        <v>2</v>
      </c>
      <c r="Q77" s="229" t="s">
        <v>15</v>
      </c>
      <c r="R77" s="229" t="s">
        <v>15</v>
      </c>
      <c r="S77" s="229" t="s">
        <v>16</v>
      </c>
      <c r="T77" s="229" t="s">
        <v>375</v>
      </c>
      <c r="U77" s="229" t="s">
        <v>331</v>
      </c>
      <c r="V77" s="229" t="s">
        <v>2</v>
      </c>
      <c r="W77" s="230" t="s">
        <v>328</v>
      </c>
      <c r="X77" s="230" t="s">
        <v>328</v>
      </c>
      <c r="Y77" s="231" t="s">
        <v>328</v>
      </c>
    </row>
    <row r="78" spans="1:25">
      <c r="A78" s="223">
        <v>3</v>
      </c>
      <c r="B78" s="224" t="str">
        <f>VLOOKUP(Tabel10[[#This Row],[Locatiecode]],Ruimtegroepen[[#All],[Code]:[Ruimte omschrijving]],2,FALSE)</f>
        <v>Reproruimte</v>
      </c>
      <c r="C78" s="225" t="s">
        <v>420</v>
      </c>
      <c r="D78" s="224" t="s">
        <v>32</v>
      </c>
      <c r="E78" s="226" t="s">
        <v>123</v>
      </c>
      <c r="F78" s="225" t="s">
        <v>424</v>
      </c>
      <c r="G78" s="228" t="s">
        <v>328</v>
      </c>
      <c r="H78" s="228" t="s">
        <v>328</v>
      </c>
      <c r="I78" s="227" t="s">
        <v>2</v>
      </c>
      <c r="J78" s="227" t="s">
        <v>15</v>
      </c>
      <c r="K78" s="227" t="s">
        <v>16</v>
      </c>
      <c r="L78" s="228" t="s">
        <v>328</v>
      </c>
      <c r="M78" s="227" t="s">
        <v>328</v>
      </c>
      <c r="N78" s="228" t="s">
        <v>2</v>
      </c>
      <c r="O78" s="229" t="s">
        <v>2</v>
      </c>
      <c r="P78" s="229" t="s">
        <v>2</v>
      </c>
      <c r="Q78" s="229" t="s">
        <v>15</v>
      </c>
      <c r="R78" s="229" t="s">
        <v>15</v>
      </c>
      <c r="S78" s="229" t="s">
        <v>16</v>
      </c>
      <c r="T78" s="229" t="s">
        <v>375</v>
      </c>
      <c r="U78" s="229" t="s">
        <v>331</v>
      </c>
      <c r="V78" s="229" t="s">
        <v>2</v>
      </c>
      <c r="W78" s="230" t="s">
        <v>328</v>
      </c>
      <c r="X78" s="230" t="s">
        <v>328</v>
      </c>
      <c r="Y78" s="231" t="s">
        <v>328</v>
      </c>
    </row>
    <row r="79" spans="1:25">
      <c r="A79" s="223">
        <v>3</v>
      </c>
      <c r="B79" s="224" t="str">
        <f>VLOOKUP(Tabel10[[#This Row],[Locatiecode]],Ruimtegroepen[[#All],[Code]:[Ruimte omschrijving]],2,FALSE)</f>
        <v>Reproruimte</v>
      </c>
      <c r="C79" s="225" t="s">
        <v>425</v>
      </c>
      <c r="D79" s="224" t="s">
        <v>1</v>
      </c>
      <c r="E79" s="226" t="s">
        <v>121</v>
      </c>
      <c r="F79" s="225" t="s">
        <v>426</v>
      </c>
      <c r="G79" s="228" t="s">
        <v>328</v>
      </c>
      <c r="H79" s="228" t="s">
        <v>328</v>
      </c>
      <c r="I79" s="227" t="s">
        <v>2</v>
      </c>
      <c r="J79" s="227" t="s">
        <v>15</v>
      </c>
      <c r="K79" s="227" t="s">
        <v>328</v>
      </c>
      <c r="L79" s="228" t="s">
        <v>328</v>
      </c>
      <c r="M79" s="227" t="s">
        <v>328</v>
      </c>
      <c r="N79" s="228" t="s">
        <v>328</v>
      </c>
      <c r="O79" s="229" t="s">
        <v>2</v>
      </c>
      <c r="P79" s="229" t="s">
        <v>2</v>
      </c>
      <c r="Q79" s="229" t="s">
        <v>15</v>
      </c>
      <c r="R79" s="229" t="s">
        <v>15</v>
      </c>
      <c r="S79" s="229" t="s">
        <v>16</v>
      </c>
      <c r="T79" s="229" t="s">
        <v>375</v>
      </c>
      <c r="U79" s="229" t="s">
        <v>331</v>
      </c>
      <c r="V79" s="229" t="s">
        <v>328</v>
      </c>
      <c r="W79" s="230" t="s">
        <v>328</v>
      </c>
      <c r="X79" s="230" t="s">
        <v>328</v>
      </c>
      <c r="Y79" s="231" t="s">
        <v>328</v>
      </c>
    </row>
    <row r="80" spans="1:25">
      <c r="A80" s="223">
        <v>3</v>
      </c>
      <c r="B80" s="224" t="str">
        <f>VLOOKUP(Tabel10[[#This Row],[Locatiecode]],Ruimtegroepen[[#All],[Code]:[Ruimte omschrijving]],2,FALSE)</f>
        <v>Reproruimte</v>
      </c>
      <c r="C80" s="225" t="s">
        <v>425</v>
      </c>
      <c r="D80" s="224" t="s">
        <v>1</v>
      </c>
      <c r="E80" s="226" t="s">
        <v>120</v>
      </c>
      <c r="F80" s="225" t="s">
        <v>427</v>
      </c>
      <c r="G80" s="228" t="s">
        <v>20</v>
      </c>
      <c r="H80" s="228" t="s">
        <v>15</v>
      </c>
      <c r="I80" s="227" t="s">
        <v>328</v>
      </c>
      <c r="J80" s="227" t="s">
        <v>328</v>
      </c>
      <c r="K80" s="227" t="s">
        <v>328</v>
      </c>
      <c r="L80" s="228" t="s">
        <v>328</v>
      </c>
      <c r="M80" s="227" t="s">
        <v>328</v>
      </c>
      <c r="N80" s="228" t="s">
        <v>328</v>
      </c>
      <c r="O80" s="229" t="s">
        <v>2</v>
      </c>
      <c r="P80" s="229" t="s">
        <v>2</v>
      </c>
      <c r="Q80" s="229" t="s">
        <v>15</v>
      </c>
      <c r="R80" s="229" t="s">
        <v>15</v>
      </c>
      <c r="S80" s="229" t="s">
        <v>16</v>
      </c>
      <c r="T80" s="229" t="s">
        <v>375</v>
      </c>
      <c r="U80" s="229" t="s">
        <v>331</v>
      </c>
      <c r="V80" s="229" t="s">
        <v>328</v>
      </c>
      <c r="W80" s="230" t="s">
        <v>328</v>
      </c>
      <c r="X80" s="230" t="s">
        <v>328</v>
      </c>
      <c r="Y80" s="231" t="s">
        <v>328</v>
      </c>
    </row>
    <row r="81" spans="1:25">
      <c r="A81" s="223">
        <v>3</v>
      </c>
      <c r="B81" s="224" t="str">
        <f>VLOOKUP(Tabel10[[#This Row],[Locatiecode]],Ruimtegroepen[[#All],[Code]:[Ruimte omschrijving]],2,FALSE)</f>
        <v>Reproruimte</v>
      </c>
      <c r="C81" s="225" t="s">
        <v>425</v>
      </c>
      <c r="D81" s="224" t="s">
        <v>1</v>
      </c>
      <c r="E81" s="226" t="s">
        <v>122</v>
      </c>
      <c r="F81" s="225" t="s">
        <v>428</v>
      </c>
      <c r="G81" s="228" t="s">
        <v>328</v>
      </c>
      <c r="H81" s="228" t="s">
        <v>328</v>
      </c>
      <c r="I81" s="227" t="s">
        <v>2</v>
      </c>
      <c r="J81" s="227" t="s">
        <v>15</v>
      </c>
      <c r="K81" s="227" t="s">
        <v>16</v>
      </c>
      <c r="L81" s="228" t="s">
        <v>328</v>
      </c>
      <c r="M81" s="227" t="s">
        <v>328</v>
      </c>
      <c r="N81" s="228" t="s">
        <v>328</v>
      </c>
      <c r="O81" s="229" t="s">
        <v>2</v>
      </c>
      <c r="P81" s="229" t="s">
        <v>2</v>
      </c>
      <c r="Q81" s="229" t="s">
        <v>15</v>
      </c>
      <c r="R81" s="229" t="s">
        <v>15</v>
      </c>
      <c r="S81" s="229" t="s">
        <v>16</v>
      </c>
      <c r="T81" s="229" t="s">
        <v>375</v>
      </c>
      <c r="U81" s="229" t="s">
        <v>331</v>
      </c>
      <c r="V81" s="229" t="s">
        <v>328</v>
      </c>
      <c r="W81" s="230" t="s">
        <v>328</v>
      </c>
      <c r="X81" s="230" t="s">
        <v>328</v>
      </c>
      <c r="Y81" s="231" t="s">
        <v>328</v>
      </c>
    </row>
    <row r="82" spans="1:25">
      <c r="A82" s="223">
        <v>3</v>
      </c>
      <c r="B82" s="224" t="str">
        <f>VLOOKUP(Tabel10[[#This Row],[Locatiecode]],Ruimtegroepen[[#All],[Code]:[Ruimte omschrijving]],2,FALSE)</f>
        <v>Reproruimte</v>
      </c>
      <c r="C82" s="225" t="s">
        <v>425</v>
      </c>
      <c r="D82" s="224" t="s">
        <v>1</v>
      </c>
      <c r="E82" s="226" t="s">
        <v>123</v>
      </c>
      <c r="F82" s="225" t="s">
        <v>429</v>
      </c>
      <c r="G82" s="228" t="s">
        <v>328</v>
      </c>
      <c r="H82" s="228" t="s">
        <v>328</v>
      </c>
      <c r="I82" s="227" t="s">
        <v>2</v>
      </c>
      <c r="J82" s="227" t="s">
        <v>15</v>
      </c>
      <c r="K82" s="227" t="s">
        <v>16</v>
      </c>
      <c r="L82" s="228" t="s">
        <v>328</v>
      </c>
      <c r="M82" s="227" t="s">
        <v>328</v>
      </c>
      <c r="N82" s="228" t="s">
        <v>328</v>
      </c>
      <c r="O82" s="229" t="s">
        <v>2</v>
      </c>
      <c r="P82" s="229" t="s">
        <v>2</v>
      </c>
      <c r="Q82" s="229" t="s">
        <v>15</v>
      </c>
      <c r="R82" s="229" t="s">
        <v>15</v>
      </c>
      <c r="S82" s="229" t="s">
        <v>16</v>
      </c>
      <c r="T82" s="229" t="s">
        <v>375</v>
      </c>
      <c r="U82" s="229" t="s">
        <v>331</v>
      </c>
      <c r="V82" s="229" t="s">
        <v>328</v>
      </c>
      <c r="W82" s="230" t="s">
        <v>328</v>
      </c>
      <c r="X82" s="230" t="s">
        <v>328</v>
      </c>
      <c r="Y82" s="231" t="s">
        <v>328</v>
      </c>
    </row>
    <row r="83" spans="1:25">
      <c r="A83" s="223">
        <v>3</v>
      </c>
      <c r="B83" s="224" t="str">
        <f>VLOOKUP(Tabel10[[#This Row],[Locatiecode]],Ruimtegroepen[[#All],[Code]:[Ruimte omschrijving]],2,FALSE)</f>
        <v>Reproruimte</v>
      </c>
      <c r="C83" s="225" t="s">
        <v>430</v>
      </c>
      <c r="D83" s="224" t="s">
        <v>21</v>
      </c>
      <c r="E83" s="226" t="s">
        <v>121</v>
      </c>
      <c r="F83" s="225" t="s">
        <v>431</v>
      </c>
      <c r="G83" s="228" t="s">
        <v>328</v>
      </c>
      <c r="H83" s="228" t="s">
        <v>328</v>
      </c>
      <c r="I83" s="227" t="s">
        <v>20</v>
      </c>
      <c r="J83" s="227" t="s">
        <v>15</v>
      </c>
      <c r="K83" s="227" t="s">
        <v>328</v>
      </c>
      <c r="L83" s="228" t="s">
        <v>328</v>
      </c>
      <c r="M83" s="227" t="s">
        <v>328</v>
      </c>
      <c r="N83" s="228" t="s">
        <v>328</v>
      </c>
      <c r="O83" s="229" t="s">
        <v>20</v>
      </c>
      <c r="P83" s="229" t="s">
        <v>20</v>
      </c>
      <c r="Q83" s="229" t="s">
        <v>15</v>
      </c>
      <c r="R83" s="229" t="s">
        <v>15</v>
      </c>
      <c r="S83" s="229" t="s">
        <v>16</v>
      </c>
      <c r="T83" s="229" t="s">
        <v>375</v>
      </c>
      <c r="U83" s="229" t="s">
        <v>331</v>
      </c>
      <c r="V83" s="229" t="s">
        <v>328</v>
      </c>
      <c r="W83" s="230" t="s">
        <v>328</v>
      </c>
      <c r="X83" s="230" t="s">
        <v>328</v>
      </c>
      <c r="Y83" s="231" t="s">
        <v>328</v>
      </c>
    </row>
    <row r="84" spans="1:25">
      <c r="A84" s="223">
        <v>3</v>
      </c>
      <c r="B84" s="224" t="str">
        <f>VLOOKUP(Tabel10[[#This Row],[Locatiecode]],Ruimtegroepen[[#All],[Code]:[Ruimte omschrijving]],2,FALSE)</f>
        <v>Reproruimte</v>
      </c>
      <c r="C84" s="225" t="s">
        <v>430</v>
      </c>
      <c r="D84" s="224" t="s">
        <v>21</v>
      </c>
      <c r="E84" s="226" t="s">
        <v>120</v>
      </c>
      <c r="F84" s="225" t="s">
        <v>432</v>
      </c>
      <c r="G84" s="228" t="s">
        <v>18</v>
      </c>
      <c r="H84" s="228" t="s">
        <v>15</v>
      </c>
      <c r="I84" s="227" t="s">
        <v>328</v>
      </c>
      <c r="J84" s="227" t="s">
        <v>328</v>
      </c>
      <c r="K84" s="227" t="s">
        <v>328</v>
      </c>
      <c r="L84" s="228" t="s">
        <v>328</v>
      </c>
      <c r="M84" s="227" t="s">
        <v>328</v>
      </c>
      <c r="N84" s="228" t="s">
        <v>328</v>
      </c>
      <c r="O84" s="229" t="s">
        <v>20</v>
      </c>
      <c r="P84" s="229" t="s">
        <v>20</v>
      </c>
      <c r="Q84" s="229" t="s">
        <v>15</v>
      </c>
      <c r="R84" s="229" t="s">
        <v>15</v>
      </c>
      <c r="S84" s="229" t="s">
        <v>16</v>
      </c>
      <c r="T84" s="229" t="s">
        <v>375</v>
      </c>
      <c r="U84" s="229" t="s">
        <v>331</v>
      </c>
      <c r="V84" s="229" t="s">
        <v>328</v>
      </c>
      <c r="W84" s="230" t="s">
        <v>328</v>
      </c>
      <c r="X84" s="230" t="s">
        <v>328</v>
      </c>
      <c r="Y84" s="231" t="s">
        <v>328</v>
      </c>
    </row>
    <row r="85" spans="1:25">
      <c r="A85" s="223">
        <v>3</v>
      </c>
      <c r="B85" s="224" t="str">
        <f>VLOOKUP(Tabel10[[#This Row],[Locatiecode]],Ruimtegroepen[[#All],[Code]:[Ruimte omschrijving]],2,FALSE)</f>
        <v>Reproruimte</v>
      </c>
      <c r="C85" s="225" t="s">
        <v>430</v>
      </c>
      <c r="D85" s="224" t="s">
        <v>21</v>
      </c>
      <c r="E85" s="226" t="s">
        <v>122</v>
      </c>
      <c r="F85" s="225" t="s">
        <v>433</v>
      </c>
      <c r="G85" s="228" t="s">
        <v>328</v>
      </c>
      <c r="H85" s="228" t="s">
        <v>328</v>
      </c>
      <c r="I85" s="227" t="s">
        <v>20</v>
      </c>
      <c r="J85" s="227" t="s">
        <v>15</v>
      </c>
      <c r="K85" s="227" t="s">
        <v>16</v>
      </c>
      <c r="L85" s="228" t="s">
        <v>328</v>
      </c>
      <c r="M85" s="227" t="s">
        <v>328</v>
      </c>
      <c r="N85" s="228" t="s">
        <v>328</v>
      </c>
      <c r="O85" s="229" t="s">
        <v>20</v>
      </c>
      <c r="P85" s="229" t="s">
        <v>20</v>
      </c>
      <c r="Q85" s="229" t="s">
        <v>15</v>
      </c>
      <c r="R85" s="229" t="s">
        <v>15</v>
      </c>
      <c r="S85" s="229" t="s">
        <v>16</v>
      </c>
      <c r="T85" s="229" t="s">
        <v>375</v>
      </c>
      <c r="U85" s="229" t="s">
        <v>331</v>
      </c>
      <c r="V85" s="229" t="s">
        <v>328</v>
      </c>
      <c r="W85" s="230" t="s">
        <v>328</v>
      </c>
      <c r="X85" s="230" t="s">
        <v>328</v>
      </c>
      <c r="Y85" s="231" t="s">
        <v>328</v>
      </c>
    </row>
    <row r="86" spans="1:25">
      <c r="A86" s="223">
        <v>3</v>
      </c>
      <c r="B86" s="224" t="str">
        <f>VLOOKUP(Tabel10[[#This Row],[Locatiecode]],Ruimtegroepen[[#All],[Code]:[Ruimte omschrijving]],2,FALSE)</f>
        <v>Reproruimte</v>
      </c>
      <c r="C86" s="225" t="s">
        <v>430</v>
      </c>
      <c r="D86" s="224" t="s">
        <v>21</v>
      </c>
      <c r="E86" s="226" t="s">
        <v>123</v>
      </c>
      <c r="F86" s="225" t="s">
        <v>434</v>
      </c>
      <c r="G86" s="228" t="s">
        <v>328</v>
      </c>
      <c r="H86" s="228" t="s">
        <v>328</v>
      </c>
      <c r="I86" s="227" t="s">
        <v>20</v>
      </c>
      <c r="J86" s="227" t="s">
        <v>15</v>
      </c>
      <c r="K86" s="227" t="s">
        <v>16</v>
      </c>
      <c r="L86" s="228" t="s">
        <v>328</v>
      </c>
      <c r="M86" s="227" t="s">
        <v>328</v>
      </c>
      <c r="N86" s="228" t="s">
        <v>328</v>
      </c>
      <c r="O86" s="229" t="s">
        <v>20</v>
      </c>
      <c r="P86" s="229" t="s">
        <v>20</v>
      </c>
      <c r="Q86" s="229" t="s">
        <v>15</v>
      </c>
      <c r="R86" s="229" t="s">
        <v>15</v>
      </c>
      <c r="S86" s="229" t="s">
        <v>16</v>
      </c>
      <c r="T86" s="229" t="s">
        <v>375</v>
      </c>
      <c r="U86" s="229" t="s">
        <v>331</v>
      </c>
      <c r="V86" s="229" t="s">
        <v>328</v>
      </c>
      <c r="W86" s="230" t="s">
        <v>328</v>
      </c>
      <c r="X86" s="230" t="s">
        <v>328</v>
      </c>
      <c r="Y86" s="231" t="s">
        <v>328</v>
      </c>
    </row>
    <row r="87" spans="1:25">
      <c r="A87" s="223">
        <v>3</v>
      </c>
      <c r="B87" s="224" t="str">
        <f>VLOOKUP(Tabel10[[#This Row],[Locatiecode]],Ruimtegroepen[[#All],[Code]:[Ruimte omschrijving]],2,FALSE)</f>
        <v>Reproruimte</v>
      </c>
      <c r="C87" s="225" t="s">
        <v>435</v>
      </c>
      <c r="D87" s="224" t="s">
        <v>12</v>
      </c>
      <c r="E87" s="226" t="s">
        <v>121</v>
      </c>
      <c r="F87" s="225" t="s">
        <v>436</v>
      </c>
      <c r="G87" s="228" t="s">
        <v>328</v>
      </c>
      <c r="H87" s="228" t="s">
        <v>328</v>
      </c>
      <c r="I87" s="227" t="s">
        <v>18</v>
      </c>
      <c r="J87" s="227" t="s">
        <v>15</v>
      </c>
      <c r="K87" s="227" t="s">
        <v>328</v>
      </c>
      <c r="L87" s="228" t="s">
        <v>328</v>
      </c>
      <c r="M87" s="227" t="s">
        <v>328</v>
      </c>
      <c r="N87" s="228" t="s">
        <v>328</v>
      </c>
      <c r="O87" s="229" t="s">
        <v>18</v>
      </c>
      <c r="P87" s="229" t="s">
        <v>18</v>
      </c>
      <c r="Q87" s="229" t="s">
        <v>15</v>
      </c>
      <c r="R87" s="229" t="s">
        <v>15</v>
      </c>
      <c r="S87" s="229" t="s">
        <v>16</v>
      </c>
      <c r="T87" s="229" t="s">
        <v>375</v>
      </c>
      <c r="U87" s="229" t="s">
        <v>331</v>
      </c>
      <c r="V87" s="229" t="s">
        <v>328</v>
      </c>
      <c r="W87" s="230" t="s">
        <v>328</v>
      </c>
      <c r="X87" s="230" t="s">
        <v>328</v>
      </c>
      <c r="Y87" s="231" t="s">
        <v>328</v>
      </c>
    </row>
    <row r="88" spans="1:25">
      <c r="A88" s="223">
        <v>3</v>
      </c>
      <c r="B88" s="224" t="str">
        <f>VLOOKUP(Tabel10[[#This Row],[Locatiecode]],Ruimtegroepen[[#All],[Code]:[Ruimte omschrijving]],2,FALSE)</f>
        <v>Reproruimte</v>
      </c>
      <c r="C88" s="225" t="s">
        <v>435</v>
      </c>
      <c r="D88" s="224" t="s">
        <v>12</v>
      </c>
      <c r="E88" s="226" t="s">
        <v>120</v>
      </c>
      <c r="F88" s="225" t="s">
        <v>437</v>
      </c>
      <c r="G88" s="228" t="s">
        <v>17</v>
      </c>
      <c r="H88" s="228" t="s">
        <v>15</v>
      </c>
      <c r="I88" s="227" t="s">
        <v>328</v>
      </c>
      <c r="J88" s="227" t="s">
        <v>328</v>
      </c>
      <c r="K88" s="227" t="s">
        <v>328</v>
      </c>
      <c r="L88" s="228" t="s">
        <v>328</v>
      </c>
      <c r="M88" s="227" t="s">
        <v>328</v>
      </c>
      <c r="N88" s="228" t="s">
        <v>328</v>
      </c>
      <c r="O88" s="229" t="s">
        <v>18</v>
      </c>
      <c r="P88" s="229" t="s">
        <v>18</v>
      </c>
      <c r="Q88" s="229" t="s">
        <v>15</v>
      </c>
      <c r="R88" s="229" t="s">
        <v>15</v>
      </c>
      <c r="S88" s="229" t="s">
        <v>16</v>
      </c>
      <c r="T88" s="229" t="s">
        <v>375</v>
      </c>
      <c r="U88" s="229" t="s">
        <v>331</v>
      </c>
      <c r="V88" s="229" t="s">
        <v>328</v>
      </c>
      <c r="W88" s="230" t="s">
        <v>328</v>
      </c>
      <c r="X88" s="230" t="s">
        <v>328</v>
      </c>
      <c r="Y88" s="231" t="s">
        <v>328</v>
      </c>
    </row>
    <row r="89" spans="1:25">
      <c r="A89" s="223">
        <v>3</v>
      </c>
      <c r="B89" s="224" t="str">
        <f>VLOOKUP(Tabel10[[#This Row],[Locatiecode]],Ruimtegroepen[[#All],[Code]:[Ruimte omschrijving]],2,FALSE)</f>
        <v>Reproruimte</v>
      </c>
      <c r="C89" s="225" t="s">
        <v>435</v>
      </c>
      <c r="D89" s="224" t="s">
        <v>12</v>
      </c>
      <c r="E89" s="226" t="s">
        <v>122</v>
      </c>
      <c r="F89" s="225" t="s">
        <v>438</v>
      </c>
      <c r="G89" s="228" t="s">
        <v>328</v>
      </c>
      <c r="H89" s="228" t="s">
        <v>328</v>
      </c>
      <c r="I89" s="227" t="s">
        <v>18</v>
      </c>
      <c r="J89" s="227" t="s">
        <v>15</v>
      </c>
      <c r="K89" s="227" t="s">
        <v>16</v>
      </c>
      <c r="L89" s="228" t="s">
        <v>328</v>
      </c>
      <c r="M89" s="227" t="s">
        <v>328</v>
      </c>
      <c r="N89" s="228" t="s">
        <v>328</v>
      </c>
      <c r="O89" s="229" t="s">
        <v>18</v>
      </c>
      <c r="P89" s="229" t="s">
        <v>18</v>
      </c>
      <c r="Q89" s="229" t="s">
        <v>15</v>
      </c>
      <c r="R89" s="229" t="s">
        <v>15</v>
      </c>
      <c r="S89" s="229" t="s">
        <v>16</v>
      </c>
      <c r="T89" s="229" t="s">
        <v>375</v>
      </c>
      <c r="U89" s="229" t="s">
        <v>331</v>
      </c>
      <c r="V89" s="229" t="s">
        <v>328</v>
      </c>
      <c r="W89" s="230" t="s">
        <v>328</v>
      </c>
      <c r="X89" s="230" t="s">
        <v>328</v>
      </c>
      <c r="Y89" s="231" t="s">
        <v>328</v>
      </c>
    </row>
    <row r="90" spans="1:25">
      <c r="A90" s="223">
        <v>3</v>
      </c>
      <c r="B90" s="224" t="str">
        <f>VLOOKUP(Tabel10[[#This Row],[Locatiecode]],Ruimtegroepen[[#All],[Code]:[Ruimte omschrijving]],2,FALSE)</f>
        <v>Reproruimte</v>
      </c>
      <c r="C90" s="225" t="s">
        <v>435</v>
      </c>
      <c r="D90" s="224" t="s">
        <v>12</v>
      </c>
      <c r="E90" s="226" t="s">
        <v>123</v>
      </c>
      <c r="F90" s="225" t="s">
        <v>439</v>
      </c>
      <c r="G90" s="228" t="s">
        <v>328</v>
      </c>
      <c r="H90" s="228" t="s">
        <v>328</v>
      </c>
      <c r="I90" s="227" t="s">
        <v>18</v>
      </c>
      <c r="J90" s="227" t="s">
        <v>15</v>
      </c>
      <c r="K90" s="227" t="s">
        <v>16</v>
      </c>
      <c r="L90" s="228" t="s">
        <v>328</v>
      </c>
      <c r="M90" s="227" t="s">
        <v>328</v>
      </c>
      <c r="N90" s="228" t="s">
        <v>328</v>
      </c>
      <c r="O90" s="229" t="s">
        <v>18</v>
      </c>
      <c r="P90" s="229" t="s">
        <v>18</v>
      </c>
      <c r="Q90" s="229" t="s">
        <v>15</v>
      </c>
      <c r="R90" s="229" t="s">
        <v>15</v>
      </c>
      <c r="S90" s="229" t="s">
        <v>16</v>
      </c>
      <c r="T90" s="229" t="s">
        <v>375</v>
      </c>
      <c r="U90" s="229" t="s">
        <v>331</v>
      </c>
      <c r="V90" s="229" t="s">
        <v>328</v>
      </c>
      <c r="W90" s="230" t="s">
        <v>328</v>
      </c>
      <c r="X90" s="230" t="s">
        <v>328</v>
      </c>
      <c r="Y90" s="231" t="s">
        <v>328</v>
      </c>
    </row>
    <row r="91" spans="1:25">
      <c r="A91" s="223">
        <v>3</v>
      </c>
      <c r="B91" s="224" t="str">
        <f>VLOOKUP(Tabel10[[#This Row],[Locatiecode]],Ruimtegroepen[[#All],[Code]:[Ruimte omschrijving]],2,FALSE)</f>
        <v>Reproruimte</v>
      </c>
      <c r="C91" s="225" t="s">
        <v>440</v>
      </c>
      <c r="D91" s="224" t="s">
        <v>14</v>
      </c>
      <c r="E91" s="226" t="s">
        <v>121</v>
      </c>
      <c r="F91" s="225" t="s">
        <v>441</v>
      </c>
      <c r="G91" s="228" t="s">
        <v>328</v>
      </c>
      <c r="H91" s="228" t="s">
        <v>328</v>
      </c>
      <c r="I91" s="227" t="s">
        <v>17</v>
      </c>
      <c r="J91" s="227" t="s">
        <v>15</v>
      </c>
      <c r="K91" s="227" t="s">
        <v>328</v>
      </c>
      <c r="L91" s="228" t="s">
        <v>328</v>
      </c>
      <c r="M91" s="227" t="s">
        <v>328</v>
      </c>
      <c r="N91" s="228" t="s">
        <v>328</v>
      </c>
      <c r="O91" s="229" t="s">
        <v>17</v>
      </c>
      <c r="P91" s="229" t="s">
        <v>17</v>
      </c>
      <c r="Q91" s="229" t="s">
        <v>15</v>
      </c>
      <c r="R91" s="229" t="s">
        <v>15</v>
      </c>
      <c r="S91" s="229" t="s">
        <v>16</v>
      </c>
      <c r="T91" s="229" t="s">
        <v>375</v>
      </c>
      <c r="U91" s="229" t="s">
        <v>331</v>
      </c>
      <c r="V91" s="229" t="s">
        <v>328</v>
      </c>
      <c r="W91" s="230" t="s">
        <v>328</v>
      </c>
      <c r="X91" s="230" t="s">
        <v>328</v>
      </c>
      <c r="Y91" s="231" t="s">
        <v>328</v>
      </c>
    </row>
    <row r="92" spans="1:25">
      <c r="A92" s="223">
        <v>3</v>
      </c>
      <c r="B92" s="224" t="str">
        <f>VLOOKUP(Tabel10[[#This Row],[Locatiecode]],Ruimtegroepen[[#All],[Code]:[Ruimte omschrijving]],2,FALSE)</f>
        <v>Reproruimte</v>
      </c>
      <c r="C92" s="225" t="s">
        <v>440</v>
      </c>
      <c r="D92" s="224" t="s">
        <v>14</v>
      </c>
      <c r="E92" s="226" t="s">
        <v>120</v>
      </c>
      <c r="F92" s="225" t="s">
        <v>442</v>
      </c>
      <c r="G92" s="227" t="s">
        <v>15</v>
      </c>
      <c r="H92" s="228" t="s">
        <v>15</v>
      </c>
      <c r="I92" s="227" t="s">
        <v>328</v>
      </c>
      <c r="J92" s="227" t="s">
        <v>328</v>
      </c>
      <c r="K92" s="227" t="s">
        <v>328</v>
      </c>
      <c r="L92" s="228" t="s">
        <v>328</v>
      </c>
      <c r="M92" s="227" t="s">
        <v>328</v>
      </c>
      <c r="N92" s="228" t="s">
        <v>328</v>
      </c>
      <c r="O92" s="229" t="s">
        <v>17</v>
      </c>
      <c r="P92" s="229" t="s">
        <v>17</v>
      </c>
      <c r="Q92" s="229" t="s">
        <v>15</v>
      </c>
      <c r="R92" s="229" t="s">
        <v>15</v>
      </c>
      <c r="S92" s="229" t="s">
        <v>16</v>
      </c>
      <c r="T92" s="229" t="s">
        <v>375</v>
      </c>
      <c r="U92" s="229" t="s">
        <v>331</v>
      </c>
      <c r="V92" s="229" t="s">
        <v>328</v>
      </c>
      <c r="W92" s="230" t="s">
        <v>328</v>
      </c>
      <c r="X92" s="230" t="s">
        <v>328</v>
      </c>
      <c r="Y92" s="231" t="s">
        <v>328</v>
      </c>
    </row>
    <row r="93" spans="1:25">
      <c r="A93" s="223">
        <v>3</v>
      </c>
      <c r="B93" s="224" t="str">
        <f>VLOOKUP(Tabel10[[#This Row],[Locatiecode]],Ruimtegroepen[[#All],[Code]:[Ruimte omschrijving]],2,FALSE)</f>
        <v>Reproruimte</v>
      </c>
      <c r="C93" s="225" t="s">
        <v>440</v>
      </c>
      <c r="D93" s="224" t="s">
        <v>14</v>
      </c>
      <c r="E93" s="226" t="s">
        <v>122</v>
      </c>
      <c r="F93" s="225" t="s">
        <v>443</v>
      </c>
      <c r="G93" s="228" t="s">
        <v>328</v>
      </c>
      <c r="H93" s="228" t="s">
        <v>328</v>
      </c>
      <c r="I93" s="227" t="s">
        <v>17</v>
      </c>
      <c r="J93" s="227" t="s">
        <v>15</v>
      </c>
      <c r="K93" s="227" t="s">
        <v>16</v>
      </c>
      <c r="L93" s="228" t="s">
        <v>328</v>
      </c>
      <c r="M93" s="227" t="s">
        <v>328</v>
      </c>
      <c r="N93" s="228" t="s">
        <v>328</v>
      </c>
      <c r="O93" s="229" t="s">
        <v>17</v>
      </c>
      <c r="P93" s="229" t="s">
        <v>17</v>
      </c>
      <c r="Q93" s="229" t="s">
        <v>15</v>
      </c>
      <c r="R93" s="229" t="s">
        <v>15</v>
      </c>
      <c r="S93" s="229" t="s">
        <v>16</v>
      </c>
      <c r="T93" s="229" t="s">
        <v>375</v>
      </c>
      <c r="U93" s="229" t="s">
        <v>331</v>
      </c>
      <c r="V93" s="229" t="s">
        <v>328</v>
      </c>
      <c r="W93" s="230" t="s">
        <v>328</v>
      </c>
      <c r="X93" s="230" t="s">
        <v>328</v>
      </c>
      <c r="Y93" s="231" t="s">
        <v>328</v>
      </c>
    </row>
    <row r="94" spans="1:25">
      <c r="A94" s="223">
        <v>3</v>
      </c>
      <c r="B94" s="224" t="str">
        <f>VLOOKUP(Tabel10[[#This Row],[Locatiecode]],Ruimtegroepen[[#All],[Code]:[Ruimte omschrijving]],2,FALSE)</f>
        <v>Reproruimte</v>
      </c>
      <c r="C94" s="225" t="s">
        <v>440</v>
      </c>
      <c r="D94" s="224" t="s">
        <v>14</v>
      </c>
      <c r="E94" s="226" t="s">
        <v>123</v>
      </c>
      <c r="F94" s="225" t="s">
        <v>444</v>
      </c>
      <c r="G94" s="228" t="s">
        <v>328</v>
      </c>
      <c r="H94" s="228" t="s">
        <v>328</v>
      </c>
      <c r="I94" s="227" t="s">
        <v>17</v>
      </c>
      <c r="J94" s="227" t="s">
        <v>15</v>
      </c>
      <c r="K94" s="227" t="s">
        <v>16</v>
      </c>
      <c r="L94" s="228" t="s">
        <v>328</v>
      </c>
      <c r="M94" s="227" t="s">
        <v>328</v>
      </c>
      <c r="N94" s="228" t="s">
        <v>328</v>
      </c>
      <c r="O94" s="229" t="s">
        <v>17</v>
      </c>
      <c r="P94" s="229" t="s">
        <v>17</v>
      </c>
      <c r="Q94" s="229" t="s">
        <v>15</v>
      </c>
      <c r="R94" s="229" t="s">
        <v>15</v>
      </c>
      <c r="S94" s="229" t="s">
        <v>16</v>
      </c>
      <c r="T94" s="229" t="s">
        <v>375</v>
      </c>
      <c r="U94" s="229" t="s">
        <v>331</v>
      </c>
      <c r="V94" s="229" t="s">
        <v>328</v>
      </c>
      <c r="W94" s="230" t="s">
        <v>328</v>
      </c>
      <c r="X94" s="230" t="s">
        <v>328</v>
      </c>
      <c r="Y94" s="231" t="s">
        <v>328</v>
      </c>
    </row>
    <row r="95" spans="1:25">
      <c r="A95" s="223">
        <v>3</v>
      </c>
      <c r="B95" s="224" t="str">
        <f>VLOOKUP(Tabel10[[#This Row],[Locatiecode]],Ruimtegroepen[[#All],[Code]:[Ruimte omschrijving]],2,FALSE)</f>
        <v>Reproruimte</v>
      </c>
      <c r="C95" s="225" t="s">
        <v>445</v>
      </c>
      <c r="D95" s="224" t="s">
        <v>13</v>
      </c>
      <c r="E95" s="226" t="s">
        <v>121</v>
      </c>
      <c r="F95" s="225" t="s">
        <v>446</v>
      </c>
      <c r="G95" s="228" t="s">
        <v>328</v>
      </c>
      <c r="H95" s="228" t="s">
        <v>328</v>
      </c>
      <c r="I95" s="227" t="s">
        <v>15</v>
      </c>
      <c r="J95" s="227" t="s">
        <v>15</v>
      </c>
      <c r="K95" s="227" t="s">
        <v>328</v>
      </c>
      <c r="L95" s="228" t="s">
        <v>328</v>
      </c>
      <c r="M95" s="227" t="s">
        <v>328</v>
      </c>
      <c r="N95" s="228" t="s">
        <v>328</v>
      </c>
      <c r="O95" s="229" t="s">
        <v>15</v>
      </c>
      <c r="P95" s="229" t="s">
        <v>15</v>
      </c>
      <c r="Q95" s="229" t="s">
        <v>15</v>
      </c>
      <c r="R95" s="229" t="s">
        <v>15</v>
      </c>
      <c r="S95" s="229" t="s">
        <v>16</v>
      </c>
      <c r="T95" s="229" t="s">
        <v>375</v>
      </c>
      <c r="U95" s="229" t="s">
        <v>331</v>
      </c>
      <c r="V95" s="229" t="s">
        <v>328</v>
      </c>
      <c r="W95" s="230" t="s">
        <v>328</v>
      </c>
      <c r="X95" s="230" t="s">
        <v>328</v>
      </c>
      <c r="Y95" s="231" t="s">
        <v>328</v>
      </c>
    </row>
    <row r="96" spans="1:25">
      <c r="A96" s="223">
        <v>3</v>
      </c>
      <c r="B96" s="224" t="str">
        <f>VLOOKUP(Tabel10[[#This Row],[Locatiecode]],Ruimtegroepen[[#All],[Code]:[Ruimte omschrijving]],2,FALSE)</f>
        <v>Reproruimte</v>
      </c>
      <c r="C96" s="225" t="s">
        <v>445</v>
      </c>
      <c r="D96" s="224" t="s">
        <v>13</v>
      </c>
      <c r="E96" s="226" t="s">
        <v>120</v>
      </c>
      <c r="F96" s="225" t="s">
        <v>447</v>
      </c>
      <c r="G96" s="228" t="s">
        <v>15</v>
      </c>
      <c r="H96" s="228" t="s">
        <v>15</v>
      </c>
      <c r="I96" s="227" t="s">
        <v>328</v>
      </c>
      <c r="J96" s="227" t="s">
        <v>328</v>
      </c>
      <c r="K96" s="227" t="s">
        <v>328</v>
      </c>
      <c r="L96" s="228" t="s">
        <v>328</v>
      </c>
      <c r="M96" s="227" t="s">
        <v>328</v>
      </c>
      <c r="N96" s="228" t="s">
        <v>328</v>
      </c>
      <c r="O96" s="229" t="s">
        <v>15</v>
      </c>
      <c r="P96" s="229" t="s">
        <v>15</v>
      </c>
      <c r="Q96" s="229" t="s">
        <v>15</v>
      </c>
      <c r="R96" s="229" t="s">
        <v>15</v>
      </c>
      <c r="S96" s="229" t="s">
        <v>16</v>
      </c>
      <c r="T96" s="229" t="s">
        <v>375</v>
      </c>
      <c r="U96" s="229" t="s">
        <v>331</v>
      </c>
      <c r="V96" s="229" t="s">
        <v>328</v>
      </c>
      <c r="W96" s="230" t="s">
        <v>328</v>
      </c>
      <c r="X96" s="230" t="s">
        <v>328</v>
      </c>
      <c r="Y96" s="231" t="s">
        <v>328</v>
      </c>
    </row>
    <row r="97" spans="1:25">
      <c r="A97" s="223">
        <v>3</v>
      </c>
      <c r="B97" s="224" t="str">
        <f>VLOOKUP(Tabel10[[#This Row],[Locatiecode]],Ruimtegroepen[[#All],[Code]:[Ruimte omschrijving]],2,FALSE)</f>
        <v>Reproruimte</v>
      </c>
      <c r="C97" s="225" t="s">
        <v>445</v>
      </c>
      <c r="D97" s="224" t="s">
        <v>13</v>
      </c>
      <c r="E97" s="226" t="s">
        <v>122</v>
      </c>
      <c r="F97" s="225" t="s">
        <v>448</v>
      </c>
      <c r="G97" s="228" t="s">
        <v>328</v>
      </c>
      <c r="H97" s="228" t="s">
        <v>328</v>
      </c>
      <c r="I97" s="227" t="s">
        <v>15</v>
      </c>
      <c r="J97" s="227" t="s">
        <v>15</v>
      </c>
      <c r="K97" s="227" t="s">
        <v>16</v>
      </c>
      <c r="L97" s="228" t="s">
        <v>328</v>
      </c>
      <c r="M97" s="227" t="s">
        <v>328</v>
      </c>
      <c r="N97" s="228" t="s">
        <v>328</v>
      </c>
      <c r="O97" s="229" t="s">
        <v>15</v>
      </c>
      <c r="P97" s="229" t="s">
        <v>15</v>
      </c>
      <c r="Q97" s="229" t="s">
        <v>15</v>
      </c>
      <c r="R97" s="229" t="s">
        <v>15</v>
      </c>
      <c r="S97" s="229" t="s">
        <v>16</v>
      </c>
      <c r="T97" s="229" t="s">
        <v>375</v>
      </c>
      <c r="U97" s="229" t="s">
        <v>331</v>
      </c>
      <c r="V97" s="229" t="s">
        <v>328</v>
      </c>
      <c r="W97" s="230" t="s">
        <v>328</v>
      </c>
      <c r="X97" s="230" t="s">
        <v>328</v>
      </c>
      <c r="Y97" s="231" t="s">
        <v>328</v>
      </c>
    </row>
    <row r="98" spans="1:25">
      <c r="A98" s="223">
        <v>3</v>
      </c>
      <c r="B98" s="224" t="str">
        <f>VLOOKUP(Tabel10[[#This Row],[Locatiecode]],Ruimtegroepen[[#All],[Code]:[Ruimte omschrijving]],2,FALSE)</f>
        <v>Reproruimte</v>
      </c>
      <c r="C98" s="225" t="s">
        <v>445</v>
      </c>
      <c r="D98" s="224" t="s">
        <v>13</v>
      </c>
      <c r="E98" s="226" t="s">
        <v>123</v>
      </c>
      <c r="F98" s="225" t="s">
        <v>449</v>
      </c>
      <c r="G98" s="228" t="s">
        <v>328</v>
      </c>
      <c r="H98" s="228" t="s">
        <v>328</v>
      </c>
      <c r="I98" s="227" t="s">
        <v>15</v>
      </c>
      <c r="J98" s="227" t="s">
        <v>15</v>
      </c>
      <c r="K98" s="227" t="s">
        <v>16</v>
      </c>
      <c r="L98" s="228" t="s">
        <v>328</v>
      </c>
      <c r="M98" s="227" t="s">
        <v>328</v>
      </c>
      <c r="N98" s="228" t="s">
        <v>328</v>
      </c>
      <c r="O98" s="229" t="s">
        <v>15</v>
      </c>
      <c r="P98" s="229" t="s">
        <v>15</v>
      </c>
      <c r="Q98" s="229" t="s">
        <v>15</v>
      </c>
      <c r="R98" s="229" t="s">
        <v>15</v>
      </c>
      <c r="S98" s="229" t="s">
        <v>16</v>
      </c>
      <c r="T98" s="229" t="s">
        <v>375</v>
      </c>
      <c r="U98" s="229" t="s">
        <v>331</v>
      </c>
      <c r="V98" s="229" t="s">
        <v>328</v>
      </c>
      <c r="W98" s="230" t="s">
        <v>328</v>
      </c>
      <c r="X98" s="230" t="s">
        <v>328</v>
      </c>
      <c r="Y98" s="231" t="s">
        <v>328</v>
      </c>
    </row>
    <row r="99" spans="1:25">
      <c r="A99" s="223">
        <v>3</v>
      </c>
      <c r="B99" s="224" t="str">
        <f>VLOOKUP(Tabel10[[#This Row],[Locatiecode]],Ruimtegroepen[[#All],[Code]:[Ruimte omschrijving]],2,FALSE)</f>
        <v>Reproruimte</v>
      </c>
      <c r="C99" s="225" t="s">
        <v>450</v>
      </c>
      <c r="D99" s="224" t="s">
        <v>0</v>
      </c>
      <c r="E99" s="226" t="s">
        <v>121</v>
      </c>
      <c r="F99" s="225" t="s">
        <v>451</v>
      </c>
      <c r="G99" s="228" t="s">
        <v>328</v>
      </c>
      <c r="H99" s="228" t="s">
        <v>328</v>
      </c>
      <c r="I99" s="227" t="s">
        <v>16</v>
      </c>
      <c r="J99" s="227" t="s">
        <v>16</v>
      </c>
      <c r="K99" s="227" t="s">
        <v>328</v>
      </c>
      <c r="L99" s="228" t="s">
        <v>328</v>
      </c>
      <c r="M99" s="227" t="s">
        <v>328</v>
      </c>
      <c r="N99" s="228" t="s">
        <v>328</v>
      </c>
      <c r="O99" s="229" t="s">
        <v>16</v>
      </c>
      <c r="P99" s="229" t="s">
        <v>16</v>
      </c>
      <c r="Q99" s="229" t="s">
        <v>16</v>
      </c>
      <c r="R99" s="229" t="s">
        <v>16</v>
      </c>
      <c r="S99" s="229" t="s">
        <v>16</v>
      </c>
      <c r="T99" s="229" t="s">
        <v>375</v>
      </c>
      <c r="U99" s="229" t="s">
        <v>331</v>
      </c>
      <c r="V99" s="229" t="s">
        <v>328</v>
      </c>
      <c r="W99" s="230" t="s">
        <v>328</v>
      </c>
      <c r="X99" s="230" t="s">
        <v>328</v>
      </c>
      <c r="Y99" s="231" t="s">
        <v>328</v>
      </c>
    </row>
    <row r="100" spans="1:25">
      <c r="A100" s="223">
        <v>3</v>
      </c>
      <c r="B100" s="224" t="str">
        <f>VLOOKUP(Tabel10[[#This Row],[Locatiecode]],Ruimtegroepen[[#All],[Code]:[Ruimte omschrijving]],2,FALSE)</f>
        <v>Reproruimte</v>
      </c>
      <c r="C100" s="225" t="s">
        <v>450</v>
      </c>
      <c r="D100" s="224" t="s">
        <v>0</v>
      </c>
      <c r="E100" s="226" t="s">
        <v>120</v>
      </c>
      <c r="F100" s="225" t="s">
        <v>452</v>
      </c>
      <c r="G100" s="228" t="s">
        <v>407</v>
      </c>
      <c r="H100" s="228" t="s">
        <v>16</v>
      </c>
      <c r="I100" s="227" t="s">
        <v>328</v>
      </c>
      <c r="J100" s="227" t="s">
        <v>328</v>
      </c>
      <c r="K100" s="227" t="s">
        <v>328</v>
      </c>
      <c r="L100" s="228" t="s">
        <v>328</v>
      </c>
      <c r="M100" s="227" t="s">
        <v>328</v>
      </c>
      <c r="N100" s="228" t="s">
        <v>328</v>
      </c>
      <c r="O100" s="229" t="s">
        <v>16</v>
      </c>
      <c r="P100" s="229" t="s">
        <v>16</v>
      </c>
      <c r="Q100" s="229" t="s">
        <v>16</v>
      </c>
      <c r="R100" s="229" t="s">
        <v>16</v>
      </c>
      <c r="S100" s="229" t="s">
        <v>16</v>
      </c>
      <c r="T100" s="229" t="s">
        <v>375</v>
      </c>
      <c r="U100" s="229" t="s">
        <v>331</v>
      </c>
      <c r="V100" s="229" t="s">
        <v>328</v>
      </c>
      <c r="W100" s="230" t="s">
        <v>328</v>
      </c>
      <c r="X100" s="230" t="s">
        <v>328</v>
      </c>
      <c r="Y100" s="231" t="s">
        <v>328</v>
      </c>
    </row>
    <row r="101" spans="1:25">
      <c r="A101" s="223">
        <v>3</v>
      </c>
      <c r="B101" s="224" t="str">
        <f>VLOOKUP(Tabel10[[#This Row],[Locatiecode]],Ruimtegroepen[[#All],[Code]:[Ruimte omschrijving]],2,FALSE)</f>
        <v>Reproruimte</v>
      </c>
      <c r="C101" s="225" t="s">
        <v>450</v>
      </c>
      <c r="D101" s="224" t="s">
        <v>0</v>
      </c>
      <c r="E101" s="226" t="s">
        <v>122</v>
      </c>
      <c r="F101" s="225" t="s">
        <v>453</v>
      </c>
      <c r="G101" s="228" t="s">
        <v>328</v>
      </c>
      <c r="H101" s="228" t="s">
        <v>328</v>
      </c>
      <c r="I101" s="227" t="s">
        <v>16</v>
      </c>
      <c r="J101" s="227" t="s">
        <v>16</v>
      </c>
      <c r="K101" s="227" t="s">
        <v>16</v>
      </c>
      <c r="L101" s="228" t="s">
        <v>328</v>
      </c>
      <c r="M101" s="227" t="s">
        <v>328</v>
      </c>
      <c r="N101" s="228" t="s">
        <v>328</v>
      </c>
      <c r="O101" s="229" t="s">
        <v>16</v>
      </c>
      <c r="P101" s="229" t="s">
        <v>16</v>
      </c>
      <c r="Q101" s="229" t="s">
        <v>16</v>
      </c>
      <c r="R101" s="229" t="s">
        <v>16</v>
      </c>
      <c r="S101" s="229" t="s">
        <v>16</v>
      </c>
      <c r="T101" s="229" t="s">
        <v>375</v>
      </c>
      <c r="U101" s="229" t="s">
        <v>331</v>
      </c>
      <c r="V101" s="229" t="s">
        <v>328</v>
      </c>
      <c r="W101" s="230" t="s">
        <v>328</v>
      </c>
      <c r="X101" s="230" t="s">
        <v>328</v>
      </c>
      <c r="Y101" s="231" t="s">
        <v>328</v>
      </c>
    </row>
    <row r="102" spans="1:25">
      <c r="A102" s="223">
        <v>3</v>
      </c>
      <c r="B102" s="224" t="str">
        <f>VLOOKUP(Tabel10[[#This Row],[Locatiecode]],Ruimtegroepen[[#All],[Code]:[Ruimte omschrijving]],2,FALSE)</f>
        <v>Reproruimte</v>
      </c>
      <c r="C102" s="225" t="s">
        <v>450</v>
      </c>
      <c r="D102" s="224" t="s">
        <v>0</v>
      </c>
      <c r="E102" s="226" t="s">
        <v>123</v>
      </c>
      <c r="F102" s="225" t="s">
        <v>454</v>
      </c>
      <c r="G102" s="228" t="s">
        <v>328</v>
      </c>
      <c r="H102" s="228" t="s">
        <v>328</v>
      </c>
      <c r="I102" s="227" t="s">
        <v>16</v>
      </c>
      <c r="J102" s="227" t="s">
        <v>16</v>
      </c>
      <c r="K102" s="227" t="s">
        <v>16</v>
      </c>
      <c r="L102" s="228" t="s">
        <v>328</v>
      </c>
      <c r="M102" s="227" t="s">
        <v>328</v>
      </c>
      <c r="N102" s="228" t="s">
        <v>328</v>
      </c>
      <c r="O102" s="229" t="s">
        <v>16</v>
      </c>
      <c r="P102" s="229" t="s">
        <v>16</v>
      </c>
      <c r="Q102" s="229" t="s">
        <v>16</v>
      </c>
      <c r="R102" s="229" t="s">
        <v>16</v>
      </c>
      <c r="S102" s="229" t="s">
        <v>16</v>
      </c>
      <c r="T102" s="229" t="s">
        <v>375</v>
      </c>
      <c r="U102" s="229" t="s">
        <v>331</v>
      </c>
      <c r="V102" s="229" t="s">
        <v>328</v>
      </c>
      <c r="W102" s="230" t="s">
        <v>328</v>
      </c>
      <c r="X102" s="230" t="s">
        <v>328</v>
      </c>
      <c r="Y102" s="231" t="s">
        <v>328</v>
      </c>
    </row>
    <row r="103" spans="1:25">
      <c r="A103" s="223">
        <v>3</v>
      </c>
      <c r="B103" s="224" t="str">
        <f>VLOOKUP(Tabel10[[#This Row],[Locatiecode]],Ruimtegroepen[[#All],[Code]:[Ruimte omschrijving]],2,FALSE)</f>
        <v>Reproruimte</v>
      </c>
      <c r="C103" s="225" t="s">
        <v>455</v>
      </c>
      <c r="D103" s="224" t="s">
        <v>30</v>
      </c>
      <c r="E103" s="226" t="s">
        <v>121</v>
      </c>
      <c r="F103" s="225" t="s">
        <v>456</v>
      </c>
      <c r="G103" s="228" t="s">
        <v>328</v>
      </c>
      <c r="H103" s="228" t="s">
        <v>328</v>
      </c>
      <c r="I103" s="227" t="s">
        <v>15</v>
      </c>
      <c r="J103" s="227" t="s">
        <v>328</v>
      </c>
      <c r="K103" s="227" t="s">
        <v>328</v>
      </c>
      <c r="L103" s="228" t="s">
        <v>328</v>
      </c>
      <c r="M103" s="227" t="s">
        <v>328</v>
      </c>
      <c r="N103" s="228" t="s">
        <v>328</v>
      </c>
      <c r="O103" s="229" t="s">
        <v>15</v>
      </c>
      <c r="P103" s="229" t="s">
        <v>15</v>
      </c>
      <c r="Q103" s="229" t="s">
        <v>15</v>
      </c>
      <c r="R103" s="229" t="s">
        <v>15</v>
      </c>
      <c r="S103" s="229" t="s">
        <v>15</v>
      </c>
      <c r="T103" s="229" t="s">
        <v>375</v>
      </c>
      <c r="U103" s="229" t="s">
        <v>331</v>
      </c>
      <c r="V103" s="229" t="s">
        <v>328</v>
      </c>
      <c r="W103" s="230" t="s">
        <v>328</v>
      </c>
      <c r="X103" s="230" t="s">
        <v>328</v>
      </c>
      <c r="Y103" s="231" t="s">
        <v>328</v>
      </c>
    </row>
    <row r="104" spans="1:25">
      <c r="A104" s="223">
        <v>3</v>
      </c>
      <c r="B104" s="224" t="str">
        <f>VLOOKUP(Tabel10[[#This Row],[Locatiecode]],Ruimtegroepen[[#All],[Code]:[Ruimte omschrijving]],2,FALSE)</f>
        <v>Reproruimte</v>
      </c>
      <c r="C104" s="225" t="s">
        <v>455</v>
      </c>
      <c r="D104" s="224" t="s">
        <v>30</v>
      </c>
      <c r="E104" s="226" t="s">
        <v>120</v>
      </c>
      <c r="F104" s="225" t="s">
        <v>457</v>
      </c>
      <c r="G104" s="228" t="s">
        <v>407</v>
      </c>
      <c r="H104" s="228" t="s">
        <v>15</v>
      </c>
      <c r="I104" s="227" t="s">
        <v>328</v>
      </c>
      <c r="J104" s="227" t="s">
        <v>328</v>
      </c>
      <c r="K104" s="227" t="s">
        <v>328</v>
      </c>
      <c r="L104" s="228" t="s">
        <v>328</v>
      </c>
      <c r="M104" s="227" t="s">
        <v>328</v>
      </c>
      <c r="N104" s="228" t="s">
        <v>328</v>
      </c>
      <c r="O104" s="229" t="s">
        <v>15</v>
      </c>
      <c r="P104" s="229" t="s">
        <v>15</v>
      </c>
      <c r="Q104" s="229" t="s">
        <v>15</v>
      </c>
      <c r="R104" s="229" t="s">
        <v>15</v>
      </c>
      <c r="S104" s="229" t="s">
        <v>15</v>
      </c>
      <c r="T104" s="229" t="s">
        <v>375</v>
      </c>
      <c r="U104" s="229" t="s">
        <v>331</v>
      </c>
      <c r="V104" s="229" t="s">
        <v>328</v>
      </c>
      <c r="W104" s="230" t="s">
        <v>328</v>
      </c>
      <c r="X104" s="230" t="s">
        <v>328</v>
      </c>
      <c r="Y104" s="231" t="s">
        <v>328</v>
      </c>
    </row>
    <row r="105" spans="1:25">
      <c r="A105" s="223">
        <v>3</v>
      </c>
      <c r="B105" s="224" t="str">
        <f>VLOOKUP(Tabel10[[#This Row],[Locatiecode]],Ruimtegroepen[[#All],[Code]:[Ruimte omschrijving]],2,FALSE)</f>
        <v>Reproruimte</v>
      </c>
      <c r="C105" s="225" t="s">
        <v>455</v>
      </c>
      <c r="D105" s="224" t="s">
        <v>30</v>
      </c>
      <c r="E105" s="226" t="s">
        <v>122</v>
      </c>
      <c r="F105" s="225" t="s">
        <v>458</v>
      </c>
      <c r="G105" s="228" t="s">
        <v>328</v>
      </c>
      <c r="H105" s="228" t="s">
        <v>328</v>
      </c>
      <c r="I105" s="227" t="s">
        <v>15</v>
      </c>
      <c r="J105" s="227" t="s">
        <v>407</v>
      </c>
      <c r="K105" s="227" t="s">
        <v>15</v>
      </c>
      <c r="L105" s="228" t="s">
        <v>328</v>
      </c>
      <c r="M105" s="227" t="s">
        <v>328</v>
      </c>
      <c r="N105" s="228" t="s">
        <v>328</v>
      </c>
      <c r="O105" s="229" t="s">
        <v>15</v>
      </c>
      <c r="P105" s="229" t="s">
        <v>15</v>
      </c>
      <c r="Q105" s="229" t="s">
        <v>15</v>
      </c>
      <c r="R105" s="229" t="s">
        <v>15</v>
      </c>
      <c r="S105" s="229" t="s">
        <v>15</v>
      </c>
      <c r="T105" s="229" t="s">
        <v>375</v>
      </c>
      <c r="U105" s="229" t="s">
        <v>331</v>
      </c>
      <c r="V105" s="229" t="s">
        <v>328</v>
      </c>
      <c r="W105" s="230" t="s">
        <v>328</v>
      </c>
      <c r="X105" s="230" t="s">
        <v>328</v>
      </c>
      <c r="Y105" s="231" t="s">
        <v>328</v>
      </c>
    </row>
    <row r="106" spans="1:25">
      <c r="A106" s="223">
        <v>3</v>
      </c>
      <c r="B106" s="224" t="str">
        <f>VLOOKUP(Tabel10[[#This Row],[Locatiecode]],Ruimtegroepen[[#All],[Code]:[Ruimte omschrijving]],2,FALSE)</f>
        <v>Reproruimte</v>
      </c>
      <c r="C106" s="225" t="s">
        <v>455</v>
      </c>
      <c r="D106" s="224" t="s">
        <v>30</v>
      </c>
      <c r="E106" s="226" t="s">
        <v>123</v>
      </c>
      <c r="F106" s="225" t="s">
        <v>459</v>
      </c>
      <c r="G106" s="228" t="s">
        <v>328</v>
      </c>
      <c r="H106" s="228" t="s">
        <v>328</v>
      </c>
      <c r="I106" s="227" t="s">
        <v>15</v>
      </c>
      <c r="J106" s="227" t="s">
        <v>328</v>
      </c>
      <c r="K106" s="227" t="s">
        <v>15</v>
      </c>
      <c r="L106" s="228" t="s">
        <v>328</v>
      </c>
      <c r="M106" s="227" t="s">
        <v>328</v>
      </c>
      <c r="N106" s="228" t="s">
        <v>328</v>
      </c>
      <c r="O106" s="229" t="s">
        <v>15</v>
      </c>
      <c r="P106" s="229" t="s">
        <v>15</v>
      </c>
      <c r="Q106" s="229" t="s">
        <v>15</v>
      </c>
      <c r="R106" s="229" t="s">
        <v>15</v>
      </c>
      <c r="S106" s="229" t="s">
        <v>15</v>
      </c>
      <c r="T106" s="229" t="s">
        <v>375</v>
      </c>
      <c r="U106" s="229" t="s">
        <v>331</v>
      </c>
      <c r="V106" s="229" t="s">
        <v>328</v>
      </c>
      <c r="W106" s="230" t="s">
        <v>328</v>
      </c>
      <c r="X106" s="230" t="s">
        <v>328</v>
      </c>
      <c r="Y106" s="231" t="s">
        <v>328</v>
      </c>
    </row>
    <row r="107" spans="1:25">
      <c r="A107" s="223">
        <v>3</v>
      </c>
      <c r="B107" s="224" t="str">
        <f>VLOOKUP(Tabel10[[#This Row],[Locatiecode]],Ruimtegroepen[[#All],[Code]:[Ruimte omschrijving]],2,FALSE)</f>
        <v>Reproruimte</v>
      </c>
      <c r="C107" s="225" t="s">
        <v>460</v>
      </c>
      <c r="D107" s="224" t="s">
        <v>31</v>
      </c>
      <c r="E107" s="226" t="s">
        <v>121</v>
      </c>
      <c r="F107" s="225" t="s">
        <v>461</v>
      </c>
      <c r="G107" s="228" t="s">
        <v>328</v>
      </c>
      <c r="H107" s="228" t="s">
        <v>328</v>
      </c>
      <c r="I107" s="227" t="s">
        <v>17</v>
      </c>
      <c r="J107" s="227" t="s">
        <v>15</v>
      </c>
      <c r="K107" s="227" t="s">
        <v>328</v>
      </c>
      <c r="L107" s="228" t="s">
        <v>328</v>
      </c>
      <c r="M107" s="227" t="s">
        <v>328</v>
      </c>
      <c r="N107" s="228" t="s">
        <v>328</v>
      </c>
      <c r="O107" s="229" t="s">
        <v>17</v>
      </c>
      <c r="P107" s="229" t="s">
        <v>17</v>
      </c>
      <c r="Q107" s="229" t="s">
        <v>15</v>
      </c>
      <c r="R107" s="229" t="s">
        <v>15</v>
      </c>
      <c r="S107" s="229" t="s">
        <v>328</v>
      </c>
      <c r="T107" s="229" t="s">
        <v>328</v>
      </c>
      <c r="U107" s="229" t="s">
        <v>328</v>
      </c>
      <c r="V107" s="229" t="s">
        <v>328</v>
      </c>
      <c r="W107" s="230" t="s">
        <v>328</v>
      </c>
      <c r="X107" s="230" t="s">
        <v>328</v>
      </c>
      <c r="Y107" s="231" t="s">
        <v>328</v>
      </c>
    </row>
    <row r="108" spans="1:25">
      <c r="A108" s="223">
        <v>3</v>
      </c>
      <c r="B108" s="224" t="str">
        <f>VLOOKUP(Tabel10[[#This Row],[Locatiecode]],Ruimtegroepen[[#All],[Code]:[Ruimte omschrijving]],2,FALSE)</f>
        <v>Reproruimte</v>
      </c>
      <c r="C108" s="225" t="s">
        <v>460</v>
      </c>
      <c r="D108" s="224" t="s">
        <v>31</v>
      </c>
      <c r="E108" s="226" t="s">
        <v>120</v>
      </c>
      <c r="F108" s="225" t="s">
        <v>462</v>
      </c>
      <c r="G108" s="228" t="s">
        <v>15</v>
      </c>
      <c r="H108" s="228" t="s">
        <v>15</v>
      </c>
      <c r="I108" s="227" t="s">
        <v>328</v>
      </c>
      <c r="J108" s="227" t="s">
        <v>328</v>
      </c>
      <c r="K108" s="227" t="s">
        <v>328</v>
      </c>
      <c r="L108" s="228" t="s">
        <v>328</v>
      </c>
      <c r="M108" s="227" t="s">
        <v>328</v>
      </c>
      <c r="N108" s="228" t="s">
        <v>328</v>
      </c>
      <c r="O108" s="229" t="s">
        <v>17</v>
      </c>
      <c r="P108" s="229" t="s">
        <v>17</v>
      </c>
      <c r="Q108" s="229" t="s">
        <v>15</v>
      </c>
      <c r="R108" s="229" t="s">
        <v>15</v>
      </c>
      <c r="S108" s="229" t="s">
        <v>328</v>
      </c>
      <c r="T108" s="229" t="s">
        <v>328</v>
      </c>
      <c r="U108" s="229" t="s">
        <v>328</v>
      </c>
      <c r="V108" s="229" t="s">
        <v>328</v>
      </c>
      <c r="W108" s="230" t="s">
        <v>328</v>
      </c>
      <c r="X108" s="230" t="s">
        <v>328</v>
      </c>
      <c r="Y108" s="231" t="s">
        <v>328</v>
      </c>
    </row>
    <row r="109" spans="1:25">
      <c r="A109" s="223">
        <v>3</v>
      </c>
      <c r="B109" s="224" t="str">
        <f>VLOOKUP(Tabel10[[#This Row],[Locatiecode]],Ruimtegroepen[[#All],[Code]:[Ruimte omschrijving]],2,FALSE)</f>
        <v>Reproruimte</v>
      </c>
      <c r="C109" s="225" t="s">
        <v>460</v>
      </c>
      <c r="D109" s="224" t="s">
        <v>31</v>
      </c>
      <c r="E109" s="226" t="s">
        <v>122</v>
      </c>
      <c r="F109" s="225" t="s">
        <v>463</v>
      </c>
      <c r="G109" s="228" t="s">
        <v>328</v>
      </c>
      <c r="H109" s="228" t="s">
        <v>328</v>
      </c>
      <c r="I109" s="227" t="s">
        <v>17</v>
      </c>
      <c r="J109" s="227" t="s">
        <v>15</v>
      </c>
      <c r="K109" s="227" t="s">
        <v>328</v>
      </c>
      <c r="L109" s="228" t="s">
        <v>328</v>
      </c>
      <c r="M109" s="227" t="s">
        <v>328</v>
      </c>
      <c r="N109" s="228" t="s">
        <v>328</v>
      </c>
      <c r="O109" s="229" t="s">
        <v>17</v>
      </c>
      <c r="P109" s="229" t="s">
        <v>17</v>
      </c>
      <c r="Q109" s="229" t="s">
        <v>15</v>
      </c>
      <c r="R109" s="229" t="s">
        <v>15</v>
      </c>
      <c r="S109" s="229" t="s">
        <v>328</v>
      </c>
      <c r="T109" s="229" t="s">
        <v>328</v>
      </c>
      <c r="U109" s="229" t="s">
        <v>328</v>
      </c>
      <c r="V109" s="229" t="s">
        <v>328</v>
      </c>
      <c r="W109" s="230" t="s">
        <v>328</v>
      </c>
      <c r="X109" s="230" t="s">
        <v>328</v>
      </c>
      <c r="Y109" s="231" t="s">
        <v>328</v>
      </c>
    </row>
    <row r="110" spans="1:25">
      <c r="A110" s="223">
        <v>3</v>
      </c>
      <c r="B110" s="224" t="str">
        <f>VLOOKUP(Tabel10[[#This Row],[Locatiecode]],Ruimtegroepen[[#All],[Code]:[Ruimte omschrijving]],2,FALSE)</f>
        <v>Reproruimte</v>
      </c>
      <c r="C110" s="225" t="s">
        <v>460</v>
      </c>
      <c r="D110" s="224" t="s">
        <v>31</v>
      </c>
      <c r="E110" s="226" t="s">
        <v>123</v>
      </c>
      <c r="F110" s="225" t="s">
        <v>464</v>
      </c>
      <c r="G110" s="228" t="s">
        <v>328</v>
      </c>
      <c r="H110" s="228" t="s">
        <v>328</v>
      </c>
      <c r="I110" s="227" t="s">
        <v>17</v>
      </c>
      <c r="J110" s="227" t="s">
        <v>15</v>
      </c>
      <c r="K110" s="227" t="s">
        <v>328</v>
      </c>
      <c r="L110" s="228" t="s">
        <v>328</v>
      </c>
      <c r="M110" s="227" t="s">
        <v>328</v>
      </c>
      <c r="N110" s="228" t="s">
        <v>328</v>
      </c>
      <c r="O110" s="229" t="s">
        <v>17</v>
      </c>
      <c r="P110" s="229" t="s">
        <v>17</v>
      </c>
      <c r="Q110" s="229" t="s">
        <v>15</v>
      </c>
      <c r="R110" s="229" t="s">
        <v>15</v>
      </c>
      <c r="S110" s="229" t="s">
        <v>328</v>
      </c>
      <c r="T110" s="229" t="s">
        <v>328</v>
      </c>
      <c r="U110" s="229" t="s">
        <v>328</v>
      </c>
      <c r="V110" s="229" t="s">
        <v>328</v>
      </c>
      <c r="W110" s="230" t="s">
        <v>328</v>
      </c>
      <c r="X110" s="230" t="s">
        <v>328</v>
      </c>
      <c r="Y110" s="231" t="s">
        <v>328</v>
      </c>
    </row>
    <row r="111" spans="1:25">
      <c r="A111" s="223">
        <v>4</v>
      </c>
      <c r="B111" s="224" t="str">
        <f>VLOOKUP(Tabel10[[#This Row],[Locatiecode]],Ruimtegroepen[[#All],[Code]:[Ruimte omschrijving]],2,FALSE)</f>
        <v>Vergader/spreekkamers</v>
      </c>
      <c r="C111" s="225" t="s">
        <v>465</v>
      </c>
      <c r="D111" s="224" t="s">
        <v>32</v>
      </c>
      <c r="E111" s="226" t="s">
        <v>121</v>
      </c>
      <c r="F111" s="225" t="s">
        <v>466</v>
      </c>
      <c r="G111" s="228" t="s">
        <v>328</v>
      </c>
      <c r="H111" s="228" t="s">
        <v>328</v>
      </c>
      <c r="I111" s="227" t="s">
        <v>2</v>
      </c>
      <c r="J111" s="227" t="s">
        <v>15</v>
      </c>
      <c r="K111" s="227" t="s">
        <v>328</v>
      </c>
      <c r="L111" s="228" t="s">
        <v>328</v>
      </c>
      <c r="M111" s="227" t="s">
        <v>328</v>
      </c>
      <c r="N111" s="228" t="s">
        <v>2</v>
      </c>
      <c r="O111" s="229" t="s">
        <v>2</v>
      </c>
      <c r="P111" s="229" t="s">
        <v>2</v>
      </c>
      <c r="Q111" s="229" t="s">
        <v>15</v>
      </c>
      <c r="R111" s="229" t="s">
        <v>15</v>
      </c>
      <c r="S111" s="229" t="s">
        <v>16</v>
      </c>
      <c r="T111" s="229" t="s">
        <v>375</v>
      </c>
      <c r="U111" s="229" t="s">
        <v>331</v>
      </c>
      <c r="V111" s="229" t="s">
        <v>2</v>
      </c>
      <c r="W111" s="230" t="s">
        <v>328</v>
      </c>
      <c r="X111" s="230" t="s">
        <v>328</v>
      </c>
      <c r="Y111" s="231" t="s">
        <v>328</v>
      </c>
    </row>
    <row r="112" spans="1:25">
      <c r="A112" s="223">
        <v>4</v>
      </c>
      <c r="B112" s="224" t="str">
        <f>VLOOKUP(Tabel10[[#This Row],[Locatiecode]],Ruimtegroepen[[#All],[Code]:[Ruimte omschrijving]],2,FALSE)</f>
        <v>Vergader/spreekkamers</v>
      </c>
      <c r="C112" s="225" t="s">
        <v>465</v>
      </c>
      <c r="D112" s="224" t="s">
        <v>32</v>
      </c>
      <c r="E112" s="226" t="s">
        <v>120</v>
      </c>
      <c r="F112" s="225" t="s">
        <v>467</v>
      </c>
      <c r="G112" s="228" t="s">
        <v>20</v>
      </c>
      <c r="H112" s="228" t="s">
        <v>15</v>
      </c>
      <c r="I112" s="227" t="s">
        <v>328</v>
      </c>
      <c r="J112" s="227" t="s">
        <v>328</v>
      </c>
      <c r="K112" s="227" t="s">
        <v>328</v>
      </c>
      <c r="L112" s="228" t="s">
        <v>328</v>
      </c>
      <c r="M112" s="227" t="s">
        <v>328</v>
      </c>
      <c r="N112" s="228" t="s">
        <v>2</v>
      </c>
      <c r="O112" s="229" t="s">
        <v>2</v>
      </c>
      <c r="P112" s="229" t="s">
        <v>2</v>
      </c>
      <c r="Q112" s="229" t="s">
        <v>15</v>
      </c>
      <c r="R112" s="229" t="s">
        <v>15</v>
      </c>
      <c r="S112" s="229" t="s">
        <v>16</v>
      </c>
      <c r="T112" s="229" t="s">
        <v>375</v>
      </c>
      <c r="U112" s="229" t="s">
        <v>331</v>
      </c>
      <c r="V112" s="229" t="s">
        <v>2</v>
      </c>
      <c r="W112" s="230" t="s">
        <v>328</v>
      </c>
      <c r="X112" s="230" t="s">
        <v>328</v>
      </c>
      <c r="Y112" s="231" t="s">
        <v>328</v>
      </c>
    </row>
    <row r="113" spans="1:25">
      <c r="A113" s="223">
        <v>4</v>
      </c>
      <c r="B113" s="224" t="str">
        <f>VLOOKUP(Tabel10[[#This Row],[Locatiecode]],Ruimtegroepen[[#All],[Code]:[Ruimte omschrijving]],2,FALSE)</f>
        <v>Vergader/spreekkamers</v>
      </c>
      <c r="C113" s="225" t="s">
        <v>465</v>
      </c>
      <c r="D113" s="224" t="s">
        <v>32</v>
      </c>
      <c r="E113" s="226" t="s">
        <v>122</v>
      </c>
      <c r="F113" s="225" t="s">
        <v>468</v>
      </c>
      <c r="G113" s="228" t="s">
        <v>328</v>
      </c>
      <c r="H113" s="228" t="s">
        <v>328</v>
      </c>
      <c r="I113" s="227" t="s">
        <v>2</v>
      </c>
      <c r="J113" s="227" t="s">
        <v>15</v>
      </c>
      <c r="K113" s="227" t="s">
        <v>16</v>
      </c>
      <c r="L113" s="228" t="s">
        <v>328</v>
      </c>
      <c r="M113" s="227" t="s">
        <v>328</v>
      </c>
      <c r="N113" s="228" t="s">
        <v>2</v>
      </c>
      <c r="O113" s="229" t="s">
        <v>2</v>
      </c>
      <c r="P113" s="229" t="s">
        <v>2</v>
      </c>
      <c r="Q113" s="229" t="s">
        <v>15</v>
      </c>
      <c r="R113" s="229" t="s">
        <v>15</v>
      </c>
      <c r="S113" s="229" t="s">
        <v>16</v>
      </c>
      <c r="T113" s="229" t="s">
        <v>375</v>
      </c>
      <c r="U113" s="229" t="s">
        <v>331</v>
      </c>
      <c r="V113" s="229" t="s">
        <v>2</v>
      </c>
      <c r="W113" s="230" t="s">
        <v>328</v>
      </c>
      <c r="X113" s="230" t="s">
        <v>328</v>
      </c>
      <c r="Y113" s="231" t="s">
        <v>328</v>
      </c>
    </row>
    <row r="114" spans="1:25">
      <c r="A114" s="223">
        <v>4</v>
      </c>
      <c r="B114" s="224" t="str">
        <f>VLOOKUP(Tabel10[[#This Row],[Locatiecode]],Ruimtegroepen[[#All],[Code]:[Ruimte omschrijving]],2,FALSE)</f>
        <v>Vergader/spreekkamers</v>
      </c>
      <c r="C114" s="225" t="s">
        <v>465</v>
      </c>
      <c r="D114" s="224" t="s">
        <v>32</v>
      </c>
      <c r="E114" s="226" t="s">
        <v>123</v>
      </c>
      <c r="F114" s="225" t="s">
        <v>469</v>
      </c>
      <c r="G114" s="228" t="s">
        <v>328</v>
      </c>
      <c r="H114" s="228" t="s">
        <v>328</v>
      </c>
      <c r="I114" s="227" t="s">
        <v>2</v>
      </c>
      <c r="J114" s="227" t="s">
        <v>15</v>
      </c>
      <c r="K114" s="227" t="s">
        <v>16</v>
      </c>
      <c r="L114" s="228" t="s">
        <v>328</v>
      </c>
      <c r="M114" s="227" t="s">
        <v>328</v>
      </c>
      <c r="N114" s="228" t="s">
        <v>2</v>
      </c>
      <c r="O114" s="229" t="s">
        <v>2</v>
      </c>
      <c r="P114" s="229" t="s">
        <v>2</v>
      </c>
      <c r="Q114" s="229" t="s">
        <v>15</v>
      </c>
      <c r="R114" s="229" t="s">
        <v>15</v>
      </c>
      <c r="S114" s="229" t="s">
        <v>16</v>
      </c>
      <c r="T114" s="229" t="s">
        <v>375</v>
      </c>
      <c r="U114" s="229" t="s">
        <v>331</v>
      </c>
      <c r="V114" s="229" t="s">
        <v>2</v>
      </c>
      <c r="W114" s="230" t="s">
        <v>328</v>
      </c>
      <c r="X114" s="230" t="s">
        <v>328</v>
      </c>
      <c r="Y114" s="231" t="s">
        <v>328</v>
      </c>
    </row>
    <row r="115" spans="1:25">
      <c r="A115" s="223">
        <v>4</v>
      </c>
      <c r="B115" s="224" t="str">
        <f>VLOOKUP(Tabel10[[#This Row],[Locatiecode]],Ruimtegroepen[[#All],[Code]:[Ruimte omschrijving]],2,FALSE)</f>
        <v>Vergader/spreekkamers</v>
      </c>
      <c r="C115" s="225" t="s">
        <v>470</v>
      </c>
      <c r="D115" s="224" t="s">
        <v>1</v>
      </c>
      <c r="E115" s="226" t="s">
        <v>121</v>
      </c>
      <c r="F115" s="225" t="s">
        <v>471</v>
      </c>
      <c r="G115" s="228" t="s">
        <v>328</v>
      </c>
      <c r="H115" s="228" t="s">
        <v>328</v>
      </c>
      <c r="I115" s="227" t="s">
        <v>2</v>
      </c>
      <c r="J115" s="227" t="s">
        <v>15</v>
      </c>
      <c r="K115" s="227" t="s">
        <v>328</v>
      </c>
      <c r="L115" s="228" t="s">
        <v>328</v>
      </c>
      <c r="M115" s="227" t="s">
        <v>328</v>
      </c>
      <c r="N115" s="228" t="s">
        <v>328</v>
      </c>
      <c r="O115" s="229" t="s">
        <v>2</v>
      </c>
      <c r="P115" s="229" t="s">
        <v>2</v>
      </c>
      <c r="Q115" s="229" t="s">
        <v>15</v>
      </c>
      <c r="R115" s="229" t="s">
        <v>15</v>
      </c>
      <c r="S115" s="229" t="s">
        <v>16</v>
      </c>
      <c r="T115" s="229" t="s">
        <v>375</v>
      </c>
      <c r="U115" s="229" t="s">
        <v>331</v>
      </c>
      <c r="V115" s="229" t="s">
        <v>328</v>
      </c>
      <c r="W115" s="230" t="s">
        <v>328</v>
      </c>
      <c r="X115" s="230" t="s">
        <v>328</v>
      </c>
      <c r="Y115" s="231" t="s">
        <v>328</v>
      </c>
    </row>
    <row r="116" spans="1:25">
      <c r="A116" s="223">
        <v>4</v>
      </c>
      <c r="B116" s="224" t="str">
        <f>VLOOKUP(Tabel10[[#This Row],[Locatiecode]],Ruimtegroepen[[#All],[Code]:[Ruimte omschrijving]],2,FALSE)</f>
        <v>Vergader/spreekkamers</v>
      </c>
      <c r="C116" s="225" t="s">
        <v>470</v>
      </c>
      <c r="D116" s="224" t="s">
        <v>1</v>
      </c>
      <c r="E116" s="226" t="s">
        <v>120</v>
      </c>
      <c r="F116" s="225" t="s">
        <v>472</v>
      </c>
      <c r="G116" s="228" t="s">
        <v>20</v>
      </c>
      <c r="H116" s="228" t="s">
        <v>15</v>
      </c>
      <c r="I116" s="227" t="s">
        <v>328</v>
      </c>
      <c r="J116" s="227" t="s">
        <v>328</v>
      </c>
      <c r="K116" s="227" t="s">
        <v>328</v>
      </c>
      <c r="L116" s="228" t="s">
        <v>328</v>
      </c>
      <c r="M116" s="227" t="s">
        <v>328</v>
      </c>
      <c r="N116" s="228" t="s">
        <v>328</v>
      </c>
      <c r="O116" s="229" t="s">
        <v>2</v>
      </c>
      <c r="P116" s="229" t="s">
        <v>2</v>
      </c>
      <c r="Q116" s="229" t="s">
        <v>15</v>
      </c>
      <c r="R116" s="229" t="s">
        <v>15</v>
      </c>
      <c r="S116" s="229" t="s">
        <v>16</v>
      </c>
      <c r="T116" s="229" t="s">
        <v>375</v>
      </c>
      <c r="U116" s="229" t="s">
        <v>331</v>
      </c>
      <c r="V116" s="229" t="s">
        <v>328</v>
      </c>
      <c r="W116" s="230" t="s">
        <v>328</v>
      </c>
      <c r="X116" s="230" t="s">
        <v>328</v>
      </c>
      <c r="Y116" s="231" t="s">
        <v>328</v>
      </c>
    </row>
    <row r="117" spans="1:25">
      <c r="A117" s="223">
        <v>4</v>
      </c>
      <c r="B117" s="224" t="str">
        <f>VLOOKUP(Tabel10[[#This Row],[Locatiecode]],Ruimtegroepen[[#All],[Code]:[Ruimte omschrijving]],2,FALSE)</f>
        <v>Vergader/spreekkamers</v>
      </c>
      <c r="C117" s="225" t="s">
        <v>470</v>
      </c>
      <c r="D117" s="224" t="s">
        <v>1</v>
      </c>
      <c r="E117" s="226" t="s">
        <v>122</v>
      </c>
      <c r="F117" s="225" t="s">
        <v>473</v>
      </c>
      <c r="G117" s="228" t="s">
        <v>328</v>
      </c>
      <c r="H117" s="228" t="s">
        <v>328</v>
      </c>
      <c r="I117" s="227" t="s">
        <v>2</v>
      </c>
      <c r="J117" s="227" t="s">
        <v>15</v>
      </c>
      <c r="K117" s="227" t="s">
        <v>16</v>
      </c>
      <c r="L117" s="228" t="s">
        <v>328</v>
      </c>
      <c r="M117" s="227" t="s">
        <v>328</v>
      </c>
      <c r="N117" s="228" t="s">
        <v>328</v>
      </c>
      <c r="O117" s="229" t="s">
        <v>2</v>
      </c>
      <c r="P117" s="229" t="s">
        <v>2</v>
      </c>
      <c r="Q117" s="229" t="s">
        <v>15</v>
      </c>
      <c r="R117" s="229" t="s">
        <v>15</v>
      </c>
      <c r="S117" s="229" t="s">
        <v>16</v>
      </c>
      <c r="T117" s="229" t="s">
        <v>375</v>
      </c>
      <c r="U117" s="229" t="s">
        <v>331</v>
      </c>
      <c r="V117" s="229" t="s">
        <v>328</v>
      </c>
      <c r="W117" s="230" t="s">
        <v>328</v>
      </c>
      <c r="X117" s="230" t="s">
        <v>328</v>
      </c>
      <c r="Y117" s="231" t="s">
        <v>328</v>
      </c>
    </row>
    <row r="118" spans="1:25">
      <c r="A118" s="223">
        <v>4</v>
      </c>
      <c r="B118" s="224" t="str">
        <f>VLOOKUP(Tabel10[[#This Row],[Locatiecode]],Ruimtegroepen[[#All],[Code]:[Ruimte omschrijving]],2,FALSE)</f>
        <v>Vergader/spreekkamers</v>
      </c>
      <c r="C118" s="225" t="s">
        <v>470</v>
      </c>
      <c r="D118" s="224" t="s">
        <v>1</v>
      </c>
      <c r="E118" s="226" t="s">
        <v>123</v>
      </c>
      <c r="F118" s="225" t="s">
        <v>474</v>
      </c>
      <c r="G118" s="228" t="s">
        <v>328</v>
      </c>
      <c r="H118" s="228" t="s">
        <v>328</v>
      </c>
      <c r="I118" s="227" t="s">
        <v>2</v>
      </c>
      <c r="J118" s="227" t="s">
        <v>15</v>
      </c>
      <c r="K118" s="227" t="s">
        <v>16</v>
      </c>
      <c r="L118" s="228" t="s">
        <v>328</v>
      </c>
      <c r="M118" s="227" t="s">
        <v>328</v>
      </c>
      <c r="N118" s="228" t="s">
        <v>328</v>
      </c>
      <c r="O118" s="229" t="s">
        <v>2</v>
      </c>
      <c r="P118" s="229" t="s">
        <v>2</v>
      </c>
      <c r="Q118" s="229" t="s">
        <v>15</v>
      </c>
      <c r="R118" s="229" t="s">
        <v>15</v>
      </c>
      <c r="S118" s="229" t="s">
        <v>16</v>
      </c>
      <c r="T118" s="229" t="s">
        <v>375</v>
      </c>
      <c r="U118" s="229" t="s">
        <v>331</v>
      </c>
      <c r="V118" s="229" t="s">
        <v>328</v>
      </c>
      <c r="W118" s="230" t="s">
        <v>328</v>
      </c>
      <c r="X118" s="230" t="s">
        <v>328</v>
      </c>
      <c r="Y118" s="231" t="s">
        <v>328</v>
      </c>
    </row>
    <row r="119" spans="1:25">
      <c r="A119" s="223">
        <v>4</v>
      </c>
      <c r="B119" s="224" t="str">
        <f>VLOOKUP(Tabel10[[#This Row],[Locatiecode]],Ruimtegroepen[[#All],[Code]:[Ruimte omschrijving]],2,FALSE)</f>
        <v>Vergader/spreekkamers</v>
      </c>
      <c r="C119" s="225" t="s">
        <v>475</v>
      </c>
      <c r="D119" s="224" t="s">
        <v>21</v>
      </c>
      <c r="E119" s="226" t="s">
        <v>121</v>
      </c>
      <c r="F119" s="225" t="s">
        <v>476</v>
      </c>
      <c r="G119" s="228" t="s">
        <v>328</v>
      </c>
      <c r="H119" s="228" t="s">
        <v>328</v>
      </c>
      <c r="I119" s="227" t="s">
        <v>20</v>
      </c>
      <c r="J119" s="227" t="s">
        <v>15</v>
      </c>
      <c r="K119" s="227" t="s">
        <v>328</v>
      </c>
      <c r="L119" s="228" t="s">
        <v>328</v>
      </c>
      <c r="M119" s="227" t="s">
        <v>328</v>
      </c>
      <c r="N119" s="228" t="s">
        <v>328</v>
      </c>
      <c r="O119" s="229" t="s">
        <v>20</v>
      </c>
      <c r="P119" s="229" t="s">
        <v>20</v>
      </c>
      <c r="Q119" s="229" t="s">
        <v>15</v>
      </c>
      <c r="R119" s="229" t="s">
        <v>15</v>
      </c>
      <c r="S119" s="229" t="s">
        <v>16</v>
      </c>
      <c r="T119" s="229" t="s">
        <v>375</v>
      </c>
      <c r="U119" s="229" t="s">
        <v>331</v>
      </c>
      <c r="V119" s="229" t="s">
        <v>328</v>
      </c>
      <c r="W119" s="230" t="s">
        <v>328</v>
      </c>
      <c r="X119" s="230" t="s">
        <v>328</v>
      </c>
      <c r="Y119" s="231" t="s">
        <v>328</v>
      </c>
    </row>
    <row r="120" spans="1:25">
      <c r="A120" s="223">
        <v>4</v>
      </c>
      <c r="B120" s="224" t="str">
        <f>VLOOKUP(Tabel10[[#This Row],[Locatiecode]],Ruimtegroepen[[#All],[Code]:[Ruimte omschrijving]],2,FALSE)</f>
        <v>Vergader/spreekkamers</v>
      </c>
      <c r="C120" s="225" t="s">
        <v>475</v>
      </c>
      <c r="D120" s="224" t="s">
        <v>21</v>
      </c>
      <c r="E120" s="226" t="s">
        <v>120</v>
      </c>
      <c r="F120" s="225" t="s">
        <v>477</v>
      </c>
      <c r="G120" s="228" t="s">
        <v>18</v>
      </c>
      <c r="H120" s="228" t="s">
        <v>15</v>
      </c>
      <c r="I120" s="227" t="s">
        <v>328</v>
      </c>
      <c r="J120" s="227" t="s">
        <v>328</v>
      </c>
      <c r="K120" s="227" t="s">
        <v>328</v>
      </c>
      <c r="L120" s="228" t="s">
        <v>328</v>
      </c>
      <c r="M120" s="227" t="s">
        <v>328</v>
      </c>
      <c r="N120" s="228" t="s">
        <v>328</v>
      </c>
      <c r="O120" s="229" t="s">
        <v>20</v>
      </c>
      <c r="P120" s="229" t="s">
        <v>20</v>
      </c>
      <c r="Q120" s="229" t="s">
        <v>15</v>
      </c>
      <c r="R120" s="229" t="s">
        <v>15</v>
      </c>
      <c r="S120" s="229" t="s">
        <v>16</v>
      </c>
      <c r="T120" s="229" t="s">
        <v>375</v>
      </c>
      <c r="U120" s="229" t="s">
        <v>331</v>
      </c>
      <c r="V120" s="229" t="s">
        <v>328</v>
      </c>
      <c r="W120" s="230" t="s">
        <v>328</v>
      </c>
      <c r="X120" s="230" t="s">
        <v>328</v>
      </c>
      <c r="Y120" s="231" t="s">
        <v>328</v>
      </c>
    </row>
    <row r="121" spans="1:25">
      <c r="A121" s="223">
        <v>4</v>
      </c>
      <c r="B121" s="224" t="str">
        <f>VLOOKUP(Tabel10[[#This Row],[Locatiecode]],Ruimtegroepen[[#All],[Code]:[Ruimte omschrijving]],2,FALSE)</f>
        <v>Vergader/spreekkamers</v>
      </c>
      <c r="C121" s="225" t="s">
        <v>475</v>
      </c>
      <c r="D121" s="224" t="s">
        <v>21</v>
      </c>
      <c r="E121" s="226" t="s">
        <v>122</v>
      </c>
      <c r="F121" s="225" t="s">
        <v>478</v>
      </c>
      <c r="G121" s="228" t="s">
        <v>328</v>
      </c>
      <c r="H121" s="228" t="s">
        <v>328</v>
      </c>
      <c r="I121" s="227" t="s">
        <v>20</v>
      </c>
      <c r="J121" s="227" t="s">
        <v>15</v>
      </c>
      <c r="K121" s="227" t="s">
        <v>16</v>
      </c>
      <c r="L121" s="228" t="s">
        <v>328</v>
      </c>
      <c r="M121" s="227" t="s">
        <v>328</v>
      </c>
      <c r="N121" s="228" t="s">
        <v>328</v>
      </c>
      <c r="O121" s="229" t="s">
        <v>20</v>
      </c>
      <c r="P121" s="229" t="s">
        <v>20</v>
      </c>
      <c r="Q121" s="229" t="s">
        <v>15</v>
      </c>
      <c r="R121" s="229" t="s">
        <v>15</v>
      </c>
      <c r="S121" s="229" t="s">
        <v>16</v>
      </c>
      <c r="T121" s="229" t="s">
        <v>375</v>
      </c>
      <c r="U121" s="229" t="s">
        <v>331</v>
      </c>
      <c r="V121" s="229" t="s">
        <v>328</v>
      </c>
      <c r="W121" s="230" t="s">
        <v>328</v>
      </c>
      <c r="X121" s="230" t="s">
        <v>328</v>
      </c>
      <c r="Y121" s="231" t="s">
        <v>328</v>
      </c>
    </row>
    <row r="122" spans="1:25">
      <c r="A122" s="223">
        <v>4</v>
      </c>
      <c r="B122" s="224" t="str">
        <f>VLOOKUP(Tabel10[[#This Row],[Locatiecode]],Ruimtegroepen[[#All],[Code]:[Ruimte omschrijving]],2,FALSE)</f>
        <v>Vergader/spreekkamers</v>
      </c>
      <c r="C122" s="225" t="s">
        <v>475</v>
      </c>
      <c r="D122" s="224" t="s">
        <v>21</v>
      </c>
      <c r="E122" s="226" t="s">
        <v>123</v>
      </c>
      <c r="F122" s="225" t="s">
        <v>479</v>
      </c>
      <c r="G122" s="228" t="s">
        <v>328</v>
      </c>
      <c r="H122" s="228" t="s">
        <v>328</v>
      </c>
      <c r="I122" s="227" t="s">
        <v>20</v>
      </c>
      <c r="J122" s="227" t="s">
        <v>15</v>
      </c>
      <c r="K122" s="227" t="s">
        <v>16</v>
      </c>
      <c r="L122" s="228" t="s">
        <v>328</v>
      </c>
      <c r="M122" s="227" t="s">
        <v>328</v>
      </c>
      <c r="N122" s="228" t="s">
        <v>328</v>
      </c>
      <c r="O122" s="229" t="s">
        <v>20</v>
      </c>
      <c r="P122" s="229" t="s">
        <v>20</v>
      </c>
      <c r="Q122" s="229" t="s">
        <v>15</v>
      </c>
      <c r="R122" s="229" t="s">
        <v>15</v>
      </c>
      <c r="S122" s="229" t="s">
        <v>16</v>
      </c>
      <c r="T122" s="229" t="s">
        <v>375</v>
      </c>
      <c r="U122" s="229" t="s">
        <v>331</v>
      </c>
      <c r="V122" s="229" t="s">
        <v>328</v>
      </c>
      <c r="W122" s="230" t="s">
        <v>328</v>
      </c>
      <c r="X122" s="230" t="s">
        <v>328</v>
      </c>
      <c r="Y122" s="231" t="s">
        <v>328</v>
      </c>
    </row>
    <row r="123" spans="1:25">
      <c r="A123" s="223">
        <v>4</v>
      </c>
      <c r="B123" s="224" t="str">
        <f>VLOOKUP(Tabel10[[#This Row],[Locatiecode]],Ruimtegroepen[[#All],[Code]:[Ruimte omschrijving]],2,FALSE)</f>
        <v>Vergader/spreekkamers</v>
      </c>
      <c r="C123" s="225" t="s">
        <v>480</v>
      </c>
      <c r="D123" s="224" t="s">
        <v>12</v>
      </c>
      <c r="E123" s="226" t="s">
        <v>121</v>
      </c>
      <c r="F123" s="225" t="s">
        <v>481</v>
      </c>
      <c r="G123" s="228" t="s">
        <v>328</v>
      </c>
      <c r="H123" s="228" t="s">
        <v>328</v>
      </c>
      <c r="I123" s="227" t="s">
        <v>18</v>
      </c>
      <c r="J123" s="227" t="s">
        <v>15</v>
      </c>
      <c r="K123" s="227" t="s">
        <v>328</v>
      </c>
      <c r="L123" s="228" t="s">
        <v>328</v>
      </c>
      <c r="M123" s="227" t="s">
        <v>328</v>
      </c>
      <c r="N123" s="228" t="s">
        <v>328</v>
      </c>
      <c r="O123" s="229" t="s">
        <v>18</v>
      </c>
      <c r="P123" s="229" t="s">
        <v>18</v>
      </c>
      <c r="Q123" s="229" t="s">
        <v>15</v>
      </c>
      <c r="R123" s="229" t="s">
        <v>15</v>
      </c>
      <c r="S123" s="229" t="s">
        <v>16</v>
      </c>
      <c r="T123" s="229" t="s">
        <v>375</v>
      </c>
      <c r="U123" s="229" t="s">
        <v>331</v>
      </c>
      <c r="V123" s="229" t="s">
        <v>328</v>
      </c>
      <c r="W123" s="230" t="s">
        <v>328</v>
      </c>
      <c r="X123" s="230" t="s">
        <v>328</v>
      </c>
      <c r="Y123" s="231" t="s">
        <v>328</v>
      </c>
    </row>
    <row r="124" spans="1:25">
      <c r="A124" s="223">
        <v>4</v>
      </c>
      <c r="B124" s="224" t="str">
        <f>VLOOKUP(Tabel10[[#This Row],[Locatiecode]],Ruimtegroepen[[#All],[Code]:[Ruimte omschrijving]],2,FALSE)</f>
        <v>Vergader/spreekkamers</v>
      </c>
      <c r="C124" s="225" t="s">
        <v>480</v>
      </c>
      <c r="D124" s="224" t="s">
        <v>12</v>
      </c>
      <c r="E124" s="226" t="s">
        <v>120</v>
      </c>
      <c r="F124" s="225" t="s">
        <v>482</v>
      </c>
      <c r="G124" s="228" t="s">
        <v>17</v>
      </c>
      <c r="H124" s="228" t="s">
        <v>15</v>
      </c>
      <c r="I124" s="227" t="s">
        <v>328</v>
      </c>
      <c r="J124" s="227" t="s">
        <v>328</v>
      </c>
      <c r="K124" s="227" t="s">
        <v>328</v>
      </c>
      <c r="L124" s="228" t="s">
        <v>328</v>
      </c>
      <c r="M124" s="227" t="s">
        <v>328</v>
      </c>
      <c r="N124" s="228" t="s">
        <v>328</v>
      </c>
      <c r="O124" s="229" t="s">
        <v>18</v>
      </c>
      <c r="P124" s="229" t="s">
        <v>18</v>
      </c>
      <c r="Q124" s="229" t="s">
        <v>15</v>
      </c>
      <c r="R124" s="229" t="s">
        <v>15</v>
      </c>
      <c r="S124" s="229" t="s">
        <v>16</v>
      </c>
      <c r="T124" s="229" t="s">
        <v>375</v>
      </c>
      <c r="U124" s="229" t="s">
        <v>331</v>
      </c>
      <c r="V124" s="229" t="s">
        <v>328</v>
      </c>
      <c r="W124" s="230" t="s">
        <v>328</v>
      </c>
      <c r="X124" s="230" t="s">
        <v>328</v>
      </c>
      <c r="Y124" s="231" t="s">
        <v>328</v>
      </c>
    </row>
    <row r="125" spans="1:25">
      <c r="A125" s="223">
        <v>4</v>
      </c>
      <c r="B125" s="224" t="str">
        <f>VLOOKUP(Tabel10[[#This Row],[Locatiecode]],Ruimtegroepen[[#All],[Code]:[Ruimte omschrijving]],2,FALSE)</f>
        <v>Vergader/spreekkamers</v>
      </c>
      <c r="C125" s="225" t="s">
        <v>480</v>
      </c>
      <c r="D125" s="224" t="s">
        <v>12</v>
      </c>
      <c r="E125" s="226" t="s">
        <v>122</v>
      </c>
      <c r="F125" s="225" t="s">
        <v>483</v>
      </c>
      <c r="G125" s="228" t="s">
        <v>328</v>
      </c>
      <c r="H125" s="228" t="s">
        <v>328</v>
      </c>
      <c r="I125" s="227" t="s">
        <v>18</v>
      </c>
      <c r="J125" s="227" t="s">
        <v>15</v>
      </c>
      <c r="K125" s="227" t="s">
        <v>16</v>
      </c>
      <c r="L125" s="228" t="s">
        <v>328</v>
      </c>
      <c r="M125" s="227" t="s">
        <v>328</v>
      </c>
      <c r="N125" s="228" t="s">
        <v>328</v>
      </c>
      <c r="O125" s="229" t="s">
        <v>18</v>
      </c>
      <c r="P125" s="229" t="s">
        <v>18</v>
      </c>
      <c r="Q125" s="229" t="s">
        <v>15</v>
      </c>
      <c r="R125" s="229" t="s">
        <v>15</v>
      </c>
      <c r="S125" s="229" t="s">
        <v>16</v>
      </c>
      <c r="T125" s="229" t="s">
        <v>375</v>
      </c>
      <c r="U125" s="229" t="s">
        <v>331</v>
      </c>
      <c r="V125" s="229" t="s">
        <v>328</v>
      </c>
      <c r="W125" s="230" t="s">
        <v>328</v>
      </c>
      <c r="X125" s="230" t="s">
        <v>328</v>
      </c>
      <c r="Y125" s="231" t="s">
        <v>328</v>
      </c>
    </row>
    <row r="126" spans="1:25">
      <c r="A126" s="223">
        <v>4</v>
      </c>
      <c r="B126" s="224" t="str">
        <f>VLOOKUP(Tabel10[[#This Row],[Locatiecode]],Ruimtegroepen[[#All],[Code]:[Ruimte omschrijving]],2,FALSE)</f>
        <v>Vergader/spreekkamers</v>
      </c>
      <c r="C126" s="225" t="s">
        <v>480</v>
      </c>
      <c r="D126" s="224" t="s">
        <v>12</v>
      </c>
      <c r="E126" s="226" t="s">
        <v>123</v>
      </c>
      <c r="F126" s="225" t="s">
        <v>484</v>
      </c>
      <c r="G126" s="228" t="s">
        <v>328</v>
      </c>
      <c r="H126" s="228" t="s">
        <v>328</v>
      </c>
      <c r="I126" s="227" t="s">
        <v>18</v>
      </c>
      <c r="J126" s="227" t="s">
        <v>15</v>
      </c>
      <c r="K126" s="227" t="s">
        <v>16</v>
      </c>
      <c r="L126" s="228" t="s">
        <v>328</v>
      </c>
      <c r="M126" s="227" t="s">
        <v>328</v>
      </c>
      <c r="N126" s="228" t="s">
        <v>328</v>
      </c>
      <c r="O126" s="229" t="s">
        <v>18</v>
      </c>
      <c r="P126" s="229" t="s">
        <v>18</v>
      </c>
      <c r="Q126" s="229" t="s">
        <v>15</v>
      </c>
      <c r="R126" s="229" t="s">
        <v>15</v>
      </c>
      <c r="S126" s="229" t="s">
        <v>16</v>
      </c>
      <c r="T126" s="229" t="s">
        <v>375</v>
      </c>
      <c r="U126" s="229" t="s">
        <v>331</v>
      </c>
      <c r="V126" s="229" t="s">
        <v>328</v>
      </c>
      <c r="W126" s="230" t="s">
        <v>328</v>
      </c>
      <c r="X126" s="230" t="s">
        <v>328</v>
      </c>
      <c r="Y126" s="231" t="s">
        <v>328</v>
      </c>
    </row>
    <row r="127" spans="1:25">
      <c r="A127" s="223">
        <v>4</v>
      </c>
      <c r="B127" s="224" t="str">
        <f>VLOOKUP(Tabel10[[#This Row],[Locatiecode]],Ruimtegroepen[[#All],[Code]:[Ruimte omschrijving]],2,FALSE)</f>
        <v>Vergader/spreekkamers</v>
      </c>
      <c r="C127" s="225" t="s">
        <v>485</v>
      </c>
      <c r="D127" s="224" t="s">
        <v>14</v>
      </c>
      <c r="E127" s="226" t="s">
        <v>121</v>
      </c>
      <c r="F127" s="225" t="s">
        <v>486</v>
      </c>
      <c r="G127" s="228" t="s">
        <v>328</v>
      </c>
      <c r="H127" s="228" t="s">
        <v>328</v>
      </c>
      <c r="I127" s="227" t="s">
        <v>17</v>
      </c>
      <c r="J127" s="227" t="s">
        <v>15</v>
      </c>
      <c r="K127" s="227" t="s">
        <v>328</v>
      </c>
      <c r="L127" s="228" t="s">
        <v>328</v>
      </c>
      <c r="M127" s="227" t="s">
        <v>328</v>
      </c>
      <c r="N127" s="228" t="s">
        <v>328</v>
      </c>
      <c r="O127" s="229" t="s">
        <v>17</v>
      </c>
      <c r="P127" s="229" t="s">
        <v>17</v>
      </c>
      <c r="Q127" s="229" t="s">
        <v>15</v>
      </c>
      <c r="R127" s="229" t="s">
        <v>15</v>
      </c>
      <c r="S127" s="229" t="s">
        <v>16</v>
      </c>
      <c r="T127" s="229" t="s">
        <v>375</v>
      </c>
      <c r="U127" s="229" t="s">
        <v>331</v>
      </c>
      <c r="V127" s="229" t="s">
        <v>328</v>
      </c>
      <c r="W127" s="230" t="s">
        <v>328</v>
      </c>
      <c r="X127" s="230" t="s">
        <v>328</v>
      </c>
      <c r="Y127" s="231" t="s">
        <v>328</v>
      </c>
    </row>
    <row r="128" spans="1:25">
      <c r="A128" s="223">
        <v>4</v>
      </c>
      <c r="B128" s="224" t="str">
        <f>VLOOKUP(Tabel10[[#This Row],[Locatiecode]],Ruimtegroepen[[#All],[Code]:[Ruimte omschrijving]],2,FALSE)</f>
        <v>Vergader/spreekkamers</v>
      </c>
      <c r="C128" s="225" t="s">
        <v>485</v>
      </c>
      <c r="D128" s="224" t="s">
        <v>14</v>
      </c>
      <c r="E128" s="226" t="s">
        <v>120</v>
      </c>
      <c r="F128" s="225" t="s">
        <v>487</v>
      </c>
      <c r="G128" s="227" t="s">
        <v>15</v>
      </c>
      <c r="H128" s="228" t="s">
        <v>15</v>
      </c>
      <c r="I128" s="227" t="s">
        <v>328</v>
      </c>
      <c r="J128" s="227" t="s">
        <v>328</v>
      </c>
      <c r="K128" s="227" t="s">
        <v>328</v>
      </c>
      <c r="L128" s="228" t="s">
        <v>328</v>
      </c>
      <c r="M128" s="227" t="s">
        <v>328</v>
      </c>
      <c r="N128" s="228" t="s">
        <v>328</v>
      </c>
      <c r="O128" s="229" t="s">
        <v>17</v>
      </c>
      <c r="P128" s="229" t="s">
        <v>17</v>
      </c>
      <c r="Q128" s="229" t="s">
        <v>15</v>
      </c>
      <c r="R128" s="229" t="s">
        <v>15</v>
      </c>
      <c r="S128" s="229" t="s">
        <v>16</v>
      </c>
      <c r="T128" s="229" t="s">
        <v>375</v>
      </c>
      <c r="U128" s="229" t="s">
        <v>331</v>
      </c>
      <c r="V128" s="229" t="s">
        <v>328</v>
      </c>
      <c r="W128" s="230" t="s">
        <v>328</v>
      </c>
      <c r="X128" s="230" t="s">
        <v>328</v>
      </c>
      <c r="Y128" s="231" t="s">
        <v>328</v>
      </c>
    </row>
    <row r="129" spans="1:25">
      <c r="A129" s="223">
        <v>4</v>
      </c>
      <c r="B129" s="224" t="str">
        <f>VLOOKUP(Tabel10[[#This Row],[Locatiecode]],Ruimtegroepen[[#All],[Code]:[Ruimte omschrijving]],2,FALSE)</f>
        <v>Vergader/spreekkamers</v>
      </c>
      <c r="C129" s="225" t="s">
        <v>485</v>
      </c>
      <c r="D129" s="224" t="s">
        <v>14</v>
      </c>
      <c r="E129" s="226" t="s">
        <v>122</v>
      </c>
      <c r="F129" s="225" t="s">
        <v>488</v>
      </c>
      <c r="G129" s="228" t="s">
        <v>328</v>
      </c>
      <c r="H129" s="228" t="s">
        <v>328</v>
      </c>
      <c r="I129" s="227" t="s">
        <v>17</v>
      </c>
      <c r="J129" s="227" t="s">
        <v>15</v>
      </c>
      <c r="K129" s="227" t="s">
        <v>16</v>
      </c>
      <c r="L129" s="228" t="s">
        <v>328</v>
      </c>
      <c r="M129" s="227" t="s">
        <v>328</v>
      </c>
      <c r="N129" s="228" t="s">
        <v>328</v>
      </c>
      <c r="O129" s="229" t="s">
        <v>17</v>
      </c>
      <c r="P129" s="229" t="s">
        <v>17</v>
      </c>
      <c r="Q129" s="229" t="s">
        <v>15</v>
      </c>
      <c r="R129" s="229" t="s">
        <v>15</v>
      </c>
      <c r="S129" s="229" t="s">
        <v>16</v>
      </c>
      <c r="T129" s="229" t="s">
        <v>375</v>
      </c>
      <c r="U129" s="229" t="s">
        <v>331</v>
      </c>
      <c r="V129" s="229" t="s">
        <v>328</v>
      </c>
      <c r="W129" s="230" t="s">
        <v>328</v>
      </c>
      <c r="X129" s="230" t="s">
        <v>328</v>
      </c>
      <c r="Y129" s="231" t="s">
        <v>328</v>
      </c>
    </row>
    <row r="130" spans="1:25">
      <c r="A130" s="223">
        <v>4</v>
      </c>
      <c r="B130" s="224" t="str">
        <f>VLOOKUP(Tabel10[[#This Row],[Locatiecode]],Ruimtegroepen[[#All],[Code]:[Ruimte omschrijving]],2,FALSE)</f>
        <v>Vergader/spreekkamers</v>
      </c>
      <c r="C130" s="225" t="s">
        <v>485</v>
      </c>
      <c r="D130" s="224" t="s">
        <v>14</v>
      </c>
      <c r="E130" s="226" t="s">
        <v>123</v>
      </c>
      <c r="F130" s="225" t="s">
        <v>489</v>
      </c>
      <c r="G130" s="228" t="s">
        <v>328</v>
      </c>
      <c r="H130" s="228" t="s">
        <v>328</v>
      </c>
      <c r="I130" s="227" t="s">
        <v>17</v>
      </c>
      <c r="J130" s="227" t="s">
        <v>15</v>
      </c>
      <c r="K130" s="227" t="s">
        <v>16</v>
      </c>
      <c r="L130" s="228" t="s">
        <v>328</v>
      </c>
      <c r="M130" s="227" t="s">
        <v>328</v>
      </c>
      <c r="N130" s="228" t="s">
        <v>328</v>
      </c>
      <c r="O130" s="229" t="s">
        <v>17</v>
      </c>
      <c r="P130" s="229" t="s">
        <v>17</v>
      </c>
      <c r="Q130" s="229" t="s">
        <v>15</v>
      </c>
      <c r="R130" s="229" t="s">
        <v>15</v>
      </c>
      <c r="S130" s="229" t="s">
        <v>16</v>
      </c>
      <c r="T130" s="229" t="s">
        <v>375</v>
      </c>
      <c r="U130" s="229" t="s">
        <v>331</v>
      </c>
      <c r="V130" s="229" t="s">
        <v>328</v>
      </c>
      <c r="W130" s="230" t="s">
        <v>328</v>
      </c>
      <c r="X130" s="230" t="s">
        <v>328</v>
      </c>
      <c r="Y130" s="231" t="s">
        <v>328</v>
      </c>
    </row>
    <row r="131" spans="1:25">
      <c r="A131" s="223">
        <v>4</v>
      </c>
      <c r="B131" s="224" t="str">
        <f>VLOOKUP(Tabel10[[#This Row],[Locatiecode]],Ruimtegroepen[[#All],[Code]:[Ruimte omschrijving]],2,FALSE)</f>
        <v>Vergader/spreekkamers</v>
      </c>
      <c r="C131" s="225" t="s">
        <v>490</v>
      </c>
      <c r="D131" s="224" t="s">
        <v>13</v>
      </c>
      <c r="E131" s="226" t="s">
        <v>121</v>
      </c>
      <c r="F131" s="225" t="s">
        <v>491</v>
      </c>
      <c r="G131" s="228" t="s">
        <v>328</v>
      </c>
      <c r="H131" s="228" t="s">
        <v>328</v>
      </c>
      <c r="I131" s="227" t="s">
        <v>15</v>
      </c>
      <c r="J131" s="227" t="s">
        <v>15</v>
      </c>
      <c r="K131" s="227" t="s">
        <v>328</v>
      </c>
      <c r="L131" s="228" t="s">
        <v>328</v>
      </c>
      <c r="M131" s="227" t="s">
        <v>328</v>
      </c>
      <c r="N131" s="228" t="s">
        <v>328</v>
      </c>
      <c r="O131" s="229" t="s">
        <v>15</v>
      </c>
      <c r="P131" s="229" t="s">
        <v>15</v>
      </c>
      <c r="Q131" s="229" t="s">
        <v>15</v>
      </c>
      <c r="R131" s="229" t="s">
        <v>15</v>
      </c>
      <c r="S131" s="229" t="s">
        <v>16</v>
      </c>
      <c r="T131" s="229" t="s">
        <v>375</v>
      </c>
      <c r="U131" s="229" t="s">
        <v>331</v>
      </c>
      <c r="V131" s="229" t="s">
        <v>328</v>
      </c>
      <c r="W131" s="230" t="s">
        <v>328</v>
      </c>
      <c r="X131" s="230" t="s">
        <v>328</v>
      </c>
      <c r="Y131" s="231" t="s">
        <v>328</v>
      </c>
    </row>
    <row r="132" spans="1:25">
      <c r="A132" s="223">
        <v>4</v>
      </c>
      <c r="B132" s="224" t="str">
        <f>VLOOKUP(Tabel10[[#This Row],[Locatiecode]],Ruimtegroepen[[#All],[Code]:[Ruimte omschrijving]],2,FALSE)</f>
        <v>Vergader/spreekkamers</v>
      </c>
      <c r="C132" s="225" t="s">
        <v>490</v>
      </c>
      <c r="D132" s="224" t="s">
        <v>13</v>
      </c>
      <c r="E132" s="226" t="s">
        <v>120</v>
      </c>
      <c r="F132" s="225" t="s">
        <v>492</v>
      </c>
      <c r="G132" s="228" t="s">
        <v>15</v>
      </c>
      <c r="H132" s="228" t="s">
        <v>15</v>
      </c>
      <c r="I132" s="227" t="s">
        <v>328</v>
      </c>
      <c r="J132" s="227" t="s">
        <v>328</v>
      </c>
      <c r="K132" s="227" t="s">
        <v>328</v>
      </c>
      <c r="L132" s="228" t="s">
        <v>328</v>
      </c>
      <c r="M132" s="227" t="s">
        <v>328</v>
      </c>
      <c r="N132" s="228" t="s">
        <v>328</v>
      </c>
      <c r="O132" s="229" t="s">
        <v>15</v>
      </c>
      <c r="P132" s="229" t="s">
        <v>15</v>
      </c>
      <c r="Q132" s="229" t="s">
        <v>15</v>
      </c>
      <c r="R132" s="229" t="s">
        <v>15</v>
      </c>
      <c r="S132" s="229" t="s">
        <v>16</v>
      </c>
      <c r="T132" s="229" t="s">
        <v>375</v>
      </c>
      <c r="U132" s="229" t="s">
        <v>331</v>
      </c>
      <c r="V132" s="229" t="s">
        <v>328</v>
      </c>
      <c r="W132" s="230" t="s">
        <v>328</v>
      </c>
      <c r="X132" s="230" t="s">
        <v>328</v>
      </c>
      <c r="Y132" s="231" t="s">
        <v>328</v>
      </c>
    </row>
    <row r="133" spans="1:25">
      <c r="A133" s="223">
        <v>4</v>
      </c>
      <c r="B133" s="224" t="str">
        <f>VLOOKUP(Tabel10[[#This Row],[Locatiecode]],Ruimtegroepen[[#All],[Code]:[Ruimte omschrijving]],2,FALSE)</f>
        <v>Vergader/spreekkamers</v>
      </c>
      <c r="C133" s="225" t="s">
        <v>490</v>
      </c>
      <c r="D133" s="224" t="s">
        <v>13</v>
      </c>
      <c r="E133" s="226" t="s">
        <v>122</v>
      </c>
      <c r="F133" s="225" t="s">
        <v>493</v>
      </c>
      <c r="G133" s="228" t="s">
        <v>328</v>
      </c>
      <c r="H133" s="228" t="s">
        <v>328</v>
      </c>
      <c r="I133" s="227" t="s">
        <v>15</v>
      </c>
      <c r="J133" s="227" t="s">
        <v>15</v>
      </c>
      <c r="K133" s="227" t="s">
        <v>16</v>
      </c>
      <c r="L133" s="228" t="s">
        <v>328</v>
      </c>
      <c r="M133" s="227" t="s">
        <v>328</v>
      </c>
      <c r="N133" s="228" t="s">
        <v>328</v>
      </c>
      <c r="O133" s="229" t="s">
        <v>15</v>
      </c>
      <c r="P133" s="229" t="s">
        <v>15</v>
      </c>
      <c r="Q133" s="229" t="s">
        <v>15</v>
      </c>
      <c r="R133" s="229" t="s">
        <v>15</v>
      </c>
      <c r="S133" s="229" t="s">
        <v>16</v>
      </c>
      <c r="T133" s="229" t="s">
        <v>375</v>
      </c>
      <c r="U133" s="229" t="s">
        <v>331</v>
      </c>
      <c r="V133" s="229" t="s">
        <v>328</v>
      </c>
      <c r="W133" s="230" t="s">
        <v>328</v>
      </c>
      <c r="X133" s="230" t="s">
        <v>328</v>
      </c>
      <c r="Y133" s="231" t="s">
        <v>328</v>
      </c>
    </row>
    <row r="134" spans="1:25">
      <c r="A134" s="223">
        <v>4</v>
      </c>
      <c r="B134" s="224" t="str">
        <f>VLOOKUP(Tabel10[[#This Row],[Locatiecode]],Ruimtegroepen[[#All],[Code]:[Ruimte omschrijving]],2,FALSE)</f>
        <v>Vergader/spreekkamers</v>
      </c>
      <c r="C134" s="225" t="s">
        <v>490</v>
      </c>
      <c r="D134" s="224" t="s">
        <v>13</v>
      </c>
      <c r="E134" s="226" t="s">
        <v>123</v>
      </c>
      <c r="F134" s="225" t="s">
        <v>494</v>
      </c>
      <c r="G134" s="228" t="s">
        <v>328</v>
      </c>
      <c r="H134" s="228" t="s">
        <v>328</v>
      </c>
      <c r="I134" s="227" t="s">
        <v>15</v>
      </c>
      <c r="J134" s="227" t="s">
        <v>15</v>
      </c>
      <c r="K134" s="227" t="s">
        <v>16</v>
      </c>
      <c r="L134" s="228" t="s">
        <v>328</v>
      </c>
      <c r="M134" s="227" t="s">
        <v>328</v>
      </c>
      <c r="N134" s="228" t="s">
        <v>328</v>
      </c>
      <c r="O134" s="229" t="s">
        <v>15</v>
      </c>
      <c r="P134" s="229" t="s">
        <v>15</v>
      </c>
      <c r="Q134" s="229" t="s">
        <v>15</v>
      </c>
      <c r="R134" s="229" t="s">
        <v>15</v>
      </c>
      <c r="S134" s="229" t="s">
        <v>16</v>
      </c>
      <c r="T134" s="229" t="s">
        <v>375</v>
      </c>
      <c r="U134" s="229" t="s">
        <v>331</v>
      </c>
      <c r="V134" s="229" t="s">
        <v>328</v>
      </c>
      <c r="W134" s="230" t="s">
        <v>328</v>
      </c>
      <c r="X134" s="230" t="s">
        <v>328</v>
      </c>
      <c r="Y134" s="231" t="s">
        <v>328</v>
      </c>
    </row>
    <row r="135" spans="1:25">
      <c r="A135" s="223">
        <v>4</v>
      </c>
      <c r="B135" s="224" t="str">
        <f>VLOOKUP(Tabel10[[#This Row],[Locatiecode]],Ruimtegroepen[[#All],[Code]:[Ruimte omschrijving]],2,FALSE)</f>
        <v>Vergader/spreekkamers</v>
      </c>
      <c r="C135" s="225" t="s">
        <v>495</v>
      </c>
      <c r="D135" s="224" t="s">
        <v>0</v>
      </c>
      <c r="E135" s="226" t="s">
        <v>121</v>
      </c>
      <c r="F135" s="225" t="s">
        <v>496</v>
      </c>
      <c r="G135" s="228" t="s">
        <v>328</v>
      </c>
      <c r="H135" s="228" t="s">
        <v>328</v>
      </c>
      <c r="I135" s="227" t="s">
        <v>16</v>
      </c>
      <c r="J135" s="227" t="s">
        <v>16</v>
      </c>
      <c r="K135" s="227" t="s">
        <v>328</v>
      </c>
      <c r="L135" s="228" t="s">
        <v>328</v>
      </c>
      <c r="M135" s="227" t="s">
        <v>328</v>
      </c>
      <c r="N135" s="228" t="s">
        <v>328</v>
      </c>
      <c r="O135" s="229" t="s">
        <v>16</v>
      </c>
      <c r="P135" s="229" t="s">
        <v>16</v>
      </c>
      <c r="Q135" s="229" t="s">
        <v>16</v>
      </c>
      <c r="R135" s="229" t="s">
        <v>16</v>
      </c>
      <c r="S135" s="229" t="s">
        <v>16</v>
      </c>
      <c r="T135" s="229" t="s">
        <v>375</v>
      </c>
      <c r="U135" s="229" t="s">
        <v>331</v>
      </c>
      <c r="V135" s="229" t="s">
        <v>328</v>
      </c>
      <c r="W135" s="230" t="s">
        <v>328</v>
      </c>
      <c r="X135" s="230" t="s">
        <v>328</v>
      </c>
      <c r="Y135" s="231" t="s">
        <v>328</v>
      </c>
    </row>
    <row r="136" spans="1:25">
      <c r="A136" s="223">
        <v>4</v>
      </c>
      <c r="B136" s="224" t="str">
        <f>VLOOKUP(Tabel10[[#This Row],[Locatiecode]],Ruimtegroepen[[#All],[Code]:[Ruimte omschrijving]],2,FALSE)</f>
        <v>Vergader/spreekkamers</v>
      </c>
      <c r="C136" s="225" t="s">
        <v>495</v>
      </c>
      <c r="D136" s="224" t="s">
        <v>0</v>
      </c>
      <c r="E136" s="226" t="s">
        <v>120</v>
      </c>
      <c r="F136" s="225" t="s">
        <v>497</v>
      </c>
      <c r="G136" s="228" t="s">
        <v>407</v>
      </c>
      <c r="H136" s="228" t="s">
        <v>16</v>
      </c>
      <c r="I136" s="227" t="s">
        <v>328</v>
      </c>
      <c r="J136" s="227" t="s">
        <v>328</v>
      </c>
      <c r="K136" s="227" t="s">
        <v>328</v>
      </c>
      <c r="L136" s="228" t="s">
        <v>328</v>
      </c>
      <c r="M136" s="227" t="s">
        <v>328</v>
      </c>
      <c r="N136" s="228" t="s">
        <v>328</v>
      </c>
      <c r="O136" s="229" t="s">
        <v>16</v>
      </c>
      <c r="P136" s="229" t="s">
        <v>16</v>
      </c>
      <c r="Q136" s="229" t="s">
        <v>16</v>
      </c>
      <c r="R136" s="229" t="s">
        <v>16</v>
      </c>
      <c r="S136" s="229" t="s">
        <v>16</v>
      </c>
      <c r="T136" s="229" t="s">
        <v>375</v>
      </c>
      <c r="U136" s="229" t="s">
        <v>331</v>
      </c>
      <c r="V136" s="229" t="s">
        <v>328</v>
      </c>
      <c r="W136" s="230" t="s">
        <v>328</v>
      </c>
      <c r="X136" s="230" t="s">
        <v>328</v>
      </c>
      <c r="Y136" s="231" t="s">
        <v>328</v>
      </c>
    </row>
    <row r="137" spans="1:25">
      <c r="A137" s="223">
        <v>4</v>
      </c>
      <c r="B137" s="224" t="str">
        <f>VLOOKUP(Tabel10[[#This Row],[Locatiecode]],Ruimtegroepen[[#All],[Code]:[Ruimte omschrijving]],2,FALSE)</f>
        <v>Vergader/spreekkamers</v>
      </c>
      <c r="C137" s="225" t="s">
        <v>495</v>
      </c>
      <c r="D137" s="224" t="s">
        <v>0</v>
      </c>
      <c r="E137" s="226" t="s">
        <v>122</v>
      </c>
      <c r="F137" s="225" t="s">
        <v>498</v>
      </c>
      <c r="G137" s="228" t="s">
        <v>328</v>
      </c>
      <c r="H137" s="228" t="s">
        <v>328</v>
      </c>
      <c r="I137" s="227" t="s">
        <v>16</v>
      </c>
      <c r="J137" s="227" t="s">
        <v>16</v>
      </c>
      <c r="K137" s="227" t="s">
        <v>16</v>
      </c>
      <c r="L137" s="228" t="s">
        <v>328</v>
      </c>
      <c r="M137" s="227" t="s">
        <v>328</v>
      </c>
      <c r="N137" s="228" t="s">
        <v>328</v>
      </c>
      <c r="O137" s="229" t="s">
        <v>16</v>
      </c>
      <c r="P137" s="229" t="s">
        <v>16</v>
      </c>
      <c r="Q137" s="229" t="s">
        <v>16</v>
      </c>
      <c r="R137" s="229" t="s">
        <v>16</v>
      </c>
      <c r="S137" s="229" t="s">
        <v>16</v>
      </c>
      <c r="T137" s="229" t="s">
        <v>375</v>
      </c>
      <c r="U137" s="229" t="s">
        <v>331</v>
      </c>
      <c r="V137" s="229" t="s">
        <v>328</v>
      </c>
      <c r="W137" s="230" t="s">
        <v>328</v>
      </c>
      <c r="X137" s="230" t="s">
        <v>328</v>
      </c>
      <c r="Y137" s="231" t="s">
        <v>328</v>
      </c>
    </row>
    <row r="138" spans="1:25">
      <c r="A138" s="223">
        <v>4</v>
      </c>
      <c r="B138" s="224" t="str">
        <f>VLOOKUP(Tabel10[[#This Row],[Locatiecode]],Ruimtegroepen[[#All],[Code]:[Ruimte omschrijving]],2,FALSE)</f>
        <v>Vergader/spreekkamers</v>
      </c>
      <c r="C138" s="225" t="s">
        <v>495</v>
      </c>
      <c r="D138" s="224" t="s">
        <v>0</v>
      </c>
      <c r="E138" s="226" t="s">
        <v>123</v>
      </c>
      <c r="F138" s="225" t="s">
        <v>499</v>
      </c>
      <c r="G138" s="228" t="s">
        <v>328</v>
      </c>
      <c r="H138" s="228" t="s">
        <v>328</v>
      </c>
      <c r="I138" s="227" t="s">
        <v>16</v>
      </c>
      <c r="J138" s="227" t="s">
        <v>16</v>
      </c>
      <c r="K138" s="227" t="s">
        <v>16</v>
      </c>
      <c r="L138" s="228" t="s">
        <v>328</v>
      </c>
      <c r="M138" s="227" t="s">
        <v>328</v>
      </c>
      <c r="N138" s="228" t="s">
        <v>328</v>
      </c>
      <c r="O138" s="229" t="s">
        <v>16</v>
      </c>
      <c r="P138" s="229" t="s">
        <v>16</v>
      </c>
      <c r="Q138" s="229" t="s">
        <v>16</v>
      </c>
      <c r="R138" s="229" t="s">
        <v>16</v>
      </c>
      <c r="S138" s="229" t="s">
        <v>16</v>
      </c>
      <c r="T138" s="229" t="s">
        <v>375</v>
      </c>
      <c r="U138" s="229" t="s">
        <v>331</v>
      </c>
      <c r="V138" s="229" t="s">
        <v>328</v>
      </c>
      <c r="W138" s="230" t="s">
        <v>328</v>
      </c>
      <c r="X138" s="230" t="s">
        <v>328</v>
      </c>
      <c r="Y138" s="231" t="s">
        <v>328</v>
      </c>
    </row>
    <row r="139" spans="1:25">
      <c r="A139" s="223">
        <v>4</v>
      </c>
      <c r="B139" s="224" t="str">
        <f>VLOOKUP(Tabel10[[#This Row],[Locatiecode]],Ruimtegroepen[[#All],[Code]:[Ruimte omschrijving]],2,FALSE)</f>
        <v>Vergader/spreekkamers</v>
      </c>
      <c r="C139" s="225" t="s">
        <v>500</v>
      </c>
      <c r="D139" s="224" t="s">
        <v>30</v>
      </c>
      <c r="E139" s="226" t="s">
        <v>121</v>
      </c>
      <c r="F139" s="225" t="s">
        <v>501</v>
      </c>
      <c r="G139" s="228" t="s">
        <v>328</v>
      </c>
      <c r="H139" s="228" t="s">
        <v>328</v>
      </c>
      <c r="I139" s="227" t="s">
        <v>15</v>
      </c>
      <c r="J139" s="227" t="s">
        <v>328</v>
      </c>
      <c r="K139" s="227" t="s">
        <v>328</v>
      </c>
      <c r="L139" s="228" t="s">
        <v>328</v>
      </c>
      <c r="M139" s="227" t="s">
        <v>328</v>
      </c>
      <c r="N139" s="228" t="s">
        <v>328</v>
      </c>
      <c r="O139" s="229" t="s">
        <v>15</v>
      </c>
      <c r="P139" s="229" t="s">
        <v>15</v>
      </c>
      <c r="Q139" s="229" t="s">
        <v>15</v>
      </c>
      <c r="R139" s="229" t="s">
        <v>15</v>
      </c>
      <c r="S139" s="229" t="s">
        <v>15</v>
      </c>
      <c r="T139" s="229" t="s">
        <v>375</v>
      </c>
      <c r="U139" s="229" t="s">
        <v>331</v>
      </c>
      <c r="V139" s="229" t="s">
        <v>328</v>
      </c>
      <c r="W139" s="230" t="s">
        <v>328</v>
      </c>
      <c r="X139" s="230" t="s">
        <v>328</v>
      </c>
      <c r="Y139" s="231" t="s">
        <v>328</v>
      </c>
    </row>
    <row r="140" spans="1:25">
      <c r="A140" s="223">
        <v>4</v>
      </c>
      <c r="B140" s="224" t="str">
        <f>VLOOKUP(Tabel10[[#This Row],[Locatiecode]],Ruimtegroepen[[#All],[Code]:[Ruimte omschrijving]],2,FALSE)</f>
        <v>Vergader/spreekkamers</v>
      </c>
      <c r="C140" s="225" t="s">
        <v>500</v>
      </c>
      <c r="D140" s="224" t="s">
        <v>30</v>
      </c>
      <c r="E140" s="226" t="s">
        <v>120</v>
      </c>
      <c r="F140" s="225" t="s">
        <v>502</v>
      </c>
      <c r="G140" s="228" t="s">
        <v>407</v>
      </c>
      <c r="H140" s="228" t="s">
        <v>15</v>
      </c>
      <c r="I140" s="227" t="s">
        <v>328</v>
      </c>
      <c r="J140" s="227" t="s">
        <v>328</v>
      </c>
      <c r="K140" s="227" t="s">
        <v>328</v>
      </c>
      <c r="L140" s="228" t="s">
        <v>328</v>
      </c>
      <c r="M140" s="227" t="s">
        <v>328</v>
      </c>
      <c r="N140" s="228" t="s">
        <v>328</v>
      </c>
      <c r="O140" s="229" t="s">
        <v>15</v>
      </c>
      <c r="P140" s="229" t="s">
        <v>15</v>
      </c>
      <c r="Q140" s="229" t="s">
        <v>15</v>
      </c>
      <c r="R140" s="229" t="s">
        <v>15</v>
      </c>
      <c r="S140" s="229" t="s">
        <v>15</v>
      </c>
      <c r="T140" s="229" t="s">
        <v>375</v>
      </c>
      <c r="U140" s="229" t="s">
        <v>331</v>
      </c>
      <c r="V140" s="229" t="s">
        <v>328</v>
      </c>
      <c r="W140" s="230" t="s">
        <v>328</v>
      </c>
      <c r="X140" s="230" t="s">
        <v>328</v>
      </c>
      <c r="Y140" s="231" t="s">
        <v>328</v>
      </c>
    </row>
    <row r="141" spans="1:25">
      <c r="A141" s="223">
        <v>4</v>
      </c>
      <c r="B141" s="224" t="str">
        <f>VLOOKUP(Tabel10[[#This Row],[Locatiecode]],Ruimtegroepen[[#All],[Code]:[Ruimte omschrijving]],2,FALSE)</f>
        <v>Vergader/spreekkamers</v>
      </c>
      <c r="C141" s="225" t="s">
        <v>500</v>
      </c>
      <c r="D141" s="224" t="s">
        <v>30</v>
      </c>
      <c r="E141" s="226" t="s">
        <v>122</v>
      </c>
      <c r="F141" s="225" t="s">
        <v>503</v>
      </c>
      <c r="G141" s="228" t="s">
        <v>328</v>
      </c>
      <c r="H141" s="228" t="s">
        <v>328</v>
      </c>
      <c r="I141" s="227" t="s">
        <v>15</v>
      </c>
      <c r="J141" s="227" t="s">
        <v>15</v>
      </c>
      <c r="K141" s="228" t="s">
        <v>328</v>
      </c>
      <c r="L141" s="228" t="s">
        <v>328</v>
      </c>
      <c r="M141" s="227" t="s">
        <v>328</v>
      </c>
      <c r="N141" s="228" t="s">
        <v>328</v>
      </c>
      <c r="O141" s="229" t="s">
        <v>15</v>
      </c>
      <c r="P141" s="229" t="s">
        <v>15</v>
      </c>
      <c r="Q141" s="229" t="s">
        <v>15</v>
      </c>
      <c r="R141" s="229" t="s">
        <v>15</v>
      </c>
      <c r="S141" s="229" t="s">
        <v>15</v>
      </c>
      <c r="T141" s="229" t="s">
        <v>375</v>
      </c>
      <c r="U141" s="229" t="s">
        <v>331</v>
      </c>
      <c r="V141" s="229" t="s">
        <v>328</v>
      </c>
      <c r="W141" s="230" t="s">
        <v>328</v>
      </c>
      <c r="X141" s="230" t="s">
        <v>328</v>
      </c>
      <c r="Y141" s="231" t="s">
        <v>328</v>
      </c>
    </row>
    <row r="142" spans="1:25">
      <c r="A142" s="223">
        <v>4</v>
      </c>
      <c r="B142" s="224" t="str">
        <f>VLOOKUP(Tabel10[[#This Row],[Locatiecode]],Ruimtegroepen[[#All],[Code]:[Ruimte omschrijving]],2,FALSE)</f>
        <v>Vergader/spreekkamers</v>
      </c>
      <c r="C142" s="225" t="s">
        <v>500</v>
      </c>
      <c r="D142" s="224" t="s">
        <v>30</v>
      </c>
      <c r="E142" s="226" t="s">
        <v>123</v>
      </c>
      <c r="F142" s="225" t="s">
        <v>504</v>
      </c>
      <c r="G142" s="228" t="s">
        <v>328</v>
      </c>
      <c r="H142" s="228" t="s">
        <v>328</v>
      </c>
      <c r="I142" s="227" t="s">
        <v>15</v>
      </c>
      <c r="J142" s="227" t="s">
        <v>15</v>
      </c>
      <c r="K142" s="228" t="s">
        <v>328</v>
      </c>
      <c r="L142" s="228" t="s">
        <v>328</v>
      </c>
      <c r="M142" s="227" t="s">
        <v>328</v>
      </c>
      <c r="N142" s="228" t="s">
        <v>328</v>
      </c>
      <c r="O142" s="229" t="s">
        <v>15</v>
      </c>
      <c r="P142" s="229" t="s">
        <v>15</v>
      </c>
      <c r="Q142" s="229" t="s">
        <v>15</v>
      </c>
      <c r="R142" s="229" t="s">
        <v>15</v>
      </c>
      <c r="S142" s="229" t="s">
        <v>15</v>
      </c>
      <c r="T142" s="229" t="s">
        <v>375</v>
      </c>
      <c r="U142" s="229" t="s">
        <v>331</v>
      </c>
      <c r="V142" s="229" t="s">
        <v>328</v>
      </c>
      <c r="W142" s="230" t="s">
        <v>328</v>
      </c>
      <c r="X142" s="230" t="s">
        <v>328</v>
      </c>
      <c r="Y142" s="231" t="s">
        <v>328</v>
      </c>
    </row>
    <row r="143" spans="1:25">
      <c r="A143" s="223">
        <v>4</v>
      </c>
      <c r="B143" s="224" t="str">
        <f>VLOOKUP(Tabel10[[#This Row],[Locatiecode]],Ruimtegroepen[[#All],[Code]:[Ruimte omschrijving]],2,FALSE)</f>
        <v>Vergader/spreekkamers</v>
      </c>
      <c r="C143" s="225" t="s">
        <v>505</v>
      </c>
      <c r="D143" s="224" t="s">
        <v>31</v>
      </c>
      <c r="E143" s="226" t="s">
        <v>121</v>
      </c>
      <c r="F143" s="225" t="s">
        <v>506</v>
      </c>
      <c r="G143" s="228" t="s">
        <v>328</v>
      </c>
      <c r="H143" s="228" t="s">
        <v>328</v>
      </c>
      <c r="I143" s="227" t="s">
        <v>17</v>
      </c>
      <c r="J143" s="227" t="s">
        <v>15</v>
      </c>
      <c r="K143" s="227" t="s">
        <v>328</v>
      </c>
      <c r="L143" s="228" t="s">
        <v>328</v>
      </c>
      <c r="M143" s="227" t="s">
        <v>328</v>
      </c>
      <c r="N143" s="228" t="s">
        <v>328</v>
      </c>
      <c r="O143" s="229" t="s">
        <v>17</v>
      </c>
      <c r="P143" s="229" t="s">
        <v>17</v>
      </c>
      <c r="Q143" s="229" t="s">
        <v>15</v>
      </c>
      <c r="R143" s="229" t="s">
        <v>15</v>
      </c>
      <c r="S143" s="229" t="s">
        <v>328</v>
      </c>
      <c r="T143" s="229" t="s">
        <v>328</v>
      </c>
      <c r="U143" s="229" t="s">
        <v>328</v>
      </c>
      <c r="V143" s="229" t="s">
        <v>328</v>
      </c>
      <c r="W143" s="230" t="s">
        <v>328</v>
      </c>
      <c r="X143" s="230" t="s">
        <v>328</v>
      </c>
      <c r="Y143" s="231" t="s">
        <v>328</v>
      </c>
    </row>
    <row r="144" spans="1:25">
      <c r="A144" s="223">
        <v>4</v>
      </c>
      <c r="B144" s="224" t="str">
        <f>VLOOKUP(Tabel10[[#This Row],[Locatiecode]],Ruimtegroepen[[#All],[Code]:[Ruimte omschrijving]],2,FALSE)</f>
        <v>Vergader/spreekkamers</v>
      </c>
      <c r="C144" s="225" t="s">
        <v>505</v>
      </c>
      <c r="D144" s="224" t="s">
        <v>31</v>
      </c>
      <c r="E144" s="226" t="s">
        <v>120</v>
      </c>
      <c r="F144" s="225" t="s">
        <v>507</v>
      </c>
      <c r="G144" s="228" t="s">
        <v>15</v>
      </c>
      <c r="H144" s="228" t="s">
        <v>15</v>
      </c>
      <c r="I144" s="227" t="s">
        <v>328</v>
      </c>
      <c r="J144" s="227" t="s">
        <v>328</v>
      </c>
      <c r="K144" s="227" t="s">
        <v>328</v>
      </c>
      <c r="L144" s="228" t="s">
        <v>328</v>
      </c>
      <c r="M144" s="227" t="s">
        <v>328</v>
      </c>
      <c r="N144" s="228" t="s">
        <v>328</v>
      </c>
      <c r="O144" s="229" t="s">
        <v>17</v>
      </c>
      <c r="P144" s="229" t="s">
        <v>17</v>
      </c>
      <c r="Q144" s="229" t="s">
        <v>15</v>
      </c>
      <c r="R144" s="229" t="s">
        <v>15</v>
      </c>
      <c r="S144" s="229" t="s">
        <v>328</v>
      </c>
      <c r="T144" s="229" t="s">
        <v>328</v>
      </c>
      <c r="U144" s="229" t="s">
        <v>328</v>
      </c>
      <c r="V144" s="229" t="s">
        <v>328</v>
      </c>
      <c r="W144" s="230" t="s">
        <v>328</v>
      </c>
      <c r="X144" s="230" t="s">
        <v>328</v>
      </c>
      <c r="Y144" s="231" t="s">
        <v>328</v>
      </c>
    </row>
    <row r="145" spans="1:25">
      <c r="A145" s="223">
        <v>4</v>
      </c>
      <c r="B145" s="224" t="str">
        <f>VLOOKUP(Tabel10[[#This Row],[Locatiecode]],Ruimtegroepen[[#All],[Code]:[Ruimte omschrijving]],2,FALSE)</f>
        <v>Vergader/spreekkamers</v>
      </c>
      <c r="C145" s="225" t="s">
        <v>505</v>
      </c>
      <c r="D145" s="224" t="s">
        <v>31</v>
      </c>
      <c r="E145" s="226" t="s">
        <v>122</v>
      </c>
      <c r="F145" s="225" t="s">
        <v>508</v>
      </c>
      <c r="G145" s="228" t="s">
        <v>328</v>
      </c>
      <c r="H145" s="228" t="s">
        <v>328</v>
      </c>
      <c r="I145" s="227" t="s">
        <v>17</v>
      </c>
      <c r="J145" s="227" t="s">
        <v>15</v>
      </c>
      <c r="K145" s="227" t="s">
        <v>328</v>
      </c>
      <c r="L145" s="228" t="s">
        <v>328</v>
      </c>
      <c r="M145" s="227" t="s">
        <v>328</v>
      </c>
      <c r="N145" s="228" t="s">
        <v>328</v>
      </c>
      <c r="O145" s="229" t="s">
        <v>17</v>
      </c>
      <c r="P145" s="229" t="s">
        <v>17</v>
      </c>
      <c r="Q145" s="229" t="s">
        <v>15</v>
      </c>
      <c r="R145" s="229" t="s">
        <v>15</v>
      </c>
      <c r="S145" s="229" t="s">
        <v>328</v>
      </c>
      <c r="T145" s="229" t="s">
        <v>328</v>
      </c>
      <c r="U145" s="229" t="s">
        <v>328</v>
      </c>
      <c r="V145" s="229" t="s">
        <v>328</v>
      </c>
      <c r="W145" s="230" t="s">
        <v>328</v>
      </c>
      <c r="X145" s="230" t="s">
        <v>328</v>
      </c>
      <c r="Y145" s="231" t="s">
        <v>328</v>
      </c>
    </row>
    <row r="146" spans="1:25">
      <c r="A146" s="223">
        <v>4</v>
      </c>
      <c r="B146" s="224" t="str">
        <f>VLOOKUP(Tabel10[[#This Row],[Locatiecode]],Ruimtegroepen[[#All],[Code]:[Ruimte omschrijving]],2,FALSE)</f>
        <v>Vergader/spreekkamers</v>
      </c>
      <c r="C146" s="225" t="s">
        <v>505</v>
      </c>
      <c r="D146" s="224" t="s">
        <v>31</v>
      </c>
      <c r="E146" s="226" t="s">
        <v>123</v>
      </c>
      <c r="F146" s="225" t="s">
        <v>509</v>
      </c>
      <c r="G146" s="228" t="s">
        <v>328</v>
      </c>
      <c r="H146" s="228" t="s">
        <v>328</v>
      </c>
      <c r="I146" s="227" t="s">
        <v>17</v>
      </c>
      <c r="J146" s="227" t="s">
        <v>15</v>
      </c>
      <c r="K146" s="227" t="s">
        <v>328</v>
      </c>
      <c r="L146" s="228" t="s">
        <v>328</v>
      </c>
      <c r="M146" s="227" t="s">
        <v>328</v>
      </c>
      <c r="N146" s="228" t="s">
        <v>328</v>
      </c>
      <c r="O146" s="229" t="s">
        <v>17</v>
      </c>
      <c r="P146" s="229" t="s">
        <v>17</v>
      </c>
      <c r="Q146" s="229" t="s">
        <v>15</v>
      </c>
      <c r="R146" s="229" t="s">
        <v>15</v>
      </c>
      <c r="S146" s="229" t="s">
        <v>328</v>
      </c>
      <c r="T146" s="229" t="s">
        <v>328</v>
      </c>
      <c r="U146" s="229" t="s">
        <v>328</v>
      </c>
      <c r="V146" s="229" t="s">
        <v>328</v>
      </c>
      <c r="W146" s="230" t="s">
        <v>328</v>
      </c>
      <c r="X146" s="230" t="s">
        <v>328</v>
      </c>
      <c r="Y146" s="231" t="s">
        <v>328</v>
      </c>
    </row>
    <row r="147" spans="1:25">
      <c r="A147" s="223">
        <v>5</v>
      </c>
      <c r="B147" s="224" t="str">
        <f>VLOOKUP(Tabel10[[#This Row],[Locatiecode]],Ruimtegroepen[[#All],[Code]:[Ruimte omschrijving]],2,FALSE)</f>
        <v>Sanitair</v>
      </c>
      <c r="C147" s="225" t="s">
        <v>510</v>
      </c>
      <c r="D147" s="224" t="s">
        <v>32</v>
      </c>
      <c r="E147" s="226" t="s">
        <v>121</v>
      </c>
      <c r="F147" s="225" t="s">
        <v>511</v>
      </c>
      <c r="G147" s="228" t="s">
        <v>328</v>
      </c>
      <c r="H147" s="228" t="s">
        <v>328</v>
      </c>
      <c r="I147" s="227" t="s">
        <v>328</v>
      </c>
      <c r="J147" s="227" t="s">
        <v>20</v>
      </c>
      <c r="K147" s="227" t="s">
        <v>15</v>
      </c>
      <c r="L147" s="228" t="s">
        <v>328</v>
      </c>
      <c r="M147" s="227" t="s">
        <v>328</v>
      </c>
      <c r="N147" s="228" t="s">
        <v>2</v>
      </c>
      <c r="O147" s="229" t="s">
        <v>328</v>
      </c>
      <c r="P147" s="229" t="s">
        <v>328</v>
      </c>
      <c r="Q147" s="229" t="s">
        <v>328</v>
      </c>
      <c r="R147" s="229" t="s">
        <v>328</v>
      </c>
      <c r="S147" s="229" t="s">
        <v>328</v>
      </c>
      <c r="T147" s="229" t="s">
        <v>328</v>
      </c>
      <c r="U147" s="229" t="s">
        <v>328</v>
      </c>
      <c r="V147" s="229" t="s">
        <v>328</v>
      </c>
      <c r="W147" s="230" t="s">
        <v>20</v>
      </c>
      <c r="X147" s="230" t="s">
        <v>15</v>
      </c>
      <c r="Y147" s="231" t="s">
        <v>2</v>
      </c>
    </row>
    <row r="148" spans="1:25">
      <c r="A148" s="223">
        <v>5</v>
      </c>
      <c r="B148" s="224" t="str">
        <f>VLOOKUP(Tabel10[[#This Row],[Locatiecode]],Ruimtegroepen[[#All],[Code]:[Ruimte omschrijving]],2,FALSE)</f>
        <v>Sanitair</v>
      </c>
      <c r="C148" s="225" t="s">
        <v>510</v>
      </c>
      <c r="D148" s="224" t="s">
        <v>32</v>
      </c>
      <c r="E148" s="226" t="s">
        <v>120</v>
      </c>
      <c r="F148" s="225" t="s">
        <v>512</v>
      </c>
      <c r="G148" s="228" t="s">
        <v>328</v>
      </c>
      <c r="H148" s="228" t="s">
        <v>328</v>
      </c>
      <c r="I148" s="227" t="s">
        <v>328</v>
      </c>
      <c r="J148" s="227" t="s">
        <v>328</v>
      </c>
      <c r="K148" s="227" t="s">
        <v>328</v>
      </c>
      <c r="L148" s="228" t="s">
        <v>328</v>
      </c>
      <c r="M148" s="227" t="s">
        <v>328</v>
      </c>
      <c r="N148" s="228" t="s">
        <v>328</v>
      </c>
      <c r="O148" s="229" t="s">
        <v>328</v>
      </c>
      <c r="P148" s="229" t="s">
        <v>328</v>
      </c>
      <c r="Q148" s="229" t="s">
        <v>328</v>
      </c>
      <c r="R148" s="229" t="s">
        <v>328</v>
      </c>
      <c r="S148" s="229" t="s">
        <v>328</v>
      </c>
      <c r="T148" s="229" t="s">
        <v>328</v>
      </c>
      <c r="U148" s="229" t="s">
        <v>328</v>
      </c>
      <c r="V148" s="229" t="s">
        <v>328</v>
      </c>
      <c r="W148" s="230" t="s">
        <v>328</v>
      </c>
      <c r="X148" s="230" t="s">
        <v>328</v>
      </c>
      <c r="Y148" s="231" t="s">
        <v>328</v>
      </c>
    </row>
    <row r="149" spans="1:25">
      <c r="A149" s="223">
        <v>5</v>
      </c>
      <c r="B149" s="224" t="str">
        <f>VLOOKUP(Tabel10[[#This Row],[Locatiecode]],Ruimtegroepen[[#All],[Code]:[Ruimte omschrijving]],2,FALSE)</f>
        <v>Sanitair</v>
      </c>
      <c r="C149" s="225" t="s">
        <v>510</v>
      </c>
      <c r="D149" s="224" t="s">
        <v>32</v>
      </c>
      <c r="E149" s="226" t="s">
        <v>122</v>
      </c>
      <c r="F149" s="225" t="s">
        <v>513</v>
      </c>
      <c r="G149" s="228" t="s">
        <v>328</v>
      </c>
      <c r="H149" s="228" t="s">
        <v>328</v>
      </c>
      <c r="I149" s="227" t="s">
        <v>328</v>
      </c>
      <c r="J149" s="227" t="s">
        <v>20</v>
      </c>
      <c r="K149" s="227" t="s">
        <v>15</v>
      </c>
      <c r="L149" s="228" t="s">
        <v>328</v>
      </c>
      <c r="M149" s="227" t="s">
        <v>328</v>
      </c>
      <c r="N149" s="228" t="s">
        <v>2</v>
      </c>
      <c r="O149" s="229" t="s">
        <v>328</v>
      </c>
      <c r="P149" s="229" t="s">
        <v>328</v>
      </c>
      <c r="Q149" s="229" t="s">
        <v>328</v>
      </c>
      <c r="R149" s="229" t="s">
        <v>328</v>
      </c>
      <c r="S149" s="229" t="s">
        <v>328</v>
      </c>
      <c r="T149" s="229" t="s">
        <v>328</v>
      </c>
      <c r="U149" s="229" t="s">
        <v>328</v>
      </c>
      <c r="V149" s="229" t="s">
        <v>328</v>
      </c>
      <c r="W149" s="230" t="s">
        <v>20</v>
      </c>
      <c r="X149" s="230" t="s">
        <v>15</v>
      </c>
      <c r="Y149" s="231" t="s">
        <v>2</v>
      </c>
    </row>
    <row r="150" spans="1:25">
      <c r="A150" s="223">
        <v>5</v>
      </c>
      <c r="B150" s="224" t="str">
        <f>VLOOKUP(Tabel10[[#This Row],[Locatiecode]],Ruimtegroepen[[#All],[Code]:[Ruimte omschrijving]],2,FALSE)</f>
        <v>Sanitair</v>
      </c>
      <c r="C150" s="225" t="s">
        <v>510</v>
      </c>
      <c r="D150" s="224" t="s">
        <v>32</v>
      </c>
      <c r="E150" s="226" t="s">
        <v>123</v>
      </c>
      <c r="F150" s="225" t="s">
        <v>514</v>
      </c>
      <c r="G150" s="228" t="s">
        <v>328</v>
      </c>
      <c r="H150" s="228" t="s">
        <v>328</v>
      </c>
      <c r="I150" s="227" t="s">
        <v>328</v>
      </c>
      <c r="J150" s="227" t="s">
        <v>20</v>
      </c>
      <c r="K150" s="227" t="s">
        <v>15</v>
      </c>
      <c r="L150" s="228" t="s">
        <v>328</v>
      </c>
      <c r="M150" s="227" t="s">
        <v>328</v>
      </c>
      <c r="N150" s="228" t="s">
        <v>2</v>
      </c>
      <c r="O150" s="229" t="s">
        <v>328</v>
      </c>
      <c r="P150" s="229" t="s">
        <v>328</v>
      </c>
      <c r="Q150" s="229" t="s">
        <v>328</v>
      </c>
      <c r="R150" s="229" t="s">
        <v>328</v>
      </c>
      <c r="S150" s="229" t="s">
        <v>328</v>
      </c>
      <c r="T150" s="229" t="s">
        <v>328</v>
      </c>
      <c r="U150" s="229" t="s">
        <v>328</v>
      </c>
      <c r="V150" s="229" t="s">
        <v>328</v>
      </c>
      <c r="W150" s="230" t="s">
        <v>20</v>
      </c>
      <c r="X150" s="230" t="s">
        <v>15</v>
      </c>
      <c r="Y150" s="231" t="s">
        <v>2</v>
      </c>
    </row>
    <row r="151" spans="1:25">
      <c r="A151" s="223">
        <v>5</v>
      </c>
      <c r="B151" s="224" t="str">
        <f>VLOOKUP(Tabel10[[#This Row],[Locatiecode]],Ruimtegroepen[[#All],[Code]:[Ruimte omschrijving]],2,FALSE)</f>
        <v>Sanitair</v>
      </c>
      <c r="C151" s="225" t="s">
        <v>515</v>
      </c>
      <c r="D151" s="224" t="s">
        <v>1</v>
      </c>
      <c r="E151" s="226" t="s">
        <v>121</v>
      </c>
      <c r="F151" s="225" t="s">
        <v>516</v>
      </c>
      <c r="G151" s="228" t="s">
        <v>328</v>
      </c>
      <c r="H151" s="228" t="s">
        <v>328</v>
      </c>
      <c r="I151" s="227" t="s">
        <v>328</v>
      </c>
      <c r="J151" s="227" t="s">
        <v>20</v>
      </c>
      <c r="K151" s="227" t="s">
        <v>15</v>
      </c>
      <c r="L151" s="228" t="s">
        <v>328</v>
      </c>
      <c r="M151" s="227" t="s">
        <v>328</v>
      </c>
      <c r="N151" s="228" t="s">
        <v>328</v>
      </c>
      <c r="O151" s="229" t="s">
        <v>328</v>
      </c>
      <c r="P151" s="229" t="s">
        <v>328</v>
      </c>
      <c r="Q151" s="229" t="s">
        <v>328</v>
      </c>
      <c r="R151" s="229" t="s">
        <v>328</v>
      </c>
      <c r="S151" s="229" t="s">
        <v>328</v>
      </c>
      <c r="T151" s="229" t="s">
        <v>328</v>
      </c>
      <c r="U151" s="229" t="s">
        <v>328</v>
      </c>
      <c r="V151" s="229" t="s">
        <v>328</v>
      </c>
      <c r="W151" s="230" t="s">
        <v>20</v>
      </c>
      <c r="X151" s="230" t="s">
        <v>15</v>
      </c>
      <c r="Y151" s="231" t="s">
        <v>328</v>
      </c>
    </row>
    <row r="152" spans="1:25">
      <c r="A152" s="223">
        <v>5</v>
      </c>
      <c r="B152" s="224" t="str">
        <f>VLOOKUP(Tabel10[[#This Row],[Locatiecode]],Ruimtegroepen[[#All],[Code]:[Ruimte omschrijving]],2,FALSE)</f>
        <v>Sanitair</v>
      </c>
      <c r="C152" s="225" t="s">
        <v>515</v>
      </c>
      <c r="D152" s="224" t="s">
        <v>1</v>
      </c>
      <c r="E152" s="226" t="s">
        <v>120</v>
      </c>
      <c r="F152" s="225" t="s">
        <v>517</v>
      </c>
      <c r="G152" s="228" t="s">
        <v>328</v>
      </c>
      <c r="H152" s="228" t="s">
        <v>328</v>
      </c>
      <c r="I152" s="227" t="s">
        <v>328</v>
      </c>
      <c r="J152" s="227" t="s">
        <v>328</v>
      </c>
      <c r="K152" s="227" t="s">
        <v>328</v>
      </c>
      <c r="L152" s="228" t="s">
        <v>328</v>
      </c>
      <c r="M152" s="227" t="s">
        <v>328</v>
      </c>
      <c r="N152" s="228" t="s">
        <v>328</v>
      </c>
      <c r="O152" s="229" t="s">
        <v>328</v>
      </c>
      <c r="P152" s="229" t="s">
        <v>328</v>
      </c>
      <c r="Q152" s="229" t="s">
        <v>328</v>
      </c>
      <c r="R152" s="229" t="s">
        <v>328</v>
      </c>
      <c r="S152" s="229" t="s">
        <v>328</v>
      </c>
      <c r="T152" s="229" t="s">
        <v>328</v>
      </c>
      <c r="U152" s="229" t="s">
        <v>328</v>
      </c>
      <c r="V152" s="229" t="s">
        <v>328</v>
      </c>
      <c r="W152" s="230" t="s">
        <v>328</v>
      </c>
      <c r="X152" s="230" t="s">
        <v>328</v>
      </c>
      <c r="Y152" s="231" t="s">
        <v>328</v>
      </c>
    </row>
    <row r="153" spans="1:25">
      <c r="A153" s="223">
        <v>5</v>
      </c>
      <c r="B153" s="224" t="str">
        <f>VLOOKUP(Tabel10[[#This Row],[Locatiecode]],Ruimtegroepen[[#All],[Code]:[Ruimte omschrijving]],2,FALSE)</f>
        <v>Sanitair</v>
      </c>
      <c r="C153" s="225" t="s">
        <v>515</v>
      </c>
      <c r="D153" s="224" t="s">
        <v>1</v>
      </c>
      <c r="E153" s="226" t="s">
        <v>122</v>
      </c>
      <c r="F153" s="225" t="s">
        <v>518</v>
      </c>
      <c r="G153" s="228" t="s">
        <v>328</v>
      </c>
      <c r="H153" s="228" t="s">
        <v>328</v>
      </c>
      <c r="I153" s="227" t="s">
        <v>328</v>
      </c>
      <c r="J153" s="227" t="s">
        <v>20</v>
      </c>
      <c r="K153" s="227" t="s">
        <v>15</v>
      </c>
      <c r="L153" s="228" t="s">
        <v>328</v>
      </c>
      <c r="M153" s="227" t="s">
        <v>328</v>
      </c>
      <c r="N153" s="228" t="s">
        <v>328</v>
      </c>
      <c r="O153" s="229" t="s">
        <v>328</v>
      </c>
      <c r="P153" s="229" t="s">
        <v>328</v>
      </c>
      <c r="Q153" s="229" t="s">
        <v>328</v>
      </c>
      <c r="R153" s="229" t="s">
        <v>328</v>
      </c>
      <c r="S153" s="229" t="s">
        <v>328</v>
      </c>
      <c r="T153" s="229" t="s">
        <v>328</v>
      </c>
      <c r="U153" s="229" t="s">
        <v>328</v>
      </c>
      <c r="V153" s="229" t="s">
        <v>328</v>
      </c>
      <c r="W153" s="230" t="s">
        <v>20</v>
      </c>
      <c r="X153" s="230" t="s">
        <v>15</v>
      </c>
      <c r="Y153" s="231" t="s">
        <v>328</v>
      </c>
    </row>
    <row r="154" spans="1:25">
      <c r="A154" s="223">
        <v>5</v>
      </c>
      <c r="B154" s="224" t="str">
        <f>VLOOKUP(Tabel10[[#This Row],[Locatiecode]],Ruimtegroepen[[#All],[Code]:[Ruimte omschrijving]],2,FALSE)</f>
        <v>Sanitair</v>
      </c>
      <c r="C154" s="225" t="s">
        <v>515</v>
      </c>
      <c r="D154" s="224" t="s">
        <v>1</v>
      </c>
      <c r="E154" s="226" t="s">
        <v>123</v>
      </c>
      <c r="F154" s="225" t="s">
        <v>519</v>
      </c>
      <c r="G154" s="228" t="s">
        <v>328</v>
      </c>
      <c r="H154" s="228" t="s">
        <v>328</v>
      </c>
      <c r="I154" s="227" t="s">
        <v>328</v>
      </c>
      <c r="J154" s="227" t="s">
        <v>20</v>
      </c>
      <c r="K154" s="227" t="s">
        <v>15</v>
      </c>
      <c r="L154" s="228" t="s">
        <v>328</v>
      </c>
      <c r="M154" s="227" t="s">
        <v>328</v>
      </c>
      <c r="N154" s="228" t="s">
        <v>328</v>
      </c>
      <c r="O154" s="229" t="s">
        <v>328</v>
      </c>
      <c r="P154" s="229" t="s">
        <v>328</v>
      </c>
      <c r="Q154" s="229" t="s">
        <v>328</v>
      </c>
      <c r="R154" s="229" t="s">
        <v>328</v>
      </c>
      <c r="S154" s="229" t="s">
        <v>328</v>
      </c>
      <c r="T154" s="229" t="s">
        <v>328</v>
      </c>
      <c r="U154" s="229" t="s">
        <v>328</v>
      </c>
      <c r="V154" s="229" t="s">
        <v>328</v>
      </c>
      <c r="W154" s="230" t="s">
        <v>20</v>
      </c>
      <c r="X154" s="230" t="s">
        <v>15</v>
      </c>
      <c r="Y154" s="231" t="s">
        <v>328</v>
      </c>
    </row>
    <row r="155" spans="1:25">
      <c r="A155" s="223">
        <v>5</v>
      </c>
      <c r="B155" s="224" t="str">
        <f>VLOOKUP(Tabel10[[#This Row],[Locatiecode]],Ruimtegroepen[[#All],[Code]:[Ruimte omschrijving]],2,FALSE)</f>
        <v>Sanitair</v>
      </c>
      <c r="C155" s="225" t="s">
        <v>520</v>
      </c>
      <c r="D155" s="224" t="s">
        <v>21</v>
      </c>
      <c r="E155" s="226" t="s">
        <v>121</v>
      </c>
      <c r="F155" s="225" t="s">
        <v>521</v>
      </c>
      <c r="G155" s="228" t="s">
        <v>328</v>
      </c>
      <c r="H155" s="228" t="s">
        <v>328</v>
      </c>
      <c r="I155" s="227" t="s">
        <v>328</v>
      </c>
      <c r="J155" s="227" t="s">
        <v>18</v>
      </c>
      <c r="K155" s="227" t="s">
        <v>15</v>
      </c>
      <c r="L155" s="228" t="s">
        <v>328</v>
      </c>
      <c r="M155" s="227" t="s">
        <v>328</v>
      </c>
      <c r="N155" s="228" t="s">
        <v>328</v>
      </c>
      <c r="O155" s="229" t="s">
        <v>328</v>
      </c>
      <c r="P155" s="229" t="s">
        <v>328</v>
      </c>
      <c r="Q155" s="229" t="s">
        <v>328</v>
      </c>
      <c r="R155" s="229" t="s">
        <v>328</v>
      </c>
      <c r="S155" s="229" t="s">
        <v>328</v>
      </c>
      <c r="T155" s="229" t="s">
        <v>328</v>
      </c>
      <c r="U155" s="229" t="s">
        <v>328</v>
      </c>
      <c r="V155" s="229" t="s">
        <v>328</v>
      </c>
      <c r="W155" s="230" t="s">
        <v>18</v>
      </c>
      <c r="X155" s="230" t="s">
        <v>15</v>
      </c>
      <c r="Y155" s="231" t="s">
        <v>328</v>
      </c>
    </row>
    <row r="156" spans="1:25">
      <c r="A156" s="223">
        <v>5</v>
      </c>
      <c r="B156" s="224" t="str">
        <f>VLOOKUP(Tabel10[[#This Row],[Locatiecode]],Ruimtegroepen[[#All],[Code]:[Ruimte omschrijving]],2,FALSE)</f>
        <v>Sanitair</v>
      </c>
      <c r="C156" s="225" t="s">
        <v>520</v>
      </c>
      <c r="D156" s="224" t="s">
        <v>21</v>
      </c>
      <c r="E156" s="226" t="s">
        <v>120</v>
      </c>
      <c r="F156" s="225" t="s">
        <v>522</v>
      </c>
      <c r="G156" s="228" t="s">
        <v>328</v>
      </c>
      <c r="H156" s="228" t="s">
        <v>328</v>
      </c>
      <c r="I156" s="227" t="s">
        <v>328</v>
      </c>
      <c r="J156" s="227" t="s">
        <v>328</v>
      </c>
      <c r="K156" s="227" t="s">
        <v>328</v>
      </c>
      <c r="L156" s="228" t="s">
        <v>328</v>
      </c>
      <c r="M156" s="227" t="s">
        <v>328</v>
      </c>
      <c r="N156" s="228" t="s">
        <v>328</v>
      </c>
      <c r="O156" s="229" t="s">
        <v>328</v>
      </c>
      <c r="P156" s="229" t="s">
        <v>328</v>
      </c>
      <c r="Q156" s="229" t="s">
        <v>328</v>
      </c>
      <c r="R156" s="229" t="s">
        <v>328</v>
      </c>
      <c r="S156" s="229" t="s">
        <v>328</v>
      </c>
      <c r="T156" s="229" t="s">
        <v>328</v>
      </c>
      <c r="U156" s="229" t="s">
        <v>328</v>
      </c>
      <c r="V156" s="229" t="s">
        <v>328</v>
      </c>
      <c r="W156" s="230" t="s">
        <v>328</v>
      </c>
      <c r="X156" s="230" t="s">
        <v>328</v>
      </c>
      <c r="Y156" s="231" t="s">
        <v>328</v>
      </c>
    </row>
    <row r="157" spans="1:25">
      <c r="A157" s="223">
        <v>5</v>
      </c>
      <c r="B157" s="224" t="str">
        <f>VLOOKUP(Tabel10[[#This Row],[Locatiecode]],Ruimtegroepen[[#All],[Code]:[Ruimte omschrijving]],2,FALSE)</f>
        <v>Sanitair</v>
      </c>
      <c r="C157" s="225" t="s">
        <v>520</v>
      </c>
      <c r="D157" s="224" t="s">
        <v>21</v>
      </c>
      <c r="E157" s="226" t="s">
        <v>122</v>
      </c>
      <c r="F157" s="225" t="s">
        <v>523</v>
      </c>
      <c r="G157" s="228" t="s">
        <v>328</v>
      </c>
      <c r="H157" s="228" t="s">
        <v>328</v>
      </c>
      <c r="I157" s="227" t="s">
        <v>328</v>
      </c>
      <c r="J157" s="227" t="s">
        <v>18</v>
      </c>
      <c r="K157" s="227" t="s">
        <v>15</v>
      </c>
      <c r="L157" s="228" t="s">
        <v>328</v>
      </c>
      <c r="M157" s="227" t="s">
        <v>328</v>
      </c>
      <c r="N157" s="228" t="s">
        <v>328</v>
      </c>
      <c r="O157" s="229" t="s">
        <v>328</v>
      </c>
      <c r="P157" s="229" t="s">
        <v>328</v>
      </c>
      <c r="Q157" s="229" t="s">
        <v>328</v>
      </c>
      <c r="R157" s="229" t="s">
        <v>328</v>
      </c>
      <c r="S157" s="229" t="s">
        <v>328</v>
      </c>
      <c r="T157" s="229" t="s">
        <v>328</v>
      </c>
      <c r="U157" s="229" t="s">
        <v>328</v>
      </c>
      <c r="V157" s="229" t="s">
        <v>328</v>
      </c>
      <c r="W157" s="230" t="s">
        <v>18</v>
      </c>
      <c r="X157" s="230" t="s">
        <v>15</v>
      </c>
      <c r="Y157" s="231" t="s">
        <v>328</v>
      </c>
    </row>
    <row r="158" spans="1:25">
      <c r="A158" s="223">
        <v>5</v>
      </c>
      <c r="B158" s="224" t="str">
        <f>VLOOKUP(Tabel10[[#This Row],[Locatiecode]],Ruimtegroepen[[#All],[Code]:[Ruimte omschrijving]],2,FALSE)</f>
        <v>Sanitair</v>
      </c>
      <c r="C158" s="225" t="s">
        <v>520</v>
      </c>
      <c r="D158" s="224" t="s">
        <v>21</v>
      </c>
      <c r="E158" s="226" t="s">
        <v>123</v>
      </c>
      <c r="F158" s="225" t="s">
        <v>524</v>
      </c>
      <c r="G158" s="228" t="s">
        <v>328</v>
      </c>
      <c r="H158" s="228" t="s">
        <v>328</v>
      </c>
      <c r="I158" s="227" t="s">
        <v>328</v>
      </c>
      <c r="J158" s="227" t="s">
        <v>18</v>
      </c>
      <c r="K158" s="227" t="s">
        <v>15</v>
      </c>
      <c r="L158" s="228" t="s">
        <v>328</v>
      </c>
      <c r="M158" s="227" t="s">
        <v>328</v>
      </c>
      <c r="N158" s="228" t="s">
        <v>328</v>
      </c>
      <c r="O158" s="229" t="s">
        <v>328</v>
      </c>
      <c r="P158" s="229" t="s">
        <v>328</v>
      </c>
      <c r="Q158" s="229" t="s">
        <v>328</v>
      </c>
      <c r="R158" s="229" t="s">
        <v>328</v>
      </c>
      <c r="S158" s="229" t="s">
        <v>328</v>
      </c>
      <c r="T158" s="229" t="s">
        <v>328</v>
      </c>
      <c r="U158" s="229" t="s">
        <v>328</v>
      </c>
      <c r="V158" s="229" t="s">
        <v>328</v>
      </c>
      <c r="W158" s="230" t="s">
        <v>18</v>
      </c>
      <c r="X158" s="230" t="s">
        <v>15</v>
      </c>
      <c r="Y158" s="231" t="s">
        <v>328</v>
      </c>
    </row>
    <row r="159" spans="1:25">
      <c r="A159" s="223">
        <v>5</v>
      </c>
      <c r="B159" s="224" t="str">
        <f>VLOOKUP(Tabel10[[#This Row],[Locatiecode]],Ruimtegroepen[[#All],[Code]:[Ruimte omschrijving]],2,FALSE)</f>
        <v>Sanitair</v>
      </c>
      <c r="C159" s="225" t="s">
        <v>525</v>
      </c>
      <c r="D159" s="224" t="s">
        <v>12</v>
      </c>
      <c r="E159" s="226" t="s">
        <v>121</v>
      </c>
      <c r="F159" s="225" t="s">
        <v>526</v>
      </c>
      <c r="G159" s="228" t="s">
        <v>328</v>
      </c>
      <c r="H159" s="228" t="s">
        <v>328</v>
      </c>
      <c r="I159" s="227" t="s">
        <v>328</v>
      </c>
      <c r="J159" s="227" t="s">
        <v>17</v>
      </c>
      <c r="K159" s="227" t="s">
        <v>15</v>
      </c>
      <c r="L159" s="228" t="s">
        <v>328</v>
      </c>
      <c r="M159" s="227" t="s">
        <v>328</v>
      </c>
      <c r="N159" s="228" t="s">
        <v>328</v>
      </c>
      <c r="O159" s="229" t="s">
        <v>328</v>
      </c>
      <c r="P159" s="229" t="s">
        <v>328</v>
      </c>
      <c r="Q159" s="229" t="s">
        <v>328</v>
      </c>
      <c r="R159" s="229" t="s">
        <v>328</v>
      </c>
      <c r="S159" s="229" t="s">
        <v>328</v>
      </c>
      <c r="T159" s="229" t="s">
        <v>328</v>
      </c>
      <c r="U159" s="229" t="s">
        <v>328</v>
      </c>
      <c r="V159" s="229" t="s">
        <v>328</v>
      </c>
      <c r="W159" s="230" t="s">
        <v>17</v>
      </c>
      <c r="X159" s="230" t="s">
        <v>15</v>
      </c>
      <c r="Y159" s="231" t="s">
        <v>328</v>
      </c>
    </row>
    <row r="160" spans="1:25">
      <c r="A160" s="223">
        <v>5</v>
      </c>
      <c r="B160" s="224" t="str">
        <f>VLOOKUP(Tabel10[[#This Row],[Locatiecode]],Ruimtegroepen[[#All],[Code]:[Ruimte omschrijving]],2,FALSE)</f>
        <v>Sanitair</v>
      </c>
      <c r="C160" s="225" t="s">
        <v>525</v>
      </c>
      <c r="D160" s="224" t="s">
        <v>12</v>
      </c>
      <c r="E160" s="226" t="s">
        <v>120</v>
      </c>
      <c r="F160" s="225" t="s">
        <v>527</v>
      </c>
      <c r="G160" s="228" t="s">
        <v>328</v>
      </c>
      <c r="H160" s="228" t="s">
        <v>328</v>
      </c>
      <c r="I160" s="227" t="s">
        <v>328</v>
      </c>
      <c r="J160" s="227" t="s">
        <v>328</v>
      </c>
      <c r="K160" s="227" t="s">
        <v>328</v>
      </c>
      <c r="L160" s="228" t="s">
        <v>328</v>
      </c>
      <c r="M160" s="227" t="s">
        <v>328</v>
      </c>
      <c r="N160" s="228" t="s">
        <v>328</v>
      </c>
      <c r="O160" s="229" t="s">
        <v>328</v>
      </c>
      <c r="P160" s="229" t="s">
        <v>328</v>
      </c>
      <c r="Q160" s="229" t="s">
        <v>328</v>
      </c>
      <c r="R160" s="229" t="s">
        <v>328</v>
      </c>
      <c r="S160" s="229" t="s">
        <v>328</v>
      </c>
      <c r="T160" s="229" t="s">
        <v>328</v>
      </c>
      <c r="U160" s="229" t="s">
        <v>328</v>
      </c>
      <c r="V160" s="229" t="s">
        <v>328</v>
      </c>
      <c r="W160" s="230" t="s">
        <v>328</v>
      </c>
      <c r="X160" s="230" t="s">
        <v>328</v>
      </c>
      <c r="Y160" s="231" t="s">
        <v>328</v>
      </c>
    </row>
    <row r="161" spans="1:25">
      <c r="A161" s="223">
        <v>5</v>
      </c>
      <c r="B161" s="224" t="str">
        <f>VLOOKUP(Tabel10[[#This Row],[Locatiecode]],Ruimtegroepen[[#All],[Code]:[Ruimte omschrijving]],2,FALSE)</f>
        <v>Sanitair</v>
      </c>
      <c r="C161" s="225" t="s">
        <v>525</v>
      </c>
      <c r="D161" s="224" t="s">
        <v>12</v>
      </c>
      <c r="E161" s="226" t="s">
        <v>122</v>
      </c>
      <c r="F161" s="225" t="s">
        <v>528</v>
      </c>
      <c r="G161" s="228" t="s">
        <v>328</v>
      </c>
      <c r="H161" s="228" t="s">
        <v>328</v>
      </c>
      <c r="I161" s="227" t="s">
        <v>328</v>
      </c>
      <c r="J161" s="227" t="s">
        <v>17</v>
      </c>
      <c r="K161" s="227" t="s">
        <v>15</v>
      </c>
      <c r="L161" s="228" t="s">
        <v>328</v>
      </c>
      <c r="M161" s="227" t="s">
        <v>328</v>
      </c>
      <c r="N161" s="228" t="s">
        <v>328</v>
      </c>
      <c r="O161" s="229" t="s">
        <v>328</v>
      </c>
      <c r="P161" s="229" t="s">
        <v>328</v>
      </c>
      <c r="Q161" s="229" t="s">
        <v>328</v>
      </c>
      <c r="R161" s="229" t="s">
        <v>328</v>
      </c>
      <c r="S161" s="229" t="s">
        <v>328</v>
      </c>
      <c r="T161" s="229" t="s">
        <v>328</v>
      </c>
      <c r="U161" s="229" t="s">
        <v>328</v>
      </c>
      <c r="V161" s="229" t="s">
        <v>328</v>
      </c>
      <c r="W161" s="230" t="s">
        <v>17</v>
      </c>
      <c r="X161" s="230" t="s">
        <v>15</v>
      </c>
      <c r="Y161" s="231" t="s">
        <v>328</v>
      </c>
    </row>
    <row r="162" spans="1:25">
      <c r="A162" s="223">
        <v>5</v>
      </c>
      <c r="B162" s="224" t="str">
        <f>VLOOKUP(Tabel10[[#This Row],[Locatiecode]],Ruimtegroepen[[#All],[Code]:[Ruimte omschrijving]],2,FALSE)</f>
        <v>Sanitair</v>
      </c>
      <c r="C162" s="225" t="s">
        <v>525</v>
      </c>
      <c r="D162" s="224" t="s">
        <v>12</v>
      </c>
      <c r="E162" s="226" t="s">
        <v>123</v>
      </c>
      <c r="F162" s="225" t="s">
        <v>529</v>
      </c>
      <c r="G162" s="228" t="s">
        <v>328</v>
      </c>
      <c r="H162" s="228" t="s">
        <v>328</v>
      </c>
      <c r="I162" s="227" t="s">
        <v>328</v>
      </c>
      <c r="J162" s="227" t="s">
        <v>17</v>
      </c>
      <c r="K162" s="227" t="s">
        <v>15</v>
      </c>
      <c r="L162" s="228" t="s">
        <v>328</v>
      </c>
      <c r="M162" s="227" t="s">
        <v>328</v>
      </c>
      <c r="N162" s="228" t="s">
        <v>328</v>
      </c>
      <c r="O162" s="229" t="s">
        <v>328</v>
      </c>
      <c r="P162" s="229" t="s">
        <v>328</v>
      </c>
      <c r="Q162" s="229" t="s">
        <v>328</v>
      </c>
      <c r="R162" s="229" t="s">
        <v>328</v>
      </c>
      <c r="S162" s="229" t="s">
        <v>328</v>
      </c>
      <c r="T162" s="229" t="s">
        <v>328</v>
      </c>
      <c r="U162" s="229" t="s">
        <v>328</v>
      </c>
      <c r="V162" s="229" t="s">
        <v>328</v>
      </c>
      <c r="W162" s="230" t="s">
        <v>17</v>
      </c>
      <c r="X162" s="230" t="s">
        <v>15</v>
      </c>
      <c r="Y162" s="231" t="s">
        <v>328</v>
      </c>
    </row>
    <row r="163" spans="1:25">
      <c r="A163" s="223">
        <v>5</v>
      </c>
      <c r="B163" s="224" t="str">
        <f>VLOOKUP(Tabel10[[#This Row],[Locatiecode]],Ruimtegroepen[[#All],[Code]:[Ruimte omschrijving]],2,FALSE)</f>
        <v>Sanitair</v>
      </c>
      <c r="C163" s="225" t="s">
        <v>530</v>
      </c>
      <c r="D163" s="224" t="s">
        <v>14</v>
      </c>
      <c r="E163" s="226" t="s">
        <v>121</v>
      </c>
      <c r="F163" s="225" t="s">
        <v>531</v>
      </c>
      <c r="G163" s="228" t="s">
        <v>328</v>
      </c>
      <c r="H163" s="228" t="s">
        <v>328</v>
      </c>
      <c r="I163" s="228" t="s">
        <v>328</v>
      </c>
      <c r="J163" s="228" t="s">
        <v>15</v>
      </c>
      <c r="K163" s="228" t="s">
        <v>15</v>
      </c>
      <c r="L163" s="228" t="s">
        <v>328</v>
      </c>
      <c r="M163" s="228" t="s">
        <v>328</v>
      </c>
      <c r="N163" s="228" t="s">
        <v>328</v>
      </c>
      <c r="O163" s="229" t="s">
        <v>328</v>
      </c>
      <c r="P163" s="229" t="s">
        <v>328</v>
      </c>
      <c r="Q163" s="229" t="s">
        <v>328</v>
      </c>
      <c r="R163" s="229" t="s">
        <v>328</v>
      </c>
      <c r="S163" s="229" t="s">
        <v>328</v>
      </c>
      <c r="T163" s="229" t="s">
        <v>328</v>
      </c>
      <c r="U163" s="229" t="s">
        <v>328</v>
      </c>
      <c r="V163" s="229" t="s">
        <v>328</v>
      </c>
      <c r="W163" s="230" t="s">
        <v>15</v>
      </c>
      <c r="X163" s="230" t="s">
        <v>15</v>
      </c>
      <c r="Y163" s="231" t="s">
        <v>328</v>
      </c>
    </row>
    <row r="164" spans="1:25">
      <c r="A164" s="223">
        <v>5</v>
      </c>
      <c r="B164" s="224" t="str">
        <f>VLOOKUP(Tabel10[[#This Row],[Locatiecode]],Ruimtegroepen[[#All],[Code]:[Ruimte omschrijving]],2,FALSE)</f>
        <v>Sanitair</v>
      </c>
      <c r="C164" s="225" t="s">
        <v>530</v>
      </c>
      <c r="D164" s="224" t="s">
        <v>14</v>
      </c>
      <c r="E164" s="226" t="s">
        <v>120</v>
      </c>
      <c r="F164" s="225" t="s">
        <v>532</v>
      </c>
      <c r="G164" s="228" t="s">
        <v>328</v>
      </c>
      <c r="H164" s="228" t="s">
        <v>328</v>
      </c>
      <c r="I164" s="228" t="s">
        <v>328</v>
      </c>
      <c r="J164" s="228" t="s">
        <v>328</v>
      </c>
      <c r="K164" s="228" t="s">
        <v>328</v>
      </c>
      <c r="L164" s="228" t="s">
        <v>328</v>
      </c>
      <c r="M164" s="228" t="s">
        <v>328</v>
      </c>
      <c r="N164" s="228" t="s">
        <v>328</v>
      </c>
      <c r="O164" s="229" t="s">
        <v>328</v>
      </c>
      <c r="P164" s="229" t="s">
        <v>328</v>
      </c>
      <c r="Q164" s="229" t="s">
        <v>328</v>
      </c>
      <c r="R164" s="229" t="s">
        <v>328</v>
      </c>
      <c r="S164" s="229" t="s">
        <v>328</v>
      </c>
      <c r="T164" s="229" t="s">
        <v>328</v>
      </c>
      <c r="U164" s="229" t="s">
        <v>328</v>
      </c>
      <c r="V164" s="229" t="s">
        <v>328</v>
      </c>
      <c r="W164" s="230" t="s">
        <v>328</v>
      </c>
      <c r="X164" s="230" t="s">
        <v>328</v>
      </c>
      <c r="Y164" s="231" t="s">
        <v>328</v>
      </c>
    </row>
    <row r="165" spans="1:25">
      <c r="A165" s="223">
        <v>5</v>
      </c>
      <c r="B165" s="224" t="str">
        <f>VLOOKUP(Tabel10[[#This Row],[Locatiecode]],Ruimtegroepen[[#All],[Code]:[Ruimte omschrijving]],2,FALSE)</f>
        <v>Sanitair</v>
      </c>
      <c r="C165" s="225" t="s">
        <v>530</v>
      </c>
      <c r="D165" s="224" t="s">
        <v>14</v>
      </c>
      <c r="E165" s="226" t="s">
        <v>122</v>
      </c>
      <c r="F165" s="225" t="s">
        <v>533</v>
      </c>
      <c r="G165" s="228" t="s">
        <v>328</v>
      </c>
      <c r="H165" s="228" t="s">
        <v>328</v>
      </c>
      <c r="I165" s="228" t="s">
        <v>328</v>
      </c>
      <c r="J165" s="228" t="s">
        <v>15</v>
      </c>
      <c r="K165" s="228" t="s">
        <v>15</v>
      </c>
      <c r="L165" s="228" t="s">
        <v>328</v>
      </c>
      <c r="M165" s="228" t="s">
        <v>328</v>
      </c>
      <c r="N165" s="228" t="s">
        <v>328</v>
      </c>
      <c r="O165" s="229" t="s">
        <v>328</v>
      </c>
      <c r="P165" s="229" t="s">
        <v>328</v>
      </c>
      <c r="Q165" s="229" t="s">
        <v>328</v>
      </c>
      <c r="R165" s="229" t="s">
        <v>328</v>
      </c>
      <c r="S165" s="229" t="s">
        <v>328</v>
      </c>
      <c r="T165" s="229" t="s">
        <v>328</v>
      </c>
      <c r="U165" s="229" t="s">
        <v>328</v>
      </c>
      <c r="V165" s="229" t="s">
        <v>328</v>
      </c>
      <c r="W165" s="230" t="s">
        <v>15</v>
      </c>
      <c r="X165" s="230" t="s">
        <v>15</v>
      </c>
      <c r="Y165" s="231" t="s">
        <v>328</v>
      </c>
    </row>
    <row r="166" spans="1:25">
      <c r="A166" s="223">
        <v>5</v>
      </c>
      <c r="B166" s="224" t="str">
        <f>VLOOKUP(Tabel10[[#This Row],[Locatiecode]],Ruimtegroepen[[#All],[Code]:[Ruimte omschrijving]],2,FALSE)</f>
        <v>Sanitair</v>
      </c>
      <c r="C166" s="225" t="s">
        <v>530</v>
      </c>
      <c r="D166" s="224" t="s">
        <v>14</v>
      </c>
      <c r="E166" s="226" t="s">
        <v>123</v>
      </c>
      <c r="F166" s="225" t="s">
        <v>534</v>
      </c>
      <c r="G166" s="228" t="s">
        <v>328</v>
      </c>
      <c r="H166" s="228" t="s">
        <v>328</v>
      </c>
      <c r="I166" s="228" t="s">
        <v>328</v>
      </c>
      <c r="J166" s="228" t="s">
        <v>15</v>
      </c>
      <c r="K166" s="228" t="s">
        <v>15</v>
      </c>
      <c r="L166" s="228" t="s">
        <v>328</v>
      </c>
      <c r="M166" s="228" t="s">
        <v>328</v>
      </c>
      <c r="N166" s="228" t="s">
        <v>328</v>
      </c>
      <c r="O166" s="229" t="s">
        <v>328</v>
      </c>
      <c r="P166" s="229" t="s">
        <v>328</v>
      </c>
      <c r="Q166" s="229" t="s">
        <v>328</v>
      </c>
      <c r="R166" s="229" t="s">
        <v>328</v>
      </c>
      <c r="S166" s="229" t="s">
        <v>328</v>
      </c>
      <c r="T166" s="229" t="s">
        <v>328</v>
      </c>
      <c r="U166" s="229" t="s">
        <v>328</v>
      </c>
      <c r="V166" s="229" t="s">
        <v>328</v>
      </c>
      <c r="W166" s="230" t="s">
        <v>15</v>
      </c>
      <c r="X166" s="230" t="s">
        <v>15</v>
      </c>
      <c r="Y166" s="231" t="s">
        <v>328</v>
      </c>
    </row>
    <row r="167" spans="1:25">
      <c r="A167" s="223">
        <v>5</v>
      </c>
      <c r="B167" s="224" t="str">
        <f>VLOOKUP(Tabel10[[#This Row],[Locatiecode]],Ruimtegroepen[[#All],[Code]:[Ruimte omschrijving]],2,FALSE)</f>
        <v>Sanitair</v>
      </c>
      <c r="C167" s="225" t="s">
        <v>535</v>
      </c>
      <c r="D167" s="224" t="s">
        <v>13</v>
      </c>
      <c r="E167" s="226" t="s">
        <v>121</v>
      </c>
      <c r="F167" s="225" t="s">
        <v>536</v>
      </c>
      <c r="G167" s="228" t="s">
        <v>328</v>
      </c>
      <c r="H167" s="228" t="s">
        <v>328</v>
      </c>
      <c r="I167" s="228" t="s">
        <v>328</v>
      </c>
      <c r="J167" s="228" t="s">
        <v>15</v>
      </c>
      <c r="K167" s="228" t="s">
        <v>15</v>
      </c>
      <c r="L167" s="228" t="s">
        <v>328</v>
      </c>
      <c r="M167" s="228" t="s">
        <v>328</v>
      </c>
      <c r="N167" s="228" t="s">
        <v>328</v>
      </c>
      <c r="O167" s="229" t="s">
        <v>328</v>
      </c>
      <c r="P167" s="229" t="s">
        <v>328</v>
      </c>
      <c r="Q167" s="229" t="s">
        <v>328</v>
      </c>
      <c r="R167" s="229" t="s">
        <v>328</v>
      </c>
      <c r="S167" s="229" t="s">
        <v>328</v>
      </c>
      <c r="T167" s="229" t="s">
        <v>328</v>
      </c>
      <c r="U167" s="229" t="s">
        <v>328</v>
      </c>
      <c r="V167" s="229" t="s">
        <v>328</v>
      </c>
      <c r="W167" s="230" t="s">
        <v>15</v>
      </c>
      <c r="X167" s="230" t="s">
        <v>15</v>
      </c>
      <c r="Y167" s="231" t="s">
        <v>328</v>
      </c>
    </row>
    <row r="168" spans="1:25">
      <c r="A168" s="223">
        <v>5</v>
      </c>
      <c r="B168" s="224" t="str">
        <f>VLOOKUP(Tabel10[[#This Row],[Locatiecode]],Ruimtegroepen[[#All],[Code]:[Ruimte omschrijving]],2,FALSE)</f>
        <v>Sanitair</v>
      </c>
      <c r="C168" s="225" t="s">
        <v>535</v>
      </c>
      <c r="D168" s="224" t="s">
        <v>13</v>
      </c>
      <c r="E168" s="226" t="s">
        <v>120</v>
      </c>
      <c r="F168" s="225" t="s">
        <v>537</v>
      </c>
      <c r="G168" s="228" t="s">
        <v>328</v>
      </c>
      <c r="H168" s="228" t="s">
        <v>328</v>
      </c>
      <c r="I168" s="228" t="s">
        <v>328</v>
      </c>
      <c r="J168" s="228" t="s">
        <v>328</v>
      </c>
      <c r="K168" s="228" t="s">
        <v>328</v>
      </c>
      <c r="L168" s="228" t="s">
        <v>328</v>
      </c>
      <c r="M168" s="228" t="s">
        <v>328</v>
      </c>
      <c r="N168" s="228" t="s">
        <v>328</v>
      </c>
      <c r="O168" s="229" t="s">
        <v>328</v>
      </c>
      <c r="P168" s="229" t="s">
        <v>328</v>
      </c>
      <c r="Q168" s="229" t="s">
        <v>328</v>
      </c>
      <c r="R168" s="229" t="s">
        <v>328</v>
      </c>
      <c r="S168" s="229" t="s">
        <v>328</v>
      </c>
      <c r="T168" s="229" t="s">
        <v>328</v>
      </c>
      <c r="U168" s="229" t="s">
        <v>328</v>
      </c>
      <c r="V168" s="229" t="s">
        <v>328</v>
      </c>
      <c r="W168" s="230" t="s">
        <v>328</v>
      </c>
      <c r="X168" s="230" t="s">
        <v>328</v>
      </c>
      <c r="Y168" s="231" t="s">
        <v>328</v>
      </c>
    </row>
    <row r="169" spans="1:25">
      <c r="A169" s="223">
        <v>5</v>
      </c>
      <c r="B169" s="224" t="str">
        <f>VLOOKUP(Tabel10[[#This Row],[Locatiecode]],Ruimtegroepen[[#All],[Code]:[Ruimte omschrijving]],2,FALSE)</f>
        <v>Sanitair</v>
      </c>
      <c r="C169" s="225" t="s">
        <v>535</v>
      </c>
      <c r="D169" s="224" t="s">
        <v>13</v>
      </c>
      <c r="E169" s="226" t="s">
        <v>122</v>
      </c>
      <c r="F169" s="225" t="s">
        <v>538</v>
      </c>
      <c r="G169" s="228" t="s">
        <v>328</v>
      </c>
      <c r="H169" s="228" t="s">
        <v>328</v>
      </c>
      <c r="I169" s="228" t="s">
        <v>328</v>
      </c>
      <c r="J169" s="228" t="s">
        <v>15</v>
      </c>
      <c r="K169" s="228" t="s">
        <v>15</v>
      </c>
      <c r="L169" s="228" t="s">
        <v>328</v>
      </c>
      <c r="M169" s="228" t="s">
        <v>328</v>
      </c>
      <c r="N169" s="228" t="s">
        <v>328</v>
      </c>
      <c r="O169" s="229" t="s">
        <v>328</v>
      </c>
      <c r="P169" s="229" t="s">
        <v>328</v>
      </c>
      <c r="Q169" s="229" t="s">
        <v>328</v>
      </c>
      <c r="R169" s="229" t="s">
        <v>328</v>
      </c>
      <c r="S169" s="229" t="s">
        <v>328</v>
      </c>
      <c r="T169" s="229" t="s">
        <v>328</v>
      </c>
      <c r="U169" s="229" t="s">
        <v>328</v>
      </c>
      <c r="V169" s="229" t="s">
        <v>328</v>
      </c>
      <c r="W169" s="230" t="s">
        <v>15</v>
      </c>
      <c r="X169" s="230" t="s">
        <v>15</v>
      </c>
      <c r="Y169" s="231" t="s">
        <v>328</v>
      </c>
    </row>
    <row r="170" spans="1:25">
      <c r="A170" s="223">
        <v>5</v>
      </c>
      <c r="B170" s="224" t="str">
        <f>VLOOKUP(Tabel10[[#This Row],[Locatiecode]],Ruimtegroepen[[#All],[Code]:[Ruimte omschrijving]],2,FALSE)</f>
        <v>Sanitair</v>
      </c>
      <c r="C170" s="225" t="s">
        <v>535</v>
      </c>
      <c r="D170" s="224" t="s">
        <v>13</v>
      </c>
      <c r="E170" s="226" t="s">
        <v>123</v>
      </c>
      <c r="F170" s="225" t="s">
        <v>539</v>
      </c>
      <c r="G170" s="228" t="s">
        <v>328</v>
      </c>
      <c r="H170" s="228" t="s">
        <v>328</v>
      </c>
      <c r="I170" s="228" t="s">
        <v>328</v>
      </c>
      <c r="J170" s="228" t="s">
        <v>15</v>
      </c>
      <c r="K170" s="228" t="s">
        <v>15</v>
      </c>
      <c r="L170" s="228" t="s">
        <v>328</v>
      </c>
      <c r="M170" s="228" t="s">
        <v>328</v>
      </c>
      <c r="N170" s="228" t="s">
        <v>328</v>
      </c>
      <c r="O170" s="229" t="s">
        <v>328</v>
      </c>
      <c r="P170" s="229" t="s">
        <v>328</v>
      </c>
      <c r="Q170" s="229" t="s">
        <v>328</v>
      </c>
      <c r="R170" s="229" t="s">
        <v>328</v>
      </c>
      <c r="S170" s="229" t="s">
        <v>328</v>
      </c>
      <c r="T170" s="229" t="s">
        <v>328</v>
      </c>
      <c r="U170" s="229" t="s">
        <v>328</v>
      </c>
      <c r="V170" s="229" t="s">
        <v>328</v>
      </c>
      <c r="W170" s="230" t="s">
        <v>15</v>
      </c>
      <c r="X170" s="230" t="s">
        <v>15</v>
      </c>
      <c r="Y170" s="231" t="s">
        <v>328</v>
      </c>
    </row>
    <row r="171" spans="1:25">
      <c r="A171" s="223">
        <v>5</v>
      </c>
      <c r="B171" s="224" t="str">
        <f>VLOOKUP(Tabel10[[#This Row],[Locatiecode]],Ruimtegroepen[[#All],[Code]:[Ruimte omschrijving]],2,FALSE)</f>
        <v>Sanitair</v>
      </c>
      <c r="C171" s="225" t="s">
        <v>540</v>
      </c>
      <c r="D171" s="224" t="s">
        <v>0</v>
      </c>
      <c r="E171" s="226" t="s">
        <v>121</v>
      </c>
      <c r="F171" s="225" t="s">
        <v>541</v>
      </c>
      <c r="G171" s="228" t="s">
        <v>328</v>
      </c>
      <c r="H171" s="228" t="s">
        <v>328</v>
      </c>
      <c r="I171" s="228" t="s">
        <v>328</v>
      </c>
      <c r="J171" s="228" t="s">
        <v>328</v>
      </c>
      <c r="K171" s="227" t="s">
        <v>16</v>
      </c>
      <c r="L171" s="228" t="s">
        <v>328</v>
      </c>
      <c r="M171" s="228" t="s">
        <v>328</v>
      </c>
      <c r="N171" s="228" t="s">
        <v>328</v>
      </c>
      <c r="O171" s="229" t="s">
        <v>328</v>
      </c>
      <c r="P171" s="229" t="s">
        <v>328</v>
      </c>
      <c r="Q171" s="229" t="s">
        <v>328</v>
      </c>
      <c r="R171" s="229" t="s">
        <v>328</v>
      </c>
      <c r="S171" s="229" t="s">
        <v>328</v>
      </c>
      <c r="T171" s="229" t="s">
        <v>328</v>
      </c>
      <c r="U171" s="229" t="s">
        <v>328</v>
      </c>
      <c r="V171" s="229" t="s">
        <v>328</v>
      </c>
      <c r="W171" s="230" t="s">
        <v>328</v>
      </c>
      <c r="X171" s="281" t="s">
        <v>16</v>
      </c>
      <c r="Y171" s="231" t="s">
        <v>328</v>
      </c>
    </row>
    <row r="172" spans="1:25">
      <c r="A172" s="223">
        <v>5</v>
      </c>
      <c r="B172" s="224" t="str">
        <f>VLOOKUP(Tabel10[[#This Row],[Locatiecode]],Ruimtegroepen[[#All],[Code]:[Ruimte omschrijving]],2,FALSE)</f>
        <v>Sanitair</v>
      </c>
      <c r="C172" s="225" t="s">
        <v>540</v>
      </c>
      <c r="D172" s="224" t="s">
        <v>0</v>
      </c>
      <c r="E172" s="226" t="s">
        <v>120</v>
      </c>
      <c r="F172" s="225" t="s">
        <v>542</v>
      </c>
      <c r="G172" s="228" t="s">
        <v>328</v>
      </c>
      <c r="H172" s="228" t="s">
        <v>328</v>
      </c>
      <c r="I172" s="228" t="s">
        <v>328</v>
      </c>
      <c r="J172" s="228" t="s">
        <v>328</v>
      </c>
      <c r="K172" s="228" t="s">
        <v>328</v>
      </c>
      <c r="L172" s="228" t="s">
        <v>328</v>
      </c>
      <c r="M172" s="228" t="s">
        <v>328</v>
      </c>
      <c r="N172" s="228" t="s">
        <v>328</v>
      </c>
      <c r="O172" s="229" t="s">
        <v>328</v>
      </c>
      <c r="P172" s="229" t="s">
        <v>328</v>
      </c>
      <c r="Q172" s="229" t="s">
        <v>328</v>
      </c>
      <c r="R172" s="229" t="s">
        <v>328</v>
      </c>
      <c r="S172" s="229" t="s">
        <v>328</v>
      </c>
      <c r="T172" s="229" t="s">
        <v>328</v>
      </c>
      <c r="U172" s="229" t="s">
        <v>328</v>
      </c>
      <c r="V172" s="229" t="s">
        <v>328</v>
      </c>
      <c r="W172" s="230" t="s">
        <v>328</v>
      </c>
      <c r="X172" s="230" t="s">
        <v>328</v>
      </c>
      <c r="Y172" s="231" t="s">
        <v>328</v>
      </c>
    </row>
    <row r="173" spans="1:25">
      <c r="A173" s="223">
        <v>5</v>
      </c>
      <c r="B173" s="224" t="str">
        <f>VLOOKUP(Tabel10[[#This Row],[Locatiecode]],Ruimtegroepen[[#All],[Code]:[Ruimte omschrijving]],2,FALSE)</f>
        <v>Sanitair</v>
      </c>
      <c r="C173" s="225" t="s">
        <v>540</v>
      </c>
      <c r="D173" s="224" t="s">
        <v>0</v>
      </c>
      <c r="E173" s="226" t="s">
        <v>122</v>
      </c>
      <c r="F173" s="225" t="s">
        <v>543</v>
      </c>
      <c r="G173" s="228" t="s">
        <v>328</v>
      </c>
      <c r="H173" s="228" t="s">
        <v>328</v>
      </c>
      <c r="I173" s="228" t="s">
        <v>328</v>
      </c>
      <c r="J173" s="228" t="s">
        <v>328</v>
      </c>
      <c r="K173" s="227" t="s">
        <v>16</v>
      </c>
      <c r="L173" s="228" t="s">
        <v>328</v>
      </c>
      <c r="M173" s="228" t="s">
        <v>328</v>
      </c>
      <c r="N173" s="228" t="s">
        <v>328</v>
      </c>
      <c r="O173" s="229" t="s">
        <v>328</v>
      </c>
      <c r="P173" s="229" t="s">
        <v>328</v>
      </c>
      <c r="Q173" s="229" t="s">
        <v>328</v>
      </c>
      <c r="R173" s="229" t="s">
        <v>328</v>
      </c>
      <c r="S173" s="229" t="s">
        <v>328</v>
      </c>
      <c r="T173" s="229" t="s">
        <v>328</v>
      </c>
      <c r="U173" s="229" t="s">
        <v>328</v>
      </c>
      <c r="V173" s="229" t="s">
        <v>328</v>
      </c>
      <c r="W173" s="230" t="s">
        <v>328</v>
      </c>
      <c r="X173" s="281" t="s">
        <v>16</v>
      </c>
      <c r="Y173" s="231" t="s">
        <v>328</v>
      </c>
    </row>
    <row r="174" spans="1:25">
      <c r="A174" s="223">
        <v>5</v>
      </c>
      <c r="B174" s="224" t="str">
        <f>VLOOKUP(Tabel10[[#This Row],[Locatiecode]],Ruimtegroepen[[#All],[Code]:[Ruimte omschrijving]],2,FALSE)</f>
        <v>Sanitair</v>
      </c>
      <c r="C174" s="225" t="s">
        <v>540</v>
      </c>
      <c r="D174" s="224" t="s">
        <v>0</v>
      </c>
      <c r="E174" s="226" t="s">
        <v>123</v>
      </c>
      <c r="F174" s="225" t="s">
        <v>544</v>
      </c>
      <c r="G174" s="228" t="s">
        <v>328</v>
      </c>
      <c r="H174" s="228" t="s">
        <v>328</v>
      </c>
      <c r="I174" s="228" t="s">
        <v>328</v>
      </c>
      <c r="J174" s="228" t="s">
        <v>328</v>
      </c>
      <c r="K174" s="227" t="s">
        <v>16</v>
      </c>
      <c r="L174" s="228" t="s">
        <v>328</v>
      </c>
      <c r="M174" s="228" t="s">
        <v>328</v>
      </c>
      <c r="N174" s="228" t="s">
        <v>328</v>
      </c>
      <c r="O174" s="229" t="s">
        <v>328</v>
      </c>
      <c r="P174" s="229" t="s">
        <v>328</v>
      </c>
      <c r="Q174" s="229" t="s">
        <v>328</v>
      </c>
      <c r="R174" s="229" t="s">
        <v>328</v>
      </c>
      <c r="S174" s="229" t="s">
        <v>328</v>
      </c>
      <c r="T174" s="229" t="s">
        <v>328</v>
      </c>
      <c r="U174" s="229" t="s">
        <v>328</v>
      </c>
      <c r="V174" s="229" t="s">
        <v>328</v>
      </c>
      <c r="W174" s="230" t="s">
        <v>328</v>
      </c>
      <c r="X174" s="281" t="s">
        <v>16</v>
      </c>
      <c r="Y174" s="231" t="s">
        <v>328</v>
      </c>
    </row>
    <row r="175" spans="1:25">
      <c r="A175" s="223">
        <v>5</v>
      </c>
      <c r="B175" s="224" t="str">
        <f>VLOOKUP(Tabel10[[#This Row],[Locatiecode]],Ruimtegroepen[[#All],[Code]:[Ruimte omschrijving]],2,FALSE)</f>
        <v>Sanitair</v>
      </c>
      <c r="C175" s="225" t="s">
        <v>545</v>
      </c>
      <c r="D175" s="224" t="s">
        <v>30</v>
      </c>
      <c r="E175" s="226" t="s">
        <v>121</v>
      </c>
      <c r="F175" s="225" t="s">
        <v>546</v>
      </c>
      <c r="G175" s="228" t="s">
        <v>328</v>
      </c>
      <c r="H175" s="228" t="s">
        <v>328</v>
      </c>
      <c r="I175" s="228" t="s">
        <v>328</v>
      </c>
      <c r="J175" s="228" t="s">
        <v>328</v>
      </c>
      <c r="K175" s="227" t="s">
        <v>15</v>
      </c>
      <c r="L175" s="228" t="s">
        <v>328</v>
      </c>
      <c r="M175" s="228" t="s">
        <v>328</v>
      </c>
      <c r="N175" s="228" t="s">
        <v>328</v>
      </c>
      <c r="O175" s="229" t="s">
        <v>328</v>
      </c>
      <c r="P175" s="229" t="s">
        <v>328</v>
      </c>
      <c r="Q175" s="229" t="s">
        <v>328</v>
      </c>
      <c r="R175" s="229" t="s">
        <v>328</v>
      </c>
      <c r="S175" s="229" t="s">
        <v>328</v>
      </c>
      <c r="T175" s="229" t="s">
        <v>328</v>
      </c>
      <c r="U175" s="229" t="s">
        <v>328</v>
      </c>
      <c r="V175" s="229" t="s">
        <v>328</v>
      </c>
      <c r="W175" s="281" t="s">
        <v>15</v>
      </c>
      <c r="X175" s="281" t="s">
        <v>328</v>
      </c>
      <c r="Y175" s="231" t="s">
        <v>328</v>
      </c>
    </row>
    <row r="176" spans="1:25">
      <c r="A176" s="223">
        <v>5</v>
      </c>
      <c r="B176" s="224" t="str">
        <f>VLOOKUP(Tabel10[[#This Row],[Locatiecode]],Ruimtegroepen[[#All],[Code]:[Ruimte omschrijving]],2,FALSE)</f>
        <v>Sanitair</v>
      </c>
      <c r="C176" s="225" t="s">
        <v>545</v>
      </c>
      <c r="D176" s="224" t="s">
        <v>30</v>
      </c>
      <c r="E176" s="226" t="s">
        <v>120</v>
      </c>
      <c r="F176" s="225" t="s">
        <v>547</v>
      </c>
      <c r="G176" s="228" t="s">
        <v>328</v>
      </c>
      <c r="H176" s="228" t="s">
        <v>328</v>
      </c>
      <c r="I176" s="228" t="s">
        <v>328</v>
      </c>
      <c r="J176" s="228" t="s">
        <v>328</v>
      </c>
      <c r="K176" s="228" t="s">
        <v>328</v>
      </c>
      <c r="L176" s="228" t="s">
        <v>328</v>
      </c>
      <c r="M176" s="228" t="s">
        <v>328</v>
      </c>
      <c r="N176" s="228" t="s">
        <v>328</v>
      </c>
      <c r="O176" s="229" t="s">
        <v>328</v>
      </c>
      <c r="P176" s="229" t="s">
        <v>328</v>
      </c>
      <c r="Q176" s="229" t="s">
        <v>328</v>
      </c>
      <c r="R176" s="229" t="s">
        <v>328</v>
      </c>
      <c r="S176" s="229" t="s">
        <v>328</v>
      </c>
      <c r="T176" s="229" t="s">
        <v>328</v>
      </c>
      <c r="U176" s="229" t="s">
        <v>328</v>
      </c>
      <c r="V176" s="229" t="s">
        <v>328</v>
      </c>
      <c r="W176" s="230" t="s">
        <v>328</v>
      </c>
      <c r="X176" s="230" t="s">
        <v>328</v>
      </c>
      <c r="Y176" s="231" t="s">
        <v>328</v>
      </c>
    </row>
    <row r="177" spans="1:25">
      <c r="A177" s="223">
        <v>5</v>
      </c>
      <c r="B177" s="224" t="str">
        <f>VLOOKUP(Tabel10[[#This Row],[Locatiecode]],Ruimtegroepen[[#All],[Code]:[Ruimte omschrijving]],2,FALSE)</f>
        <v>Sanitair</v>
      </c>
      <c r="C177" s="225" t="s">
        <v>545</v>
      </c>
      <c r="D177" s="224" t="s">
        <v>30</v>
      </c>
      <c r="E177" s="226" t="s">
        <v>122</v>
      </c>
      <c r="F177" s="225" t="s">
        <v>548</v>
      </c>
      <c r="G177" s="228" t="s">
        <v>328</v>
      </c>
      <c r="H177" s="228" t="s">
        <v>328</v>
      </c>
      <c r="I177" s="228" t="s">
        <v>328</v>
      </c>
      <c r="J177" s="228" t="s">
        <v>328</v>
      </c>
      <c r="K177" s="227" t="s">
        <v>15</v>
      </c>
      <c r="L177" s="228" t="s">
        <v>328</v>
      </c>
      <c r="M177" s="228" t="s">
        <v>328</v>
      </c>
      <c r="N177" s="228" t="s">
        <v>328</v>
      </c>
      <c r="O177" s="229" t="s">
        <v>328</v>
      </c>
      <c r="P177" s="229" t="s">
        <v>328</v>
      </c>
      <c r="Q177" s="229" t="s">
        <v>328</v>
      </c>
      <c r="R177" s="229" t="s">
        <v>328</v>
      </c>
      <c r="S177" s="229" t="s">
        <v>328</v>
      </c>
      <c r="T177" s="229" t="s">
        <v>328</v>
      </c>
      <c r="U177" s="229" t="s">
        <v>328</v>
      </c>
      <c r="V177" s="229" t="s">
        <v>328</v>
      </c>
      <c r="W177" s="281" t="s">
        <v>15</v>
      </c>
      <c r="X177" s="281" t="s">
        <v>328</v>
      </c>
      <c r="Y177" s="231" t="s">
        <v>328</v>
      </c>
    </row>
    <row r="178" spans="1:25">
      <c r="A178" s="223">
        <v>5</v>
      </c>
      <c r="B178" s="224" t="str">
        <f>VLOOKUP(Tabel10[[#This Row],[Locatiecode]],Ruimtegroepen[[#All],[Code]:[Ruimte omschrijving]],2,FALSE)</f>
        <v>Sanitair</v>
      </c>
      <c r="C178" s="225" t="s">
        <v>545</v>
      </c>
      <c r="D178" s="224" t="s">
        <v>30</v>
      </c>
      <c r="E178" s="226" t="s">
        <v>123</v>
      </c>
      <c r="F178" s="225" t="s">
        <v>549</v>
      </c>
      <c r="G178" s="228" t="s">
        <v>328</v>
      </c>
      <c r="H178" s="228" t="s">
        <v>328</v>
      </c>
      <c r="I178" s="228" t="s">
        <v>328</v>
      </c>
      <c r="J178" s="228" t="s">
        <v>328</v>
      </c>
      <c r="K178" s="227" t="s">
        <v>15</v>
      </c>
      <c r="L178" s="228" t="s">
        <v>328</v>
      </c>
      <c r="M178" s="228" t="s">
        <v>328</v>
      </c>
      <c r="N178" s="228" t="s">
        <v>328</v>
      </c>
      <c r="O178" s="229" t="s">
        <v>328</v>
      </c>
      <c r="P178" s="229" t="s">
        <v>328</v>
      </c>
      <c r="Q178" s="229" t="s">
        <v>328</v>
      </c>
      <c r="R178" s="229" t="s">
        <v>328</v>
      </c>
      <c r="S178" s="229" t="s">
        <v>328</v>
      </c>
      <c r="T178" s="229" t="s">
        <v>328</v>
      </c>
      <c r="U178" s="229" t="s">
        <v>328</v>
      </c>
      <c r="V178" s="229" t="s">
        <v>328</v>
      </c>
      <c r="W178" s="281" t="s">
        <v>15</v>
      </c>
      <c r="X178" s="281" t="s">
        <v>328</v>
      </c>
      <c r="Y178" s="231" t="s">
        <v>328</v>
      </c>
    </row>
    <row r="179" spans="1:25">
      <c r="A179" s="223">
        <v>5</v>
      </c>
      <c r="B179" s="224" t="str">
        <f>VLOOKUP(Tabel10[[#This Row],[Locatiecode]],Ruimtegroepen[[#All],[Code]:[Ruimte omschrijving]],2,FALSE)</f>
        <v>Sanitair</v>
      </c>
      <c r="C179" s="225" t="s">
        <v>550</v>
      </c>
      <c r="D179" s="224" t="s">
        <v>31</v>
      </c>
      <c r="E179" s="226" t="s">
        <v>121</v>
      </c>
      <c r="F179" s="225" t="s">
        <v>551</v>
      </c>
      <c r="G179" s="228" t="s">
        <v>328</v>
      </c>
      <c r="H179" s="228" t="s">
        <v>328</v>
      </c>
      <c r="I179" s="228" t="s">
        <v>328</v>
      </c>
      <c r="J179" s="228" t="s">
        <v>15</v>
      </c>
      <c r="K179" s="228" t="s">
        <v>15</v>
      </c>
      <c r="L179" s="228" t="s">
        <v>328</v>
      </c>
      <c r="M179" s="228" t="s">
        <v>328</v>
      </c>
      <c r="N179" s="228" t="s">
        <v>328</v>
      </c>
      <c r="O179" s="229" t="s">
        <v>328</v>
      </c>
      <c r="P179" s="229" t="s">
        <v>328</v>
      </c>
      <c r="Q179" s="229" t="s">
        <v>328</v>
      </c>
      <c r="R179" s="229" t="s">
        <v>328</v>
      </c>
      <c r="S179" s="229" t="s">
        <v>328</v>
      </c>
      <c r="T179" s="229" t="s">
        <v>328</v>
      </c>
      <c r="U179" s="229" t="s">
        <v>328</v>
      </c>
      <c r="V179" s="229" t="s">
        <v>328</v>
      </c>
      <c r="W179" s="230" t="s">
        <v>17</v>
      </c>
      <c r="X179" s="230" t="s">
        <v>328</v>
      </c>
      <c r="Y179" s="231" t="s">
        <v>328</v>
      </c>
    </row>
    <row r="180" spans="1:25">
      <c r="A180" s="223">
        <v>5</v>
      </c>
      <c r="B180" s="224" t="str">
        <f>VLOOKUP(Tabel10[[#This Row],[Locatiecode]],Ruimtegroepen[[#All],[Code]:[Ruimte omschrijving]],2,FALSE)</f>
        <v>Sanitair</v>
      </c>
      <c r="C180" s="225" t="s">
        <v>550</v>
      </c>
      <c r="D180" s="224" t="s">
        <v>31</v>
      </c>
      <c r="E180" s="226" t="s">
        <v>120</v>
      </c>
      <c r="F180" s="225" t="s">
        <v>552</v>
      </c>
      <c r="G180" s="228" t="s">
        <v>328</v>
      </c>
      <c r="H180" s="228" t="s">
        <v>328</v>
      </c>
      <c r="I180" s="228" t="s">
        <v>328</v>
      </c>
      <c r="J180" s="228" t="s">
        <v>328</v>
      </c>
      <c r="K180" s="228" t="s">
        <v>328</v>
      </c>
      <c r="L180" s="228" t="s">
        <v>328</v>
      </c>
      <c r="M180" s="228" t="s">
        <v>328</v>
      </c>
      <c r="N180" s="228" t="s">
        <v>328</v>
      </c>
      <c r="O180" s="229" t="s">
        <v>328</v>
      </c>
      <c r="P180" s="229" t="s">
        <v>328</v>
      </c>
      <c r="Q180" s="229" t="s">
        <v>328</v>
      </c>
      <c r="R180" s="229" t="s">
        <v>328</v>
      </c>
      <c r="S180" s="229" t="s">
        <v>328</v>
      </c>
      <c r="T180" s="229" t="s">
        <v>328</v>
      </c>
      <c r="U180" s="229" t="s">
        <v>328</v>
      </c>
      <c r="V180" s="229" t="s">
        <v>328</v>
      </c>
      <c r="W180" s="230" t="s">
        <v>328</v>
      </c>
      <c r="X180" s="230" t="s">
        <v>328</v>
      </c>
      <c r="Y180" s="231" t="s">
        <v>328</v>
      </c>
    </row>
    <row r="181" spans="1:25">
      <c r="A181" s="223">
        <v>5</v>
      </c>
      <c r="B181" s="224" t="str">
        <f>VLOOKUP(Tabel10[[#This Row],[Locatiecode]],Ruimtegroepen[[#All],[Code]:[Ruimte omschrijving]],2,FALSE)</f>
        <v>Sanitair</v>
      </c>
      <c r="C181" s="225" t="s">
        <v>550</v>
      </c>
      <c r="D181" s="224" t="s">
        <v>31</v>
      </c>
      <c r="E181" s="226" t="s">
        <v>122</v>
      </c>
      <c r="F181" s="225" t="s">
        <v>553</v>
      </c>
      <c r="G181" s="228" t="s">
        <v>328</v>
      </c>
      <c r="H181" s="228" t="s">
        <v>328</v>
      </c>
      <c r="I181" s="228" t="s">
        <v>328</v>
      </c>
      <c r="J181" s="228" t="s">
        <v>15</v>
      </c>
      <c r="K181" s="228" t="s">
        <v>15</v>
      </c>
      <c r="L181" s="228" t="s">
        <v>328</v>
      </c>
      <c r="M181" s="228" t="s">
        <v>328</v>
      </c>
      <c r="N181" s="228" t="s">
        <v>328</v>
      </c>
      <c r="O181" s="229" t="s">
        <v>328</v>
      </c>
      <c r="P181" s="229" t="s">
        <v>328</v>
      </c>
      <c r="Q181" s="229" t="s">
        <v>328</v>
      </c>
      <c r="R181" s="229" t="s">
        <v>328</v>
      </c>
      <c r="S181" s="229" t="s">
        <v>328</v>
      </c>
      <c r="T181" s="229" t="s">
        <v>328</v>
      </c>
      <c r="U181" s="229" t="s">
        <v>328</v>
      </c>
      <c r="V181" s="229" t="s">
        <v>328</v>
      </c>
      <c r="W181" s="230" t="s">
        <v>17</v>
      </c>
      <c r="X181" s="230" t="s">
        <v>328</v>
      </c>
      <c r="Y181" s="231" t="s">
        <v>328</v>
      </c>
    </row>
    <row r="182" spans="1:25">
      <c r="A182" s="223">
        <v>5</v>
      </c>
      <c r="B182" s="224" t="str">
        <f>VLOOKUP(Tabel10[[#This Row],[Locatiecode]],Ruimtegroepen[[#All],[Code]:[Ruimte omschrijving]],2,FALSE)</f>
        <v>Sanitair</v>
      </c>
      <c r="C182" s="225" t="s">
        <v>550</v>
      </c>
      <c r="D182" s="224" t="s">
        <v>31</v>
      </c>
      <c r="E182" s="226" t="s">
        <v>123</v>
      </c>
      <c r="F182" s="225" t="s">
        <v>554</v>
      </c>
      <c r="G182" s="228" t="s">
        <v>328</v>
      </c>
      <c r="H182" s="228" t="s">
        <v>328</v>
      </c>
      <c r="I182" s="228" t="s">
        <v>328</v>
      </c>
      <c r="J182" s="228" t="s">
        <v>15</v>
      </c>
      <c r="K182" s="228" t="s">
        <v>15</v>
      </c>
      <c r="L182" s="228" t="s">
        <v>328</v>
      </c>
      <c r="M182" s="228" t="s">
        <v>328</v>
      </c>
      <c r="N182" s="228" t="s">
        <v>328</v>
      </c>
      <c r="O182" s="229" t="s">
        <v>328</v>
      </c>
      <c r="P182" s="229" t="s">
        <v>328</v>
      </c>
      <c r="Q182" s="229" t="s">
        <v>328</v>
      </c>
      <c r="R182" s="229" t="s">
        <v>328</v>
      </c>
      <c r="S182" s="229" t="s">
        <v>328</v>
      </c>
      <c r="T182" s="229" t="s">
        <v>328</v>
      </c>
      <c r="U182" s="229" t="s">
        <v>328</v>
      </c>
      <c r="V182" s="229" t="s">
        <v>328</v>
      </c>
      <c r="W182" s="230" t="s">
        <v>17</v>
      </c>
      <c r="X182" s="230" t="s">
        <v>328</v>
      </c>
      <c r="Y182" s="231" t="s">
        <v>328</v>
      </c>
    </row>
    <row r="183" spans="1:25">
      <c r="A183" s="223">
        <v>6</v>
      </c>
      <c r="B183" s="224" t="str">
        <f>VLOOKUP(Tabel10[[#This Row],[Locatiecode]],Ruimtegroepen[[#All],[Code]:[Ruimte omschrijving]],2,FALSE)</f>
        <v>Gangen/hallen BG</v>
      </c>
      <c r="C183" s="225" t="s">
        <v>555</v>
      </c>
      <c r="D183" s="224" t="s">
        <v>32</v>
      </c>
      <c r="E183" s="226" t="s">
        <v>121</v>
      </c>
      <c r="F183" s="225" t="s">
        <v>556</v>
      </c>
      <c r="G183" s="228" t="s">
        <v>328</v>
      </c>
      <c r="H183" s="228" t="s">
        <v>328</v>
      </c>
      <c r="I183" s="228" t="s">
        <v>2</v>
      </c>
      <c r="J183" s="227" t="s">
        <v>328</v>
      </c>
      <c r="K183" s="227" t="s">
        <v>2</v>
      </c>
      <c r="L183" s="228" t="s">
        <v>328</v>
      </c>
      <c r="M183" s="228" t="s">
        <v>328</v>
      </c>
      <c r="N183" s="228" t="s">
        <v>2</v>
      </c>
      <c r="O183" s="229" t="s">
        <v>2</v>
      </c>
      <c r="P183" s="229" t="s">
        <v>2</v>
      </c>
      <c r="Q183" s="229" t="s">
        <v>15</v>
      </c>
      <c r="R183" s="229" t="s">
        <v>15</v>
      </c>
      <c r="S183" s="229" t="s">
        <v>16</v>
      </c>
      <c r="T183" s="229" t="s">
        <v>375</v>
      </c>
      <c r="U183" s="229" t="s">
        <v>331</v>
      </c>
      <c r="V183" s="229" t="s">
        <v>2</v>
      </c>
      <c r="W183" s="230" t="s">
        <v>328</v>
      </c>
      <c r="X183" s="230" t="s">
        <v>328</v>
      </c>
      <c r="Y183" s="231" t="s">
        <v>328</v>
      </c>
    </row>
    <row r="184" spans="1:25">
      <c r="A184" s="223">
        <v>6</v>
      </c>
      <c r="B184" s="224" t="str">
        <f>VLOOKUP(Tabel10[[#This Row],[Locatiecode]],Ruimtegroepen[[#All],[Code]:[Ruimte omschrijving]],2,FALSE)</f>
        <v>Gangen/hallen BG</v>
      </c>
      <c r="C184" s="225" t="s">
        <v>555</v>
      </c>
      <c r="D184" s="224" t="s">
        <v>32</v>
      </c>
      <c r="E184" s="226" t="s">
        <v>120</v>
      </c>
      <c r="F184" s="225" t="s">
        <v>557</v>
      </c>
      <c r="G184" s="228" t="s">
        <v>328</v>
      </c>
      <c r="H184" s="228" t="s">
        <v>2</v>
      </c>
      <c r="I184" s="228" t="s">
        <v>328</v>
      </c>
      <c r="J184" s="228" t="s">
        <v>328</v>
      </c>
      <c r="K184" s="228" t="s">
        <v>328</v>
      </c>
      <c r="L184" s="228" t="s">
        <v>328</v>
      </c>
      <c r="M184" s="228" t="s">
        <v>328</v>
      </c>
      <c r="N184" s="228" t="s">
        <v>2</v>
      </c>
      <c r="O184" s="229" t="s">
        <v>2</v>
      </c>
      <c r="P184" s="229" t="s">
        <v>2</v>
      </c>
      <c r="Q184" s="229" t="s">
        <v>15</v>
      </c>
      <c r="R184" s="229" t="s">
        <v>15</v>
      </c>
      <c r="S184" s="229" t="s">
        <v>16</v>
      </c>
      <c r="T184" s="229" t="s">
        <v>375</v>
      </c>
      <c r="U184" s="229" t="s">
        <v>331</v>
      </c>
      <c r="V184" s="229" t="s">
        <v>2</v>
      </c>
      <c r="W184" s="230" t="s">
        <v>328</v>
      </c>
      <c r="X184" s="230" t="s">
        <v>328</v>
      </c>
      <c r="Y184" s="231" t="s">
        <v>328</v>
      </c>
    </row>
    <row r="185" spans="1:25">
      <c r="A185" s="223">
        <v>6</v>
      </c>
      <c r="B185" s="224" t="str">
        <f>VLOOKUP(Tabel10[[#This Row],[Locatiecode]],Ruimtegroepen[[#All],[Code]:[Ruimte omschrijving]],2,FALSE)</f>
        <v>Gangen/hallen BG</v>
      </c>
      <c r="C185" s="225" t="s">
        <v>555</v>
      </c>
      <c r="D185" s="224" t="s">
        <v>32</v>
      </c>
      <c r="E185" s="226" t="s">
        <v>122</v>
      </c>
      <c r="F185" s="225" t="s">
        <v>558</v>
      </c>
      <c r="G185" s="228" t="s">
        <v>328</v>
      </c>
      <c r="H185" s="228" t="s">
        <v>328</v>
      </c>
      <c r="I185" s="228" t="s">
        <v>2</v>
      </c>
      <c r="J185" s="227" t="s">
        <v>328</v>
      </c>
      <c r="K185" s="227" t="s">
        <v>2</v>
      </c>
      <c r="L185" s="228" t="s">
        <v>328</v>
      </c>
      <c r="M185" s="228" t="s">
        <v>328</v>
      </c>
      <c r="N185" s="228" t="s">
        <v>2</v>
      </c>
      <c r="O185" s="229" t="s">
        <v>2</v>
      </c>
      <c r="P185" s="229" t="s">
        <v>2</v>
      </c>
      <c r="Q185" s="229" t="s">
        <v>15</v>
      </c>
      <c r="R185" s="229" t="s">
        <v>15</v>
      </c>
      <c r="S185" s="229" t="s">
        <v>16</v>
      </c>
      <c r="T185" s="229" t="s">
        <v>375</v>
      </c>
      <c r="U185" s="229" t="s">
        <v>331</v>
      </c>
      <c r="V185" s="229" t="s">
        <v>2</v>
      </c>
      <c r="W185" s="230" t="s">
        <v>328</v>
      </c>
      <c r="X185" s="230" t="s">
        <v>328</v>
      </c>
      <c r="Y185" s="231" t="s">
        <v>328</v>
      </c>
    </row>
    <row r="186" spans="1:25">
      <c r="A186" s="223">
        <v>6</v>
      </c>
      <c r="B186" s="224" t="str">
        <f>VLOOKUP(Tabel10[[#This Row],[Locatiecode]],Ruimtegroepen[[#All],[Code]:[Ruimte omschrijving]],2,FALSE)</f>
        <v>Gangen/hallen BG</v>
      </c>
      <c r="C186" s="225" t="s">
        <v>555</v>
      </c>
      <c r="D186" s="224" t="s">
        <v>32</v>
      </c>
      <c r="E186" s="226" t="s">
        <v>123</v>
      </c>
      <c r="F186" s="225" t="s">
        <v>559</v>
      </c>
      <c r="G186" s="228" t="s">
        <v>328</v>
      </c>
      <c r="H186" s="228" t="s">
        <v>328</v>
      </c>
      <c r="I186" s="228" t="s">
        <v>2</v>
      </c>
      <c r="J186" s="227" t="s">
        <v>328</v>
      </c>
      <c r="K186" s="227" t="s">
        <v>2</v>
      </c>
      <c r="L186" s="228" t="s">
        <v>328</v>
      </c>
      <c r="M186" s="228" t="s">
        <v>328</v>
      </c>
      <c r="N186" s="228" t="s">
        <v>2</v>
      </c>
      <c r="O186" s="229" t="s">
        <v>2</v>
      </c>
      <c r="P186" s="229" t="s">
        <v>2</v>
      </c>
      <c r="Q186" s="229" t="s">
        <v>15</v>
      </c>
      <c r="R186" s="229" t="s">
        <v>15</v>
      </c>
      <c r="S186" s="229" t="s">
        <v>16</v>
      </c>
      <c r="T186" s="229" t="s">
        <v>375</v>
      </c>
      <c r="U186" s="229" t="s">
        <v>331</v>
      </c>
      <c r="V186" s="229" t="s">
        <v>2</v>
      </c>
      <c r="W186" s="230" t="s">
        <v>328</v>
      </c>
      <c r="X186" s="230" t="s">
        <v>328</v>
      </c>
      <c r="Y186" s="231" t="s">
        <v>328</v>
      </c>
    </row>
    <row r="187" spans="1:25">
      <c r="A187" s="223">
        <v>6</v>
      </c>
      <c r="B187" s="224" t="str">
        <f>VLOOKUP(Tabel10[[#This Row],[Locatiecode]],Ruimtegroepen[[#All],[Code]:[Ruimte omschrijving]],2,FALSE)</f>
        <v>Gangen/hallen BG</v>
      </c>
      <c r="C187" s="225" t="s">
        <v>560</v>
      </c>
      <c r="D187" s="224" t="s">
        <v>1</v>
      </c>
      <c r="E187" s="226" t="s">
        <v>121</v>
      </c>
      <c r="F187" s="225" t="s">
        <v>561</v>
      </c>
      <c r="G187" s="228" t="s">
        <v>328</v>
      </c>
      <c r="H187" s="228" t="s">
        <v>328</v>
      </c>
      <c r="I187" s="228" t="s">
        <v>2</v>
      </c>
      <c r="J187" s="227" t="s">
        <v>328</v>
      </c>
      <c r="K187" s="227" t="s">
        <v>2</v>
      </c>
      <c r="L187" s="228" t="s">
        <v>328</v>
      </c>
      <c r="M187" s="228" t="s">
        <v>328</v>
      </c>
      <c r="N187" s="228" t="s">
        <v>328</v>
      </c>
      <c r="O187" s="229" t="s">
        <v>2</v>
      </c>
      <c r="P187" s="229" t="s">
        <v>2</v>
      </c>
      <c r="Q187" s="229" t="s">
        <v>15</v>
      </c>
      <c r="R187" s="229" t="s">
        <v>15</v>
      </c>
      <c r="S187" s="229" t="s">
        <v>16</v>
      </c>
      <c r="T187" s="229" t="s">
        <v>375</v>
      </c>
      <c r="U187" s="229" t="s">
        <v>331</v>
      </c>
      <c r="V187" s="229" t="s">
        <v>328</v>
      </c>
      <c r="W187" s="230" t="s">
        <v>328</v>
      </c>
      <c r="X187" s="230" t="s">
        <v>328</v>
      </c>
      <c r="Y187" s="231" t="s">
        <v>328</v>
      </c>
    </row>
    <row r="188" spans="1:25">
      <c r="A188" s="223">
        <v>6</v>
      </c>
      <c r="B188" s="224" t="str">
        <f>VLOOKUP(Tabel10[[#This Row],[Locatiecode]],Ruimtegroepen[[#All],[Code]:[Ruimte omschrijving]],2,FALSE)</f>
        <v>Gangen/hallen BG</v>
      </c>
      <c r="C188" s="225" t="s">
        <v>560</v>
      </c>
      <c r="D188" s="224" t="s">
        <v>1</v>
      </c>
      <c r="E188" s="226" t="s">
        <v>120</v>
      </c>
      <c r="F188" s="225" t="s">
        <v>562</v>
      </c>
      <c r="G188" s="228" t="s">
        <v>328</v>
      </c>
      <c r="H188" s="228" t="s">
        <v>2</v>
      </c>
      <c r="I188" s="228" t="s">
        <v>328</v>
      </c>
      <c r="J188" s="228" t="s">
        <v>328</v>
      </c>
      <c r="K188" s="228" t="s">
        <v>328</v>
      </c>
      <c r="L188" s="228" t="s">
        <v>328</v>
      </c>
      <c r="M188" s="228" t="s">
        <v>328</v>
      </c>
      <c r="N188" s="228" t="s">
        <v>328</v>
      </c>
      <c r="O188" s="229" t="s">
        <v>2</v>
      </c>
      <c r="P188" s="229" t="s">
        <v>2</v>
      </c>
      <c r="Q188" s="229" t="s">
        <v>15</v>
      </c>
      <c r="R188" s="229" t="s">
        <v>15</v>
      </c>
      <c r="S188" s="229" t="s">
        <v>16</v>
      </c>
      <c r="T188" s="229" t="s">
        <v>375</v>
      </c>
      <c r="U188" s="229" t="s">
        <v>331</v>
      </c>
      <c r="V188" s="229" t="s">
        <v>328</v>
      </c>
      <c r="W188" s="230" t="s">
        <v>328</v>
      </c>
      <c r="X188" s="230" t="s">
        <v>328</v>
      </c>
      <c r="Y188" s="231" t="s">
        <v>328</v>
      </c>
    </row>
    <row r="189" spans="1:25">
      <c r="A189" s="223">
        <v>6</v>
      </c>
      <c r="B189" s="224" t="str">
        <f>VLOOKUP(Tabel10[[#This Row],[Locatiecode]],Ruimtegroepen[[#All],[Code]:[Ruimte omschrijving]],2,FALSE)</f>
        <v>Gangen/hallen BG</v>
      </c>
      <c r="C189" s="225" t="s">
        <v>560</v>
      </c>
      <c r="D189" s="224" t="s">
        <v>1</v>
      </c>
      <c r="E189" s="226" t="s">
        <v>122</v>
      </c>
      <c r="F189" s="225" t="s">
        <v>563</v>
      </c>
      <c r="G189" s="228" t="s">
        <v>328</v>
      </c>
      <c r="H189" s="228" t="s">
        <v>328</v>
      </c>
      <c r="I189" s="228" t="s">
        <v>2</v>
      </c>
      <c r="J189" s="227" t="s">
        <v>328</v>
      </c>
      <c r="K189" s="227" t="s">
        <v>2</v>
      </c>
      <c r="L189" s="228" t="s">
        <v>328</v>
      </c>
      <c r="M189" s="228" t="s">
        <v>328</v>
      </c>
      <c r="N189" s="228" t="s">
        <v>328</v>
      </c>
      <c r="O189" s="229" t="s">
        <v>2</v>
      </c>
      <c r="P189" s="229" t="s">
        <v>2</v>
      </c>
      <c r="Q189" s="229" t="s">
        <v>15</v>
      </c>
      <c r="R189" s="229" t="s">
        <v>15</v>
      </c>
      <c r="S189" s="229" t="s">
        <v>16</v>
      </c>
      <c r="T189" s="229" t="s">
        <v>375</v>
      </c>
      <c r="U189" s="229" t="s">
        <v>331</v>
      </c>
      <c r="V189" s="229" t="s">
        <v>328</v>
      </c>
      <c r="W189" s="230" t="s">
        <v>328</v>
      </c>
      <c r="X189" s="230" t="s">
        <v>328</v>
      </c>
      <c r="Y189" s="231" t="s">
        <v>328</v>
      </c>
    </row>
    <row r="190" spans="1:25">
      <c r="A190" s="223">
        <v>6</v>
      </c>
      <c r="B190" s="224" t="str">
        <f>VLOOKUP(Tabel10[[#This Row],[Locatiecode]],Ruimtegroepen[[#All],[Code]:[Ruimte omschrijving]],2,FALSE)</f>
        <v>Gangen/hallen BG</v>
      </c>
      <c r="C190" s="225" t="s">
        <v>560</v>
      </c>
      <c r="D190" s="224" t="s">
        <v>1</v>
      </c>
      <c r="E190" s="226" t="s">
        <v>123</v>
      </c>
      <c r="F190" s="225" t="s">
        <v>564</v>
      </c>
      <c r="G190" s="228" t="s">
        <v>328</v>
      </c>
      <c r="H190" s="228" t="s">
        <v>328</v>
      </c>
      <c r="I190" s="228" t="s">
        <v>2</v>
      </c>
      <c r="J190" s="227" t="s">
        <v>328</v>
      </c>
      <c r="K190" s="227" t="s">
        <v>2</v>
      </c>
      <c r="L190" s="228" t="s">
        <v>328</v>
      </c>
      <c r="M190" s="228" t="s">
        <v>328</v>
      </c>
      <c r="N190" s="228" t="s">
        <v>328</v>
      </c>
      <c r="O190" s="229" t="s">
        <v>2</v>
      </c>
      <c r="P190" s="229" t="s">
        <v>2</v>
      </c>
      <c r="Q190" s="229" t="s">
        <v>15</v>
      </c>
      <c r="R190" s="229" t="s">
        <v>15</v>
      </c>
      <c r="S190" s="229" t="s">
        <v>16</v>
      </c>
      <c r="T190" s="229" t="s">
        <v>375</v>
      </c>
      <c r="U190" s="229" t="s">
        <v>331</v>
      </c>
      <c r="V190" s="229" t="s">
        <v>328</v>
      </c>
      <c r="W190" s="230" t="s">
        <v>328</v>
      </c>
      <c r="X190" s="230" t="s">
        <v>328</v>
      </c>
      <c r="Y190" s="231" t="s">
        <v>328</v>
      </c>
    </row>
    <row r="191" spans="1:25">
      <c r="A191" s="223">
        <v>6</v>
      </c>
      <c r="B191" s="224" t="str">
        <f>VLOOKUP(Tabel10[[#This Row],[Locatiecode]],Ruimtegroepen[[#All],[Code]:[Ruimte omschrijving]],2,FALSE)</f>
        <v>Gangen/hallen BG</v>
      </c>
      <c r="C191" s="225" t="s">
        <v>565</v>
      </c>
      <c r="D191" s="224" t="s">
        <v>21</v>
      </c>
      <c r="E191" s="226" t="s">
        <v>121</v>
      </c>
      <c r="F191" s="225" t="s">
        <v>566</v>
      </c>
      <c r="G191" s="228" t="s">
        <v>328</v>
      </c>
      <c r="H191" s="228" t="s">
        <v>328</v>
      </c>
      <c r="I191" s="228" t="s">
        <v>20</v>
      </c>
      <c r="J191" s="227" t="s">
        <v>328</v>
      </c>
      <c r="K191" s="227" t="s">
        <v>20</v>
      </c>
      <c r="L191" s="228" t="s">
        <v>328</v>
      </c>
      <c r="M191" s="228" t="s">
        <v>328</v>
      </c>
      <c r="N191" s="228" t="s">
        <v>328</v>
      </c>
      <c r="O191" s="229" t="s">
        <v>20</v>
      </c>
      <c r="P191" s="229" t="s">
        <v>20</v>
      </c>
      <c r="Q191" s="229" t="s">
        <v>15</v>
      </c>
      <c r="R191" s="229" t="s">
        <v>15</v>
      </c>
      <c r="S191" s="229" t="s">
        <v>16</v>
      </c>
      <c r="T191" s="229" t="s">
        <v>375</v>
      </c>
      <c r="U191" s="229" t="s">
        <v>331</v>
      </c>
      <c r="V191" s="229" t="s">
        <v>328</v>
      </c>
      <c r="W191" s="230" t="s">
        <v>328</v>
      </c>
      <c r="X191" s="230" t="s">
        <v>328</v>
      </c>
      <c r="Y191" s="231" t="s">
        <v>328</v>
      </c>
    </row>
    <row r="192" spans="1:25">
      <c r="A192" s="223">
        <v>6</v>
      </c>
      <c r="B192" s="224" t="str">
        <f>VLOOKUP(Tabel10[[#This Row],[Locatiecode]],Ruimtegroepen[[#All],[Code]:[Ruimte omschrijving]],2,FALSE)</f>
        <v>Gangen/hallen BG</v>
      </c>
      <c r="C192" s="225" t="s">
        <v>565</v>
      </c>
      <c r="D192" s="224" t="s">
        <v>21</v>
      </c>
      <c r="E192" s="226" t="s">
        <v>120</v>
      </c>
      <c r="F192" s="225" t="s">
        <v>567</v>
      </c>
      <c r="G192" s="228" t="s">
        <v>328</v>
      </c>
      <c r="H192" s="228" t="s">
        <v>20</v>
      </c>
      <c r="I192" s="228" t="s">
        <v>328</v>
      </c>
      <c r="J192" s="228" t="s">
        <v>328</v>
      </c>
      <c r="K192" s="228" t="s">
        <v>328</v>
      </c>
      <c r="L192" s="228" t="s">
        <v>328</v>
      </c>
      <c r="M192" s="228" t="s">
        <v>328</v>
      </c>
      <c r="N192" s="228" t="s">
        <v>328</v>
      </c>
      <c r="O192" s="229" t="s">
        <v>20</v>
      </c>
      <c r="P192" s="229" t="s">
        <v>20</v>
      </c>
      <c r="Q192" s="229" t="s">
        <v>15</v>
      </c>
      <c r="R192" s="229" t="s">
        <v>15</v>
      </c>
      <c r="S192" s="229" t="s">
        <v>16</v>
      </c>
      <c r="T192" s="229" t="s">
        <v>375</v>
      </c>
      <c r="U192" s="229" t="s">
        <v>331</v>
      </c>
      <c r="V192" s="229" t="s">
        <v>328</v>
      </c>
      <c r="W192" s="230" t="s">
        <v>328</v>
      </c>
      <c r="X192" s="230" t="s">
        <v>328</v>
      </c>
      <c r="Y192" s="231" t="s">
        <v>328</v>
      </c>
    </row>
    <row r="193" spans="1:25">
      <c r="A193" s="223">
        <v>6</v>
      </c>
      <c r="B193" s="224" t="str">
        <f>VLOOKUP(Tabel10[[#This Row],[Locatiecode]],Ruimtegroepen[[#All],[Code]:[Ruimte omschrijving]],2,FALSE)</f>
        <v>Gangen/hallen BG</v>
      </c>
      <c r="C193" s="225" t="s">
        <v>565</v>
      </c>
      <c r="D193" s="224" t="s">
        <v>21</v>
      </c>
      <c r="E193" s="226" t="s">
        <v>122</v>
      </c>
      <c r="F193" s="225" t="s">
        <v>568</v>
      </c>
      <c r="G193" s="228" t="s">
        <v>328</v>
      </c>
      <c r="H193" s="228" t="s">
        <v>328</v>
      </c>
      <c r="I193" s="228" t="s">
        <v>20</v>
      </c>
      <c r="J193" s="227" t="s">
        <v>328</v>
      </c>
      <c r="K193" s="227" t="s">
        <v>20</v>
      </c>
      <c r="L193" s="228" t="s">
        <v>328</v>
      </c>
      <c r="M193" s="228" t="s">
        <v>328</v>
      </c>
      <c r="N193" s="228" t="s">
        <v>328</v>
      </c>
      <c r="O193" s="229" t="s">
        <v>20</v>
      </c>
      <c r="P193" s="229" t="s">
        <v>20</v>
      </c>
      <c r="Q193" s="229" t="s">
        <v>15</v>
      </c>
      <c r="R193" s="229" t="s">
        <v>15</v>
      </c>
      <c r="S193" s="229" t="s">
        <v>16</v>
      </c>
      <c r="T193" s="229" t="s">
        <v>375</v>
      </c>
      <c r="U193" s="229" t="s">
        <v>331</v>
      </c>
      <c r="V193" s="229" t="s">
        <v>328</v>
      </c>
      <c r="W193" s="230" t="s">
        <v>328</v>
      </c>
      <c r="X193" s="230" t="s">
        <v>328</v>
      </c>
      <c r="Y193" s="231" t="s">
        <v>328</v>
      </c>
    </row>
    <row r="194" spans="1:25">
      <c r="A194" s="223">
        <v>6</v>
      </c>
      <c r="B194" s="224" t="str">
        <f>VLOOKUP(Tabel10[[#This Row],[Locatiecode]],Ruimtegroepen[[#All],[Code]:[Ruimte omschrijving]],2,FALSE)</f>
        <v>Gangen/hallen BG</v>
      </c>
      <c r="C194" s="225" t="s">
        <v>565</v>
      </c>
      <c r="D194" s="224" t="s">
        <v>21</v>
      </c>
      <c r="E194" s="226" t="s">
        <v>123</v>
      </c>
      <c r="F194" s="225" t="s">
        <v>569</v>
      </c>
      <c r="G194" s="228" t="s">
        <v>328</v>
      </c>
      <c r="H194" s="228" t="s">
        <v>328</v>
      </c>
      <c r="I194" s="228" t="s">
        <v>20</v>
      </c>
      <c r="J194" s="227" t="s">
        <v>328</v>
      </c>
      <c r="K194" s="227" t="s">
        <v>20</v>
      </c>
      <c r="L194" s="228" t="s">
        <v>328</v>
      </c>
      <c r="M194" s="228" t="s">
        <v>328</v>
      </c>
      <c r="N194" s="228" t="s">
        <v>328</v>
      </c>
      <c r="O194" s="229" t="s">
        <v>20</v>
      </c>
      <c r="P194" s="229" t="s">
        <v>20</v>
      </c>
      <c r="Q194" s="229" t="s">
        <v>15</v>
      </c>
      <c r="R194" s="229" t="s">
        <v>15</v>
      </c>
      <c r="S194" s="229" t="s">
        <v>16</v>
      </c>
      <c r="T194" s="229" t="s">
        <v>375</v>
      </c>
      <c r="U194" s="229" t="s">
        <v>331</v>
      </c>
      <c r="V194" s="229" t="s">
        <v>328</v>
      </c>
      <c r="W194" s="230" t="s">
        <v>328</v>
      </c>
      <c r="X194" s="230" t="s">
        <v>328</v>
      </c>
      <c r="Y194" s="231" t="s">
        <v>328</v>
      </c>
    </row>
    <row r="195" spans="1:25">
      <c r="A195" s="223">
        <v>6</v>
      </c>
      <c r="B195" s="224" t="str">
        <f>VLOOKUP(Tabel10[[#This Row],[Locatiecode]],Ruimtegroepen[[#All],[Code]:[Ruimte omschrijving]],2,FALSE)</f>
        <v>Gangen/hallen BG</v>
      </c>
      <c r="C195" s="225" t="s">
        <v>570</v>
      </c>
      <c r="D195" s="224" t="s">
        <v>12</v>
      </c>
      <c r="E195" s="226" t="s">
        <v>121</v>
      </c>
      <c r="F195" s="225" t="s">
        <v>571</v>
      </c>
      <c r="G195" s="228" t="s">
        <v>328</v>
      </c>
      <c r="H195" s="228" t="s">
        <v>328</v>
      </c>
      <c r="I195" s="228" t="s">
        <v>18</v>
      </c>
      <c r="J195" s="227" t="s">
        <v>328</v>
      </c>
      <c r="K195" s="227" t="s">
        <v>18</v>
      </c>
      <c r="L195" s="228" t="s">
        <v>328</v>
      </c>
      <c r="M195" s="228" t="s">
        <v>328</v>
      </c>
      <c r="N195" s="228" t="s">
        <v>328</v>
      </c>
      <c r="O195" s="229" t="s">
        <v>18</v>
      </c>
      <c r="P195" s="229" t="s">
        <v>18</v>
      </c>
      <c r="Q195" s="229" t="s">
        <v>15</v>
      </c>
      <c r="R195" s="229" t="s">
        <v>15</v>
      </c>
      <c r="S195" s="229" t="s">
        <v>16</v>
      </c>
      <c r="T195" s="229" t="s">
        <v>375</v>
      </c>
      <c r="U195" s="229" t="s">
        <v>331</v>
      </c>
      <c r="V195" s="229" t="s">
        <v>328</v>
      </c>
      <c r="W195" s="230" t="s">
        <v>328</v>
      </c>
      <c r="X195" s="230" t="s">
        <v>328</v>
      </c>
      <c r="Y195" s="231" t="s">
        <v>328</v>
      </c>
    </row>
    <row r="196" spans="1:25">
      <c r="A196" s="223">
        <v>6</v>
      </c>
      <c r="B196" s="224" t="str">
        <f>VLOOKUP(Tabel10[[#This Row],[Locatiecode]],Ruimtegroepen[[#All],[Code]:[Ruimte omschrijving]],2,FALSE)</f>
        <v>Gangen/hallen BG</v>
      </c>
      <c r="C196" s="225" t="s">
        <v>570</v>
      </c>
      <c r="D196" s="224" t="s">
        <v>12</v>
      </c>
      <c r="E196" s="226" t="s">
        <v>120</v>
      </c>
      <c r="F196" s="225" t="s">
        <v>572</v>
      </c>
      <c r="G196" s="228" t="s">
        <v>328</v>
      </c>
      <c r="H196" s="228" t="s">
        <v>18</v>
      </c>
      <c r="I196" s="228" t="s">
        <v>328</v>
      </c>
      <c r="J196" s="228" t="s">
        <v>328</v>
      </c>
      <c r="K196" s="228" t="s">
        <v>328</v>
      </c>
      <c r="L196" s="228" t="s">
        <v>328</v>
      </c>
      <c r="M196" s="228" t="s">
        <v>328</v>
      </c>
      <c r="N196" s="228" t="s">
        <v>328</v>
      </c>
      <c r="O196" s="229" t="s">
        <v>18</v>
      </c>
      <c r="P196" s="229" t="s">
        <v>18</v>
      </c>
      <c r="Q196" s="229" t="s">
        <v>15</v>
      </c>
      <c r="R196" s="229" t="s">
        <v>15</v>
      </c>
      <c r="S196" s="229" t="s">
        <v>16</v>
      </c>
      <c r="T196" s="229" t="s">
        <v>375</v>
      </c>
      <c r="U196" s="229" t="s">
        <v>331</v>
      </c>
      <c r="V196" s="229" t="s">
        <v>328</v>
      </c>
      <c r="W196" s="230" t="s">
        <v>328</v>
      </c>
      <c r="X196" s="230" t="s">
        <v>328</v>
      </c>
      <c r="Y196" s="231" t="s">
        <v>328</v>
      </c>
    </row>
    <row r="197" spans="1:25">
      <c r="A197" s="223">
        <v>6</v>
      </c>
      <c r="B197" s="224" t="str">
        <f>VLOOKUP(Tabel10[[#This Row],[Locatiecode]],Ruimtegroepen[[#All],[Code]:[Ruimte omschrijving]],2,FALSE)</f>
        <v>Gangen/hallen BG</v>
      </c>
      <c r="C197" s="225" t="s">
        <v>570</v>
      </c>
      <c r="D197" s="224" t="s">
        <v>12</v>
      </c>
      <c r="E197" s="226" t="s">
        <v>122</v>
      </c>
      <c r="F197" s="225" t="s">
        <v>573</v>
      </c>
      <c r="G197" s="228" t="s">
        <v>328</v>
      </c>
      <c r="H197" s="228" t="s">
        <v>328</v>
      </c>
      <c r="I197" s="228" t="s">
        <v>18</v>
      </c>
      <c r="J197" s="227" t="s">
        <v>328</v>
      </c>
      <c r="K197" s="227" t="s">
        <v>18</v>
      </c>
      <c r="L197" s="228" t="s">
        <v>328</v>
      </c>
      <c r="M197" s="228" t="s">
        <v>328</v>
      </c>
      <c r="N197" s="228" t="s">
        <v>328</v>
      </c>
      <c r="O197" s="229" t="s">
        <v>18</v>
      </c>
      <c r="P197" s="229" t="s">
        <v>18</v>
      </c>
      <c r="Q197" s="229" t="s">
        <v>15</v>
      </c>
      <c r="R197" s="229" t="s">
        <v>15</v>
      </c>
      <c r="S197" s="229" t="s">
        <v>16</v>
      </c>
      <c r="T197" s="229" t="s">
        <v>375</v>
      </c>
      <c r="U197" s="229" t="s">
        <v>331</v>
      </c>
      <c r="V197" s="229" t="s">
        <v>328</v>
      </c>
      <c r="W197" s="230" t="s">
        <v>328</v>
      </c>
      <c r="X197" s="230" t="s">
        <v>328</v>
      </c>
      <c r="Y197" s="231" t="s">
        <v>328</v>
      </c>
    </row>
    <row r="198" spans="1:25">
      <c r="A198" s="223">
        <v>6</v>
      </c>
      <c r="B198" s="224" t="str">
        <f>VLOOKUP(Tabel10[[#This Row],[Locatiecode]],Ruimtegroepen[[#All],[Code]:[Ruimte omschrijving]],2,FALSE)</f>
        <v>Gangen/hallen BG</v>
      </c>
      <c r="C198" s="225" t="s">
        <v>570</v>
      </c>
      <c r="D198" s="224" t="s">
        <v>12</v>
      </c>
      <c r="E198" s="226" t="s">
        <v>123</v>
      </c>
      <c r="F198" s="225" t="s">
        <v>574</v>
      </c>
      <c r="G198" s="228" t="s">
        <v>328</v>
      </c>
      <c r="H198" s="228" t="s">
        <v>328</v>
      </c>
      <c r="I198" s="228" t="s">
        <v>18</v>
      </c>
      <c r="J198" s="227" t="s">
        <v>328</v>
      </c>
      <c r="K198" s="227" t="s">
        <v>18</v>
      </c>
      <c r="L198" s="228" t="s">
        <v>328</v>
      </c>
      <c r="M198" s="228" t="s">
        <v>328</v>
      </c>
      <c r="N198" s="228" t="s">
        <v>328</v>
      </c>
      <c r="O198" s="229" t="s">
        <v>18</v>
      </c>
      <c r="P198" s="229" t="s">
        <v>18</v>
      </c>
      <c r="Q198" s="229" t="s">
        <v>15</v>
      </c>
      <c r="R198" s="229" t="s">
        <v>15</v>
      </c>
      <c r="S198" s="229" t="s">
        <v>16</v>
      </c>
      <c r="T198" s="229" t="s">
        <v>375</v>
      </c>
      <c r="U198" s="229" t="s">
        <v>331</v>
      </c>
      <c r="V198" s="229" t="s">
        <v>328</v>
      </c>
      <c r="W198" s="230" t="s">
        <v>328</v>
      </c>
      <c r="X198" s="230" t="s">
        <v>328</v>
      </c>
      <c r="Y198" s="231" t="s">
        <v>328</v>
      </c>
    </row>
    <row r="199" spans="1:25">
      <c r="A199" s="223">
        <v>6</v>
      </c>
      <c r="B199" s="224" t="str">
        <f>VLOOKUP(Tabel10[[#This Row],[Locatiecode]],Ruimtegroepen[[#All],[Code]:[Ruimte omschrijving]],2,FALSE)</f>
        <v>Gangen/hallen BG</v>
      </c>
      <c r="C199" s="225" t="s">
        <v>575</v>
      </c>
      <c r="D199" s="224" t="s">
        <v>14</v>
      </c>
      <c r="E199" s="226" t="s">
        <v>121</v>
      </c>
      <c r="F199" s="225" t="s">
        <v>576</v>
      </c>
      <c r="G199" s="228" t="s">
        <v>328</v>
      </c>
      <c r="H199" s="228" t="s">
        <v>328</v>
      </c>
      <c r="I199" s="228" t="s">
        <v>17</v>
      </c>
      <c r="J199" s="227" t="s">
        <v>328</v>
      </c>
      <c r="K199" s="227" t="s">
        <v>17</v>
      </c>
      <c r="L199" s="228" t="s">
        <v>328</v>
      </c>
      <c r="M199" s="228" t="s">
        <v>328</v>
      </c>
      <c r="N199" s="228" t="s">
        <v>328</v>
      </c>
      <c r="O199" s="229" t="s">
        <v>17</v>
      </c>
      <c r="P199" s="229" t="s">
        <v>17</v>
      </c>
      <c r="Q199" s="229" t="s">
        <v>15</v>
      </c>
      <c r="R199" s="229" t="s">
        <v>15</v>
      </c>
      <c r="S199" s="229" t="s">
        <v>16</v>
      </c>
      <c r="T199" s="229" t="s">
        <v>375</v>
      </c>
      <c r="U199" s="229" t="s">
        <v>331</v>
      </c>
      <c r="V199" s="229" t="s">
        <v>328</v>
      </c>
      <c r="W199" s="230" t="s">
        <v>328</v>
      </c>
      <c r="X199" s="230" t="s">
        <v>328</v>
      </c>
      <c r="Y199" s="231" t="s">
        <v>328</v>
      </c>
    </row>
    <row r="200" spans="1:25">
      <c r="A200" s="223">
        <v>6</v>
      </c>
      <c r="B200" s="224" t="str">
        <f>VLOOKUP(Tabel10[[#This Row],[Locatiecode]],Ruimtegroepen[[#All],[Code]:[Ruimte omschrijving]],2,FALSE)</f>
        <v>Gangen/hallen BG</v>
      </c>
      <c r="C200" s="225" t="s">
        <v>575</v>
      </c>
      <c r="D200" s="224" t="s">
        <v>14</v>
      </c>
      <c r="E200" s="226" t="s">
        <v>120</v>
      </c>
      <c r="F200" s="225" t="s">
        <v>577</v>
      </c>
      <c r="G200" s="228" t="s">
        <v>328</v>
      </c>
      <c r="H200" s="228" t="s">
        <v>17</v>
      </c>
      <c r="I200" s="228" t="s">
        <v>328</v>
      </c>
      <c r="J200" s="228" t="s">
        <v>328</v>
      </c>
      <c r="K200" s="228" t="s">
        <v>328</v>
      </c>
      <c r="L200" s="228" t="s">
        <v>328</v>
      </c>
      <c r="M200" s="228" t="s">
        <v>328</v>
      </c>
      <c r="N200" s="228" t="s">
        <v>328</v>
      </c>
      <c r="O200" s="229" t="s">
        <v>17</v>
      </c>
      <c r="P200" s="229" t="s">
        <v>17</v>
      </c>
      <c r="Q200" s="229" t="s">
        <v>15</v>
      </c>
      <c r="R200" s="229" t="s">
        <v>15</v>
      </c>
      <c r="S200" s="229" t="s">
        <v>16</v>
      </c>
      <c r="T200" s="229" t="s">
        <v>375</v>
      </c>
      <c r="U200" s="229" t="s">
        <v>331</v>
      </c>
      <c r="V200" s="229" t="s">
        <v>328</v>
      </c>
      <c r="W200" s="230" t="s">
        <v>328</v>
      </c>
      <c r="X200" s="230" t="s">
        <v>328</v>
      </c>
      <c r="Y200" s="231" t="s">
        <v>328</v>
      </c>
    </row>
    <row r="201" spans="1:25">
      <c r="A201" s="223">
        <v>6</v>
      </c>
      <c r="B201" s="224" t="str">
        <f>VLOOKUP(Tabel10[[#This Row],[Locatiecode]],Ruimtegroepen[[#All],[Code]:[Ruimte omschrijving]],2,FALSE)</f>
        <v>Gangen/hallen BG</v>
      </c>
      <c r="C201" s="225" t="s">
        <v>575</v>
      </c>
      <c r="D201" s="224" t="s">
        <v>14</v>
      </c>
      <c r="E201" s="226" t="s">
        <v>122</v>
      </c>
      <c r="F201" s="225" t="s">
        <v>578</v>
      </c>
      <c r="G201" s="228" t="s">
        <v>328</v>
      </c>
      <c r="H201" s="228" t="s">
        <v>328</v>
      </c>
      <c r="I201" s="228" t="s">
        <v>17</v>
      </c>
      <c r="J201" s="227" t="s">
        <v>328</v>
      </c>
      <c r="K201" s="227" t="s">
        <v>17</v>
      </c>
      <c r="L201" s="228" t="s">
        <v>328</v>
      </c>
      <c r="M201" s="228" t="s">
        <v>328</v>
      </c>
      <c r="N201" s="228" t="s">
        <v>328</v>
      </c>
      <c r="O201" s="229" t="s">
        <v>17</v>
      </c>
      <c r="P201" s="229" t="s">
        <v>17</v>
      </c>
      <c r="Q201" s="229" t="s">
        <v>15</v>
      </c>
      <c r="R201" s="229" t="s">
        <v>15</v>
      </c>
      <c r="S201" s="229" t="s">
        <v>16</v>
      </c>
      <c r="T201" s="229" t="s">
        <v>375</v>
      </c>
      <c r="U201" s="229" t="s">
        <v>331</v>
      </c>
      <c r="V201" s="229" t="s">
        <v>328</v>
      </c>
      <c r="W201" s="230" t="s">
        <v>328</v>
      </c>
      <c r="X201" s="230" t="s">
        <v>328</v>
      </c>
      <c r="Y201" s="231" t="s">
        <v>328</v>
      </c>
    </row>
    <row r="202" spans="1:25">
      <c r="A202" s="223">
        <v>6</v>
      </c>
      <c r="B202" s="224" t="str">
        <f>VLOOKUP(Tabel10[[#This Row],[Locatiecode]],Ruimtegroepen[[#All],[Code]:[Ruimte omschrijving]],2,FALSE)</f>
        <v>Gangen/hallen BG</v>
      </c>
      <c r="C202" s="225" t="s">
        <v>575</v>
      </c>
      <c r="D202" s="224" t="s">
        <v>14</v>
      </c>
      <c r="E202" s="226" t="s">
        <v>123</v>
      </c>
      <c r="F202" s="225" t="s">
        <v>579</v>
      </c>
      <c r="G202" s="228" t="s">
        <v>328</v>
      </c>
      <c r="H202" s="228" t="s">
        <v>328</v>
      </c>
      <c r="I202" s="228" t="s">
        <v>17</v>
      </c>
      <c r="J202" s="227" t="s">
        <v>328</v>
      </c>
      <c r="K202" s="227" t="s">
        <v>17</v>
      </c>
      <c r="L202" s="228" t="s">
        <v>328</v>
      </c>
      <c r="M202" s="228" t="s">
        <v>328</v>
      </c>
      <c r="N202" s="228" t="s">
        <v>328</v>
      </c>
      <c r="O202" s="229" t="s">
        <v>17</v>
      </c>
      <c r="P202" s="229" t="s">
        <v>17</v>
      </c>
      <c r="Q202" s="229" t="s">
        <v>15</v>
      </c>
      <c r="R202" s="229" t="s">
        <v>15</v>
      </c>
      <c r="S202" s="229" t="s">
        <v>16</v>
      </c>
      <c r="T202" s="229" t="s">
        <v>375</v>
      </c>
      <c r="U202" s="229" t="s">
        <v>331</v>
      </c>
      <c r="V202" s="229" t="s">
        <v>328</v>
      </c>
      <c r="W202" s="230" t="s">
        <v>328</v>
      </c>
      <c r="X202" s="230" t="s">
        <v>328</v>
      </c>
      <c r="Y202" s="231" t="s">
        <v>328</v>
      </c>
    </row>
    <row r="203" spans="1:25">
      <c r="A203" s="223">
        <v>6</v>
      </c>
      <c r="B203" s="224" t="str">
        <f>VLOOKUP(Tabel10[[#This Row],[Locatiecode]],Ruimtegroepen[[#All],[Code]:[Ruimte omschrijving]],2,FALSE)</f>
        <v>Gangen/hallen BG</v>
      </c>
      <c r="C203" s="225" t="s">
        <v>580</v>
      </c>
      <c r="D203" s="224" t="s">
        <v>13</v>
      </c>
      <c r="E203" s="226" t="s">
        <v>121</v>
      </c>
      <c r="F203" s="225" t="s">
        <v>581</v>
      </c>
      <c r="G203" s="228" t="s">
        <v>328</v>
      </c>
      <c r="H203" s="228" t="s">
        <v>328</v>
      </c>
      <c r="I203" s="228" t="s">
        <v>15</v>
      </c>
      <c r="J203" s="227" t="s">
        <v>328</v>
      </c>
      <c r="K203" s="228" t="s">
        <v>15</v>
      </c>
      <c r="L203" s="228" t="s">
        <v>328</v>
      </c>
      <c r="M203" s="228" t="s">
        <v>328</v>
      </c>
      <c r="N203" s="228" t="s">
        <v>328</v>
      </c>
      <c r="O203" s="229" t="s">
        <v>15</v>
      </c>
      <c r="P203" s="229" t="s">
        <v>15</v>
      </c>
      <c r="Q203" s="229" t="s">
        <v>15</v>
      </c>
      <c r="R203" s="229" t="s">
        <v>15</v>
      </c>
      <c r="S203" s="229" t="s">
        <v>16</v>
      </c>
      <c r="T203" s="229" t="s">
        <v>375</v>
      </c>
      <c r="U203" s="229" t="s">
        <v>331</v>
      </c>
      <c r="V203" s="229" t="s">
        <v>328</v>
      </c>
      <c r="W203" s="230" t="s">
        <v>328</v>
      </c>
      <c r="X203" s="230" t="s">
        <v>328</v>
      </c>
      <c r="Y203" s="231" t="s">
        <v>328</v>
      </c>
    </row>
    <row r="204" spans="1:25">
      <c r="A204" s="223">
        <v>6</v>
      </c>
      <c r="B204" s="224" t="str">
        <f>VLOOKUP(Tabel10[[#This Row],[Locatiecode]],Ruimtegroepen[[#All],[Code]:[Ruimte omschrijving]],2,FALSE)</f>
        <v>Gangen/hallen BG</v>
      </c>
      <c r="C204" s="225" t="s">
        <v>580</v>
      </c>
      <c r="D204" s="224" t="s">
        <v>13</v>
      </c>
      <c r="E204" s="226" t="s">
        <v>120</v>
      </c>
      <c r="F204" s="225" t="s">
        <v>582</v>
      </c>
      <c r="G204" s="228" t="s">
        <v>328</v>
      </c>
      <c r="H204" s="228" t="s">
        <v>15</v>
      </c>
      <c r="I204" s="228" t="s">
        <v>328</v>
      </c>
      <c r="J204" s="228" t="s">
        <v>328</v>
      </c>
      <c r="K204" s="228" t="s">
        <v>328</v>
      </c>
      <c r="L204" s="228" t="s">
        <v>328</v>
      </c>
      <c r="M204" s="228" t="s">
        <v>328</v>
      </c>
      <c r="N204" s="228" t="s">
        <v>328</v>
      </c>
      <c r="O204" s="229" t="s">
        <v>15</v>
      </c>
      <c r="P204" s="229" t="s">
        <v>15</v>
      </c>
      <c r="Q204" s="229" t="s">
        <v>15</v>
      </c>
      <c r="R204" s="229" t="s">
        <v>15</v>
      </c>
      <c r="S204" s="229" t="s">
        <v>16</v>
      </c>
      <c r="T204" s="229" t="s">
        <v>375</v>
      </c>
      <c r="U204" s="229" t="s">
        <v>331</v>
      </c>
      <c r="V204" s="229" t="s">
        <v>328</v>
      </c>
      <c r="W204" s="230" t="s">
        <v>328</v>
      </c>
      <c r="X204" s="230" t="s">
        <v>328</v>
      </c>
      <c r="Y204" s="231" t="s">
        <v>328</v>
      </c>
    </row>
    <row r="205" spans="1:25">
      <c r="A205" s="223">
        <v>6</v>
      </c>
      <c r="B205" s="224" t="str">
        <f>VLOOKUP(Tabel10[[#This Row],[Locatiecode]],Ruimtegroepen[[#All],[Code]:[Ruimte omschrijving]],2,FALSE)</f>
        <v>Gangen/hallen BG</v>
      </c>
      <c r="C205" s="225" t="s">
        <v>580</v>
      </c>
      <c r="D205" s="224" t="s">
        <v>13</v>
      </c>
      <c r="E205" s="226" t="s">
        <v>122</v>
      </c>
      <c r="F205" s="225" t="s">
        <v>583</v>
      </c>
      <c r="G205" s="228" t="s">
        <v>328</v>
      </c>
      <c r="H205" s="228" t="s">
        <v>328</v>
      </c>
      <c r="I205" s="228" t="s">
        <v>15</v>
      </c>
      <c r="J205" s="227" t="s">
        <v>328</v>
      </c>
      <c r="K205" s="228" t="s">
        <v>15</v>
      </c>
      <c r="L205" s="228" t="s">
        <v>328</v>
      </c>
      <c r="M205" s="228" t="s">
        <v>328</v>
      </c>
      <c r="N205" s="228" t="s">
        <v>328</v>
      </c>
      <c r="O205" s="229" t="s">
        <v>15</v>
      </c>
      <c r="P205" s="229" t="s">
        <v>15</v>
      </c>
      <c r="Q205" s="229" t="s">
        <v>15</v>
      </c>
      <c r="R205" s="229" t="s">
        <v>15</v>
      </c>
      <c r="S205" s="229" t="s">
        <v>16</v>
      </c>
      <c r="T205" s="229" t="s">
        <v>375</v>
      </c>
      <c r="U205" s="229" t="s">
        <v>331</v>
      </c>
      <c r="V205" s="229" t="s">
        <v>328</v>
      </c>
      <c r="W205" s="230" t="s">
        <v>328</v>
      </c>
      <c r="X205" s="230" t="s">
        <v>328</v>
      </c>
      <c r="Y205" s="231" t="s">
        <v>328</v>
      </c>
    </row>
    <row r="206" spans="1:25">
      <c r="A206" s="223">
        <v>6</v>
      </c>
      <c r="B206" s="224" t="str">
        <f>VLOOKUP(Tabel10[[#This Row],[Locatiecode]],Ruimtegroepen[[#All],[Code]:[Ruimte omschrijving]],2,FALSE)</f>
        <v>Gangen/hallen BG</v>
      </c>
      <c r="C206" s="225" t="s">
        <v>580</v>
      </c>
      <c r="D206" s="224" t="s">
        <v>13</v>
      </c>
      <c r="E206" s="226" t="s">
        <v>123</v>
      </c>
      <c r="F206" s="225" t="s">
        <v>584</v>
      </c>
      <c r="G206" s="228" t="s">
        <v>328</v>
      </c>
      <c r="H206" s="228" t="s">
        <v>328</v>
      </c>
      <c r="I206" s="228" t="s">
        <v>15</v>
      </c>
      <c r="J206" s="227" t="s">
        <v>328</v>
      </c>
      <c r="K206" s="228" t="s">
        <v>15</v>
      </c>
      <c r="L206" s="228" t="s">
        <v>328</v>
      </c>
      <c r="M206" s="228" t="s">
        <v>328</v>
      </c>
      <c r="N206" s="228" t="s">
        <v>328</v>
      </c>
      <c r="O206" s="229" t="s">
        <v>15</v>
      </c>
      <c r="P206" s="229" t="s">
        <v>15</v>
      </c>
      <c r="Q206" s="229" t="s">
        <v>15</v>
      </c>
      <c r="R206" s="229" t="s">
        <v>15</v>
      </c>
      <c r="S206" s="229" t="s">
        <v>16</v>
      </c>
      <c r="T206" s="229" t="s">
        <v>375</v>
      </c>
      <c r="U206" s="229" t="s">
        <v>331</v>
      </c>
      <c r="V206" s="229" t="s">
        <v>328</v>
      </c>
      <c r="W206" s="230" t="s">
        <v>328</v>
      </c>
      <c r="X206" s="230" t="s">
        <v>328</v>
      </c>
      <c r="Y206" s="231" t="s">
        <v>328</v>
      </c>
    </row>
    <row r="207" spans="1:25">
      <c r="A207" s="223">
        <v>6</v>
      </c>
      <c r="B207" s="224" t="str">
        <f>VLOOKUP(Tabel10[[#This Row],[Locatiecode]],Ruimtegroepen[[#All],[Code]:[Ruimte omschrijving]],2,FALSE)</f>
        <v>Gangen/hallen BG</v>
      </c>
      <c r="C207" s="225" t="s">
        <v>585</v>
      </c>
      <c r="D207" s="224" t="s">
        <v>0</v>
      </c>
      <c r="E207" s="226" t="s">
        <v>121</v>
      </c>
      <c r="F207" s="225" t="s">
        <v>586</v>
      </c>
      <c r="G207" s="228" t="s">
        <v>328</v>
      </c>
      <c r="H207" s="228" t="s">
        <v>328</v>
      </c>
      <c r="I207" s="228" t="s">
        <v>16</v>
      </c>
      <c r="J207" s="228" t="s">
        <v>328</v>
      </c>
      <c r="K207" s="228" t="s">
        <v>16</v>
      </c>
      <c r="L207" s="228" t="s">
        <v>328</v>
      </c>
      <c r="M207" s="228" t="s">
        <v>328</v>
      </c>
      <c r="N207" s="228" t="s">
        <v>328</v>
      </c>
      <c r="O207" s="229" t="s">
        <v>16</v>
      </c>
      <c r="P207" s="229" t="s">
        <v>16</v>
      </c>
      <c r="Q207" s="229" t="s">
        <v>16</v>
      </c>
      <c r="R207" s="229" t="s">
        <v>16</v>
      </c>
      <c r="S207" s="229" t="s">
        <v>16</v>
      </c>
      <c r="T207" s="229" t="s">
        <v>375</v>
      </c>
      <c r="U207" s="229" t="s">
        <v>331</v>
      </c>
      <c r="V207" s="229" t="s">
        <v>328</v>
      </c>
      <c r="W207" s="230" t="s">
        <v>328</v>
      </c>
      <c r="X207" s="230" t="s">
        <v>328</v>
      </c>
      <c r="Y207" s="231" t="s">
        <v>328</v>
      </c>
    </row>
    <row r="208" spans="1:25">
      <c r="A208" s="223">
        <v>6</v>
      </c>
      <c r="B208" s="224" t="str">
        <f>VLOOKUP(Tabel10[[#This Row],[Locatiecode]],Ruimtegroepen[[#All],[Code]:[Ruimte omschrijving]],2,FALSE)</f>
        <v>Gangen/hallen BG</v>
      </c>
      <c r="C208" s="225" t="s">
        <v>585</v>
      </c>
      <c r="D208" s="224" t="s">
        <v>0</v>
      </c>
      <c r="E208" s="226" t="s">
        <v>120</v>
      </c>
      <c r="F208" s="225" t="s">
        <v>587</v>
      </c>
      <c r="G208" s="228" t="s">
        <v>328</v>
      </c>
      <c r="H208" s="228" t="s">
        <v>16</v>
      </c>
      <c r="I208" s="228" t="s">
        <v>328</v>
      </c>
      <c r="J208" s="228" t="s">
        <v>328</v>
      </c>
      <c r="K208" s="228" t="s">
        <v>328</v>
      </c>
      <c r="L208" s="228" t="s">
        <v>328</v>
      </c>
      <c r="M208" s="228" t="s">
        <v>328</v>
      </c>
      <c r="N208" s="228" t="s">
        <v>328</v>
      </c>
      <c r="O208" s="229" t="s">
        <v>16</v>
      </c>
      <c r="P208" s="229" t="s">
        <v>16</v>
      </c>
      <c r="Q208" s="229" t="s">
        <v>16</v>
      </c>
      <c r="R208" s="229" t="s">
        <v>16</v>
      </c>
      <c r="S208" s="229" t="s">
        <v>16</v>
      </c>
      <c r="T208" s="229" t="s">
        <v>375</v>
      </c>
      <c r="U208" s="229" t="s">
        <v>331</v>
      </c>
      <c r="V208" s="229" t="s">
        <v>328</v>
      </c>
      <c r="W208" s="230" t="s">
        <v>328</v>
      </c>
      <c r="X208" s="230" t="s">
        <v>328</v>
      </c>
      <c r="Y208" s="231" t="s">
        <v>328</v>
      </c>
    </row>
    <row r="209" spans="1:25">
      <c r="A209" s="223">
        <v>6</v>
      </c>
      <c r="B209" s="224" t="str">
        <f>VLOOKUP(Tabel10[[#This Row],[Locatiecode]],Ruimtegroepen[[#All],[Code]:[Ruimte omschrijving]],2,FALSE)</f>
        <v>Gangen/hallen BG</v>
      </c>
      <c r="C209" s="225" t="s">
        <v>585</v>
      </c>
      <c r="D209" s="224" t="s">
        <v>0</v>
      </c>
      <c r="E209" s="226" t="s">
        <v>122</v>
      </c>
      <c r="F209" s="225" t="s">
        <v>588</v>
      </c>
      <c r="G209" s="228" t="s">
        <v>328</v>
      </c>
      <c r="H209" s="228" t="s">
        <v>328</v>
      </c>
      <c r="I209" s="228" t="s">
        <v>16</v>
      </c>
      <c r="J209" s="228" t="s">
        <v>328</v>
      </c>
      <c r="K209" s="228" t="s">
        <v>16</v>
      </c>
      <c r="L209" s="228" t="s">
        <v>328</v>
      </c>
      <c r="M209" s="228" t="s">
        <v>328</v>
      </c>
      <c r="N209" s="228" t="s">
        <v>328</v>
      </c>
      <c r="O209" s="229" t="s">
        <v>16</v>
      </c>
      <c r="P209" s="229" t="s">
        <v>16</v>
      </c>
      <c r="Q209" s="229" t="s">
        <v>16</v>
      </c>
      <c r="R209" s="229" t="s">
        <v>16</v>
      </c>
      <c r="S209" s="229" t="s">
        <v>16</v>
      </c>
      <c r="T209" s="229" t="s">
        <v>375</v>
      </c>
      <c r="U209" s="229" t="s">
        <v>331</v>
      </c>
      <c r="V209" s="229" t="s">
        <v>328</v>
      </c>
      <c r="W209" s="230" t="s">
        <v>328</v>
      </c>
      <c r="X209" s="230" t="s">
        <v>328</v>
      </c>
      <c r="Y209" s="231" t="s">
        <v>328</v>
      </c>
    </row>
    <row r="210" spans="1:25">
      <c r="A210" s="223">
        <v>6</v>
      </c>
      <c r="B210" s="224" t="str">
        <f>VLOOKUP(Tabel10[[#This Row],[Locatiecode]],Ruimtegroepen[[#All],[Code]:[Ruimte omschrijving]],2,FALSE)</f>
        <v>Gangen/hallen BG</v>
      </c>
      <c r="C210" s="225" t="s">
        <v>585</v>
      </c>
      <c r="D210" s="224" t="s">
        <v>0</v>
      </c>
      <c r="E210" s="226" t="s">
        <v>123</v>
      </c>
      <c r="F210" s="225" t="s">
        <v>589</v>
      </c>
      <c r="G210" s="228" t="s">
        <v>328</v>
      </c>
      <c r="H210" s="228" t="s">
        <v>328</v>
      </c>
      <c r="I210" s="228" t="s">
        <v>16</v>
      </c>
      <c r="J210" s="228" t="s">
        <v>328</v>
      </c>
      <c r="K210" s="228" t="s">
        <v>16</v>
      </c>
      <c r="L210" s="228" t="s">
        <v>328</v>
      </c>
      <c r="M210" s="228" t="s">
        <v>328</v>
      </c>
      <c r="N210" s="228" t="s">
        <v>328</v>
      </c>
      <c r="O210" s="229" t="s">
        <v>16</v>
      </c>
      <c r="P210" s="229" t="s">
        <v>16</v>
      </c>
      <c r="Q210" s="229" t="s">
        <v>16</v>
      </c>
      <c r="R210" s="229" t="s">
        <v>16</v>
      </c>
      <c r="S210" s="229" t="s">
        <v>16</v>
      </c>
      <c r="T210" s="229" t="s">
        <v>375</v>
      </c>
      <c r="U210" s="229" t="s">
        <v>331</v>
      </c>
      <c r="V210" s="229" t="s">
        <v>328</v>
      </c>
      <c r="W210" s="230" t="s">
        <v>328</v>
      </c>
      <c r="X210" s="230" t="s">
        <v>328</v>
      </c>
      <c r="Y210" s="231" t="s">
        <v>328</v>
      </c>
    </row>
    <row r="211" spans="1:25">
      <c r="A211" s="223">
        <v>6</v>
      </c>
      <c r="B211" s="224" t="str">
        <f>VLOOKUP(Tabel10[[#This Row],[Locatiecode]],Ruimtegroepen[[#All],[Code]:[Ruimte omschrijving]],2,FALSE)</f>
        <v>Gangen/hallen BG</v>
      </c>
      <c r="C211" s="225" t="s">
        <v>590</v>
      </c>
      <c r="D211" s="224" t="s">
        <v>30</v>
      </c>
      <c r="E211" s="226" t="s">
        <v>121</v>
      </c>
      <c r="F211" s="225" t="s">
        <v>591</v>
      </c>
      <c r="G211" s="228" t="s">
        <v>328</v>
      </c>
      <c r="H211" s="228" t="s">
        <v>328</v>
      </c>
      <c r="I211" s="228" t="s">
        <v>15</v>
      </c>
      <c r="J211" s="228" t="s">
        <v>328</v>
      </c>
      <c r="K211" s="228" t="s">
        <v>15</v>
      </c>
      <c r="L211" s="228" t="s">
        <v>328</v>
      </c>
      <c r="M211" s="228" t="s">
        <v>328</v>
      </c>
      <c r="N211" s="228" t="s">
        <v>328</v>
      </c>
      <c r="O211" s="229" t="s">
        <v>15</v>
      </c>
      <c r="P211" s="229" t="s">
        <v>15</v>
      </c>
      <c r="Q211" s="229" t="s">
        <v>15</v>
      </c>
      <c r="R211" s="229" t="s">
        <v>15</v>
      </c>
      <c r="S211" s="229" t="s">
        <v>15</v>
      </c>
      <c r="T211" s="229" t="s">
        <v>375</v>
      </c>
      <c r="U211" s="229" t="s">
        <v>331</v>
      </c>
      <c r="V211" s="229" t="s">
        <v>328</v>
      </c>
      <c r="W211" s="230" t="s">
        <v>328</v>
      </c>
      <c r="X211" s="230" t="s">
        <v>328</v>
      </c>
      <c r="Y211" s="231" t="s">
        <v>328</v>
      </c>
    </row>
    <row r="212" spans="1:25">
      <c r="A212" s="223">
        <v>6</v>
      </c>
      <c r="B212" s="224" t="str">
        <f>VLOOKUP(Tabel10[[#This Row],[Locatiecode]],Ruimtegroepen[[#All],[Code]:[Ruimte omschrijving]],2,FALSE)</f>
        <v>Gangen/hallen BG</v>
      </c>
      <c r="C212" s="225" t="s">
        <v>590</v>
      </c>
      <c r="D212" s="224" t="s">
        <v>30</v>
      </c>
      <c r="E212" s="226" t="s">
        <v>120</v>
      </c>
      <c r="F212" s="225" t="s">
        <v>592</v>
      </c>
      <c r="G212" s="228" t="s">
        <v>328</v>
      </c>
      <c r="H212" s="228" t="s">
        <v>15</v>
      </c>
      <c r="I212" s="228" t="s">
        <v>328</v>
      </c>
      <c r="J212" s="228" t="s">
        <v>328</v>
      </c>
      <c r="K212" s="228" t="s">
        <v>328</v>
      </c>
      <c r="L212" s="228" t="s">
        <v>328</v>
      </c>
      <c r="M212" s="228" t="s">
        <v>328</v>
      </c>
      <c r="N212" s="228" t="s">
        <v>328</v>
      </c>
      <c r="O212" s="229" t="s">
        <v>15</v>
      </c>
      <c r="P212" s="229" t="s">
        <v>15</v>
      </c>
      <c r="Q212" s="229" t="s">
        <v>15</v>
      </c>
      <c r="R212" s="229" t="s">
        <v>15</v>
      </c>
      <c r="S212" s="229" t="s">
        <v>15</v>
      </c>
      <c r="T212" s="229" t="s">
        <v>375</v>
      </c>
      <c r="U212" s="229" t="s">
        <v>331</v>
      </c>
      <c r="V212" s="229" t="s">
        <v>328</v>
      </c>
      <c r="W212" s="230" t="s">
        <v>328</v>
      </c>
      <c r="X212" s="230" t="s">
        <v>328</v>
      </c>
      <c r="Y212" s="231" t="s">
        <v>328</v>
      </c>
    </row>
    <row r="213" spans="1:25">
      <c r="A213" s="223">
        <v>6</v>
      </c>
      <c r="B213" s="224" t="str">
        <f>VLOOKUP(Tabel10[[#This Row],[Locatiecode]],Ruimtegroepen[[#All],[Code]:[Ruimte omschrijving]],2,FALSE)</f>
        <v>Gangen/hallen BG</v>
      </c>
      <c r="C213" s="225" t="s">
        <v>590</v>
      </c>
      <c r="D213" s="224" t="s">
        <v>30</v>
      </c>
      <c r="E213" s="226" t="s">
        <v>122</v>
      </c>
      <c r="F213" s="225" t="s">
        <v>593</v>
      </c>
      <c r="G213" s="228" t="s">
        <v>328</v>
      </c>
      <c r="H213" s="228" t="s">
        <v>328</v>
      </c>
      <c r="I213" s="228" t="s">
        <v>15</v>
      </c>
      <c r="J213" s="228" t="s">
        <v>328</v>
      </c>
      <c r="K213" s="228" t="s">
        <v>15</v>
      </c>
      <c r="L213" s="228" t="s">
        <v>328</v>
      </c>
      <c r="M213" s="228" t="s">
        <v>328</v>
      </c>
      <c r="N213" s="228" t="s">
        <v>328</v>
      </c>
      <c r="O213" s="229" t="s">
        <v>15</v>
      </c>
      <c r="P213" s="229" t="s">
        <v>15</v>
      </c>
      <c r="Q213" s="229" t="s">
        <v>15</v>
      </c>
      <c r="R213" s="229" t="s">
        <v>15</v>
      </c>
      <c r="S213" s="229" t="s">
        <v>15</v>
      </c>
      <c r="T213" s="229" t="s">
        <v>375</v>
      </c>
      <c r="U213" s="229" t="s">
        <v>331</v>
      </c>
      <c r="V213" s="229" t="s">
        <v>328</v>
      </c>
      <c r="W213" s="230" t="s">
        <v>328</v>
      </c>
      <c r="X213" s="230" t="s">
        <v>328</v>
      </c>
      <c r="Y213" s="231" t="s">
        <v>328</v>
      </c>
    </row>
    <row r="214" spans="1:25">
      <c r="A214" s="223">
        <v>6</v>
      </c>
      <c r="B214" s="224" t="str">
        <f>VLOOKUP(Tabel10[[#This Row],[Locatiecode]],Ruimtegroepen[[#All],[Code]:[Ruimte omschrijving]],2,FALSE)</f>
        <v>Gangen/hallen BG</v>
      </c>
      <c r="C214" s="225" t="s">
        <v>590</v>
      </c>
      <c r="D214" s="224" t="s">
        <v>30</v>
      </c>
      <c r="E214" s="226" t="s">
        <v>123</v>
      </c>
      <c r="F214" s="225" t="s">
        <v>594</v>
      </c>
      <c r="G214" s="228" t="s">
        <v>328</v>
      </c>
      <c r="H214" s="228" t="s">
        <v>328</v>
      </c>
      <c r="I214" s="228" t="s">
        <v>15</v>
      </c>
      <c r="J214" s="228" t="s">
        <v>328</v>
      </c>
      <c r="K214" s="228" t="s">
        <v>15</v>
      </c>
      <c r="L214" s="228" t="s">
        <v>328</v>
      </c>
      <c r="M214" s="228" t="s">
        <v>328</v>
      </c>
      <c r="N214" s="228" t="s">
        <v>328</v>
      </c>
      <c r="O214" s="229" t="s">
        <v>15</v>
      </c>
      <c r="P214" s="229" t="s">
        <v>15</v>
      </c>
      <c r="Q214" s="229" t="s">
        <v>15</v>
      </c>
      <c r="R214" s="229" t="s">
        <v>15</v>
      </c>
      <c r="S214" s="229" t="s">
        <v>15</v>
      </c>
      <c r="T214" s="229" t="s">
        <v>375</v>
      </c>
      <c r="U214" s="229" t="s">
        <v>331</v>
      </c>
      <c r="V214" s="229" t="s">
        <v>328</v>
      </c>
      <c r="W214" s="230" t="s">
        <v>328</v>
      </c>
      <c r="X214" s="230" t="s">
        <v>328</v>
      </c>
      <c r="Y214" s="231" t="s">
        <v>328</v>
      </c>
    </row>
    <row r="215" spans="1:25">
      <c r="A215" s="223">
        <v>6</v>
      </c>
      <c r="B215" s="224" t="str">
        <f>VLOOKUP(Tabel10[[#This Row],[Locatiecode]],Ruimtegroepen[[#All],[Code]:[Ruimte omschrijving]],2,FALSE)</f>
        <v>Gangen/hallen BG</v>
      </c>
      <c r="C215" s="225" t="s">
        <v>595</v>
      </c>
      <c r="D215" s="224" t="s">
        <v>31</v>
      </c>
      <c r="E215" s="226" t="s">
        <v>121</v>
      </c>
      <c r="F215" s="225" t="s">
        <v>596</v>
      </c>
      <c r="G215" s="228" t="s">
        <v>328</v>
      </c>
      <c r="H215" s="228" t="s">
        <v>328</v>
      </c>
      <c r="I215" s="228" t="s">
        <v>17</v>
      </c>
      <c r="J215" s="227" t="s">
        <v>328</v>
      </c>
      <c r="K215" s="227" t="s">
        <v>17</v>
      </c>
      <c r="L215" s="228" t="s">
        <v>328</v>
      </c>
      <c r="M215" s="228" t="s">
        <v>328</v>
      </c>
      <c r="N215" s="228" t="s">
        <v>328</v>
      </c>
      <c r="O215" s="229" t="s">
        <v>17</v>
      </c>
      <c r="P215" s="229" t="s">
        <v>17</v>
      </c>
      <c r="Q215" s="229" t="s">
        <v>15</v>
      </c>
      <c r="R215" s="229" t="s">
        <v>15</v>
      </c>
      <c r="S215" s="229" t="s">
        <v>328</v>
      </c>
      <c r="T215" s="229" t="s">
        <v>328</v>
      </c>
      <c r="U215" s="229" t="s">
        <v>328</v>
      </c>
      <c r="V215" s="229" t="s">
        <v>328</v>
      </c>
      <c r="W215" s="230" t="s">
        <v>328</v>
      </c>
      <c r="X215" s="230" t="s">
        <v>328</v>
      </c>
      <c r="Y215" s="231" t="s">
        <v>328</v>
      </c>
    </row>
    <row r="216" spans="1:25">
      <c r="A216" s="223">
        <v>6</v>
      </c>
      <c r="B216" s="224" t="str">
        <f>VLOOKUP(Tabel10[[#This Row],[Locatiecode]],Ruimtegroepen[[#All],[Code]:[Ruimte omschrijving]],2,FALSE)</f>
        <v>Gangen/hallen BG</v>
      </c>
      <c r="C216" s="225" t="s">
        <v>595</v>
      </c>
      <c r="D216" s="224" t="s">
        <v>31</v>
      </c>
      <c r="E216" s="226" t="s">
        <v>120</v>
      </c>
      <c r="F216" s="225" t="s">
        <v>597</v>
      </c>
      <c r="G216" s="228" t="s">
        <v>328</v>
      </c>
      <c r="H216" s="228" t="s">
        <v>17</v>
      </c>
      <c r="I216" s="228" t="s">
        <v>328</v>
      </c>
      <c r="J216" s="228" t="s">
        <v>328</v>
      </c>
      <c r="K216" s="228" t="s">
        <v>328</v>
      </c>
      <c r="L216" s="228" t="s">
        <v>328</v>
      </c>
      <c r="M216" s="228" t="s">
        <v>328</v>
      </c>
      <c r="N216" s="228" t="s">
        <v>328</v>
      </c>
      <c r="O216" s="229" t="s">
        <v>17</v>
      </c>
      <c r="P216" s="229" t="s">
        <v>17</v>
      </c>
      <c r="Q216" s="229" t="s">
        <v>15</v>
      </c>
      <c r="R216" s="229" t="s">
        <v>15</v>
      </c>
      <c r="S216" s="229" t="s">
        <v>328</v>
      </c>
      <c r="T216" s="229" t="s">
        <v>328</v>
      </c>
      <c r="U216" s="229" t="s">
        <v>328</v>
      </c>
      <c r="V216" s="229" t="s">
        <v>328</v>
      </c>
      <c r="W216" s="230" t="s">
        <v>328</v>
      </c>
      <c r="X216" s="230" t="s">
        <v>328</v>
      </c>
      <c r="Y216" s="231" t="s">
        <v>328</v>
      </c>
    </row>
    <row r="217" spans="1:25">
      <c r="A217" s="223">
        <v>6</v>
      </c>
      <c r="B217" s="224" t="str">
        <f>VLOOKUP(Tabel10[[#This Row],[Locatiecode]],Ruimtegroepen[[#All],[Code]:[Ruimte omschrijving]],2,FALSE)</f>
        <v>Gangen/hallen BG</v>
      </c>
      <c r="C217" s="225" t="s">
        <v>595</v>
      </c>
      <c r="D217" s="224" t="s">
        <v>31</v>
      </c>
      <c r="E217" s="226" t="s">
        <v>122</v>
      </c>
      <c r="F217" s="225" t="s">
        <v>598</v>
      </c>
      <c r="G217" s="228" t="s">
        <v>328</v>
      </c>
      <c r="H217" s="228" t="s">
        <v>328</v>
      </c>
      <c r="I217" s="228" t="s">
        <v>17</v>
      </c>
      <c r="J217" s="227" t="s">
        <v>328</v>
      </c>
      <c r="K217" s="227" t="s">
        <v>17</v>
      </c>
      <c r="L217" s="228" t="s">
        <v>328</v>
      </c>
      <c r="M217" s="228" t="s">
        <v>328</v>
      </c>
      <c r="N217" s="228" t="s">
        <v>328</v>
      </c>
      <c r="O217" s="229" t="s">
        <v>17</v>
      </c>
      <c r="P217" s="229" t="s">
        <v>17</v>
      </c>
      <c r="Q217" s="229" t="s">
        <v>15</v>
      </c>
      <c r="R217" s="229" t="s">
        <v>15</v>
      </c>
      <c r="S217" s="229" t="s">
        <v>328</v>
      </c>
      <c r="T217" s="229" t="s">
        <v>328</v>
      </c>
      <c r="U217" s="229" t="s">
        <v>328</v>
      </c>
      <c r="V217" s="229" t="s">
        <v>328</v>
      </c>
      <c r="W217" s="230" t="s">
        <v>328</v>
      </c>
      <c r="X217" s="230" t="s">
        <v>328</v>
      </c>
      <c r="Y217" s="231" t="s">
        <v>328</v>
      </c>
    </row>
    <row r="218" spans="1:25">
      <c r="A218" s="223">
        <v>6</v>
      </c>
      <c r="B218" s="224" t="str">
        <f>VLOOKUP(Tabel10[[#This Row],[Locatiecode]],Ruimtegroepen[[#All],[Code]:[Ruimte omschrijving]],2,FALSE)</f>
        <v>Gangen/hallen BG</v>
      </c>
      <c r="C218" s="225" t="s">
        <v>595</v>
      </c>
      <c r="D218" s="224" t="s">
        <v>31</v>
      </c>
      <c r="E218" s="226" t="s">
        <v>123</v>
      </c>
      <c r="F218" s="225" t="s">
        <v>599</v>
      </c>
      <c r="G218" s="228" t="s">
        <v>328</v>
      </c>
      <c r="H218" s="228" t="s">
        <v>328</v>
      </c>
      <c r="I218" s="228" t="s">
        <v>17</v>
      </c>
      <c r="J218" s="227" t="s">
        <v>328</v>
      </c>
      <c r="K218" s="227" t="s">
        <v>17</v>
      </c>
      <c r="L218" s="228" t="s">
        <v>328</v>
      </c>
      <c r="M218" s="228" t="s">
        <v>328</v>
      </c>
      <c r="N218" s="228" t="s">
        <v>328</v>
      </c>
      <c r="O218" s="229" t="s">
        <v>17</v>
      </c>
      <c r="P218" s="229" t="s">
        <v>17</v>
      </c>
      <c r="Q218" s="229" t="s">
        <v>15</v>
      </c>
      <c r="R218" s="229" t="s">
        <v>15</v>
      </c>
      <c r="S218" s="229" t="s">
        <v>328</v>
      </c>
      <c r="T218" s="229" t="s">
        <v>328</v>
      </c>
      <c r="U218" s="229" t="s">
        <v>328</v>
      </c>
      <c r="V218" s="229" t="s">
        <v>328</v>
      </c>
      <c r="W218" s="230" t="s">
        <v>328</v>
      </c>
      <c r="X218" s="230" t="s">
        <v>328</v>
      </c>
      <c r="Y218" s="231" t="s">
        <v>328</v>
      </c>
    </row>
    <row r="219" spans="1:25">
      <c r="A219" s="315" t="s">
        <v>1422</v>
      </c>
      <c r="B219" s="224" t="str">
        <f>VLOOKUP(Tabel10[[#This Row],[Locatiecode]],Ruimtegroepen[[#All],[Code]:[Ruimte omschrijving]],2,FALSE)</f>
        <v>Gangen/hallen andere verdiepingen</v>
      </c>
      <c r="C219" s="225" t="s">
        <v>1461</v>
      </c>
      <c r="D219" s="224" t="s">
        <v>32</v>
      </c>
      <c r="E219" s="226" t="s">
        <v>121</v>
      </c>
      <c r="F219" s="226" t="s">
        <v>1425</v>
      </c>
      <c r="G219" s="228" t="s">
        <v>328</v>
      </c>
      <c r="H219" s="228" t="s">
        <v>328</v>
      </c>
      <c r="I219" s="228" t="s">
        <v>2</v>
      </c>
      <c r="J219" s="228" t="s">
        <v>20</v>
      </c>
      <c r="K219" s="228" t="s">
        <v>15</v>
      </c>
      <c r="L219" s="228" t="s">
        <v>328</v>
      </c>
      <c r="M219" s="228" t="s">
        <v>328</v>
      </c>
      <c r="N219" s="228" t="s">
        <v>2</v>
      </c>
      <c r="O219" s="229" t="s">
        <v>2</v>
      </c>
      <c r="P219" s="229" t="s">
        <v>2</v>
      </c>
      <c r="Q219" s="229" t="s">
        <v>15</v>
      </c>
      <c r="R219" s="229" t="s">
        <v>15</v>
      </c>
      <c r="S219" s="229" t="s">
        <v>16</v>
      </c>
      <c r="T219" s="229" t="s">
        <v>375</v>
      </c>
      <c r="U219" s="229" t="s">
        <v>331</v>
      </c>
      <c r="V219" s="229" t="s">
        <v>2</v>
      </c>
      <c r="W219" s="230" t="s">
        <v>328</v>
      </c>
      <c r="X219" s="230" t="s">
        <v>328</v>
      </c>
      <c r="Y219" s="231" t="s">
        <v>328</v>
      </c>
    </row>
    <row r="220" spans="1:25">
      <c r="A220" s="315" t="s">
        <v>1422</v>
      </c>
      <c r="B220" s="224" t="str">
        <f>VLOOKUP(Tabel10[[#This Row],[Locatiecode]],Ruimtegroepen[[#All],[Code]:[Ruimte omschrijving]],2,FALSE)</f>
        <v>Gangen/hallen andere verdiepingen</v>
      </c>
      <c r="C220" s="225" t="s">
        <v>1461</v>
      </c>
      <c r="D220" s="224" t="s">
        <v>32</v>
      </c>
      <c r="E220" s="226" t="s">
        <v>120</v>
      </c>
      <c r="F220" s="226" t="s">
        <v>1426</v>
      </c>
      <c r="G220" s="228" t="s">
        <v>328</v>
      </c>
      <c r="H220" s="228" t="s">
        <v>2</v>
      </c>
      <c r="I220" s="228" t="s">
        <v>328</v>
      </c>
      <c r="J220" s="228" t="s">
        <v>328</v>
      </c>
      <c r="K220" s="228" t="s">
        <v>328</v>
      </c>
      <c r="L220" s="228" t="s">
        <v>328</v>
      </c>
      <c r="M220" s="228" t="s">
        <v>328</v>
      </c>
      <c r="N220" s="228" t="s">
        <v>2</v>
      </c>
      <c r="O220" s="229" t="s">
        <v>2</v>
      </c>
      <c r="P220" s="229" t="s">
        <v>2</v>
      </c>
      <c r="Q220" s="229" t="s">
        <v>15</v>
      </c>
      <c r="R220" s="229" t="s">
        <v>15</v>
      </c>
      <c r="S220" s="229" t="s">
        <v>16</v>
      </c>
      <c r="T220" s="229" t="s">
        <v>375</v>
      </c>
      <c r="U220" s="229" t="s">
        <v>331</v>
      </c>
      <c r="V220" s="229" t="s">
        <v>2</v>
      </c>
      <c r="W220" s="230" t="s">
        <v>328</v>
      </c>
      <c r="X220" s="230" t="s">
        <v>328</v>
      </c>
      <c r="Y220" s="231" t="s">
        <v>328</v>
      </c>
    </row>
    <row r="221" spans="1:25">
      <c r="A221" s="315" t="s">
        <v>1422</v>
      </c>
      <c r="B221" s="224" t="str">
        <f>VLOOKUP(Tabel10[[#This Row],[Locatiecode]],Ruimtegroepen[[#All],[Code]:[Ruimte omschrijving]],2,FALSE)</f>
        <v>Gangen/hallen andere verdiepingen</v>
      </c>
      <c r="C221" s="225" t="s">
        <v>1461</v>
      </c>
      <c r="D221" s="224" t="s">
        <v>32</v>
      </c>
      <c r="E221" s="226" t="s">
        <v>122</v>
      </c>
      <c r="F221" s="226" t="s">
        <v>1427</v>
      </c>
      <c r="G221" s="228" t="s">
        <v>328</v>
      </c>
      <c r="H221" s="228" t="s">
        <v>328</v>
      </c>
      <c r="I221" s="228" t="s">
        <v>2</v>
      </c>
      <c r="J221" s="228" t="s">
        <v>20</v>
      </c>
      <c r="K221" s="228" t="s">
        <v>15</v>
      </c>
      <c r="L221" s="228" t="s">
        <v>328</v>
      </c>
      <c r="M221" s="228" t="s">
        <v>328</v>
      </c>
      <c r="N221" s="228" t="s">
        <v>2</v>
      </c>
      <c r="O221" s="229" t="s">
        <v>2</v>
      </c>
      <c r="P221" s="229" t="s">
        <v>2</v>
      </c>
      <c r="Q221" s="229" t="s">
        <v>15</v>
      </c>
      <c r="R221" s="229" t="s">
        <v>15</v>
      </c>
      <c r="S221" s="229" t="s">
        <v>16</v>
      </c>
      <c r="T221" s="229" t="s">
        <v>375</v>
      </c>
      <c r="U221" s="229" t="s">
        <v>331</v>
      </c>
      <c r="V221" s="229" t="s">
        <v>2</v>
      </c>
      <c r="W221" s="230" t="s">
        <v>328</v>
      </c>
      <c r="X221" s="230" t="s">
        <v>328</v>
      </c>
      <c r="Y221" s="231" t="s">
        <v>328</v>
      </c>
    </row>
    <row r="222" spans="1:25">
      <c r="A222" s="315" t="s">
        <v>1422</v>
      </c>
      <c r="B222" s="224" t="str">
        <f>VLOOKUP(Tabel10[[#This Row],[Locatiecode]],Ruimtegroepen[[#All],[Code]:[Ruimte omschrijving]],2,FALSE)</f>
        <v>Gangen/hallen andere verdiepingen</v>
      </c>
      <c r="C222" s="225" t="s">
        <v>1461</v>
      </c>
      <c r="D222" s="224" t="s">
        <v>32</v>
      </c>
      <c r="E222" s="226" t="s">
        <v>123</v>
      </c>
      <c r="F222" s="226" t="s">
        <v>1428</v>
      </c>
      <c r="G222" s="228" t="s">
        <v>328</v>
      </c>
      <c r="H222" s="228" t="s">
        <v>328</v>
      </c>
      <c r="I222" s="228" t="s">
        <v>2</v>
      </c>
      <c r="J222" s="228" t="s">
        <v>20</v>
      </c>
      <c r="K222" s="228" t="s">
        <v>15</v>
      </c>
      <c r="L222" s="228" t="s">
        <v>328</v>
      </c>
      <c r="M222" s="228" t="s">
        <v>328</v>
      </c>
      <c r="N222" s="228" t="s">
        <v>2</v>
      </c>
      <c r="O222" s="229" t="s">
        <v>2</v>
      </c>
      <c r="P222" s="229" t="s">
        <v>2</v>
      </c>
      <c r="Q222" s="229" t="s">
        <v>15</v>
      </c>
      <c r="R222" s="229" t="s">
        <v>15</v>
      </c>
      <c r="S222" s="229" t="s">
        <v>16</v>
      </c>
      <c r="T222" s="229" t="s">
        <v>375</v>
      </c>
      <c r="U222" s="229" t="s">
        <v>331</v>
      </c>
      <c r="V222" s="229" t="s">
        <v>2</v>
      </c>
      <c r="W222" s="230" t="s">
        <v>328</v>
      </c>
      <c r="X222" s="230" t="s">
        <v>328</v>
      </c>
      <c r="Y222" s="231" t="s">
        <v>328</v>
      </c>
    </row>
    <row r="223" spans="1:25">
      <c r="A223" s="315" t="s">
        <v>1422</v>
      </c>
      <c r="B223" s="224" t="str">
        <f>VLOOKUP(Tabel10[[#This Row],[Locatiecode]],Ruimtegroepen[[#All],[Code]:[Ruimte omschrijving]],2,FALSE)</f>
        <v>Gangen/hallen andere verdiepingen</v>
      </c>
      <c r="C223" s="225" t="s">
        <v>1462</v>
      </c>
      <c r="D223" s="224" t="s">
        <v>1</v>
      </c>
      <c r="E223" s="226" t="s">
        <v>121</v>
      </c>
      <c r="F223" s="225" t="s">
        <v>1429</v>
      </c>
      <c r="G223" s="228" t="s">
        <v>328</v>
      </c>
      <c r="H223" s="228" t="s">
        <v>328</v>
      </c>
      <c r="I223" s="228" t="s">
        <v>2</v>
      </c>
      <c r="J223" s="228" t="s">
        <v>20</v>
      </c>
      <c r="K223" s="228" t="s">
        <v>15</v>
      </c>
      <c r="L223" s="228" t="s">
        <v>328</v>
      </c>
      <c r="M223" s="228" t="s">
        <v>328</v>
      </c>
      <c r="N223" s="228" t="s">
        <v>328</v>
      </c>
      <c r="O223" s="229" t="s">
        <v>2</v>
      </c>
      <c r="P223" s="229" t="s">
        <v>2</v>
      </c>
      <c r="Q223" s="229" t="s">
        <v>15</v>
      </c>
      <c r="R223" s="229" t="s">
        <v>15</v>
      </c>
      <c r="S223" s="229" t="s">
        <v>16</v>
      </c>
      <c r="T223" s="229" t="s">
        <v>375</v>
      </c>
      <c r="U223" s="229" t="s">
        <v>331</v>
      </c>
      <c r="V223" s="229" t="s">
        <v>328</v>
      </c>
      <c r="W223" s="230" t="s">
        <v>328</v>
      </c>
      <c r="X223" s="230" t="s">
        <v>328</v>
      </c>
      <c r="Y223" s="231" t="s">
        <v>328</v>
      </c>
    </row>
    <row r="224" spans="1:25">
      <c r="A224" s="315" t="s">
        <v>1422</v>
      </c>
      <c r="B224" s="224" t="str">
        <f>VLOOKUP(Tabel10[[#This Row],[Locatiecode]],Ruimtegroepen[[#All],[Code]:[Ruimte omschrijving]],2,FALSE)</f>
        <v>Gangen/hallen andere verdiepingen</v>
      </c>
      <c r="C224" s="225" t="s">
        <v>1462</v>
      </c>
      <c r="D224" s="224" t="s">
        <v>1</v>
      </c>
      <c r="E224" s="226" t="s">
        <v>120</v>
      </c>
      <c r="F224" s="225" t="s">
        <v>1430</v>
      </c>
      <c r="G224" s="228" t="s">
        <v>328</v>
      </c>
      <c r="H224" s="228" t="s">
        <v>2</v>
      </c>
      <c r="I224" s="228" t="s">
        <v>328</v>
      </c>
      <c r="J224" s="228" t="s">
        <v>328</v>
      </c>
      <c r="K224" s="228" t="s">
        <v>328</v>
      </c>
      <c r="L224" s="228" t="s">
        <v>328</v>
      </c>
      <c r="M224" s="228" t="s">
        <v>328</v>
      </c>
      <c r="N224" s="228" t="s">
        <v>328</v>
      </c>
      <c r="O224" s="229" t="s">
        <v>2</v>
      </c>
      <c r="P224" s="229" t="s">
        <v>2</v>
      </c>
      <c r="Q224" s="229" t="s">
        <v>15</v>
      </c>
      <c r="R224" s="229" t="s">
        <v>15</v>
      </c>
      <c r="S224" s="229" t="s">
        <v>16</v>
      </c>
      <c r="T224" s="229" t="s">
        <v>375</v>
      </c>
      <c r="U224" s="229" t="s">
        <v>331</v>
      </c>
      <c r="V224" s="229" t="s">
        <v>328</v>
      </c>
      <c r="W224" s="230" t="s">
        <v>328</v>
      </c>
      <c r="X224" s="230" t="s">
        <v>328</v>
      </c>
      <c r="Y224" s="231" t="s">
        <v>328</v>
      </c>
    </row>
    <row r="225" spans="1:25">
      <c r="A225" s="315" t="s">
        <v>1422</v>
      </c>
      <c r="B225" s="224" t="str">
        <f>VLOOKUP(Tabel10[[#This Row],[Locatiecode]],Ruimtegroepen[[#All],[Code]:[Ruimte omschrijving]],2,FALSE)</f>
        <v>Gangen/hallen andere verdiepingen</v>
      </c>
      <c r="C225" s="225" t="s">
        <v>1462</v>
      </c>
      <c r="D225" s="224" t="s">
        <v>1</v>
      </c>
      <c r="E225" s="226" t="s">
        <v>122</v>
      </c>
      <c r="F225" s="225" t="s">
        <v>1431</v>
      </c>
      <c r="G225" s="228" t="s">
        <v>328</v>
      </c>
      <c r="H225" s="228" t="s">
        <v>328</v>
      </c>
      <c r="I225" s="228" t="s">
        <v>2</v>
      </c>
      <c r="J225" s="228" t="s">
        <v>20</v>
      </c>
      <c r="K225" s="228" t="s">
        <v>15</v>
      </c>
      <c r="L225" s="228" t="s">
        <v>328</v>
      </c>
      <c r="M225" s="228" t="s">
        <v>328</v>
      </c>
      <c r="N225" s="228" t="s">
        <v>328</v>
      </c>
      <c r="O225" s="229" t="s">
        <v>2</v>
      </c>
      <c r="P225" s="229" t="s">
        <v>2</v>
      </c>
      <c r="Q225" s="229" t="s">
        <v>15</v>
      </c>
      <c r="R225" s="229" t="s">
        <v>15</v>
      </c>
      <c r="S225" s="229" t="s">
        <v>16</v>
      </c>
      <c r="T225" s="229" t="s">
        <v>375</v>
      </c>
      <c r="U225" s="229" t="s">
        <v>331</v>
      </c>
      <c r="V225" s="229" t="s">
        <v>328</v>
      </c>
      <c r="W225" s="230" t="s">
        <v>328</v>
      </c>
      <c r="X225" s="230" t="s">
        <v>328</v>
      </c>
      <c r="Y225" s="231" t="s">
        <v>328</v>
      </c>
    </row>
    <row r="226" spans="1:25">
      <c r="A226" s="315" t="s">
        <v>1422</v>
      </c>
      <c r="B226" s="224" t="str">
        <f>VLOOKUP(Tabel10[[#This Row],[Locatiecode]],Ruimtegroepen[[#All],[Code]:[Ruimte omschrijving]],2,FALSE)</f>
        <v>Gangen/hallen andere verdiepingen</v>
      </c>
      <c r="C226" s="225" t="s">
        <v>1462</v>
      </c>
      <c r="D226" s="224" t="s">
        <v>1</v>
      </c>
      <c r="E226" s="226" t="s">
        <v>123</v>
      </c>
      <c r="F226" s="225" t="s">
        <v>1432</v>
      </c>
      <c r="G226" s="228" t="s">
        <v>328</v>
      </c>
      <c r="H226" s="228" t="s">
        <v>328</v>
      </c>
      <c r="I226" s="228" t="s">
        <v>2</v>
      </c>
      <c r="J226" s="228" t="s">
        <v>20</v>
      </c>
      <c r="K226" s="228" t="s">
        <v>15</v>
      </c>
      <c r="L226" s="228" t="s">
        <v>328</v>
      </c>
      <c r="M226" s="228" t="s">
        <v>328</v>
      </c>
      <c r="N226" s="228" t="s">
        <v>328</v>
      </c>
      <c r="O226" s="229" t="s">
        <v>2</v>
      </c>
      <c r="P226" s="229" t="s">
        <v>2</v>
      </c>
      <c r="Q226" s="229" t="s">
        <v>15</v>
      </c>
      <c r="R226" s="229" t="s">
        <v>15</v>
      </c>
      <c r="S226" s="229" t="s">
        <v>16</v>
      </c>
      <c r="T226" s="229" t="s">
        <v>375</v>
      </c>
      <c r="U226" s="229" t="s">
        <v>331</v>
      </c>
      <c r="V226" s="229" t="s">
        <v>328</v>
      </c>
      <c r="W226" s="230" t="s">
        <v>328</v>
      </c>
      <c r="X226" s="230" t="s">
        <v>328</v>
      </c>
      <c r="Y226" s="231" t="s">
        <v>328</v>
      </c>
    </row>
    <row r="227" spans="1:25">
      <c r="A227" s="315" t="s">
        <v>1422</v>
      </c>
      <c r="B227" s="224" t="str">
        <f>VLOOKUP(Tabel10[[#This Row],[Locatiecode]],Ruimtegroepen[[#All],[Code]:[Ruimte omschrijving]],2,FALSE)</f>
        <v>Gangen/hallen andere verdiepingen</v>
      </c>
      <c r="C227" s="225" t="s">
        <v>1463</v>
      </c>
      <c r="D227" s="224" t="s">
        <v>21</v>
      </c>
      <c r="E227" s="226" t="s">
        <v>121</v>
      </c>
      <c r="F227" s="225" t="s">
        <v>1433</v>
      </c>
      <c r="G227" s="228" t="s">
        <v>328</v>
      </c>
      <c r="H227" s="228" t="s">
        <v>328</v>
      </c>
      <c r="I227" s="228" t="s">
        <v>20</v>
      </c>
      <c r="J227" s="228" t="s">
        <v>18</v>
      </c>
      <c r="K227" s="228" t="s">
        <v>15</v>
      </c>
      <c r="L227" s="228" t="s">
        <v>328</v>
      </c>
      <c r="M227" s="228" t="s">
        <v>328</v>
      </c>
      <c r="N227" s="228" t="s">
        <v>328</v>
      </c>
      <c r="O227" s="229" t="s">
        <v>20</v>
      </c>
      <c r="P227" s="229" t="s">
        <v>20</v>
      </c>
      <c r="Q227" s="229" t="s">
        <v>15</v>
      </c>
      <c r="R227" s="229" t="s">
        <v>15</v>
      </c>
      <c r="S227" s="229" t="s">
        <v>16</v>
      </c>
      <c r="T227" s="229" t="s">
        <v>375</v>
      </c>
      <c r="U227" s="229" t="s">
        <v>331</v>
      </c>
      <c r="V227" s="229" t="s">
        <v>328</v>
      </c>
      <c r="W227" s="230" t="s">
        <v>328</v>
      </c>
      <c r="X227" s="230" t="s">
        <v>328</v>
      </c>
      <c r="Y227" s="231" t="s">
        <v>328</v>
      </c>
    </row>
    <row r="228" spans="1:25">
      <c r="A228" s="315" t="s">
        <v>1422</v>
      </c>
      <c r="B228" s="224" t="str">
        <f>VLOOKUP(Tabel10[[#This Row],[Locatiecode]],Ruimtegroepen[[#All],[Code]:[Ruimte omschrijving]],2,FALSE)</f>
        <v>Gangen/hallen andere verdiepingen</v>
      </c>
      <c r="C228" s="225" t="s">
        <v>1463</v>
      </c>
      <c r="D228" s="224" t="s">
        <v>21</v>
      </c>
      <c r="E228" s="226" t="s">
        <v>120</v>
      </c>
      <c r="F228" s="225" t="s">
        <v>1434</v>
      </c>
      <c r="G228" s="228" t="s">
        <v>328</v>
      </c>
      <c r="H228" s="228" t="s">
        <v>20</v>
      </c>
      <c r="I228" s="228" t="s">
        <v>328</v>
      </c>
      <c r="J228" s="228" t="s">
        <v>328</v>
      </c>
      <c r="K228" s="228" t="s">
        <v>328</v>
      </c>
      <c r="L228" s="228" t="s">
        <v>328</v>
      </c>
      <c r="M228" s="228" t="s">
        <v>328</v>
      </c>
      <c r="N228" s="228" t="s">
        <v>328</v>
      </c>
      <c r="O228" s="229" t="s">
        <v>20</v>
      </c>
      <c r="P228" s="229" t="s">
        <v>20</v>
      </c>
      <c r="Q228" s="229" t="s">
        <v>15</v>
      </c>
      <c r="R228" s="229" t="s">
        <v>15</v>
      </c>
      <c r="S228" s="229" t="s">
        <v>16</v>
      </c>
      <c r="T228" s="229" t="s">
        <v>375</v>
      </c>
      <c r="U228" s="229" t="s">
        <v>331</v>
      </c>
      <c r="V228" s="229" t="s">
        <v>328</v>
      </c>
      <c r="W228" s="230" t="s">
        <v>328</v>
      </c>
      <c r="X228" s="230" t="s">
        <v>328</v>
      </c>
      <c r="Y228" s="231" t="s">
        <v>328</v>
      </c>
    </row>
    <row r="229" spans="1:25">
      <c r="A229" s="315" t="s">
        <v>1422</v>
      </c>
      <c r="B229" s="224" t="str">
        <f>VLOOKUP(Tabel10[[#This Row],[Locatiecode]],Ruimtegroepen[[#All],[Code]:[Ruimte omschrijving]],2,FALSE)</f>
        <v>Gangen/hallen andere verdiepingen</v>
      </c>
      <c r="C229" s="225" t="s">
        <v>1463</v>
      </c>
      <c r="D229" s="224" t="s">
        <v>21</v>
      </c>
      <c r="E229" s="226" t="s">
        <v>122</v>
      </c>
      <c r="F229" s="225" t="s">
        <v>1435</v>
      </c>
      <c r="G229" s="228" t="s">
        <v>328</v>
      </c>
      <c r="H229" s="228" t="s">
        <v>328</v>
      </c>
      <c r="I229" s="228" t="s">
        <v>20</v>
      </c>
      <c r="J229" s="228" t="s">
        <v>18</v>
      </c>
      <c r="K229" s="228" t="s">
        <v>15</v>
      </c>
      <c r="L229" s="228" t="s">
        <v>328</v>
      </c>
      <c r="M229" s="228" t="s">
        <v>328</v>
      </c>
      <c r="N229" s="228" t="s">
        <v>328</v>
      </c>
      <c r="O229" s="229" t="s">
        <v>20</v>
      </c>
      <c r="P229" s="229" t="s">
        <v>20</v>
      </c>
      <c r="Q229" s="229" t="s">
        <v>15</v>
      </c>
      <c r="R229" s="229" t="s">
        <v>15</v>
      </c>
      <c r="S229" s="229" t="s">
        <v>16</v>
      </c>
      <c r="T229" s="229" t="s">
        <v>375</v>
      </c>
      <c r="U229" s="229" t="s">
        <v>331</v>
      </c>
      <c r="V229" s="229" t="s">
        <v>328</v>
      </c>
      <c r="W229" s="230" t="s">
        <v>328</v>
      </c>
      <c r="X229" s="230" t="s">
        <v>328</v>
      </c>
      <c r="Y229" s="231" t="s">
        <v>328</v>
      </c>
    </row>
    <row r="230" spans="1:25">
      <c r="A230" s="315" t="s">
        <v>1422</v>
      </c>
      <c r="B230" s="224" t="str">
        <f>VLOOKUP(Tabel10[[#This Row],[Locatiecode]],Ruimtegroepen[[#All],[Code]:[Ruimte omschrijving]],2,FALSE)</f>
        <v>Gangen/hallen andere verdiepingen</v>
      </c>
      <c r="C230" s="225" t="s">
        <v>1463</v>
      </c>
      <c r="D230" s="224" t="s">
        <v>21</v>
      </c>
      <c r="E230" s="226" t="s">
        <v>123</v>
      </c>
      <c r="F230" s="225" t="s">
        <v>1436</v>
      </c>
      <c r="G230" s="228" t="s">
        <v>328</v>
      </c>
      <c r="H230" s="228" t="s">
        <v>328</v>
      </c>
      <c r="I230" s="228" t="s">
        <v>20</v>
      </c>
      <c r="J230" s="228" t="s">
        <v>18</v>
      </c>
      <c r="K230" s="228" t="s">
        <v>15</v>
      </c>
      <c r="L230" s="228" t="s">
        <v>328</v>
      </c>
      <c r="M230" s="228" t="s">
        <v>328</v>
      </c>
      <c r="N230" s="228" t="s">
        <v>328</v>
      </c>
      <c r="O230" s="229" t="s">
        <v>20</v>
      </c>
      <c r="P230" s="229" t="s">
        <v>20</v>
      </c>
      <c r="Q230" s="229" t="s">
        <v>15</v>
      </c>
      <c r="R230" s="229" t="s">
        <v>15</v>
      </c>
      <c r="S230" s="229" t="s">
        <v>16</v>
      </c>
      <c r="T230" s="229" t="s">
        <v>375</v>
      </c>
      <c r="U230" s="229" t="s">
        <v>331</v>
      </c>
      <c r="V230" s="229" t="s">
        <v>328</v>
      </c>
      <c r="W230" s="230" t="s">
        <v>328</v>
      </c>
      <c r="X230" s="230" t="s">
        <v>328</v>
      </c>
      <c r="Y230" s="231" t="s">
        <v>328</v>
      </c>
    </row>
    <row r="231" spans="1:25">
      <c r="A231" s="315" t="s">
        <v>1422</v>
      </c>
      <c r="B231" s="224" t="str">
        <f>VLOOKUP(Tabel10[[#This Row],[Locatiecode]],Ruimtegroepen[[#All],[Code]:[Ruimte omschrijving]],2,FALSE)</f>
        <v>Gangen/hallen andere verdiepingen</v>
      </c>
      <c r="C231" s="225" t="s">
        <v>1464</v>
      </c>
      <c r="D231" s="224" t="s">
        <v>12</v>
      </c>
      <c r="E231" s="226" t="s">
        <v>121</v>
      </c>
      <c r="F231" s="225" t="s">
        <v>1437</v>
      </c>
      <c r="G231" s="228" t="s">
        <v>328</v>
      </c>
      <c r="H231" s="228" t="s">
        <v>328</v>
      </c>
      <c r="I231" s="228" t="s">
        <v>18</v>
      </c>
      <c r="J231" s="228" t="s">
        <v>17</v>
      </c>
      <c r="K231" s="228" t="s">
        <v>15</v>
      </c>
      <c r="L231" s="228" t="s">
        <v>328</v>
      </c>
      <c r="M231" s="228" t="s">
        <v>328</v>
      </c>
      <c r="N231" s="228" t="s">
        <v>328</v>
      </c>
      <c r="O231" s="229" t="s">
        <v>18</v>
      </c>
      <c r="P231" s="229" t="s">
        <v>18</v>
      </c>
      <c r="Q231" s="229" t="s">
        <v>15</v>
      </c>
      <c r="R231" s="229" t="s">
        <v>15</v>
      </c>
      <c r="S231" s="229" t="s">
        <v>16</v>
      </c>
      <c r="T231" s="229" t="s">
        <v>375</v>
      </c>
      <c r="U231" s="229" t="s">
        <v>331</v>
      </c>
      <c r="V231" s="229" t="s">
        <v>328</v>
      </c>
      <c r="W231" s="230" t="s">
        <v>328</v>
      </c>
      <c r="X231" s="230" t="s">
        <v>328</v>
      </c>
      <c r="Y231" s="231" t="s">
        <v>328</v>
      </c>
    </row>
    <row r="232" spans="1:25">
      <c r="A232" s="315" t="s">
        <v>1422</v>
      </c>
      <c r="B232" s="224" t="str">
        <f>VLOOKUP(Tabel10[[#This Row],[Locatiecode]],Ruimtegroepen[[#All],[Code]:[Ruimte omschrijving]],2,FALSE)</f>
        <v>Gangen/hallen andere verdiepingen</v>
      </c>
      <c r="C232" s="225" t="s">
        <v>1464</v>
      </c>
      <c r="D232" s="224" t="s">
        <v>12</v>
      </c>
      <c r="E232" s="226" t="s">
        <v>120</v>
      </c>
      <c r="F232" s="225" t="s">
        <v>1438</v>
      </c>
      <c r="G232" s="228" t="s">
        <v>328</v>
      </c>
      <c r="H232" s="228" t="s">
        <v>18</v>
      </c>
      <c r="I232" s="228" t="s">
        <v>328</v>
      </c>
      <c r="J232" s="228" t="s">
        <v>328</v>
      </c>
      <c r="K232" s="228" t="s">
        <v>328</v>
      </c>
      <c r="L232" s="228" t="s">
        <v>328</v>
      </c>
      <c r="M232" s="228" t="s">
        <v>328</v>
      </c>
      <c r="N232" s="228" t="s">
        <v>328</v>
      </c>
      <c r="O232" s="229" t="s">
        <v>18</v>
      </c>
      <c r="P232" s="229" t="s">
        <v>18</v>
      </c>
      <c r="Q232" s="229" t="s">
        <v>15</v>
      </c>
      <c r="R232" s="229" t="s">
        <v>15</v>
      </c>
      <c r="S232" s="229" t="s">
        <v>16</v>
      </c>
      <c r="T232" s="229" t="s">
        <v>375</v>
      </c>
      <c r="U232" s="229" t="s">
        <v>331</v>
      </c>
      <c r="V232" s="229" t="s">
        <v>328</v>
      </c>
      <c r="W232" s="230" t="s">
        <v>328</v>
      </c>
      <c r="X232" s="230" t="s">
        <v>328</v>
      </c>
      <c r="Y232" s="231" t="s">
        <v>328</v>
      </c>
    </row>
    <row r="233" spans="1:25">
      <c r="A233" s="315" t="s">
        <v>1422</v>
      </c>
      <c r="B233" s="224" t="str">
        <f>VLOOKUP(Tabel10[[#This Row],[Locatiecode]],Ruimtegroepen[[#All],[Code]:[Ruimte omschrijving]],2,FALSE)</f>
        <v>Gangen/hallen andere verdiepingen</v>
      </c>
      <c r="C233" s="225" t="s">
        <v>1464</v>
      </c>
      <c r="D233" s="224" t="s">
        <v>12</v>
      </c>
      <c r="E233" s="226" t="s">
        <v>122</v>
      </c>
      <c r="F233" s="225" t="s">
        <v>1439</v>
      </c>
      <c r="G233" s="228" t="s">
        <v>328</v>
      </c>
      <c r="H233" s="228" t="s">
        <v>328</v>
      </c>
      <c r="I233" s="228" t="s">
        <v>18</v>
      </c>
      <c r="J233" s="228" t="s">
        <v>17</v>
      </c>
      <c r="K233" s="228" t="s">
        <v>15</v>
      </c>
      <c r="L233" s="228" t="s">
        <v>328</v>
      </c>
      <c r="M233" s="228" t="s">
        <v>328</v>
      </c>
      <c r="N233" s="228" t="s">
        <v>328</v>
      </c>
      <c r="O233" s="229" t="s">
        <v>18</v>
      </c>
      <c r="P233" s="229" t="s">
        <v>18</v>
      </c>
      <c r="Q233" s="229" t="s">
        <v>15</v>
      </c>
      <c r="R233" s="229" t="s">
        <v>15</v>
      </c>
      <c r="S233" s="229" t="s">
        <v>16</v>
      </c>
      <c r="T233" s="229" t="s">
        <v>375</v>
      </c>
      <c r="U233" s="229" t="s">
        <v>331</v>
      </c>
      <c r="V233" s="229" t="s">
        <v>328</v>
      </c>
      <c r="W233" s="230" t="s">
        <v>328</v>
      </c>
      <c r="X233" s="230" t="s">
        <v>328</v>
      </c>
      <c r="Y233" s="231" t="s">
        <v>328</v>
      </c>
    </row>
    <row r="234" spans="1:25">
      <c r="A234" s="315" t="s">
        <v>1422</v>
      </c>
      <c r="B234" s="224" t="str">
        <f>VLOOKUP(Tabel10[[#This Row],[Locatiecode]],Ruimtegroepen[[#All],[Code]:[Ruimte omschrijving]],2,FALSE)</f>
        <v>Gangen/hallen andere verdiepingen</v>
      </c>
      <c r="C234" s="225" t="s">
        <v>1464</v>
      </c>
      <c r="D234" s="224" t="s">
        <v>12</v>
      </c>
      <c r="E234" s="226" t="s">
        <v>123</v>
      </c>
      <c r="F234" s="225" t="s">
        <v>1440</v>
      </c>
      <c r="G234" s="228" t="s">
        <v>328</v>
      </c>
      <c r="H234" s="228" t="s">
        <v>328</v>
      </c>
      <c r="I234" s="228" t="s">
        <v>18</v>
      </c>
      <c r="J234" s="228" t="s">
        <v>17</v>
      </c>
      <c r="K234" s="228" t="s">
        <v>15</v>
      </c>
      <c r="L234" s="228" t="s">
        <v>328</v>
      </c>
      <c r="M234" s="228" t="s">
        <v>328</v>
      </c>
      <c r="N234" s="228" t="s">
        <v>328</v>
      </c>
      <c r="O234" s="229" t="s">
        <v>18</v>
      </c>
      <c r="P234" s="229" t="s">
        <v>18</v>
      </c>
      <c r="Q234" s="229" t="s">
        <v>15</v>
      </c>
      <c r="R234" s="229" t="s">
        <v>15</v>
      </c>
      <c r="S234" s="229" t="s">
        <v>16</v>
      </c>
      <c r="T234" s="229" t="s">
        <v>375</v>
      </c>
      <c r="U234" s="229" t="s">
        <v>331</v>
      </c>
      <c r="V234" s="229" t="s">
        <v>328</v>
      </c>
      <c r="W234" s="230" t="s">
        <v>328</v>
      </c>
      <c r="X234" s="230" t="s">
        <v>328</v>
      </c>
      <c r="Y234" s="231" t="s">
        <v>328</v>
      </c>
    </row>
    <row r="235" spans="1:25">
      <c r="A235" s="315" t="s">
        <v>1422</v>
      </c>
      <c r="B235" s="224" t="str">
        <f>VLOOKUP(Tabel10[[#This Row],[Locatiecode]],Ruimtegroepen[[#All],[Code]:[Ruimte omschrijving]],2,FALSE)</f>
        <v>Gangen/hallen andere verdiepingen</v>
      </c>
      <c r="C235" s="225" t="s">
        <v>1465</v>
      </c>
      <c r="D235" s="224" t="s">
        <v>14</v>
      </c>
      <c r="E235" s="226" t="s">
        <v>121</v>
      </c>
      <c r="F235" s="225" t="s">
        <v>1441</v>
      </c>
      <c r="G235" s="228" t="s">
        <v>328</v>
      </c>
      <c r="H235" s="228" t="s">
        <v>328</v>
      </c>
      <c r="I235" s="228" t="s">
        <v>17</v>
      </c>
      <c r="J235" s="228" t="s">
        <v>17</v>
      </c>
      <c r="K235" s="228" t="s">
        <v>15</v>
      </c>
      <c r="L235" s="228" t="s">
        <v>328</v>
      </c>
      <c r="M235" s="228" t="s">
        <v>328</v>
      </c>
      <c r="N235" s="228" t="s">
        <v>328</v>
      </c>
      <c r="O235" s="229" t="s">
        <v>17</v>
      </c>
      <c r="P235" s="229" t="s">
        <v>17</v>
      </c>
      <c r="Q235" s="229" t="s">
        <v>15</v>
      </c>
      <c r="R235" s="229" t="s">
        <v>15</v>
      </c>
      <c r="S235" s="229" t="s">
        <v>16</v>
      </c>
      <c r="T235" s="229" t="s">
        <v>375</v>
      </c>
      <c r="U235" s="229" t="s">
        <v>331</v>
      </c>
      <c r="V235" s="229" t="s">
        <v>328</v>
      </c>
      <c r="W235" s="230" t="s">
        <v>328</v>
      </c>
      <c r="X235" s="230" t="s">
        <v>328</v>
      </c>
      <c r="Y235" s="231" t="s">
        <v>328</v>
      </c>
    </row>
    <row r="236" spans="1:25">
      <c r="A236" s="315" t="s">
        <v>1422</v>
      </c>
      <c r="B236" s="224" t="str">
        <f>VLOOKUP(Tabel10[[#This Row],[Locatiecode]],Ruimtegroepen[[#All],[Code]:[Ruimte omschrijving]],2,FALSE)</f>
        <v>Gangen/hallen andere verdiepingen</v>
      </c>
      <c r="C236" s="225" t="s">
        <v>1465</v>
      </c>
      <c r="D236" s="224" t="s">
        <v>14</v>
      </c>
      <c r="E236" s="226" t="s">
        <v>120</v>
      </c>
      <c r="F236" s="225" t="s">
        <v>1442</v>
      </c>
      <c r="G236" s="228" t="s">
        <v>328</v>
      </c>
      <c r="H236" s="228" t="s">
        <v>17</v>
      </c>
      <c r="I236" s="228" t="s">
        <v>328</v>
      </c>
      <c r="J236" s="228" t="s">
        <v>328</v>
      </c>
      <c r="K236" s="228" t="s">
        <v>328</v>
      </c>
      <c r="L236" s="228" t="s">
        <v>328</v>
      </c>
      <c r="M236" s="228" t="s">
        <v>328</v>
      </c>
      <c r="N236" s="228" t="s">
        <v>328</v>
      </c>
      <c r="O236" s="229" t="s">
        <v>17</v>
      </c>
      <c r="P236" s="229" t="s">
        <v>17</v>
      </c>
      <c r="Q236" s="229" t="s">
        <v>15</v>
      </c>
      <c r="R236" s="229" t="s">
        <v>15</v>
      </c>
      <c r="S236" s="229" t="s">
        <v>16</v>
      </c>
      <c r="T236" s="229" t="s">
        <v>375</v>
      </c>
      <c r="U236" s="229" t="s">
        <v>331</v>
      </c>
      <c r="V236" s="229" t="s">
        <v>328</v>
      </c>
      <c r="W236" s="230" t="s">
        <v>328</v>
      </c>
      <c r="X236" s="230" t="s">
        <v>328</v>
      </c>
      <c r="Y236" s="231" t="s">
        <v>328</v>
      </c>
    </row>
    <row r="237" spans="1:25">
      <c r="A237" s="315" t="s">
        <v>1422</v>
      </c>
      <c r="B237" s="224" t="str">
        <f>VLOOKUP(Tabel10[[#This Row],[Locatiecode]],Ruimtegroepen[[#All],[Code]:[Ruimte omschrijving]],2,FALSE)</f>
        <v>Gangen/hallen andere verdiepingen</v>
      </c>
      <c r="C237" s="225" t="s">
        <v>1465</v>
      </c>
      <c r="D237" s="224" t="s">
        <v>14</v>
      </c>
      <c r="E237" s="226" t="s">
        <v>122</v>
      </c>
      <c r="F237" s="225" t="s">
        <v>1443</v>
      </c>
      <c r="G237" s="228" t="s">
        <v>328</v>
      </c>
      <c r="H237" s="228" t="s">
        <v>328</v>
      </c>
      <c r="I237" s="228" t="s">
        <v>17</v>
      </c>
      <c r="J237" s="228" t="s">
        <v>17</v>
      </c>
      <c r="K237" s="228" t="s">
        <v>15</v>
      </c>
      <c r="L237" s="228" t="s">
        <v>328</v>
      </c>
      <c r="M237" s="228" t="s">
        <v>328</v>
      </c>
      <c r="N237" s="228" t="s">
        <v>328</v>
      </c>
      <c r="O237" s="229" t="s">
        <v>17</v>
      </c>
      <c r="P237" s="229" t="s">
        <v>17</v>
      </c>
      <c r="Q237" s="229" t="s">
        <v>15</v>
      </c>
      <c r="R237" s="229" t="s">
        <v>15</v>
      </c>
      <c r="S237" s="229" t="s">
        <v>16</v>
      </c>
      <c r="T237" s="229" t="s">
        <v>375</v>
      </c>
      <c r="U237" s="229" t="s">
        <v>331</v>
      </c>
      <c r="V237" s="229" t="s">
        <v>328</v>
      </c>
      <c r="W237" s="230" t="s">
        <v>328</v>
      </c>
      <c r="X237" s="230" t="s">
        <v>328</v>
      </c>
      <c r="Y237" s="231" t="s">
        <v>328</v>
      </c>
    </row>
    <row r="238" spans="1:25">
      <c r="A238" s="315" t="s">
        <v>1422</v>
      </c>
      <c r="B238" s="224" t="str">
        <f>VLOOKUP(Tabel10[[#This Row],[Locatiecode]],Ruimtegroepen[[#All],[Code]:[Ruimte omschrijving]],2,FALSE)</f>
        <v>Gangen/hallen andere verdiepingen</v>
      </c>
      <c r="C238" s="225" t="s">
        <v>1465</v>
      </c>
      <c r="D238" s="224" t="s">
        <v>14</v>
      </c>
      <c r="E238" s="226" t="s">
        <v>123</v>
      </c>
      <c r="F238" s="225" t="s">
        <v>1444</v>
      </c>
      <c r="G238" s="228" t="s">
        <v>328</v>
      </c>
      <c r="H238" s="228" t="s">
        <v>328</v>
      </c>
      <c r="I238" s="228" t="s">
        <v>17</v>
      </c>
      <c r="J238" s="228" t="s">
        <v>17</v>
      </c>
      <c r="K238" s="228" t="s">
        <v>15</v>
      </c>
      <c r="L238" s="228" t="s">
        <v>328</v>
      </c>
      <c r="M238" s="228" t="s">
        <v>328</v>
      </c>
      <c r="N238" s="228" t="s">
        <v>328</v>
      </c>
      <c r="O238" s="229" t="s">
        <v>17</v>
      </c>
      <c r="P238" s="229" t="s">
        <v>17</v>
      </c>
      <c r="Q238" s="229" t="s">
        <v>15</v>
      </c>
      <c r="R238" s="229" t="s">
        <v>15</v>
      </c>
      <c r="S238" s="229" t="s">
        <v>16</v>
      </c>
      <c r="T238" s="229" t="s">
        <v>375</v>
      </c>
      <c r="U238" s="229" t="s">
        <v>331</v>
      </c>
      <c r="V238" s="229" t="s">
        <v>328</v>
      </c>
      <c r="W238" s="230" t="s">
        <v>328</v>
      </c>
      <c r="X238" s="230" t="s">
        <v>328</v>
      </c>
      <c r="Y238" s="231" t="s">
        <v>328</v>
      </c>
    </row>
    <row r="239" spans="1:25">
      <c r="A239" s="315" t="s">
        <v>1422</v>
      </c>
      <c r="B239" s="224" t="str">
        <f>VLOOKUP(Tabel10[[#This Row],[Locatiecode]],Ruimtegroepen[[#All],[Code]:[Ruimte omschrijving]],2,FALSE)</f>
        <v>Gangen/hallen andere verdiepingen</v>
      </c>
      <c r="C239" s="225" t="s">
        <v>1466</v>
      </c>
      <c r="D239" s="224" t="s">
        <v>13</v>
      </c>
      <c r="E239" s="226" t="s">
        <v>121</v>
      </c>
      <c r="F239" s="225" t="s">
        <v>1445</v>
      </c>
      <c r="G239" s="228" t="s">
        <v>328</v>
      </c>
      <c r="H239" s="228" t="s">
        <v>328</v>
      </c>
      <c r="I239" s="228" t="s">
        <v>15</v>
      </c>
      <c r="J239" s="228" t="s">
        <v>15</v>
      </c>
      <c r="K239" s="228" t="s">
        <v>15</v>
      </c>
      <c r="L239" s="228" t="s">
        <v>328</v>
      </c>
      <c r="M239" s="228" t="s">
        <v>328</v>
      </c>
      <c r="N239" s="228" t="s">
        <v>328</v>
      </c>
      <c r="O239" s="229" t="s">
        <v>15</v>
      </c>
      <c r="P239" s="229" t="s">
        <v>15</v>
      </c>
      <c r="Q239" s="229" t="s">
        <v>15</v>
      </c>
      <c r="R239" s="229" t="s">
        <v>15</v>
      </c>
      <c r="S239" s="229" t="s">
        <v>16</v>
      </c>
      <c r="T239" s="229" t="s">
        <v>375</v>
      </c>
      <c r="U239" s="229" t="s">
        <v>331</v>
      </c>
      <c r="V239" s="229" t="s">
        <v>328</v>
      </c>
      <c r="W239" s="230" t="s">
        <v>328</v>
      </c>
      <c r="X239" s="230" t="s">
        <v>328</v>
      </c>
      <c r="Y239" s="231" t="s">
        <v>328</v>
      </c>
    </row>
    <row r="240" spans="1:25">
      <c r="A240" s="315" t="s">
        <v>1422</v>
      </c>
      <c r="B240" s="224" t="str">
        <f>VLOOKUP(Tabel10[[#This Row],[Locatiecode]],Ruimtegroepen[[#All],[Code]:[Ruimte omschrijving]],2,FALSE)</f>
        <v>Gangen/hallen andere verdiepingen</v>
      </c>
      <c r="C240" s="225" t="s">
        <v>1466</v>
      </c>
      <c r="D240" s="224" t="s">
        <v>13</v>
      </c>
      <c r="E240" s="226" t="s">
        <v>120</v>
      </c>
      <c r="F240" s="225" t="s">
        <v>1446</v>
      </c>
      <c r="G240" s="228" t="s">
        <v>328</v>
      </c>
      <c r="H240" s="228" t="s">
        <v>15</v>
      </c>
      <c r="I240" s="228" t="s">
        <v>328</v>
      </c>
      <c r="J240" s="228" t="s">
        <v>328</v>
      </c>
      <c r="K240" s="228" t="s">
        <v>328</v>
      </c>
      <c r="L240" s="228" t="s">
        <v>328</v>
      </c>
      <c r="M240" s="228" t="s">
        <v>328</v>
      </c>
      <c r="N240" s="228" t="s">
        <v>328</v>
      </c>
      <c r="O240" s="229" t="s">
        <v>15</v>
      </c>
      <c r="P240" s="229" t="s">
        <v>15</v>
      </c>
      <c r="Q240" s="229" t="s">
        <v>15</v>
      </c>
      <c r="R240" s="229" t="s">
        <v>15</v>
      </c>
      <c r="S240" s="229" t="s">
        <v>16</v>
      </c>
      <c r="T240" s="229" t="s">
        <v>375</v>
      </c>
      <c r="U240" s="229" t="s">
        <v>331</v>
      </c>
      <c r="V240" s="229" t="s">
        <v>328</v>
      </c>
      <c r="W240" s="230" t="s">
        <v>328</v>
      </c>
      <c r="X240" s="230" t="s">
        <v>328</v>
      </c>
      <c r="Y240" s="231" t="s">
        <v>328</v>
      </c>
    </row>
    <row r="241" spans="1:25">
      <c r="A241" s="315" t="s">
        <v>1422</v>
      </c>
      <c r="B241" s="224" t="str">
        <f>VLOOKUP(Tabel10[[#This Row],[Locatiecode]],Ruimtegroepen[[#All],[Code]:[Ruimte omschrijving]],2,FALSE)</f>
        <v>Gangen/hallen andere verdiepingen</v>
      </c>
      <c r="C241" s="225" t="s">
        <v>1466</v>
      </c>
      <c r="D241" s="224" t="s">
        <v>13</v>
      </c>
      <c r="E241" s="226" t="s">
        <v>122</v>
      </c>
      <c r="F241" s="225" t="s">
        <v>1447</v>
      </c>
      <c r="G241" s="228" t="s">
        <v>328</v>
      </c>
      <c r="H241" s="228" t="s">
        <v>328</v>
      </c>
      <c r="I241" s="228" t="s">
        <v>15</v>
      </c>
      <c r="J241" s="228" t="s">
        <v>15</v>
      </c>
      <c r="K241" s="228" t="s">
        <v>15</v>
      </c>
      <c r="L241" s="228" t="s">
        <v>328</v>
      </c>
      <c r="M241" s="228" t="s">
        <v>328</v>
      </c>
      <c r="N241" s="228" t="s">
        <v>328</v>
      </c>
      <c r="O241" s="229" t="s">
        <v>15</v>
      </c>
      <c r="P241" s="229" t="s">
        <v>15</v>
      </c>
      <c r="Q241" s="229" t="s">
        <v>15</v>
      </c>
      <c r="R241" s="229" t="s">
        <v>15</v>
      </c>
      <c r="S241" s="229" t="s">
        <v>16</v>
      </c>
      <c r="T241" s="229" t="s">
        <v>375</v>
      </c>
      <c r="U241" s="229" t="s">
        <v>331</v>
      </c>
      <c r="V241" s="229" t="s">
        <v>328</v>
      </c>
      <c r="W241" s="230" t="s">
        <v>328</v>
      </c>
      <c r="X241" s="230" t="s">
        <v>328</v>
      </c>
      <c r="Y241" s="231" t="s">
        <v>328</v>
      </c>
    </row>
    <row r="242" spans="1:25">
      <c r="A242" s="315" t="s">
        <v>1422</v>
      </c>
      <c r="B242" s="224" t="str">
        <f>VLOOKUP(Tabel10[[#This Row],[Locatiecode]],Ruimtegroepen[[#All],[Code]:[Ruimte omschrijving]],2,FALSE)</f>
        <v>Gangen/hallen andere verdiepingen</v>
      </c>
      <c r="C242" s="225" t="s">
        <v>1466</v>
      </c>
      <c r="D242" s="224" t="s">
        <v>13</v>
      </c>
      <c r="E242" s="226" t="s">
        <v>123</v>
      </c>
      <c r="F242" s="225" t="s">
        <v>1448</v>
      </c>
      <c r="G242" s="228" t="s">
        <v>328</v>
      </c>
      <c r="H242" s="228" t="s">
        <v>328</v>
      </c>
      <c r="I242" s="228" t="s">
        <v>15</v>
      </c>
      <c r="J242" s="228" t="s">
        <v>15</v>
      </c>
      <c r="K242" s="228" t="s">
        <v>15</v>
      </c>
      <c r="L242" s="228" t="s">
        <v>328</v>
      </c>
      <c r="M242" s="228" t="s">
        <v>328</v>
      </c>
      <c r="N242" s="228" t="s">
        <v>328</v>
      </c>
      <c r="O242" s="229" t="s">
        <v>15</v>
      </c>
      <c r="P242" s="229" t="s">
        <v>15</v>
      </c>
      <c r="Q242" s="229" t="s">
        <v>15</v>
      </c>
      <c r="R242" s="229" t="s">
        <v>15</v>
      </c>
      <c r="S242" s="229" t="s">
        <v>16</v>
      </c>
      <c r="T242" s="229" t="s">
        <v>375</v>
      </c>
      <c r="U242" s="229" t="s">
        <v>331</v>
      </c>
      <c r="V242" s="229" t="s">
        <v>328</v>
      </c>
      <c r="W242" s="230" t="s">
        <v>328</v>
      </c>
      <c r="X242" s="230" t="s">
        <v>328</v>
      </c>
      <c r="Y242" s="231" t="s">
        <v>328</v>
      </c>
    </row>
    <row r="243" spans="1:25">
      <c r="A243" s="315" t="s">
        <v>1422</v>
      </c>
      <c r="B243" s="224" t="str">
        <f>VLOOKUP(Tabel10[[#This Row],[Locatiecode]],Ruimtegroepen[[#All],[Code]:[Ruimte omschrijving]],2,FALSE)</f>
        <v>Gangen/hallen andere verdiepingen</v>
      </c>
      <c r="C243" s="225" t="s">
        <v>1467</v>
      </c>
      <c r="D243" s="224" t="s">
        <v>0</v>
      </c>
      <c r="E243" s="226" t="s">
        <v>121</v>
      </c>
      <c r="F243" s="225" t="s">
        <v>1449</v>
      </c>
      <c r="G243" s="228" t="s">
        <v>328</v>
      </c>
      <c r="H243" s="228" t="s">
        <v>328</v>
      </c>
      <c r="I243" s="228" t="s">
        <v>16</v>
      </c>
      <c r="J243" s="228" t="s">
        <v>328</v>
      </c>
      <c r="K243" s="228" t="s">
        <v>16</v>
      </c>
      <c r="L243" s="228" t="s">
        <v>328</v>
      </c>
      <c r="M243" s="228" t="s">
        <v>328</v>
      </c>
      <c r="N243" s="228" t="s">
        <v>328</v>
      </c>
      <c r="O243" s="229" t="s">
        <v>16</v>
      </c>
      <c r="P243" s="229" t="s">
        <v>16</v>
      </c>
      <c r="Q243" s="229" t="s">
        <v>16</v>
      </c>
      <c r="R243" s="229" t="s">
        <v>16</v>
      </c>
      <c r="S243" s="229" t="s">
        <v>16</v>
      </c>
      <c r="T243" s="229" t="s">
        <v>375</v>
      </c>
      <c r="U243" s="229" t="s">
        <v>331</v>
      </c>
      <c r="V243" s="229" t="s">
        <v>328</v>
      </c>
      <c r="W243" s="230" t="s">
        <v>328</v>
      </c>
      <c r="X243" s="230" t="s">
        <v>328</v>
      </c>
      <c r="Y243" s="231" t="s">
        <v>328</v>
      </c>
    </row>
    <row r="244" spans="1:25">
      <c r="A244" s="315" t="s">
        <v>1422</v>
      </c>
      <c r="B244" s="224" t="str">
        <f>VLOOKUP(Tabel10[[#This Row],[Locatiecode]],Ruimtegroepen[[#All],[Code]:[Ruimte omschrijving]],2,FALSE)</f>
        <v>Gangen/hallen andere verdiepingen</v>
      </c>
      <c r="C244" s="225" t="s">
        <v>1467</v>
      </c>
      <c r="D244" s="224" t="s">
        <v>0</v>
      </c>
      <c r="E244" s="226" t="s">
        <v>120</v>
      </c>
      <c r="F244" s="225" t="s">
        <v>1450</v>
      </c>
      <c r="G244" s="228" t="s">
        <v>328</v>
      </c>
      <c r="H244" s="228" t="s">
        <v>16</v>
      </c>
      <c r="I244" s="228" t="s">
        <v>328</v>
      </c>
      <c r="J244" s="228" t="s">
        <v>328</v>
      </c>
      <c r="K244" s="228" t="s">
        <v>328</v>
      </c>
      <c r="L244" s="228" t="s">
        <v>328</v>
      </c>
      <c r="M244" s="228" t="s">
        <v>328</v>
      </c>
      <c r="N244" s="228" t="s">
        <v>328</v>
      </c>
      <c r="O244" s="229" t="s">
        <v>16</v>
      </c>
      <c r="P244" s="229" t="s">
        <v>16</v>
      </c>
      <c r="Q244" s="229" t="s">
        <v>16</v>
      </c>
      <c r="R244" s="229" t="s">
        <v>16</v>
      </c>
      <c r="S244" s="229" t="s">
        <v>16</v>
      </c>
      <c r="T244" s="229" t="s">
        <v>375</v>
      </c>
      <c r="U244" s="229" t="s">
        <v>331</v>
      </c>
      <c r="V244" s="229" t="s">
        <v>328</v>
      </c>
      <c r="W244" s="230" t="s">
        <v>328</v>
      </c>
      <c r="X244" s="230" t="s">
        <v>328</v>
      </c>
      <c r="Y244" s="231" t="s">
        <v>328</v>
      </c>
    </row>
    <row r="245" spans="1:25">
      <c r="A245" s="315" t="s">
        <v>1422</v>
      </c>
      <c r="B245" s="224" t="str">
        <f>VLOOKUP(Tabel10[[#This Row],[Locatiecode]],Ruimtegroepen[[#All],[Code]:[Ruimte omschrijving]],2,FALSE)</f>
        <v>Gangen/hallen andere verdiepingen</v>
      </c>
      <c r="C245" s="225" t="s">
        <v>1467</v>
      </c>
      <c r="D245" s="224" t="s">
        <v>0</v>
      </c>
      <c r="E245" s="226" t="s">
        <v>122</v>
      </c>
      <c r="F245" s="225" t="s">
        <v>1451</v>
      </c>
      <c r="G245" s="228" t="s">
        <v>328</v>
      </c>
      <c r="H245" s="228" t="s">
        <v>328</v>
      </c>
      <c r="I245" s="228" t="s">
        <v>16</v>
      </c>
      <c r="J245" s="228" t="s">
        <v>328</v>
      </c>
      <c r="K245" s="228" t="s">
        <v>16</v>
      </c>
      <c r="L245" s="228" t="s">
        <v>328</v>
      </c>
      <c r="M245" s="228" t="s">
        <v>328</v>
      </c>
      <c r="N245" s="228" t="s">
        <v>328</v>
      </c>
      <c r="O245" s="229" t="s">
        <v>16</v>
      </c>
      <c r="P245" s="229" t="s">
        <v>16</v>
      </c>
      <c r="Q245" s="229" t="s">
        <v>16</v>
      </c>
      <c r="R245" s="229" t="s">
        <v>16</v>
      </c>
      <c r="S245" s="229" t="s">
        <v>16</v>
      </c>
      <c r="T245" s="229" t="s">
        <v>375</v>
      </c>
      <c r="U245" s="229" t="s">
        <v>331</v>
      </c>
      <c r="V245" s="229" t="s">
        <v>328</v>
      </c>
      <c r="W245" s="230" t="s">
        <v>328</v>
      </c>
      <c r="X245" s="230" t="s">
        <v>328</v>
      </c>
      <c r="Y245" s="231" t="s">
        <v>328</v>
      </c>
    </row>
    <row r="246" spans="1:25">
      <c r="A246" s="315" t="s">
        <v>1422</v>
      </c>
      <c r="B246" s="224" t="str">
        <f>VLOOKUP(Tabel10[[#This Row],[Locatiecode]],Ruimtegroepen[[#All],[Code]:[Ruimte omschrijving]],2,FALSE)</f>
        <v>Gangen/hallen andere verdiepingen</v>
      </c>
      <c r="C246" s="225" t="s">
        <v>1467</v>
      </c>
      <c r="D246" s="224" t="s">
        <v>0</v>
      </c>
      <c r="E246" s="226" t="s">
        <v>123</v>
      </c>
      <c r="F246" s="225" t="s">
        <v>1452</v>
      </c>
      <c r="G246" s="228" t="s">
        <v>328</v>
      </c>
      <c r="H246" s="228" t="s">
        <v>328</v>
      </c>
      <c r="I246" s="228" t="s">
        <v>16</v>
      </c>
      <c r="J246" s="228" t="s">
        <v>328</v>
      </c>
      <c r="K246" s="228" t="s">
        <v>16</v>
      </c>
      <c r="L246" s="228" t="s">
        <v>328</v>
      </c>
      <c r="M246" s="228" t="s">
        <v>328</v>
      </c>
      <c r="N246" s="228" t="s">
        <v>328</v>
      </c>
      <c r="O246" s="229" t="s">
        <v>16</v>
      </c>
      <c r="P246" s="229" t="s">
        <v>16</v>
      </c>
      <c r="Q246" s="229" t="s">
        <v>16</v>
      </c>
      <c r="R246" s="229" t="s">
        <v>16</v>
      </c>
      <c r="S246" s="229" t="s">
        <v>16</v>
      </c>
      <c r="T246" s="229" t="s">
        <v>375</v>
      </c>
      <c r="U246" s="229" t="s">
        <v>331</v>
      </c>
      <c r="V246" s="229" t="s">
        <v>328</v>
      </c>
      <c r="W246" s="230" t="s">
        <v>328</v>
      </c>
      <c r="X246" s="230" t="s">
        <v>328</v>
      </c>
      <c r="Y246" s="231" t="s">
        <v>328</v>
      </c>
    </row>
    <row r="247" spans="1:25">
      <c r="A247" s="315" t="s">
        <v>1422</v>
      </c>
      <c r="B247" s="224" t="str">
        <f>VLOOKUP(Tabel10[[#This Row],[Locatiecode]],Ruimtegroepen[[#All],[Code]:[Ruimte omschrijving]],2,FALSE)</f>
        <v>Gangen/hallen andere verdiepingen</v>
      </c>
      <c r="C247" s="225" t="s">
        <v>1468</v>
      </c>
      <c r="D247" s="224" t="s">
        <v>30</v>
      </c>
      <c r="E247" s="226" t="s">
        <v>121</v>
      </c>
      <c r="F247" s="225" t="s">
        <v>1453</v>
      </c>
      <c r="G247" s="228" t="s">
        <v>328</v>
      </c>
      <c r="H247" s="228" t="s">
        <v>328</v>
      </c>
      <c r="I247" s="228" t="s">
        <v>15</v>
      </c>
      <c r="J247" s="228" t="s">
        <v>328</v>
      </c>
      <c r="K247" s="228" t="s">
        <v>15</v>
      </c>
      <c r="L247" s="228" t="s">
        <v>328</v>
      </c>
      <c r="M247" s="228" t="s">
        <v>328</v>
      </c>
      <c r="N247" s="228" t="s">
        <v>328</v>
      </c>
      <c r="O247" s="229" t="s">
        <v>15</v>
      </c>
      <c r="P247" s="229" t="s">
        <v>15</v>
      </c>
      <c r="Q247" s="229" t="s">
        <v>15</v>
      </c>
      <c r="R247" s="229" t="s">
        <v>15</v>
      </c>
      <c r="S247" s="229" t="s">
        <v>15</v>
      </c>
      <c r="T247" s="229" t="s">
        <v>375</v>
      </c>
      <c r="U247" s="229" t="s">
        <v>331</v>
      </c>
      <c r="V247" s="229" t="s">
        <v>328</v>
      </c>
      <c r="W247" s="230" t="s">
        <v>328</v>
      </c>
      <c r="X247" s="230" t="s">
        <v>328</v>
      </c>
      <c r="Y247" s="231" t="s">
        <v>328</v>
      </c>
    </row>
    <row r="248" spans="1:25">
      <c r="A248" s="315" t="s">
        <v>1422</v>
      </c>
      <c r="B248" s="224" t="str">
        <f>VLOOKUP(Tabel10[[#This Row],[Locatiecode]],Ruimtegroepen[[#All],[Code]:[Ruimte omschrijving]],2,FALSE)</f>
        <v>Gangen/hallen andere verdiepingen</v>
      </c>
      <c r="C248" s="225" t="s">
        <v>1468</v>
      </c>
      <c r="D248" s="224" t="s">
        <v>30</v>
      </c>
      <c r="E248" s="226" t="s">
        <v>120</v>
      </c>
      <c r="F248" s="225" t="s">
        <v>1454</v>
      </c>
      <c r="G248" s="228" t="s">
        <v>328</v>
      </c>
      <c r="H248" s="228" t="s">
        <v>15</v>
      </c>
      <c r="I248" s="228" t="s">
        <v>328</v>
      </c>
      <c r="J248" s="228" t="s">
        <v>328</v>
      </c>
      <c r="K248" s="228" t="s">
        <v>328</v>
      </c>
      <c r="L248" s="228" t="s">
        <v>328</v>
      </c>
      <c r="M248" s="228" t="s">
        <v>328</v>
      </c>
      <c r="N248" s="228" t="s">
        <v>328</v>
      </c>
      <c r="O248" s="229" t="s">
        <v>15</v>
      </c>
      <c r="P248" s="229" t="s">
        <v>15</v>
      </c>
      <c r="Q248" s="229" t="s">
        <v>15</v>
      </c>
      <c r="R248" s="229" t="s">
        <v>15</v>
      </c>
      <c r="S248" s="229" t="s">
        <v>15</v>
      </c>
      <c r="T248" s="229" t="s">
        <v>375</v>
      </c>
      <c r="U248" s="229" t="s">
        <v>331</v>
      </c>
      <c r="V248" s="229" t="s">
        <v>328</v>
      </c>
      <c r="W248" s="230" t="s">
        <v>328</v>
      </c>
      <c r="X248" s="230" t="s">
        <v>328</v>
      </c>
      <c r="Y248" s="231" t="s">
        <v>328</v>
      </c>
    </row>
    <row r="249" spans="1:25">
      <c r="A249" s="315" t="s">
        <v>1422</v>
      </c>
      <c r="B249" s="224" t="str">
        <f>VLOOKUP(Tabel10[[#This Row],[Locatiecode]],Ruimtegroepen[[#All],[Code]:[Ruimte omschrijving]],2,FALSE)</f>
        <v>Gangen/hallen andere verdiepingen</v>
      </c>
      <c r="C249" s="225" t="s">
        <v>1468</v>
      </c>
      <c r="D249" s="224" t="s">
        <v>30</v>
      </c>
      <c r="E249" s="226" t="s">
        <v>122</v>
      </c>
      <c r="F249" s="225" t="s">
        <v>1455</v>
      </c>
      <c r="G249" s="228" t="s">
        <v>328</v>
      </c>
      <c r="H249" s="228" t="s">
        <v>328</v>
      </c>
      <c r="I249" s="228" t="s">
        <v>15</v>
      </c>
      <c r="J249" s="228" t="s">
        <v>328</v>
      </c>
      <c r="K249" s="228" t="s">
        <v>15</v>
      </c>
      <c r="L249" s="228" t="s">
        <v>328</v>
      </c>
      <c r="M249" s="228" t="s">
        <v>328</v>
      </c>
      <c r="N249" s="228" t="s">
        <v>328</v>
      </c>
      <c r="O249" s="229" t="s">
        <v>15</v>
      </c>
      <c r="P249" s="229" t="s">
        <v>15</v>
      </c>
      <c r="Q249" s="229" t="s">
        <v>15</v>
      </c>
      <c r="R249" s="229" t="s">
        <v>15</v>
      </c>
      <c r="S249" s="229" t="s">
        <v>15</v>
      </c>
      <c r="T249" s="229" t="s">
        <v>375</v>
      </c>
      <c r="U249" s="229" t="s">
        <v>331</v>
      </c>
      <c r="V249" s="229" t="s">
        <v>328</v>
      </c>
      <c r="W249" s="230" t="s">
        <v>328</v>
      </c>
      <c r="X249" s="230" t="s">
        <v>328</v>
      </c>
      <c r="Y249" s="231" t="s">
        <v>328</v>
      </c>
    </row>
    <row r="250" spans="1:25">
      <c r="A250" s="315" t="s">
        <v>1422</v>
      </c>
      <c r="B250" s="224" t="str">
        <f>VLOOKUP(Tabel10[[#This Row],[Locatiecode]],Ruimtegroepen[[#All],[Code]:[Ruimte omschrijving]],2,FALSE)</f>
        <v>Gangen/hallen andere verdiepingen</v>
      </c>
      <c r="C250" s="225" t="s">
        <v>1468</v>
      </c>
      <c r="D250" s="224" t="s">
        <v>30</v>
      </c>
      <c r="E250" s="226" t="s">
        <v>123</v>
      </c>
      <c r="F250" s="225" t="s">
        <v>1456</v>
      </c>
      <c r="G250" s="228" t="s">
        <v>328</v>
      </c>
      <c r="H250" s="228" t="s">
        <v>328</v>
      </c>
      <c r="I250" s="228" t="s">
        <v>15</v>
      </c>
      <c r="J250" s="228" t="s">
        <v>328</v>
      </c>
      <c r="K250" s="228" t="s">
        <v>15</v>
      </c>
      <c r="L250" s="228" t="s">
        <v>328</v>
      </c>
      <c r="M250" s="228" t="s">
        <v>328</v>
      </c>
      <c r="N250" s="228" t="s">
        <v>328</v>
      </c>
      <c r="O250" s="229" t="s">
        <v>15</v>
      </c>
      <c r="P250" s="229" t="s">
        <v>15</v>
      </c>
      <c r="Q250" s="229" t="s">
        <v>15</v>
      </c>
      <c r="R250" s="229" t="s">
        <v>15</v>
      </c>
      <c r="S250" s="229" t="s">
        <v>15</v>
      </c>
      <c r="T250" s="229" t="s">
        <v>375</v>
      </c>
      <c r="U250" s="229" t="s">
        <v>331</v>
      </c>
      <c r="V250" s="229" t="s">
        <v>328</v>
      </c>
      <c r="W250" s="230" t="s">
        <v>328</v>
      </c>
      <c r="X250" s="230" t="s">
        <v>328</v>
      </c>
      <c r="Y250" s="231" t="s">
        <v>328</v>
      </c>
    </row>
    <row r="251" spans="1:25">
      <c r="A251" s="315" t="s">
        <v>1422</v>
      </c>
      <c r="B251" s="224" t="str">
        <f>VLOOKUP(Tabel10[[#This Row],[Locatiecode]],Ruimtegroepen[[#All],[Code]:[Ruimte omschrijving]],2,FALSE)</f>
        <v>Gangen/hallen andere verdiepingen</v>
      </c>
      <c r="C251" s="225" t="s">
        <v>1469</v>
      </c>
      <c r="D251" s="224" t="s">
        <v>31</v>
      </c>
      <c r="E251" s="226" t="s">
        <v>121</v>
      </c>
      <c r="F251" s="225" t="s">
        <v>1457</v>
      </c>
      <c r="G251" s="228" t="s">
        <v>328</v>
      </c>
      <c r="H251" s="228" t="s">
        <v>328</v>
      </c>
      <c r="I251" s="228" t="s">
        <v>17</v>
      </c>
      <c r="J251" s="228" t="s">
        <v>17</v>
      </c>
      <c r="K251" s="228" t="s">
        <v>328</v>
      </c>
      <c r="L251" s="228" t="s">
        <v>328</v>
      </c>
      <c r="M251" s="228" t="s">
        <v>328</v>
      </c>
      <c r="N251" s="228" t="s">
        <v>328</v>
      </c>
      <c r="O251" s="229" t="s">
        <v>17</v>
      </c>
      <c r="P251" s="229" t="s">
        <v>17</v>
      </c>
      <c r="Q251" s="229" t="s">
        <v>15</v>
      </c>
      <c r="R251" s="229" t="s">
        <v>15</v>
      </c>
      <c r="S251" s="229" t="s">
        <v>328</v>
      </c>
      <c r="T251" s="229" t="s">
        <v>328</v>
      </c>
      <c r="U251" s="229" t="s">
        <v>328</v>
      </c>
      <c r="V251" s="229" t="s">
        <v>328</v>
      </c>
      <c r="W251" s="230" t="s">
        <v>328</v>
      </c>
      <c r="X251" s="230" t="s">
        <v>328</v>
      </c>
      <c r="Y251" s="231" t="s">
        <v>328</v>
      </c>
    </row>
    <row r="252" spans="1:25">
      <c r="A252" s="315" t="s">
        <v>1422</v>
      </c>
      <c r="B252" s="224" t="str">
        <f>VLOOKUP(Tabel10[[#This Row],[Locatiecode]],Ruimtegroepen[[#All],[Code]:[Ruimte omschrijving]],2,FALSE)</f>
        <v>Gangen/hallen andere verdiepingen</v>
      </c>
      <c r="C252" s="225" t="s">
        <v>1469</v>
      </c>
      <c r="D252" s="224" t="s">
        <v>31</v>
      </c>
      <c r="E252" s="226" t="s">
        <v>120</v>
      </c>
      <c r="F252" s="225" t="s">
        <v>1458</v>
      </c>
      <c r="G252" s="228" t="s">
        <v>17</v>
      </c>
      <c r="H252" s="228" t="s">
        <v>15</v>
      </c>
      <c r="I252" s="228" t="s">
        <v>328</v>
      </c>
      <c r="J252" s="228" t="s">
        <v>328</v>
      </c>
      <c r="K252" s="228" t="s">
        <v>328</v>
      </c>
      <c r="L252" s="228" t="s">
        <v>328</v>
      </c>
      <c r="M252" s="228" t="s">
        <v>328</v>
      </c>
      <c r="N252" s="228" t="s">
        <v>328</v>
      </c>
      <c r="O252" s="229" t="s">
        <v>17</v>
      </c>
      <c r="P252" s="229" t="s">
        <v>17</v>
      </c>
      <c r="Q252" s="229" t="s">
        <v>15</v>
      </c>
      <c r="R252" s="229" t="s">
        <v>15</v>
      </c>
      <c r="S252" s="229" t="s">
        <v>328</v>
      </c>
      <c r="T252" s="229" t="s">
        <v>328</v>
      </c>
      <c r="U252" s="229" t="s">
        <v>328</v>
      </c>
      <c r="V252" s="229" t="s">
        <v>328</v>
      </c>
      <c r="W252" s="230" t="s">
        <v>328</v>
      </c>
      <c r="X252" s="230" t="s">
        <v>328</v>
      </c>
      <c r="Y252" s="231" t="s">
        <v>328</v>
      </c>
    </row>
    <row r="253" spans="1:25">
      <c r="A253" s="315" t="s">
        <v>1422</v>
      </c>
      <c r="B253" s="224" t="str">
        <f>VLOOKUP(Tabel10[[#This Row],[Locatiecode]],Ruimtegroepen[[#All],[Code]:[Ruimte omschrijving]],2,FALSE)</f>
        <v>Gangen/hallen andere verdiepingen</v>
      </c>
      <c r="C253" s="225" t="s">
        <v>1469</v>
      </c>
      <c r="D253" s="224" t="s">
        <v>31</v>
      </c>
      <c r="E253" s="226" t="s">
        <v>122</v>
      </c>
      <c r="F253" s="225" t="s">
        <v>1459</v>
      </c>
      <c r="G253" s="228" t="s">
        <v>328</v>
      </c>
      <c r="H253" s="228" t="s">
        <v>328</v>
      </c>
      <c r="I253" s="228" t="s">
        <v>17</v>
      </c>
      <c r="J253" s="228" t="s">
        <v>17</v>
      </c>
      <c r="K253" s="228" t="s">
        <v>328</v>
      </c>
      <c r="L253" s="228" t="s">
        <v>328</v>
      </c>
      <c r="M253" s="228" t="s">
        <v>328</v>
      </c>
      <c r="N253" s="228" t="s">
        <v>328</v>
      </c>
      <c r="O253" s="229" t="s">
        <v>17</v>
      </c>
      <c r="P253" s="229" t="s">
        <v>17</v>
      </c>
      <c r="Q253" s="229" t="s">
        <v>15</v>
      </c>
      <c r="R253" s="229" t="s">
        <v>15</v>
      </c>
      <c r="S253" s="229" t="s">
        <v>328</v>
      </c>
      <c r="T253" s="229" t="s">
        <v>328</v>
      </c>
      <c r="U253" s="229" t="s">
        <v>328</v>
      </c>
      <c r="V253" s="229" t="s">
        <v>328</v>
      </c>
      <c r="W253" s="230" t="s">
        <v>328</v>
      </c>
      <c r="X253" s="230" t="s">
        <v>328</v>
      </c>
      <c r="Y253" s="231" t="s">
        <v>328</v>
      </c>
    </row>
    <row r="254" spans="1:25">
      <c r="A254" s="315" t="s">
        <v>1422</v>
      </c>
      <c r="B254" s="224" t="str">
        <f>VLOOKUP(Tabel10[[#This Row],[Locatiecode]],Ruimtegroepen[[#All],[Code]:[Ruimte omschrijving]],2,FALSE)</f>
        <v>Gangen/hallen andere verdiepingen</v>
      </c>
      <c r="C254" s="225" t="s">
        <v>1469</v>
      </c>
      <c r="D254" s="224" t="s">
        <v>31</v>
      </c>
      <c r="E254" s="226" t="s">
        <v>123</v>
      </c>
      <c r="F254" s="225" t="s">
        <v>1460</v>
      </c>
      <c r="G254" s="228" t="s">
        <v>328</v>
      </c>
      <c r="H254" s="228" t="s">
        <v>328</v>
      </c>
      <c r="I254" s="228" t="s">
        <v>17</v>
      </c>
      <c r="J254" s="228" t="s">
        <v>17</v>
      </c>
      <c r="K254" s="228" t="s">
        <v>328</v>
      </c>
      <c r="L254" s="228" t="s">
        <v>328</v>
      </c>
      <c r="M254" s="228" t="s">
        <v>328</v>
      </c>
      <c r="N254" s="228" t="s">
        <v>328</v>
      </c>
      <c r="O254" s="229" t="s">
        <v>17</v>
      </c>
      <c r="P254" s="229" t="s">
        <v>17</v>
      </c>
      <c r="Q254" s="229" t="s">
        <v>15</v>
      </c>
      <c r="R254" s="229" t="s">
        <v>15</v>
      </c>
      <c r="S254" s="229" t="s">
        <v>328</v>
      </c>
      <c r="T254" s="229" t="s">
        <v>328</v>
      </c>
      <c r="U254" s="229" t="s">
        <v>328</v>
      </c>
      <c r="V254" s="229" t="s">
        <v>328</v>
      </c>
      <c r="W254" s="230" t="s">
        <v>328</v>
      </c>
      <c r="X254" s="230" t="s">
        <v>328</v>
      </c>
      <c r="Y254" s="231" t="s">
        <v>328</v>
      </c>
    </row>
    <row r="255" spans="1:25">
      <c r="A255" s="223">
        <v>7</v>
      </c>
      <c r="B255" s="224" t="str">
        <f>VLOOKUP(Tabel10[[#This Row],[Locatiecode]],Ruimtegroepen[[#All],[Code]:[Ruimte omschrijving]],2,FALSE)</f>
        <v>Entree</v>
      </c>
      <c r="C255" s="225" t="s">
        <v>600</v>
      </c>
      <c r="D255" s="224" t="s">
        <v>32</v>
      </c>
      <c r="E255" s="226" t="s">
        <v>121</v>
      </c>
      <c r="F255" s="225" t="s">
        <v>601</v>
      </c>
      <c r="G255" s="228" t="s">
        <v>328</v>
      </c>
      <c r="H255" s="228" t="s">
        <v>328</v>
      </c>
      <c r="I255" s="228" t="s">
        <v>2</v>
      </c>
      <c r="J255" s="227" t="s">
        <v>328</v>
      </c>
      <c r="K255" s="227" t="s">
        <v>2</v>
      </c>
      <c r="L255" s="228" t="s">
        <v>328</v>
      </c>
      <c r="M255" s="228" t="s">
        <v>328</v>
      </c>
      <c r="N255" s="228" t="s">
        <v>2</v>
      </c>
      <c r="O255" s="229" t="s">
        <v>2</v>
      </c>
      <c r="P255" s="229" t="s">
        <v>2</v>
      </c>
      <c r="Q255" s="229" t="s">
        <v>15</v>
      </c>
      <c r="R255" s="229" t="s">
        <v>15</v>
      </c>
      <c r="S255" s="229" t="s">
        <v>16</v>
      </c>
      <c r="T255" s="229" t="s">
        <v>375</v>
      </c>
      <c r="U255" s="229" t="s">
        <v>331</v>
      </c>
      <c r="V255" s="229" t="s">
        <v>2</v>
      </c>
      <c r="W255" s="230" t="s">
        <v>328</v>
      </c>
      <c r="X255" s="230" t="s">
        <v>328</v>
      </c>
      <c r="Y255" s="231" t="s">
        <v>328</v>
      </c>
    </row>
    <row r="256" spans="1:25">
      <c r="A256" s="223">
        <v>7</v>
      </c>
      <c r="B256" s="224" t="str">
        <f>VLOOKUP(Tabel10[[#This Row],[Locatiecode]],Ruimtegroepen[[#All],[Code]:[Ruimte omschrijving]],2,FALSE)</f>
        <v>Entree</v>
      </c>
      <c r="C256" s="225" t="s">
        <v>600</v>
      </c>
      <c r="D256" s="224" t="s">
        <v>32</v>
      </c>
      <c r="E256" s="226" t="s">
        <v>120</v>
      </c>
      <c r="F256" s="225" t="s">
        <v>602</v>
      </c>
      <c r="G256" s="228" t="s">
        <v>328</v>
      </c>
      <c r="H256" s="228" t="s">
        <v>2</v>
      </c>
      <c r="I256" s="228" t="s">
        <v>328</v>
      </c>
      <c r="J256" s="228" t="s">
        <v>328</v>
      </c>
      <c r="K256" s="228" t="s">
        <v>328</v>
      </c>
      <c r="L256" s="228" t="s">
        <v>328</v>
      </c>
      <c r="M256" s="228" t="s">
        <v>328</v>
      </c>
      <c r="N256" s="228" t="s">
        <v>2</v>
      </c>
      <c r="O256" s="229" t="s">
        <v>2</v>
      </c>
      <c r="P256" s="229" t="s">
        <v>2</v>
      </c>
      <c r="Q256" s="229" t="s">
        <v>15</v>
      </c>
      <c r="R256" s="229" t="s">
        <v>15</v>
      </c>
      <c r="S256" s="229" t="s">
        <v>16</v>
      </c>
      <c r="T256" s="229" t="s">
        <v>375</v>
      </c>
      <c r="U256" s="229" t="s">
        <v>331</v>
      </c>
      <c r="V256" s="229" t="s">
        <v>2</v>
      </c>
      <c r="W256" s="230" t="s">
        <v>328</v>
      </c>
      <c r="X256" s="230" t="s">
        <v>328</v>
      </c>
      <c r="Y256" s="231" t="s">
        <v>328</v>
      </c>
    </row>
    <row r="257" spans="1:25">
      <c r="A257" s="223">
        <v>7</v>
      </c>
      <c r="B257" s="224" t="str">
        <f>VLOOKUP(Tabel10[[#This Row],[Locatiecode]],Ruimtegroepen[[#All],[Code]:[Ruimte omschrijving]],2,FALSE)</f>
        <v>Entree</v>
      </c>
      <c r="C257" s="225" t="s">
        <v>600</v>
      </c>
      <c r="D257" s="224" t="s">
        <v>32</v>
      </c>
      <c r="E257" s="226" t="s">
        <v>122</v>
      </c>
      <c r="F257" s="225" t="s">
        <v>603</v>
      </c>
      <c r="G257" s="228" t="s">
        <v>328</v>
      </c>
      <c r="H257" s="228" t="s">
        <v>328</v>
      </c>
      <c r="I257" s="228" t="s">
        <v>2</v>
      </c>
      <c r="J257" s="227" t="s">
        <v>328</v>
      </c>
      <c r="K257" s="227" t="s">
        <v>2</v>
      </c>
      <c r="L257" s="228" t="s">
        <v>328</v>
      </c>
      <c r="M257" s="228" t="s">
        <v>328</v>
      </c>
      <c r="N257" s="228" t="s">
        <v>2</v>
      </c>
      <c r="O257" s="229" t="s">
        <v>2</v>
      </c>
      <c r="P257" s="229" t="s">
        <v>2</v>
      </c>
      <c r="Q257" s="229" t="s">
        <v>15</v>
      </c>
      <c r="R257" s="229" t="s">
        <v>15</v>
      </c>
      <c r="S257" s="229" t="s">
        <v>16</v>
      </c>
      <c r="T257" s="229" t="s">
        <v>375</v>
      </c>
      <c r="U257" s="229" t="s">
        <v>331</v>
      </c>
      <c r="V257" s="229" t="s">
        <v>2</v>
      </c>
      <c r="W257" s="230" t="s">
        <v>328</v>
      </c>
      <c r="X257" s="230" t="s">
        <v>328</v>
      </c>
      <c r="Y257" s="231" t="s">
        <v>328</v>
      </c>
    </row>
    <row r="258" spans="1:25">
      <c r="A258" s="223">
        <v>7</v>
      </c>
      <c r="B258" s="224" t="str">
        <f>VLOOKUP(Tabel10[[#This Row],[Locatiecode]],Ruimtegroepen[[#All],[Code]:[Ruimte omschrijving]],2,FALSE)</f>
        <v>Entree</v>
      </c>
      <c r="C258" s="225" t="s">
        <v>600</v>
      </c>
      <c r="D258" s="224" t="s">
        <v>32</v>
      </c>
      <c r="E258" s="226" t="s">
        <v>123</v>
      </c>
      <c r="F258" s="225" t="s">
        <v>604</v>
      </c>
      <c r="G258" s="228" t="s">
        <v>328</v>
      </c>
      <c r="H258" s="228" t="s">
        <v>328</v>
      </c>
      <c r="I258" s="228" t="s">
        <v>2</v>
      </c>
      <c r="J258" s="227" t="s">
        <v>328</v>
      </c>
      <c r="K258" s="227" t="s">
        <v>2</v>
      </c>
      <c r="L258" s="228" t="s">
        <v>328</v>
      </c>
      <c r="M258" s="228" t="s">
        <v>328</v>
      </c>
      <c r="N258" s="228" t="s">
        <v>2</v>
      </c>
      <c r="O258" s="229" t="s">
        <v>2</v>
      </c>
      <c r="P258" s="229" t="s">
        <v>2</v>
      </c>
      <c r="Q258" s="229" t="s">
        <v>15</v>
      </c>
      <c r="R258" s="229" t="s">
        <v>15</v>
      </c>
      <c r="S258" s="229" t="s">
        <v>16</v>
      </c>
      <c r="T258" s="229" t="s">
        <v>375</v>
      </c>
      <c r="U258" s="229" t="s">
        <v>331</v>
      </c>
      <c r="V258" s="229" t="s">
        <v>2</v>
      </c>
      <c r="W258" s="230" t="s">
        <v>328</v>
      </c>
      <c r="X258" s="230" t="s">
        <v>328</v>
      </c>
      <c r="Y258" s="231" t="s">
        <v>328</v>
      </c>
    </row>
    <row r="259" spans="1:25">
      <c r="A259" s="223">
        <v>7</v>
      </c>
      <c r="B259" s="224" t="str">
        <f>VLOOKUP(Tabel10[[#This Row],[Locatiecode]],Ruimtegroepen[[#All],[Code]:[Ruimte omschrijving]],2,FALSE)</f>
        <v>Entree</v>
      </c>
      <c r="C259" s="225" t="s">
        <v>605</v>
      </c>
      <c r="D259" s="224" t="s">
        <v>1</v>
      </c>
      <c r="E259" s="226" t="s">
        <v>121</v>
      </c>
      <c r="F259" s="225" t="s">
        <v>606</v>
      </c>
      <c r="G259" s="228" t="s">
        <v>328</v>
      </c>
      <c r="H259" s="228" t="s">
        <v>328</v>
      </c>
      <c r="I259" s="228" t="s">
        <v>2</v>
      </c>
      <c r="J259" s="227" t="s">
        <v>328</v>
      </c>
      <c r="K259" s="227" t="s">
        <v>2</v>
      </c>
      <c r="L259" s="228" t="s">
        <v>328</v>
      </c>
      <c r="M259" s="228" t="s">
        <v>328</v>
      </c>
      <c r="N259" s="228" t="s">
        <v>328</v>
      </c>
      <c r="O259" s="229" t="s">
        <v>2</v>
      </c>
      <c r="P259" s="229" t="s">
        <v>2</v>
      </c>
      <c r="Q259" s="229" t="s">
        <v>15</v>
      </c>
      <c r="R259" s="229" t="s">
        <v>15</v>
      </c>
      <c r="S259" s="229" t="s">
        <v>16</v>
      </c>
      <c r="T259" s="229" t="s">
        <v>375</v>
      </c>
      <c r="U259" s="229" t="s">
        <v>331</v>
      </c>
      <c r="V259" s="229" t="s">
        <v>328</v>
      </c>
      <c r="W259" s="230" t="s">
        <v>328</v>
      </c>
      <c r="X259" s="230" t="s">
        <v>328</v>
      </c>
      <c r="Y259" s="231" t="s">
        <v>328</v>
      </c>
    </row>
    <row r="260" spans="1:25">
      <c r="A260" s="223">
        <v>7</v>
      </c>
      <c r="B260" s="224" t="str">
        <f>VLOOKUP(Tabel10[[#This Row],[Locatiecode]],Ruimtegroepen[[#All],[Code]:[Ruimte omschrijving]],2,FALSE)</f>
        <v>Entree</v>
      </c>
      <c r="C260" s="225" t="s">
        <v>605</v>
      </c>
      <c r="D260" s="224" t="s">
        <v>1</v>
      </c>
      <c r="E260" s="226" t="s">
        <v>120</v>
      </c>
      <c r="F260" s="225" t="s">
        <v>607</v>
      </c>
      <c r="G260" s="228" t="s">
        <v>328</v>
      </c>
      <c r="H260" s="228" t="s">
        <v>2</v>
      </c>
      <c r="I260" s="228" t="s">
        <v>328</v>
      </c>
      <c r="J260" s="228" t="s">
        <v>328</v>
      </c>
      <c r="K260" s="228" t="s">
        <v>328</v>
      </c>
      <c r="L260" s="228" t="s">
        <v>328</v>
      </c>
      <c r="M260" s="228" t="s">
        <v>328</v>
      </c>
      <c r="N260" s="228" t="s">
        <v>328</v>
      </c>
      <c r="O260" s="229" t="s">
        <v>2</v>
      </c>
      <c r="P260" s="229" t="s">
        <v>2</v>
      </c>
      <c r="Q260" s="229" t="s">
        <v>15</v>
      </c>
      <c r="R260" s="229" t="s">
        <v>15</v>
      </c>
      <c r="S260" s="229" t="s">
        <v>16</v>
      </c>
      <c r="T260" s="229" t="s">
        <v>375</v>
      </c>
      <c r="U260" s="229" t="s">
        <v>331</v>
      </c>
      <c r="V260" s="229" t="s">
        <v>328</v>
      </c>
      <c r="W260" s="230" t="s">
        <v>328</v>
      </c>
      <c r="X260" s="230" t="s">
        <v>328</v>
      </c>
      <c r="Y260" s="231" t="s">
        <v>328</v>
      </c>
    </row>
    <row r="261" spans="1:25">
      <c r="A261" s="223">
        <v>7</v>
      </c>
      <c r="B261" s="224" t="str">
        <f>VLOOKUP(Tabel10[[#This Row],[Locatiecode]],Ruimtegroepen[[#All],[Code]:[Ruimte omschrijving]],2,FALSE)</f>
        <v>Entree</v>
      </c>
      <c r="C261" s="225" t="s">
        <v>605</v>
      </c>
      <c r="D261" s="224" t="s">
        <v>1</v>
      </c>
      <c r="E261" s="226" t="s">
        <v>122</v>
      </c>
      <c r="F261" s="225" t="s">
        <v>608</v>
      </c>
      <c r="G261" s="228" t="s">
        <v>328</v>
      </c>
      <c r="H261" s="228" t="s">
        <v>328</v>
      </c>
      <c r="I261" s="228" t="s">
        <v>2</v>
      </c>
      <c r="J261" s="227" t="s">
        <v>328</v>
      </c>
      <c r="K261" s="227" t="s">
        <v>2</v>
      </c>
      <c r="L261" s="228" t="s">
        <v>328</v>
      </c>
      <c r="M261" s="228" t="s">
        <v>328</v>
      </c>
      <c r="N261" s="228" t="s">
        <v>328</v>
      </c>
      <c r="O261" s="229" t="s">
        <v>2</v>
      </c>
      <c r="P261" s="229" t="s">
        <v>2</v>
      </c>
      <c r="Q261" s="229" t="s">
        <v>15</v>
      </c>
      <c r="R261" s="229" t="s">
        <v>15</v>
      </c>
      <c r="S261" s="229" t="s">
        <v>16</v>
      </c>
      <c r="T261" s="229" t="s">
        <v>375</v>
      </c>
      <c r="U261" s="229" t="s">
        <v>331</v>
      </c>
      <c r="V261" s="229" t="s">
        <v>328</v>
      </c>
      <c r="W261" s="230" t="s">
        <v>328</v>
      </c>
      <c r="X261" s="230" t="s">
        <v>328</v>
      </c>
      <c r="Y261" s="231" t="s">
        <v>328</v>
      </c>
    </row>
    <row r="262" spans="1:25">
      <c r="A262" s="223">
        <v>7</v>
      </c>
      <c r="B262" s="224" t="str">
        <f>VLOOKUP(Tabel10[[#This Row],[Locatiecode]],Ruimtegroepen[[#All],[Code]:[Ruimte omschrijving]],2,FALSE)</f>
        <v>Entree</v>
      </c>
      <c r="C262" s="225" t="s">
        <v>605</v>
      </c>
      <c r="D262" s="224" t="s">
        <v>1</v>
      </c>
      <c r="E262" s="226" t="s">
        <v>123</v>
      </c>
      <c r="F262" s="225" t="s">
        <v>609</v>
      </c>
      <c r="G262" s="228" t="s">
        <v>328</v>
      </c>
      <c r="H262" s="228" t="s">
        <v>328</v>
      </c>
      <c r="I262" s="228" t="s">
        <v>2</v>
      </c>
      <c r="J262" s="227" t="s">
        <v>328</v>
      </c>
      <c r="K262" s="227" t="s">
        <v>2</v>
      </c>
      <c r="L262" s="228" t="s">
        <v>328</v>
      </c>
      <c r="M262" s="228" t="s">
        <v>328</v>
      </c>
      <c r="N262" s="228" t="s">
        <v>328</v>
      </c>
      <c r="O262" s="229" t="s">
        <v>2</v>
      </c>
      <c r="P262" s="229" t="s">
        <v>2</v>
      </c>
      <c r="Q262" s="229" t="s">
        <v>15</v>
      </c>
      <c r="R262" s="229" t="s">
        <v>15</v>
      </c>
      <c r="S262" s="229" t="s">
        <v>16</v>
      </c>
      <c r="T262" s="229" t="s">
        <v>375</v>
      </c>
      <c r="U262" s="229" t="s">
        <v>331</v>
      </c>
      <c r="V262" s="229" t="s">
        <v>328</v>
      </c>
      <c r="W262" s="230" t="s">
        <v>328</v>
      </c>
      <c r="X262" s="230" t="s">
        <v>328</v>
      </c>
      <c r="Y262" s="231" t="s">
        <v>328</v>
      </c>
    </row>
    <row r="263" spans="1:25">
      <c r="A263" s="223">
        <v>7</v>
      </c>
      <c r="B263" s="224" t="str">
        <f>VLOOKUP(Tabel10[[#This Row],[Locatiecode]],Ruimtegroepen[[#All],[Code]:[Ruimte omschrijving]],2,FALSE)</f>
        <v>Entree</v>
      </c>
      <c r="C263" s="225" t="s">
        <v>610</v>
      </c>
      <c r="D263" s="224" t="s">
        <v>21</v>
      </c>
      <c r="E263" s="226" t="s">
        <v>121</v>
      </c>
      <c r="F263" s="225" t="s">
        <v>611</v>
      </c>
      <c r="G263" s="228" t="s">
        <v>328</v>
      </c>
      <c r="H263" s="228" t="s">
        <v>328</v>
      </c>
      <c r="I263" s="228" t="s">
        <v>20</v>
      </c>
      <c r="J263" s="227" t="s">
        <v>328</v>
      </c>
      <c r="K263" s="227" t="s">
        <v>20</v>
      </c>
      <c r="L263" s="228" t="s">
        <v>328</v>
      </c>
      <c r="M263" s="228" t="s">
        <v>328</v>
      </c>
      <c r="N263" s="228" t="s">
        <v>328</v>
      </c>
      <c r="O263" s="229" t="s">
        <v>20</v>
      </c>
      <c r="P263" s="229" t="s">
        <v>20</v>
      </c>
      <c r="Q263" s="229" t="s">
        <v>15</v>
      </c>
      <c r="R263" s="229" t="s">
        <v>15</v>
      </c>
      <c r="S263" s="229" t="s">
        <v>16</v>
      </c>
      <c r="T263" s="229" t="s">
        <v>375</v>
      </c>
      <c r="U263" s="229" t="s">
        <v>331</v>
      </c>
      <c r="V263" s="229" t="s">
        <v>328</v>
      </c>
      <c r="W263" s="230" t="s">
        <v>328</v>
      </c>
      <c r="X263" s="230" t="s">
        <v>328</v>
      </c>
      <c r="Y263" s="231" t="s">
        <v>328</v>
      </c>
    </row>
    <row r="264" spans="1:25">
      <c r="A264" s="223">
        <v>7</v>
      </c>
      <c r="B264" s="224" t="str">
        <f>VLOOKUP(Tabel10[[#This Row],[Locatiecode]],Ruimtegroepen[[#All],[Code]:[Ruimte omschrijving]],2,FALSE)</f>
        <v>Entree</v>
      </c>
      <c r="C264" s="225" t="s">
        <v>610</v>
      </c>
      <c r="D264" s="224" t="s">
        <v>21</v>
      </c>
      <c r="E264" s="226" t="s">
        <v>120</v>
      </c>
      <c r="F264" s="225" t="s">
        <v>612</v>
      </c>
      <c r="G264" s="228" t="s">
        <v>328</v>
      </c>
      <c r="H264" s="228" t="s">
        <v>20</v>
      </c>
      <c r="I264" s="228" t="s">
        <v>328</v>
      </c>
      <c r="J264" s="228" t="s">
        <v>328</v>
      </c>
      <c r="K264" s="228" t="s">
        <v>328</v>
      </c>
      <c r="L264" s="228" t="s">
        <v>328</v>
      </c>
      <c r="M264" s="228" t="s">
        <v>328</v>
      </c>
      <c r="N264" s="228" t="s">
        <v>328</v>
      </c>
      <c r="O264" s="229" t="s">
        <v>20</v>
      </c>
      <c r="P264" s="229" t="s">
        <v>20</v>
      </c>
      <c r="Q264" s="229" t="s">
        <v>15</v>
      </c>
      <c r="R264" s="229" t="s">
        <v>15</v>
      </c>
      <c r="S264" s="229" t="s">
        <v>16</v>
      </c>
      <c r="T264" s="229" t="s">
        <v>375</v>
      </c>
      <c r="U264" s="229" t="s">
        <v>331</v>
      </c>
      <c r="V264" s="229" t="s">
        <v>328</v>
      </c>
      <c r="W264" s="230" t="s">
        <v>328</v>
      </c>
      <c r="X264" s="230" t="s">
        <v>328</v>
      </c>
      <c r="Y264" s="231" t="s">
        <v>328</v>
      </c>
    </row>
    <row r="265" spans="1:25">
      <c r="A265" s="223">
        <v>7</v>
      </c>
      <c r="B265" s="224" t="str">
        <f>VLOOKUP(Tabel10[[#This Row],[Locatiecode]],Ruimtegroepen[[#All],[Code]:[Ruimte omschrijving]],2,FALSE)</f>
        <v>Entree</v>
      </c>
      <c r="C265" s="225" t="s">
        <v>610</v>
      </c>
      <c r="D265" s="224" t="s">
        <v>21</v>
      </c>
      <c r="E265" s="226" t="s">
        <v>122</v>
      </c>
      <c r="F265" s="225" t="s">
        <v>613</v>
      </c>
      <c r="G265" s="228" t="s">
        <v>328</v>
      </c>
      <c r="H265" s="228" t="s">
        <v>328</v>
      </c>
      <c r="I265" s="228" t="s">
        <v>20</v>
      </c>
      <c r="J265" s="227" t="s">
        <v>328</v>
      </c>
      <c r="K265" s="227" t="s">
        <v>20</v>
      </c>
      <c r="L265" s="228" t="s">
        <v>328</v>
      </c>
      <c r="M265" s="228" t="s">
        <v>328</v>
      </c>
      <c r="N265" s="228" t="s">
        <v>328</v>
      </c>
      <c r="O265" s="229" t="s">
        <v>20</v>
      </c>
      <c r="P265" s="229" t="s">
        <v>20</v>
      </c>
      <c r="Q265" s="229" t="s">
        <v>15</v>
      </c>
      <c r="R265" s="229" t="s">
        <v>15</v>
      </c>
      <c r="S265" s="229" t="s">
        <v>16</v>
      </c>
      <c r="T265" s="229" t="s">
        <v>375</v>
      </c>
      <c r="U265" s="229" t="s">
        <v>331</v>
      </c>
      <c r="V265" s="229" t="s">
        <v>328</v>
      </c>
      <c r="W265" s="230" t="s">
        <v>328</v>
      </c>
      <c r="X265" s="230" t="s">
        <v>328</v>
      </c>
      <c r="Y265" s="231" t="s">
        <v>328</v>
      </c>
    </row>
    <row r="266" spans="1:25">
      <c r="A266" s="223">
        <v>7</v>
      </c>
      <c r="B266" s="224" t="str">
        <f>VLOOKUP(Tabel10[[#This Row],[Locatiecode]],Ruimtegroepen[[#All],[Code]:[Ruimte omschrijving]],2,FALSE)</f>
        <v>Entree</v>
      </c>
      <c r="C266" s="225" t="s">
        <v>610</v>
      </c>
      <c r="D266" s="224" t="s">
        <v>21</v>
      </c>
      <c r="E266" s="226" t="s">
        <v>123</v>
      </c>
      <c r="F266" s="225" t="s">
        <v>614</v>
      </c>
      <c r="G266" s="228" t="s">
        <v>328</v>
      </c>
      <c r="H266" s="228" t="s">
        <v>328</v>
      </c>
      <c r="I266" s="228" t="s">
        <v>20</v>
      </c>
      <c r="J266" s="227" t="s">
        <v>328</v>
      </c>
      <c r="K266" s="227" t="s">
        <v>20</v>
      </c>
      <c r="L266" s="228" t="s">
        <v>328</v>
      </c>
      <c r="M266" s="228" t="s">
        <v>328</v>
      </c>
      <c r="N266" s="228" t="s">
        <v>328</v>
      </c>
      <c r="O266" s="229" t="s">
        <v>20</v>
      </c>
      <c r="P266" s="229" t="s">
        <v>20</v>
      </c>
      <c r="Q266" s="229" t="s">
        <v>15</v>
      </c>
      <c r="R266" s="229" t="s">
        <v>15</v>
      </c>
      <c r="S266" s="229" t="s">
        <v>16</v>
      </c>
      <c r="T266" s="229" t="s">
        <v>375</v>
      </c>
      <c r="U266" s="229" t="s">
        <v>331</v>
      </c>
      <c r="V266" s="229" t="s">
        <v>328</v>
      </c>
      <c r="W266" s="230" t="s">
        <v>328</v>
      </c>
      <c r="X266" s="230" t="s">
        <v>328</v>
      </c>
      <c r="Y266" s="231" t="s">
        <v>328</v>
      </c>
    </row>
    <row r="267" spans="1:25">
      <c r="A267" s="223">
        <v>7</v>
      </c>
      <c r="B267" s="224" t="str">
        <f>VLOOKUP(Tabel10[[#This Row],[Locatiecode]],Ruimtegroepen[[#All],[Code]:[Ruimte omschrijving]],2,FALSE)</f>
        <v>Entree</v>
      </c>
      <c r="C267" s="225" t="s">
        <v>615</v>
      </c>
      <c r="D267" s="224" t="s">
        <v>12</v>
      </c>
      <c r="E267" s="226" t="s">
        <v>121</v>
      </c>
      <c r="F267" s="225" t="s">
        <v>616</v>
      </c>
      <c r="G267" s="228" t="s">
        <v>328</v>
      </c>
      <c r="H267" s="228" t="s">
        <v>328</v>
      </c>
      <c r="I267" s="228" t="s">
        <v>18</v>
      </c>
      <c r="J267" s="227" t="s">
        <v>328</v>
      </c>
      <c r="K267" s="227" t="s">
        <v>18</v>
      </c>
      <c r="L267" s="228" t="s">
        <v>328</v>
      </c>
      <c r="M267" s="228" t="s">
        <v>328</v>
      </c>
      <c r="N267" s="228" t="s">
        <v>328</v>
      </c>
      <c r="O267" s="229" t="s">
        <v>18</v>
      </c>
      <c r="P267" s="229" t="s">
        <v>18</v>
      </c>
      <c r="Q267" s="229" t="s">
        <v>15</v>
      </c>
      <c r="R267" s="229" t="s">
        <v>15</v>
      </c>
      <c r="S267" s="229" t="s">
        <v>16</v>
      </c>
      <c r="T267" s="229" t="s">
        <v>375</v>
      </c>
      <c r="U267" s="229" t="s">
        <v>331</v>
      </c>
      <c r="V267" s="229" t="s">
        <v>328</v>
      </c>
      <c r="W267" s="230" t="s">
        <v>328</v>
      </c>
      <c r="X267" s="230" t="s">
        <v>328</v>
      </c>
      <c r="Y267" s="231" t="s">
        <v>328</v>
      </c>
    </row>
    <row r="268" spans="1:25">
      <c r="A268" s="223">
        <v>7</v>
      </c>
      <c r="B268" s="224" t="str">
        <f>VLOOKUP(Tabel10[[#This Row],[Locatiecode]],Ruimtegroepen[[#All],[Code]:[Ruimte omschrijving]],2,FALSE)</f>
        <v>Entree</v>
      </c>
      <c r="C268" s="225" t="s">
        <v>615</v>
      </c>
      <c r="D268" s="224" t="s">
        <v>12</v>
      </c>
      <c r="E268" s="226" t="s">
        <v>120</v>
      </c>
      <c r="F268" s="225" t="s">
        <v>617</v>
      </c>
      <c r="G268" s="228" t="s">
        <v>328</v>
      </c>
      <c r="H268" s="228" t="s">
        <v>18</v>
      </c>
      <c r="I268" s="228" t="s">
        <v>328</v>
      </c>
      <c r="J268" s="228" t="s">
        <v>328</v>
      </c>
      <c r="K268" s="228" t="s">
        <v>328</v>
      </c>
      <c r="L268" s="228" t="s">
        <v>328</v>
      </c>
      <c r="M268" s="228" t="s">
        <v>328</v>
      </c>
      <c r="N268" s="228" t="s">
        <v>328</v>
      </c>
      <c r="O268" s="229" t="s">
        <v>18</v>
      </c>
      <c r="P268" s="229" t="s">
        <v>18</v>
      </c>
      <c r="Q268" s="229" t="s">
        <v>15</v>
      </c>
      <c r="R268" s="229" t="s">
        <v>15</v>
      </c>
      <c r="S268" s="229" t="s">
        <v>16</v>
      </c>
      <c r="T268" s="229" t="s">
        <v>375</v>
      </c>
      <c r="U268" s="229" t="s">
        <v>331</v>
      </c>
      <c r="V268" s="229" t="s">
        <v>328</v>
      </c>
      <c r="W268" s="230" t="s">
        <v>328</v>
      </c>
      <c r="X268" s="230" t="s">
        <v>328</v>
      </c>
      <c r="Y268" s="231" t="s">
        <v>328</v>
      </c>
    </row>
    <row r="269" spans="1:25">
      <c r="A269" s="223">
        <v>7</v>
      </c>
      <c r="B269" s="224" t="str">
        <f>VLOOKUP(Tabel10[[#This Row],[Locatiecode]],Ruimtegroepen[[#All],[Code]:[Ruimte omschrijving]],2,FALSE)</f>
        <v>Entree</v>
      </c>
      <c r="C269" s="225" t="s">
        <v>615</v>
      </c>
      <c r="D269" s="224" t="s">
        <v>12</v>
      </c>
      <c r="E269" s="226" t="s">
        <v>122</v>
      </c>
      <c r="F269" s="225" t="s">
        <v>618</v>
      </c>
      <c r="G269" s="228" t="s">
        <v>328</v>
      </c>
      <c r="H269" s="228" t="s">
        <v>328</v>
      </c>
      <c r="I269" s="228" t="s">
        <v>18</v>
      </c>
      <c r="J269" s="227" t="s">
        <v>328</v>
      </c>
      <c r="K269" s="227" t="s">
        <v>18</v>
      </c>
      <c r="L269" s="228" t="s">
        <v>328</v>
      </c>
      <c r="M269" s="228" t="s">
        <v>328</v>
      </c>
      <c r="N269" s="228" t="s">
        <v>328</v>
      </c>
      <c r="O269" s="229" t="s">
        <v>18</v>
      </c>
      <c r="P269" s="229" t="s">
        <v>18</v>
      </c>
      <c r="Q269" s="229" t="s">
        <v>15</v>
      </c>
      <c r="R269" s="229" t="s">
        <v>15</v>
      </c>
      <c r="S269" s="229" t="s">
        <v>16</v>
      </c>
      <c r="T269" s="229" t="s">
        <v>375</v>
      </c>
      <c r="U269" s="229" t="s">
        <v>331</v>
      </c>
      <c r="V269" s="229" t="s">
        <v>328</v>
      </c>
      <c r="W269" s="230" t="s">
        <v>328</v>
      </c>
      <c r="X269" s="230" t="s">
        <v>328</v>
      </c>
      <c r="Y269" s="231" t="s">
        <v>328</v>
      </c>
    </row>
    <row r="270" spans="1:25">
      <c r="A270" s="223">
        <v>7</v>
      </c>
      <c r="B270" s="224" t="str">
        <f>VLOOKUP(Tabel10[[#This Row],[Locatiecode]],Ruimtegroepen[[#All],[Code]:[Ruimte omschrijving]],2,FALSE)</f>
        <v>Entree</v>
      </c>
      <c r="C270" s="225" t="s">
        <v>615</v>
      </c>
      <c r="D270" s="224" t="s">
        <v>12</v>
      </c>
      <c r="E270" s="226" t="s">
        <v>123</v>
      </c>
      <c r="F270" s="225" t="s">
        <v>619</v>
      </c>
      <c r="G270" s="228" t="s">
        <v>328</v>
      </c>
      <c r="H270" s="228" t="s">
        <v>328</v>
      </c>
      <c r="I270" s="228" t="s">
        <v>18</v>
      </c>
      <c r="J270" s="227" t="s">
        <v>328</v>
      </c>
      <c r="K270" s="227" t="s">
        <v>18</v>
      </c>
      <c r="L270" s="228" t="s">
        <v>328</v>
      </c>
      <c r="M270" s="228" t="s">
        <v>328</v>
      </c>
      <c r="N270" s="228" t="s">
        <v>328</v>
      </c>
      <c r="O270" s="229" t="s">
        <v>18</v>
      </c>
      <c r="P270" s="229" t="s">
        <v>18</v>
      </c>
      <c r="Q270" s="229" t="s">
        <v>15</v>
      </c>
      <c r="R270" s="229" t="s">
        <v>15</v>
      </c>
      <c r="S270" s="229" t="s">
        <v>16</v>
      </c>
      <c r="T270" s="229" t="s">
        <v>375</v>
      </c>
      <c r="U270" s="229" t="s">
        <v>331</v>
      </c>
      <c r="V270" s="229" t="s">
        <v>328</v>
      </c>
      <c r="W270" s="230" t="s">
        <v>328</v>
      </c>
      <c r="X270" s="230" t="s">
        <v>328</v>
      </c>
      <c r="Y270" s="231" t="s">
        <v>328</v>
      </c>
    </row>
    <row r="271" spans="1:25">
      <c r="A271" s="223">
        <v>7</v>
      </c>
      <c r="B271" s="224" t="str">
        <f>VLOOKUP(Tabel10[[#This Row],[Locatiecode]],Ruimtegroepen[[#All],[Code]:[Ruimte omschrijving]],2,FALSE)</f>
        <v>Entree</v>
      </c>
      <c r="C271" s="225" t="s">
        <v>620</v>
      </c>
      <c r="D271" s="224" t="s">
        <v>14</v>
      </c>
      <c r="E271" s="226" t="s">
        <v>121</v>
      </c>
      <c r="F271" s="225" t="s">
        <v>621</v>
      </c>
      <c r="G271" s="228" t="s">
        <v>328</v>
      </c>
      <c r="H271" s="228" t="s">
        <v>328</v>
      </c>
      <c r="I271" s="228" t="s">
        <v>17</v>
      </c>
      <c r="J271" s="227" t="s">
        <v>328</v>
      </c>
      <c r="K271" s="227" t="s">
        <v>17</v>
      </c>
      <c r="L271" s="228" t="s">
        <v>328</v>
      </c>
      <c r="M271" s="228" t="s">
        <v>328</v>
      </c>
      <c r="N271" s="228" t="s">
        <v>328</v>
      </c>
      <c r="O271" s="229" t="s">
        <v>17</v>
      </c>
      <c r="P271" s="229" t="s">
        <v>17</v>
      </c>
      <c r="Q271" s="229" t="s">
        <v>15</v>
      </c>
      <c r="R271" s="229" t="s">
        <v>15</v>
      </c>
      <c r="S271" s="229" t="s">
        <v>16</v>
      </c>
      <c r="T271" s="229" t="s">
        <v>375</v>
      </c>
      <c r="U271" s="229" t="s">
        <v>331</v>
      </c>
      <c r="V271" s="229" t="s">
        <v>328</v>
      </c>
      <c r="W271" s="230" t="s">
        <v>328</v>
      </c>
      <c r="X271" s="230" t="s">
        <v>328</v>
      </c>
      <c r="Y271" s="231" t="s">
        <v>328</v>
      </c>
    </row>
    <row r="272" spans="1:25">
      <c r="A272" s="223">
        <v>7</v>
      </c>
      <c r="B272" s="224" t="str">
        <f>VLOOKUP(Tabel10[[#This Row],[Locatiecode]],Ruimtegroepen[[#All],[Code]:[Ruimte omschrijving]],2,FALSE)</f>
        <v>Entree</v>
      </c>
      <c r="C272" s="225" t="s">
        <v>620</v>
      </c>
      <c r="D272" s="224" t="s">
        <v>14</v>
      </c>
      <c r="E272" s="226" t="s">
        <v>120</v>
      </c>
      <c r="F272" s="225" t="s">
        <v>622</v>
      </c>
      <c r="G272" s="228" t="s">
        <v>328</v>
      </c>
      <c r="H272" s="228" t="s">
        <v>17</v>
      </c>
      <c r="I272" s="228" t="s">
        <v>328</v>
      </c>
      <c r="J272" s="228" t="s">
        <v>328</v>
      </c>
      <c r="K272" s="228" t="s">
        <v>328</v>
      </c>
      <c r="L272" s="228" t="s">
        <v>328</v>
      </c>
      <c r="M272" s="228" t="s">
        <v>328</v>
      </c>
      <c r="N272" s="228" t="s">
        <v>328</v>
      </c>
      <c r="O272" s="229" t="s">
        <v>17</v>
      </c>
      <c r="P272" s="229" t="s">
        <v>17</v>
      </c>
      <c r="Q272" s="229" t="s">
        <v>15</v>
      </c>
      <c r="R272" s="229" t="s">
        <v>15</v>
      </c>
      <c r="S272" s="229" t="s">
        <v>16</v>
      </c>
      <c r="T272" s="229" t="s">
        <v>375</v>
      </c>
      <c r="U272" s="229" t="s">
        <v>331</v>
      </c>
      <c r="V272" s="229" t="s">
        <v>328</v>
      </c>
      <c r="W272" s="230" t="s">
        <v>328</v>
      </c>
      <c r="X272" s="230" t="s">
        <v>328</v>
      </c>
      <c r="Y272" s="231" t="s">
        <v>328</v>
      </c>
    </row>
    <row r="273" spans="1:25">
      <c r="A273" s="223">
        <v>7</v>
      </c>
      <c r="B273" s="224" t="str">
        <f>VLOOKUP(Tabel10[[#This Row],[Locatiecode]],Ruimtegroepen[[#All],[Code]:[Ruimte omschrijving]],2,FALSE)</f>
        <v>Entree</v>
      </c>
      <c r="C273" s="225" t="s">
        <v>620</v>
      </c>
      <c r="D273" s="224" t="s">
        <v>14</v>
      </c>
      <c r="E273" s="226" t="s">
        <v>122</v>
      </c>
      <c r="F273" s="225" t="s">
        <v>623</v>
      </c>
      <c r="G273" s="228" t="s">
        <v>328</v>
      </c>
      <c r="H273" s="228" t="s">
        <v>328</v>
      </c>
      <c r="I273" s="228" t="s">
        <v>17</v>
      </c>
      <c r="J273" s="227" t="s">
        <v>328</v>
      </c>
      <c r="K273" s="227" t="s">
        <v>17</v>
      </c>
      <c r="L273" s="228" t="s">
        <v>328</v>
      </c>
      <c r="M273" s="228" t="s">
        <v>328</v>
      </c>
      <c r="N273" s="228" t="s">
        <v>328</v>
      </c>
      <c r="O273" s="229" t="s">
        <v>17</v>
      </c>
      <c r="P273" s="229" t="s">
        <v>17</v>
      </c>
      <c r="Q273" s="229" t="s">
        <v>15</v>
      </c>
      <c r="R273" s="229" t="s">
        <v>15</v>
      </c>
      <c r="S273" s="229" t="s">
        <v>16</v>
      </c>
      <c r="T273" s="229" t="s">
        <v>375</v>
      </c>
      <c r="U273" s="229" t="s">
        <v>331</v>
      </c>
      <c r="V273" s="229" t="s">
        <v>328</v>
      </c>
      <c r="W273" s="230" t="s">
        <v>328</v>
      </c>
      <c r="X273" s="230" t="s">
        <v>328</v>
      </c>
      <c r="Y273" s="231" t="s">
        <v>328</v>
      </c>
    </row>
    <row r="274" spans="1:25">
      <c r="A274" s="223">
        <v>7</v>
      </c>
      <c r="B274" s="224" t="str">
        <f>VLOOKUP(Tabel10[[#This Row],[Locatiecode]],Ruimtegroepen[[#All],[Code]:[Ruimte omschrijving]],2,FALSE)</f>
        <v>Entree</v>
      </c>
      <c r="C274" s="225" t="s">
        <v>620</v>
      </c>
      <c r="D274" s="224" t="s">
        <v>14</v>
      </c>
      <c r="E274" s="226" t="s">
        <v>123</v>
      </c>
      <c r="F274" s="225" t="s">
        <v>624</v>
      </c>
      <c r="G274" s="228" t="s">
        <v>328</v>
      </c>
      <c r="H274" s="228" t="s">
        <v>328</v>
      </c>
      <c r="I274" s="228" t="s">
        <v>17</v>
      </c>
      <c r="J274" s="227" t="s">
        <v>328</v>
      </c>
      <c r="K274" s="227" t="s">
        <v>17</v>
      </c>
      <c r="L274" s="228" t="s">
        <v>328</v>
      </c>
      <c r="M274" s="228" t="s">
        <v>328</v>
      </c>
      <c r="N274" s="228" t="s">
        <v>328</v>
      </c>
      <c r="O274" s="229" t="s">
        <v>17</v>
      </c>
      <c r="P274" s="229" t="s">
        <v>17</v>
      </c>
      <c r="Q274" s="229" t="s">
        <v>15</v>
      </c>
      <c r="R274" s="229" t="s">
        <v>15</v>
      </c>
      <c r="S274" s="229" t="s">
        <v>16</v>
      </c>
      <c r="T274" s="229" t="s">
        <v>375</v>
      </c>
      <c r="U274" s="229" t="s">
        <v>331</v>
      </c>
      <c r="V274" s="229" t="s">
        <v>328</v>
      </c>
      <c r="W274" s="230" t="s">
        <v>328</v>
      </c>
      <c r="X274" s="230" t="s">
        <v>328</v>
      </c>
      <c r="Y274" s="231" t="s">
        <v>328</v>
      </c>
    </row>
    <row r="275" spans="1:25">
      <c r="A275" s="223">
        <v>7</v>
      </c>
      <c r="B275" s="224" t="str">
        <f>VLOOKUP(Tabel10[[#This Row],[Locatiecode]],Ruimtegroepen[[#All],[Code]:[Ruimte omschrijving]],2,FALSE)</f>
        <v>Entree</v>
      </c>
      <c r="C275" s="225" t="s">
        <v>625</v>
      </c>
      <c r="D275" s="224" t="s">
        <v>13</v>
      </c>
      <c r="E275" s="226" t="s">
        <v>121</v>
      </c>
      <c r="F275" s="225" t="s">
        <v>626</v>
      </c>
      <c r="G275" s="228" t="s">
        <v>328</v>
      </c>
      <c r="H275" s="228" t="s">
        <v>328</v>
      </c>
      <c r="I275" s="228" t="s">
        <v>15</v>
      </c>
      <c r="J275" s="227" t="s">
        <v>328</v>
      </c>
      <c r="K275" s="228" t="s">
        <v>15</v>
      </c>
      <c r="L275" s="228" t="s">
        <v>328</v>
      </c>
      <c r="M275" s="228" t="s">
        <v>328</v>
      </c>
      <c r="N275" s="228" t="s">
        <v>328</v>
      </c>
      <c r="O275" s="229" t="s">
        <v>15</v>
      </c>
      <c r="P275" s="229" t="s">
        <v>15</v>
      </c>
      <c r="Q275" s="229" t="s">
        <v>15</v>
      </c>
      <c r="R275" s="229" t="s">
        <v>15</v>
      </c>
      <c r="S275" s="229" t="s">
        <v>16</v>
      </c>
      <c r="T275" s="229" t="s">
        <v>375</v>
      </c>
      <c r="U275" s="229" t="s">
        <v>331</v>
      </c>
      <c r="V275" s="229" t="s">
        <v>328</v>
      </c>
      <c r="W275" s="230" t="s">
        <v>328</v>
      </c>
      <c r="X275" s="230" t="s">
        <v>328</v>
      </c>
      <c r="Y275" s="231" t="s">
        <v>328</v>
      </c>
    </row>
    <row r="276" spans="1:25">
      <c r="A276" s="223">
        <v>7</v>
      </c>
      <c r="B276" s="224" t="str">
        <f>VLOOKUP(Tabel10[[#This Row],[Locatiecode]],Ruimtegroepen[[#All],[Code]:[Ruimte omschrijving]],2,FALSE)</f>
        <v>Entree</v>
      </c>
      <c r="C276" s="225" t="s">
        <v>625</v>
      </c>
      <c r="D276" s="224" t="s">
        <v>13</v>
      </c>
      <c r="E276" s="226" t="s">
        <v>120</v>
      </c>
      <c r="F276" s="225" t="s">
        <v>627</v>
      </c>
      <c r="G276" s="228" t="s">
        <v>328</v>
      </c>
      <c r="H276" s="228" t="s">
        <v>15</v>
      </c>
      <c r="I276" s="228" t="s">
        <v>328</v>
      </c>
      <c r="J276" s="228" t="s">
        <v>328</v>
      </c>
      <c r="K276" s="228" t="s">
        <v>328</v>
      </c>
      <c r="L276" s="228" t="s">
        <v>328</v>
      </c>
      <c r="M276" s="228" t="s">
        <v>328</v>
      </c>
      <c r="N276" s="228" t="s">
        <v>328</v>
      </c>
      <c r="O276" s="229" t="s">
        <v>15</v>
      </c>
      <c r="P276" s="229" t="s">
        <v>15</v>
      </c>
      <c r="Q276" s="229" t="s">
        <v>15</v>
      </c>
      <c r="R276" s="229" t="s">
        <v>15</v>
      </c>
      <c r="S276" s="229" t="s">
        <v>16</v>
      </c>
      <c r="T276" s="229" t="s">
        <v>375</v>
      </c>
      <c r="U276" s="229" t="s">
        <v>331</v>
      </c>
      <c r="V276" s="229" t="s">
        <v>328</v>
      </c>
      <c r="W276" s="230" t="s">
        <v>328</v>
      </c>
      <c r="X276" s="230" t="s">
        <v>328</v>
      </c>
      <c r="Y276" s="231" t="s">
        <v>328</v>
      </c>
    </row>
    <row r="277" spans="1:25">
      <c r="A277" s="223">
        <v>7</v>
      </c>
      <c r="B277" s="224" t="str">
        <f>VLOOKUP(Tabel10[[#This Row],[Locatiecode]],Ruimtegroepen[[#All],[Code]:[Ruimte omschrijving]],2,FALSE)</f>
        <v>Entree</v>
      </c>
      <c r="C277" s="225" t="s">
        <v>625</v>
      </c>
      <c r="D277" s="224" t="s">
        <v>13</v>
      </c>
      <c r="E277" s="226" t="s">
        <v>122</v>
      </c>
      <c r="F277" s="225" t="s">
        <v>628</v>
      </c>
      <c r="G277" s="228" t="s">
        <v>328</v>
      </c>
      <c r="H277" s="228" t="s">
        <v>328</v>
      </c>
      <c r="I277" s="228" t="s">
        <v>15</v>
      </c>
      <c r="J277" s="227" t="s">
        <v>328</v>
      </c>
      <c r="K277" s="228" t="s">
        <v>15</v>
      </c>
      <c r="L277" s="228" t="s">
        <v>328</v>
      </c>
      <c r="M277" s="228" t="s">
        <v>328</v>
      </c>
      <c r="N277" s="228" t="s">
        <v>328</v>
      </c>
      <c r="O277" s="229" t="s">
        <v>15</v>
      </c>
      <c r="P277" s="229" t="s">
        <v>15</v>
      </c>
      <c r="Q277" s="229" t="s">
        <v>15</v>
      </c>
      <c r="R277" s="229" t="s">
        <v>15</v>
      </c>
      <c r="S277" s="229" t="s">
        <v>16</v>
      </c>
      <c r="T277" s="229" t="s">
        <v>375</v>
      </c>
      <c r="U277" s="229" t="s">
        <v>331</v>
      </c>
      <c r="V277" s="229" t="s">
        <v>328</v>
      </c>
      <c r="W277" s="230" t="s">
        <v>328</v>
      </c>
      <c r="X277" s="230" t="s">
        <v>328</v>
      </c>
      <c r="Y277" s="231" t="s">
        <v>328</v>
      </c>
    </row>
    <row r="278" spans="1:25">
      <c r="A278" s="223">
        <v>7</v>
      </c>
      <c r="B278" s="224" t="str">
        <f>VLOOKUP(Tabel10[[#This Row],[Locatiecode]],Ruimtegroepen[[#All],[Code]:[Ruimte omschrijving]],2,FALSE)</f>
        <v>Entree</v>
      </c>
      <c r="C278" s="225" t="s">
        <v>625</v>
      </c>
      <c r="D278" s="224" t="s">
        <v>13</v>
      </c>
      <c r="E278" s="226" t="s">
        <v>123</v>
      </c>
      <c r="F278" s="225" t="s">
        <v>629</v>
      </c>
      <c r="G278" s="228" t="s">
        <v>328</v>
      </c>
      <c r="H278" s="228" t="s">
        <v>328</v>
      </c>
      <c r="I278" s="228" t="s">
        <v>15</v>
      </c>
      <c r="J278" s="227" t="s">
        <v>328</v>
      </c>
      <c r="K278" s="228" t="s">
        <v>15</v>
      </c>
      <c r="L278" s="228" t="s">
        <v>328</v>
      </c>
      <c r="M278" s="228" t="s">
        <v>328</v>
      </c>
      <c r="N278" s="228" t="s">
        <v>328</v>
      </c>
      <c r="O278" s="229" t="s">
        <v>15</v>
      </c>
      <c r="P278" s="229" t="s">
        <v>15</v>
      </c>
      <c r="Q278" s="229" t="s">
        <v>15</v>
      </c>
      <c r="R278" s="229" t="s">
        <v>15</v>
      </c>
      <c r="S278" s="229" t="s">
        <v>16</v>
      </c>
      <c r="T278" s="229" t="s">
        <v>375</v>
      </c>
      <c r="U278" s="229" t="s">
        <v>331</v>
      </c>
      <c r="V278" s="229" t="s">
        <v>328</v>
      </c>
      <c r="W278" s="230" t="s">
        <v>328</v>
      </c>
      <c r="X278" s="230" t="s">
        <v>328</v>
      </c>
      <c r="Y278" s="231" t="s">
        <v>328</v>
      </c>
    </row>
    <row r="279" spans="1:25">
      <c r="A279" s="223">
        <v>7</v>
      </c>
      <c r="B279" s="224" t="str">
        <f>VLOOKUP(Tabel10[[#This Row],[Locatiecode]],Ruimtegroepen[[#All],[Code]:[Ruimte omschrijving]],2,FALSE)</f>
        <v>Entree</v>
      </c>
      <c r="C279" s="225" t="s">
        <v>630</v>
      </c>
      <c r="D279" s="224" t="s">
        <v>0</v>
      </c>
      <c r="E279" s="226" t="s">
        <v>121</v>
      </c>
      <c r="F279" s="225" t="s">
        <v>631</v>
      </c>
      <c r="G279" s="228" t="s">
        <v>328</v>
      </c>
      <c r="H279" s="228" t="s">
        <v>328</v>
      </c>
      <c r="I279" s="228" t="s">
        <v>16</v>
      </c>
      <c r="J279" s="228" t="s">
        <v>328</v>
      </c>
      <c r="K279" s="228" t="s">
        <v>16</v>
      </c>
      <c r="L279" s="228" t="s">
        <v>328</v>
      </c>
      <c r="M279" s="228" t="s">
        <v>328</v>
      </c>
      <c r="N279" s="228" t="s">
        <v>328</v>
      </c>
      <c r="O279" s="229" t="s">
        <v>16</v>
      </c>
      <c r="P279" s="229" t="s">
        <v>16</v>
      </c>
      <c r="Q279" s="229" t="s">
        <v>16</v>
      </c>
      <c r="R279" s="229" t="s">
        <v>16</v>
      </c>
      <c r="S279" s="229" t="s">
        <v>16</v>
      </c>
      <c r="T279" s="229" t="s">
        <v>375</v>
      </c>
      <c r="U279" s="229" t="s">
        <v>331</v>
      </c>
      <c r="V279" s="229" t="s">
        <v>328</v>
      </c>
      <c r="W279" s="230" t="s">
        <v>328</v>
      </c>
      <c r="X279" s="230" t="s">
        <v>328</v>
      </c>
      <c r="Y279" s="231" t="s">
        <v>328</v>
      </c>
    </row>
    <row r="280" spans="1:25">
      <c r="A280" s="223">
        <v>7</v>
      </c>
      <c r="B280" s="224" t="str">
        <f>VLOOKUP(Tabel10[[#This Row],[Locatiecode]],Ruimtegroepen[[#All],[Code]:[Ruimte omschrijving]],2,FALSE)</f>
        <v>Entree</v>
      </c>
      <c r="C280" s="225" t="s">
        <v>630</v>
      </c>
      <c r="D280" s="224" t="s">
        <v>0</v>
      </c>
      <c r="E280" s="226" t="s">
        <v>120</v>
      </c>
      <c r="F280" s="225" t="s">
        <v>632</v>
      </c>
      <c r="G280" s="228" t="s">
        <v>328</v>
      </c>
      <c r="H280" s="228" t="s">
        <v>16</v>
      </c>
      <c r="I280" s="228" t="s">
        <v>328</v>
      </c>
      <c r="J280" s="228" t="s">
        <v>328</v>
      </c>
      <c r="K280" s="228" t="s">
        <v>328</v>
      </c>
      <c r="L280" s="228" t="s">
        <v>328</v>
      </c>
      <c r="M280" s="228" t="s">
        <v>328</v>
      </c>
      <c r="N280" s="228" t="s">
        <v>328</v>
      </c>
      <c r="O280" s="229" t="s">
        <v>16</v>
      </c>
      <c r="P280" s="229" t="s">
        <v>16</v>
      </c>
      <c r="Q280" s="229" t="s">
        <v>16</v>
      </c>
      <c r="R280" s="229" t="s">
        <v>16</v>
      </c>
      <c r="S280" s="229" t="s">
        <v>16</v>
      </c>
      <c r="T280" s="229" t="s">
        <v>375</v>
      </c>
      <c r="U280" s="229" t="s">
        <v>331</v>
      </c>
      <c r="V280" s="229" t="s">
        <v>328</v>
      </c>
      <c r="W280" s="230" t="s">
        <v>328</v>
      </c>
      <c r="X280" s="230" t="s">
        <v>328</v>
      </c>
      <c r="Y280" s="231" t="s">
        <v>328</v>
      </c>
    </row>
    <row r="281" spans="1:25">
      <c r="A281" s="223">
        <v>7</v>
      </c>
      <c r="B281" s="224" t="str">
        <f>VLOOKUP(Tabel10[[#This Row],[Locatiecode]],Ruimtegroepen[[#All],[Code]:[Ruimte omschrijving]],2,FALSE)</f>
        <v>Entree</v>
      </c>
      <c r="C281" s="225" t="s">
        <v>630</v>
      </c>
      <c r="D281" s="224" t="s">
        <v>0</v>
      </c>
      <c r="E281" s="226" t="s">
        <v>122</v>
      </c>
      <c r="F281" s="225" t="s">
        <v>633</v>
      </c>
      <c r="G281" s="228" t="s">
        <v>328</v>
      </c>
      <c r="H281" s="228" t="s">
        <v>328</v>
      </c>
      <c r="I281" s="228" t="s">
        <v>16</v>
      </c>
      <c r="J281" s="228" t="s">
        <v>328</v>
      </c>
      <c r="K281" s="228" t="s">
        <v>16</v>
      </c>
      <c r="L281" s="228" t="s">
        <v>328</v>
      </c>
      <c r="M281" s="228" t="s">
        <v>328</v>
      </c>
      <c r="N281" s="228" t="s">
        <v>328</v>
      </c>
      <c r="O281" s="229" t="s">
        <v>16</v>
      </c>
      <c r="P281" s="229" t="s">
        <v>16</v>
      </c>
      <c r="Q281" s="229" t="s">
        <v>16</v>
      </c>
      <c r="R281" s="229" t="s">
        <v>16</v>
      </c>
      <c r="S281" s="229" t="s">
        <v>16</v>
      </c>
      <c r="T281" s="229" t="s">
        <v>375</v>
      </c>
      <c r="U281" s="229" t="s">
        <v>331</v>
      </c>
      <c r="V281" s="229" t="s">
        <v>328</v>
      </c>
      <c r="W281" s="230" t="s">
        <v>328</v>
      </c>
      <c r="X281" s="230" t="s">
        <v>328</v>
      </c>
      <c r="Y281" s="231" t="s">
        <v>328</v>
      </c>
    </row>
    <row r="282" spans="1:25">
      <c r="A282" s="223">
        <v>7</v>
      </c>
      <c r="B282" s="224" t="str">
        <f>VLOOKUP(Tabel10[[#This Row],[Locatiecode]],Ruimtegroepen[[#All],[Code]:[Ruimte omschrijving]],2,FALSE)</f>
        <v>Entree</v>
      </c>
      <c r="C282" s="225" t="s">
        <v>630</v>
      </c>
      <c r="D282" s="224" t="s">
        <v>0</v>
      </c>
      <c r="E282" s="226" t="s">
        <v>123</v>
      </c>
      <c r="F282" s="225" t="s">
        <v>634</v>
      </c>
      <c r="G282" s="228" t="s">
        <v>328</v>
      </c>
      <c r="H282" s="228" t="s">
        <v>328</v>
      </c>
      <c r="I282" s="228" t="s">
        <v>16</v>
      </c>
      <c r="J282" s="228" t="s">
        <v>328</v>
      </c>
      <c r="K282" s="228" t="s">
        <v>16</v>
      </c>
      <c r="L282" s="228" t="s">
        <v>328</v>
      </c>
      <c r="M282" s="228" t="s">
        <v>328</v>
      </c>
      <c r="N282" s="228" t="s">
        <v>328</v>
      </c>
      <c r="O282" s="229" t="s">
        <v>16</v>
      </c>
      <c r="P282" s="229" t="s">
        <v>16</v>
      </c>
      <c r="Q282" s="229" t="s">
        <v>16</v>
      </c>
      <c r="R282" s="229" t="s">
        <v>16</v>
      </c>
      <c r="S282" s="229" t="s">
        <v>16</v>
      </c>
      <c r="T282" s="229" t="s">
        <v>375</v>
      </c>
      <c r="U282" s="229" t="s">
        <v>331</v>
      </c>
      <c r="V282" s="229" t="s">
        <v>328</v>
      </c>
      <c r="W282" s="230" t="s">
        <v>328</v>
      </c>
      <c r="X282" s="230" t="s">
        <v>328</v>
      </c>
      <c r="Y282" s="231" t="s">
        <v>328</v>
      </c>
    </row>
    <row r="283" spans="1:25">
      <c r="A283" s="223">
        <v>7</v>
      </c>
      <c r="B283" s="224" t="str">
        <f>VLOOKUP(Tabel10[[#This Row],[Locatiecode]],Ruimtegroepen[[#All],[Code]:[Ruimte omschrijving]],2,FALSE)</f>
        <v>Entree</v>
      </c>
      <c r="C283" s="225" t="s">
        <v>635</v>
      </c>
      <c r="D283" s="224" t="s">
        <v>30</v>
      </c>
      <c r="E283" s="226" t="s">
        <v>121</v>
      </c>
      <c r="F283" s="225" t="s">
        <v>636</v>
      </c>
      <c r="G283" s="228" t="s">
        <v>328</v>
      </c>
      <c r="H283" s="228" t="s">
        <v>328</v>
      </c>
      <c r="I283" s="228" t="s">
        <v>15</v>
      </c>
      <c r="J283" s="228" t="s">
        <v>328</v>
      </c>
      <c r="K283" s="228" t="s">
        <v>15</v>
      </c>
      <c r="L283" s="228" t="s">
        <v>328</v>
      </c>
      <c r="M283" s="228" t="s">
        <v>328</v>
      </c>
      <c r="N283" s="228" t="s">
        <v>328</v>
      </c>
      <c r="O283" s="229" t="s">
        <v>15</v>
      </c>
      <c r="P283" s="229" t="s">
        <v>15</v>
      </c>
      <c r="Q283" s="229" t="s">
        <v>15</v>
      </c>
      <c r="R283" s="229" t="s">
        <v>15</v>
      </c>
      <c r="S283" s="229" t="s">
        <v>15</v>
      </c>
      <c r="T283" s="229" t="s">
        <v>375</v>
      </c>
      <c r="U283" s="229" t="s">
        <v>331</v>
      </c>
      <c r="V283" s="229" t="s">
        <v>328</v>
      </c>
      <c r="W283" s="230" t="s">
        <v>328</v>
      </c>
      <c r="X283" s="230" t="s">
        <v>328</v>
      </c>
      <c r="Y283" s="231" t="s">
        <v>328</v>
      </c>
    </row>
    <row r="284" spans="1:25">
      <c r="A284" s="223">
        <v>7</v>
      </c>
      <c r="B284" s="224" t="str">
        <f>VLOOKUP(Tabel10[[#This Row],[Locatiecode]],Ruimtegroepen[[#All],[Code]:[Ruimte omschrijving]],2,FALSE)</f>
        <v>Entree</v>
      </c>
      <c r="C284" s="225" t="s">
        <v>635</v>
      </c>
      <c r="D284" s="224" t="s">
        <v>30</v>
      </c>
      <c r="E284" s="226" t="s">
        <v>120</v>
      </c>
      <c r="F284" s="225" t="s">
        <v>637</v>
      </c>
      <c r="G284" s="228" t="s">
        <v>328</v>
      </c>
      <c r="H284" s="228" t="s">
        <v>15</v>
      </c>
      <c r="I284" s="228" t="s">
        <v>328</v>
      </c>
      <c r="J284" s="228" t="s">
        <v>328</v>
      </c>
      <c r="K284" s="228" t="s">
        <v>328</v>
      </c>
      <c r="L284" s="228" t="s">
        <v>328</v>
      </c>
      <c r="M284" s="228" t="s">
        <v>328</v>
      </c>
      <c r="N284" s="228" t="s">
        <v>328</v>
      </c>
      <c r="O284" s="229" t="s">
        <v>15</v>
      </c>
      <c r="P284" s="229" t="s">
        <v>15</v>
      </c>
      <c r="Q284" s="229" t="s">
        <v>15</v>
      </c>
      <c r="R284" s="229" t="s">
        <v>15</v>
      </c>
      <c r="S284" s="229" t="s">
        <v>15</v>
      </c>
      <c r="T284" s="229" t="s">
        <v>375</v>
      </c>
      <c r="U284" s="229" t="s">
        <v>331</v>
      </c>
      <c r="V284" s="229" t="s">
        <v>328</v>
      </c>
      <c r="W284" s="230" t="s">
        <v>328</v>
      </c>
      <c r="X284" s="230" t="s">
        <v>328</v>
      </c>
      <c r="Y284" s="231" t="s">
        <v>328</v>
      </c>
    </row>
    <row r="285" spans="1:25">
      <c r="A285" s="223">
        <v>7</v>
      </c>
      <c r="B285" s="224" t="str">
        <f>VLOOKUP(Tabel10[[#This Row],[Locatiecode]],Ruimtegroepen[[#All],[Code]:[Ruimte omschrijving]],2,FALSE)</f>
        <v>Entree</v>
      </c>
      <c r="C285" s="225" t="s">
        <v>635</v>
      </c>
      <c r="D285" s="224" t="s">
        <v>30</v>
      </c>
      <c r="E285" s="226" t="s">
        <v>122</v>
      </c>
      <c r="F285" s="225" t="s">
        <v>638</v>
      </c>
      <c r="G285" s="228" t="s">
        <v>328</v>
      </c>
      <c r="H285" s="228" t="s">
        <v>328</v>
      </c>
      <c r="I285" s="228" t="s">
        <v>15</v>
      </c>
      <c r="J285" s="228" t="s">
        <v>328</v>
      </c>
      <c r="K285" s="228" t="s">
        <v>15</v>
      </c>
      <c r="L285" s="228" t="s">
        <v>328</v>
      </c>
      <c r="M285" s="228" t="s">
        <v>328</v>
      </c>
      <c r="N285" s="228" t="s">
        <v>328</v>
      </c>
      <c r="O285" s="229" t="s">
        <v>15</v>
      </c>
      <c r="P285" s="229" t="s">
        <v>15</v>
      </c>
      <c r="Q285" s="229" t="s">
        <v>15</v>
      </c>
      <c r="R285" s="229" t="s">
        <v>15</v>
      </c>
      <c r="S285" s="229" t="s">
        <v>15</v>
      </c>
      <c r="T285" s="229" t="s">
        <v>375</v>
      </c>
      <c r="U285" s="229" t="s">
        <v>331</v>
      </c>
      <c r="V285" s="229" t="s">
        <v>328</v>
      </c>
      <c r="W285" s="230" t="s">
        <v>328</v>
      </c>
      <c r="X285" s="230" t="s">
        <v>328</v>
      </c>
      <c r="Y285" s="231" t="s">
        <v>328</v>
      </c>
    </row>
    <row r="286" spans="1:25">
      <c r="A286" s="223">
        <v>7</v>
      </c>
      <c r="B286" s="224" t="str">
        <f>VLOOKUP(Tabel10[[#This Row],[Locatiecode]],Ruimtegroepen[[#All],[Code]:[Ruimte omschrijving]],2,FALSE)</f>
        <v>Entree</v>
      </c>
      <c r="C286" s="225" t="s">
        <v>635</v>
      </c>
      <c r="D286" s="224" t="s">
        <v>30</v>
      </c>
      <c r="E286" s="226" t="s">
        <v>123</v>
      </c>
      <c r="F286" s="225" t="s">
        <v>639</v>
      </c>
      <c r="G286" s="228" t="s">
        <v>328</v>
      </c>
      <c r="H286" s="228" t="s">
        <v>328</v>
      </c>
      <c r="I286" s="228" t="s">
        <v>15</v>
      </c>
      <c r="J286" s="228" t="s">
        <v>328</v>
      </c>
      <c r="K286" s="228" t="s">
        <v>15</v>
      </c>
      <c r="L286" s="228" t="s">
        <v>328</v>
      </c>
      <c r="M286" s="228" t="s">
        <v>328</v>
      </c>
      <c r="N286" s="228" t="s">
        <v>328</v>
      </c>
      <c r="O286" s="229" t="s">
        <v>15</v>
      </c>
      <c r="P286" s="229" t="s">
        <v>15</v>
      </c>
      <c r="Q286" s="229" t="s">
        <v>15</v>
      </c>
      <c r="R286" s="229" t="s">
        <v>15</v>
      </c>
      <c r="S286" s="229" t="s">
        <v>15</v>
      </c>
      <c r="T286" s="229" t="s">
        <v>375</v>
      </c>
      <c r="U286" s="229" t="s">
        <v>331</v>
      </c>
      <c r="V286" s="229" t="s">
        <v>328</v>
      </c>
      <c r="W286" s="230" t="s">
        <v>328</v>
      </c>
      <c r="X286" s="230" t="s">
        <v>328</v>
      </c>
      <c r="Y286" s="231" t="s">
        <v>328</v>
      </c>
    </row>
    <row r="287" spans="1:25">
      <c r="A287" s="223">
        <v>7</v>
      </c>
      <c r="B287" s="224" t="str">
        <f>VLOOKUP(Tabel10[[#This Row],[Locatiecode]],Ruimtegroepen[[#All],[Code]:[Ruimte omschrijving]],2,FALSE)</f>
        <v>Entree</v>
      </c>
      <c r="C287" s="225" t="s">
        <v>640</v>
      </c>
      <c r="D287" s="224" t="s">
        <v>31</v>
      </c>
      <c r="E287" s="226" t="s">
        <v>121</v>
      </c>
      <c r="F287" s="225" t="s">
        <v>641</v>
      </c>
      <c r="G287" s="228" t="s">
        <v>328</v>
      </c>
      <c r="H287" s="228" t="s">
        <v>328</v>
      </c>
      <c r="I287" s="228" t="s">
        <v>17</v>
      </c>
      <c r="J287" s="227" t="s">
        <v>328</v>
      </c>
      <c r="K287" s="227" t="s">
        <v>17</v>
      </c>
      <c r="L287" s="228" t="s">
        <v>328</v>
      </c>
      <c r="M287" s="228" t="s">
        <v>328</v>
      </c>
      <c r="N287" s="228" t="s">
        <v>328</v>
      </c>
      <c r="O287" s="229" t="s">
        <v>17</v>
      </c>
      <c r="P287" s="229" t="s">
        <v>17</v>
      </c>
      <c r="Q287" s="229" t="s">
        <v>15</v>
      </c>
      <c r="R287" s="229" t="s">
        <v>15</v>
      </c>
      <c r="S287" s="229" t="s">
        <v>328</v>
      </c>
      <c r="T287" s="229" t="s">
        <v>328</v>
      </c>
      <c r="U287" s="229" t="s">
        <v>328</v>
      </c>
      <c r="V287" s="229" t="s">
        <v>328</v>
      </c>
      <c r="W287" s="230" t="s">
        <v>328</v>
      </c>
      <c r="X287" s="230" t="s">
        <v>328</v>
      </c>
      <c r="Y287" s="231" t="s">
        <v>328</v>
      </c>
    </row>
    <row r="288" spans="1:25">
      <c r="A288" s="223">
        <v>7</v>
      </c>
      <c r="B288" s="224" t="str">
        <f>VLOOKUP(Tabel10[[#This Row],[Locatiecode]],Ruimtegroepen[[#All],[Code]:[Ruimte omschrijving]],2,FALSE)</f>
        <v>Entree</v>
      </c>
      <c r="C288" s="225" t="s">
        <v>640</v>
      </c>
      <c r="D288" s="224" t="s">
        <v>31</v>
      </c>
      <c r="E288" s="226" t="s">
        <v>120</v>
      </c>
      <c r="F288" s="225" t="s">
        <v>642</v>
      </c>
      <c r="G288" s="228" t="s">
        <v>328</v>
      </c>
      <c r="H288" s="228" t="s">
        <v>17</v>
      </c>
      <c r="I288" s="228" t="s">
        <v>328</v>
      </c>
      <c r="J288" s="228" t="s">
        <v>328</v>
      </c>
      <c r="K288" s="228" t="s">
        <v>328</v>
      </c>
      <c r="L288" s="228" t="s">
        <v>328</v>
      </c>
      <c r="M288" s="228" t="s">
        <v>328</v>
      </c>
      <c r="N288" s="228" t="s">
        <v>328</v>
      </c>
      <c r="O288" s="229" t="s">
        <v>17</v>
      </c>
      <c r="P288" s="229" t="s">
        <v>17</v>
      </c>
      <c r="Q288" s="229" t="s">
        <v>15</v>
      </c>
      <c r="R288" s="229" t="s">
        <v>15</v>
      </c>
      <c r="S288" s="229" t="s">
        <v>328</v>
      </c>
      <c r="T288" s="229" t="s">
        <v>328</v>
      </c>
      <c r="U288" s="229" t="s">
        <v>328</v>
      </c>
      <c r="V288" s="229" t="s">
        <v>328</v>
      </c>
      <c r="W288" s="230" t="s">
        <v>328</v>
      </c>
      <c r="X288" s="230" t="s">
        <v>328</v>
      </c>
      <c r="Y288" s="231" t="s">
        <v>328</v>
      </c>
    </row>
    <row r="289" spans="1:25">
      <c r="A289" s="223">
        <v>7</v>
      </c>
      <c r="B289" s="224" t="str">
        <f>VLOOKUP(Tabel10[[#This Row],[Locatiecode]],Ruimtegroepen[[#All],[Code]:[Ruimte omschrijving]],2,FALSE)</f>
        <v>Entree</v>
      </c>
      <c r="C289" s="225" t="s">
        <v>640</v>
      </c>
      <c r="D289" s="224" t="s">
        <v>31</v>
      </c>
      <c r="E289" s="226" t="s">
        <v>122</v>
      </c>
      <c r="F289" s="225" t="s">
        <v>643</v>
      </c>
      <c r="G289" s="228" t="s">
        <v>328</v>
      </c>
      <c r="H289" s="228" t="s">
        <v>328</v>
      </c>
      <c r="I289" s="228" t="s">
        <v>17</v>
      </c>
      <c r="J289" s="227" t="s">
        <v>328</v>
      </c>
      <c r="K289" s="227" t="s">
        <v>17</v>
      </c>
      <c r="L289" s="228" t="s">
        <v>328</v>
      </c>
      <c r="M289" s="228" t="s">
        <v>328</v>
      </c>
      <c r="N289" s="228" t="s">
        <v>328</v>
      </c>
      <c r="O289" s="229" t="s">
        <v>17</v>
      </c>
      <c r="P289" s="229" t="s">
        <v>17</v>
      </c>
      <c r="Q289" s="229" t="s">
        <v>15</v>
      </c>
      <c r="R289" s="229" t="s">
        <v>15</v>
      </c>
      <c r="S289" s="229" t="s">
        <v>328</v>
      </c>
      <c r="T289" s="229" t="s">
        <v>328</v>
      </c>
      <c r="U289" s="229" t="s">
        <v>328</v>
      </c>
      <c r="V289" s="229" t="s">
        <v>328</v>
      </c>
      <c r="W289" s="230" t="s">
        <v>328</v>
      </c>
      <c r="X289" s="230" t="s">
        <v>328</v>
      </c>
      <c r="Y289" s="231" t="s">
        <v>328</v>
      </c>
    </row>
    <row r="290" spans="1:25">
      <c r="A290" s="223">
        <v>7</v>
      </c>
      <c r="B290" s="224" t="str">
        <f>VLOOKUP(Tabel10[[#This Row],[Locatiecode]],Ruimtegroepen[[#All],[Code]:[Ruimte omschrijving]],2,FALSE)</f>
        <v>Entree</v>
      </c>
      <c r="C290" s="225" t="s">
        <v>640</v>
      </c>
      <c r="D290" s="224" t="s">
        <v>31</v>
      </c>
      <c r="E290" s="226" t="s">
        <v>123</v>
      </c>
      <c r="F290" s="225" t="s">
        <v>644</v>
      </c>
      <c r="G290" s="228" t="s">
        <v>328</v>
      </c>
      <c r="H290" s="228" t="s">
        <v>328</v>
      </c>
      <c r="I290" s="228" t="s">
        <v>17</v>
      </c>
      <c r="J290" s="227" t="s">
        <v>328</v>
      </c>
      <c r="K290" s="227" t="s">
        <v>17</v>
      </c>
      <c r="L290" s="228" t="s">
        <v>328</v>
      </c>
      <c r="M290" s="228" t="s">
        <v>328</v>
      </c>
      <c r="N290" s="228" t="s">
        <v>328</v>
      </c>
      <c r="O290" s="229" t="s">
        <v>17</v>
      </c>
      <c r="P290" s="229" t="s">
        <v>17</v>
      </c>
      <c r="Q290" s="229" t="s">
        <v>15</v>
      </c>
      <c r="R290" s="229" t="s">
        <v>15</v>
      </c>
      <c r="S290" s="229" t="s">
        <v>328</v>
      </c>
      <c r="T290" s="229" t="s">
        <v>328</v>
      </c>
      <c r="U290" s="229" t="s">
        <v>328</v>
      </c>
      <c r="V290" s="229" t="s">
        <v>328</v>
      </c>
      <c r="W290" s="230" t="s">
        <v>328</v>
      </c>
      <c r="X290" s="230" t="s">
        <v>328</v>
      </c>
      <c r="Y290" s="231" t="s">
        <v>328</v>
      </c>
    </row>
    <row r="291" spans="1:25">
      <c r="A291" s="223">
        <v>8</v>
      </c>
      <c r="B291" s="224" t="str">
        <f>VLOOKUP(Tabel10[[#This Row],[Locatiecode]],Ruimtegroepen[[#All],[Code]:[Ruimte omschrijving]],2,FALSE)</f>
        <v>Toneel</v>
      </c>
      <c r="C291" s="225" t="s">
        <v>645</v>
      </c>
      <c r="D291" s="224" t="s">
        <v>32</v>
      </c>
      <c r="E291" s="226" t="s">
        <v>121</v>
      </c>
      <c r="F291" s="225" t="s">
        <v>646</v>
      </c>
      <c r="G291" s="228" t="s">
        <v>328</v>
      </c>
      <c r="H291" s="228" t="s">
        <v>328</v>
      </c>
      <c r="I291" s="228" t="s">
        <v>2</v>
      </c>
      <c r="J291" s="228" t="s">
        <v>15</v>
      </c>
      <c r="K291" s="228" t="s">
        <v>16</v>
      </c>
      <c r="L291" s="228" t="s">
        <v>328</v>
      </c>
      <c r="M291" s="228" t="s">
        <v>328</v>
      </c>
      <c r="N291" s="228" t="s">
        <v>2</v>
      </c>
      <c r="O291" s="229" t="s">
        <v>2</v>
      </c>
      <c r="P291" s="229" t="s">
        <v>2</v>
      </c>
      <c r="Q291" s="229" t="s">
        <v>15</v>
      </c>
      <c r="R291" s="229" t="s">
        <v>15</v>
      </c>
      <c r="S291" s="229" t="s">
        <v>16</v>
      </c>
      <c r="T291" s="229" t="s">
        <v>375</v>
      </c>
      <c r="U291" s="229" t="s">
        <v>331</v>
      </c>
      <c r="V291" s="229" t="s">
        <v>2</v>
      </c>
      <c r="W291" s="230" t="s">
        <v>328</v>
      </c>
      <c r="X291" s="230" t="s">
        <v>328</v>
      </c>
      <c r="Y291" s="231" t="s">
        <v>328</v>
      </c>
    </row>
    <row r="292" spans="1:25">
      <c r="A292" s="223">
        <v>8</v>
      </c>
      <c r="B292" s="224" t="str">
        <f>VLOOKUP(Tabel10[[#This Row],[Locatiecode]],Ruimtegroepen[[#All],[Code]:[Ruimte omschrijving]],2,FALSE)</f>
        <v>Toneel</v>
      </c>
      <c r="C292" s="225" t="s">
        <v>645</v>
      </c>
      <c r="D292" s="224" t="s">
        <v>32</v>
      </c>
      <c r="E292" s="226" t="s">
        <v>120</v>
      </c>
      <c r="F292" s="225" t="s">
        <v>647</v>
      </c>
      <c r="G292" s="228" t="s">
        <v>20</v>
      </c>
      <c r="H292" s="228" t="s">
        <v>15</v>
      </c>
      <c r="I292" s="228" t="s">
        <v>328</v>
      </c>
      <c r="J292" s="228" t="s">
        <v>328</v>
      </c>
      <c r="K292" s="228" t="s">
        <v>328</v>
      </c>
      <c r="L292" s="228" t="s">
        <v>328</v>
      </c>
      <c r="M292" s="228" t="s">
        <v>328</v>
      </c>
      <c r="N292" s="228" t="s">
        <v>2</v>
      </c>
      <c r="O292" s="229" t="s">
        <v>2</v>
      </c>
      <c r="P292" s="229" t="s">
        <v>2</v>
      </c>
      <c r="Q292" s="229" t="s">
        <v>15</v>
      </c>
      <c r="R292" s="229" t="s">
        <v>15</v>
      </c>
      <c r="S292" s="229" t="s">
        <v>16</v>
      </c>
      <c r="T292" s="229" t="s">
        <v>375</v>
      </c>
      <c r="U292" s="229" t="s">
        <v>331</v>
      </c>
      <c r="V292" s="229" t="s">
        <v>2</v>
      </c>
      <c r="W292" s="230" t="s">
        <v>328</v>
      </c>
      <c r="X292" s="230" t="s">
        <v>328</v>
      </c>
      <c r="Y292" s="231" t="s">
        <v>328</v>
      </c>
    </row>
    <row r="293" spans="1:25">
      <c r="A293" s="223">
        <v>8</v>
      </c>
      <c r="B293" s="224" t="str">
        <f>VLOOKUP(Tabel10[[#This Row],[Locatiecode]],Ruimtegroepen[[#All],[Code]:[Ruimte omschrijving]],2,FALSE)</f>
        <v>Toneel</v>
      </c>
      <c r="C293" s="225" t="s">
        <v>645</v>
      </c>
      <c r="D293" s="224" t="s">
        <v>32</v>
      </c>
      <c r="E293" s="226" t="s">
        <v>122</v>
      </c>
      <c r="F293" s="225" t="s">
        <v>648</v>
      </c>
      <c r="G293" s="228" t="s">
        <v>328</v>
      </c>
      <c r="H293" s="228" t="s">
        <v>328</v>
      </c>
      <c r="I293" s="228" t="s">
        <v>2</v>
      </c>
      <c r="J293" s="228" t="s">
        <v>15</v>
      </c>
      <c r="K293" s="228" t="s">
        <v>16</v>
      </c>
      <c r="L293" s="228" t="s">
        <v>328</v>
      </c>
      <c r="M293" s="228" t="s">
        <v>328</v>
      </c>
      <c r="N293" s="228" t="s">
        <v>2</v>
      </c>
      <c r="O293" s="229" t="s">
        <v>2</v>
      </c>
      <c r="P293" s="229" t="s">
        <v>2</v>
      </c>
      <c r="Q293" s="229" t="s">
        <v>15</v>
      </c>
      <c r="R293" s="229" t="s">
        <v>15</v>
      </c>
      <c r="S293" s="229" t="s">
        <v>16</v>
      </c>
      <c r="T293" s="229" t="s">
        <v>375</v>
      </c>
      <c r="U293" s="229" t="s">
        <v>331</v>
      </c>
      <c r="V293" s="229" t="s">
        <v>2</v>
      </c>
      <c r="W293" s="230" t="s">
        <v>328</v>
      </c>
      <c r="X293" s="230" t="s">
        <v>328</v>
      </c>
      <c r="Y293" s="231" t="s">
        <v>328</v>
      </c>
    </row>
    <row r="294" spans="1:25">
      <c r="A294" s="223">
        <v>8</v>
      </c>
      <c r="B294" s="224" t="str">
        <f>VLOOKUP(Tabel10[[#This Row],[Locatiecode]],Ruimtegroepen[[#All],[Code]:[Ruimte omschrijving]],2,FALSE)</f>
        <v>Toneel</v>
      </c>
      <c r="C294" s="225" t="s">
        <v>645</v>
      </c>
      <c r="D294" s="224" t="s">
        <v>32</v>
      </c>
      <c r="E294" s="226" t="s">
        <v>123</v>
      </c>
      <c r="F294" s="225" t="s">
        <v>649</v>
      </c>
      <c r="G294" s="228" t="s">
        <v>328</v>
      </c>
      <c r="H294" s="228" t="s">
        <v>328</v>
      </c>
      <c r="I294" s="228" t="s">
        <v>2</v>
      </c>
      <c r="J294" s="228" t="s">
        <v>15</v>
      </c>
      <c r="K294" s="228" t="s">
        <v>16</v>
      </c>
      <c r="L294" s="228" t="s">
        <v>328</v>
      </c>
      <c r="M294" s="228" t="s">
        <v>328</v>
      </c>
      <c r="N294" s="228" t="s">
        <v>2</v>
      </c>
      <c r="O294" s="229" t="s">
        <v>2</v>
      </c>
      <c r="P294" s="229" t="s">
        <v>2</v>
      </c>
      <c r="Q294" s="229" t="s">
        <v>15</v>
      </c>
      <c r="R294" s="229" t="s">
        <v>15</v>
      </c>
      <c r="S294" s="229" t="s">
        <v>16</v>
      </c>
      <c r="T294" s="229" t="s">
        <v>375</v>
      </c>
      <c r="U294" s="229" t="s">
        <v>331</v>
      </c>
      <c r="V294" s="229" t="s">
        <v>2</v>
      </c>
      <c r="W294" s="230" t="s">
        <v>328</v>
      </c>
      <c r="X294" s="230" t="s">
        <v>328</v>
      </c>
      <c r="Y294" s="231" t="s">
        <v>328</v>
      </c>
    </row>
    <row r="295" spans="1:25">
      <c r="A295" s="223">
        <v>8</v>
      </c>
      <c r="B295" s="224" t="str">
        <f>VLOOKUP(Tabel10[[#This Row],[Locatiecode]],Ruimtegroepen[[#All],[Code]:[Ruimte omschrijving]],2,FALSE)</f>
        <v>Toneel</v>
      </c>
      <c r="C295" s="225" t="s">
        <v>650</v>
      </c>
      <c r="D295" s="224" t="s">
        <v>1</v>
      </c>
      <c r="E295" s="226" t="s">
        <v>121</v>
      </c>
      <c r="F295" s="225" t="s">
        <v>651</v>
      </c>
      <c r="G295" s="228" t="s">
        <v>328</v>
      </c>
      <c r="H295" s="228" t="s">
        <v>328</v>
      </c>
      <c r="I295" s="228" t="s">
        <v>2</v>
      </c>
      <c r="J295" s="228" t="s">
        <v>15</v>
      </c>
      <c r="K295" s="228" t="s">
        <v>328</v>
      </c>
      <c r="L295" s="228" t="s">
        <v>328</v>
      </c>
      <c r="M295" s="228" t="s">
        <v>328</v>
      </c>
      <c r="N295" s="228" t="s">
        <v>328</v>
      </c>
      <c r="O295" s="229" t="s">
        <v>2</v>
      </c>
      <c r="P295" s="229" t="s">
        <v>2</v>
      </c>
      <c r="Q295" s="229" t="s">
        <v>15</v>
      </c>
      <c r="R295" s="229" t="s">
        <v>15</v>
      </c>
      <c r="S295" s="229" t="s">
        <v>16</v>
      </c>
      <c r="T295" s="229" t="s">
        <v>375</v>
      </c>
      <c r="U295" s="229" t="s">
        <v>331</v>
      </c>
      <c r="V295" s="229" t="s">
        <v>328</v>
      </c>
      <c r="W295" s="230" t="s">
        <v>328</v>
      </c>
      <c r="X295" s="230" t="s">
        <v>328</v>
      </c>
      <c r="Y295" s="231" t="s">
        <v>328</v>
      </c>
    </row>
    <row r="296" spans="1:25">
      <c r="A296" s="223">
        <v>8</v>
      </c>
      <c r="B296" s="224" t="str">
        <f>VLOOKUP(Tabel10[[#This Row],[Locatiecode]],Ruimtegroepen[[#All],[Code]:[Ruimte omschrijving]],2,FALSE)</f>
        <v>Toneel</v>
      </c>
      <c r="C296" s="225" t="s">
        <v>650</v>
      </c>
      <c r="D296" s="224" t="s">
        <v>1</v>
      </c>
      <c r="E296" s="226" t="s">
        <v>120</v>
      </c>
      <c r="F296" s="225" t="s">
        <v>652</v>
      </c>
      <c r="G296" s="228" t="s">
        <v>20</v>
      </c>
      <c r="H296" s="228" t="s">
        <v>15</v>
      </c>
      <c r="I296" s="228" t="s">
        <v>328</v>
      </c>
      <c r="J296" s="228" t="s">
        <v>328</v>
      </c>
      <c r="K296" s="228" t="s">
        <v>328</v>
      </c>
      <c r="L296" s="228" t="s">
        <v>328</v>
      </c>
      <c r="M296" s="228" t="s">
        <v>328</v>
      </c>
      <c r="N296" s="228" t="s">
        <v>328</v>
      </c>
      <c r="O296" s="229" t="s">
        <v>2</v>
      </c>
      <c r="P296" s="229" t="s">
        <v>2</v>
      </c>
      <c r="Q296" s="229" t="s">
        <v>15</v>
      </c>
      <c r="R296" s="229" t="s">
        <v>15</v>
      </c>
      <c r="S296" s="229" t="s">
        <v>16</v>
      </c>
      <c r="T296" s="229" t="s">
        <v>375</v>
      </c>
      <c r="U296" s="229" t="s">
        <v>331</v>
      </c>
      <c r="V296" s="229" t="s">
        <v>328</v>
      </c>
      <c r="W296" s="230" t="s">
        <v>328</v>
      </c>
      <c r="X296" s="230" t="s">
        <v>328</v>
      </c>
      <c r="Y296" s="231" t="s">
        <v>328</v>
      </c>
    </row>
    <row r="297" spans="1:25">
      <c r="A297" s="223">
        <v>8</v>
      </c>
      <c r="B297" s="224" t="str">
        <f>VLOOKUP(Tabel10[[#This Row],[Locatiecode]],Ruimtegroepen[[#All],[Code]:[Ruimte omschrijving]],2,FALSE)</f>
        <v>Toneel</v>
      </c>
      <c r="C297" s="225" t="s">
        <v>650</v>
      </c>
      <c r="D297" s="224" t="s">
        <v>1</v>
      </c>
      <c r="E297" s="226" t="s">
        <v>122</v>
      </c>
      <c r="F297" s="225" t="s">
        <v>653</v>
      </c>
      <c r="G297" s="228" t="s">
        <v>328</v>
      </c>
      <c r="H297" s="228" t="s">
        <v>328</v>
      </c>
      <c r="I297" s="228" t="s">
        <v>2</v>
      </c>
      <c r="J297" s="228" t="s">
        <v>15</v>
      </c>
      <c r="K297" s="228" t="s">
        <v>16</v>
      </c>
      <c r="L297" s="228" t="s">
        <v>328</v>
      </c>
      <c r="M297" s="228" t="s">
        <v>328</v>
      </c>
      <c r="N297" s="228" t="s">
        <v>328</v>
      </c>
      <c r="O297" s="229" t="s">
        <v>2</v>
      </c>
      <c r="P297" s="229" t="s">
        <v>2</v>
      </c>
      <c r="Q297" s="229" t="s">
        <v>15</v>
      </c>
      <c r="R297" s="229" t="s">
        <v>15</v>
      </c>
      <c r="S297" s="229" t="s">
        <v>16</v>
      </c>
      <c r="T297" s="229" t="s">
        <v>375</v>
      </c>
      <c r="U297" s="229" t="s">
        <v>331</v>
      </c>
      <c r="V297" s="229" t="s">
        <v>328</v>
      </c>
      <c r="W297" s="230" t="s">
        <v>328</v>
      </c>
      <c r="X297" s="230" t="s">
        <v>328</v>
      </c>
      <c r="Y297" s="231" t="s">
        <v>328</v>
      </c>
    </row>
    <row r="298" spans="1:25">
      <c r="A298" s="223">
        <v>8</v>
      </c>
      <c r="B298" s="224" t="str">
        <f>VLOOKUP(Tabel10[[#This Row],[Locatiecode]],Ruimtegroepen[[#All],[Code]:[Ruimte omschrijving]],2,FALSE)</f>
        <v>Toneel</v>
      </c>
      <c r="C298" s="225" t="s">
        <v>650</v>
      </c>
      <c r="D298" s="224" t="s">
        <v>1</v>
      </c>
      <c r="E298" s="226" t="s">
        <v>123</v>
      </c>
      <c r="F298" s="225" t="s">
        <v>654</v>
      </c>
      <c r="G298" s="228" t="s">
        <v>328</v>
      </c>
      <c r="H298" s="228" t="s">
        <v>328</v>
      </c>
      <c r="I298" s="228" t="s">
        <v>2</v>
      </c>
      <c r="J298" s="228" t="s">
        <v>15</v>
      </c>
      <c r="K298" s="228" t="s">
        <v>16</v>
      </c>
      <c r="L298" s="228" t="s">
        <v>328</v>
      </c>
      <c r="M298" s="228" t="s">
        <v>328</v>
      </c>
      <c r="N298" s="228" t="s">
        <v>328</v>
      </c>
      <c r="O298" s="229" t="s">
        <v>2</v>
      </c>
      <c r="P298" s="229" t="s">
        <v>2</v>
      </c>
      <c r="Q298" s="229" t="s">
        <v>15</v>
      </c>
      <c r="R298" s="229" t="s">
        <v>15</v>
      </c>
      <c r="S298" s="229" t="s">
        <v>16</v>
      </c>
      <c r="T298" s="229" t="s">
        <v>375</v>
      </c>
      <c r="U298" s="229" t="s">
        <v>331</v>
      </c>
      <c r="V298" s="229" t="s">
        <v>328</v>
      </c>
      <c r="W298" s="230" t="s">
        <v>328</v>
      </c>
      <c r="X298" s="230" t="s">
        <v>328</v>
      </c>
      <c r="Y298" s="231" t="s">
        <v>328</v>
      </c>
    </row>
    <row r="299" spans="1:25">
      <c r="A299" s="223">
        <v>8</v>
      </c>
      <c r="B299" s="224" t="str">
        <f>VLOOKUP(Tabel10[[#This Row],[Locatiecode]],Ruimtegroepen[[#All],[Code]:[Ruimte omschrijving]],2,FALSE)</f>
        <v>Toneel</v>
      </c>
      <c r="C299" s="225" t="s">
        <v>655</v>
      </c>
      <c r="D299" s="224" t="s">
        <v>21</v>
      </c>
      <c r="E299" s="226" t="s">
        <v>121</v>
      </c>
      <c r="F299" s="225" t="s">
        <v>656</v>
      </c>
      <c r="G299" s="228" t="s">
        <v>328</v>
      </c>
      <c r="H299" s="228" t="s">
        <v>328</v>
      </c>
      <c r="I299" s="228" t="s">
        <v>20</v>
      </c>
      <c r="J299" s="228" t="s">
        <v>15</v>
      </c>
      <c r="K299" s="228" t="s">
        <v>328</v>
      </c>
      <c r="L299" s="228" t="s">
        <v>328</v>
      </c>
      <c r="M299" s="228" t="s">
        <v>328</v>
      </c>
      <c r="N299" s="228" t="s">
        <v>328</v>
      </c>
      <c r="O299" s="229" t="s">
        <v>20</v>
      </c>
      <c r="P299" s="229" t="s">
        <v>20</v>
      </c>
      <c r="Q299" s="229" t="s">
        <v>15</v>
      </c>
      <c r="R299" s="229" t="s">
        <v>15</v>
      </c>
      <c r="S299" s="229" t="s">
        <v>16</v>
      </c>
      <c r="T299" s="229" t="s">
        <v>375</v>
      </c>
      <c r="U299" s="229" t="s">
        <v>331</v>
      </c>
      <c r="V299" s="229" t="s">
        <v>328</v>
      </c>
      <c r="W299" s="230" t="s">
        <v>328</v>
      </c>
      <c r="X299" s="230" t="s">
        <v>328</v>
      </c>
      <c r="Y299" s="231" t="s">
        <v>328</v>
      </c>
    </row>
    <row r="300" spans="1:25">
      <c r="A300" s="223">
        <v>8</v>
      </c>
      <c r="B300" s="224" t="str">
        <f>VLOOKUP(Tabel10[[#This Row],[Locatiecode]],Ruimtegroepen[[#All],[Code]:[Ruimte omschrijving]],2,FALSE)</f>
        <v>Toneel</v>
      </c>
      <c r="C300" s="225" t="s">
        <v>655</v>
      </c>
      <c r="D300" s="224" t="s">
        <v>21</v>
      </c>
      <c r="E300" s="226" t="s">
        <v>120</v>
      </c>
      <c r="F300" s="225" t="s">
        <v>657</v>
      </c>
      <c r="G300" s="228" t="s">
        <v>18</v>
      </c>
      <c r="H300" s="228" t="s">
        <v>15</v>
      </c>
      <c r="I300" s="228" t="s">
        <v>328</v>
      </c>
      <c r="J300" s="228" t="s">
        <v>328</v>
      </c>
      <c r="K300" s="228" t="s">
        <v>328</v>
      </c>
      <c r="L300" s="228" t="s">
        <v>328</v>
      </c>
      <c r="M300" s="228" t="s">
        <v>328</v>
      </c>
      <c r="N300" s="228" t="s">
        <v>328</v>
      </c>
      <c r="O300" s="229" t="s">
        <v>20</v>
      </c>
      <c r="P300" s="229" t="s">
        <v>20</v>
      </c>
      <c r="Q300" s="229" t="s">
        <v>15</v>
      </c>
      <c r="R300" s="229" t="s">
        <v>15</v>
      </c>
      <c r="S300" s="229" t="s">
        <v>16</v>
      </c>
      <c r="T300" s="229" t="s">
        <v>375</v>
      </c>
      <c r="U300" s="229" t="s">
        <v>331</v>
      </c>
      <c r="V300" s="229" t="s">
        <v>328</v>
      </c>
      <c r="W300" s="230" t="s">
        <v>328</v>
      </c>
      <c r="X300" s="230" t="s">
        <v>328</v>
      </c>
      <c r="Y300" s="231" t="s">
        <v>328</v>
      </c>
    </row>
    <row r="301" spans="1:25">
      <c r="A301" s="223">
        <v>8</v>
      </c>
      <c r="B301" s="224" t="str">
        <f>VLOOKUP(Tabel10[[#This Row],[Locatiecode]],Ruimtegroepen[[#All],[Code]:[Ruimte omschrijving]],2,FALSE)</f>
        <v>Toneel</v>
      </c>
      <c r="C301" s="225" t="s">
        <v>655</v>
      </c>
      <c r="D301" s="224" t="s">
        <v>21</v>
      </c>
      <c r="E301" s="226" t="s">
        <v>122</v>
      </c>
      <c r="F301" s="225" t="s">
        <v>658</v>
      </c>
      <c r="G301" s="228" t="s">
        <v>328</v>
      </c>
      <c r="H301" s="228" t="s">
        <v>328</v>
      </c>
      <c r="I301" s="228" t="s">
        <v>20</v>
      </c>
      <c r="J301" s="228" t="s">
        <v>15</v>
      </c>
      <c r="K301" s="228" t="s">
        <v>16</v>
      </c>
      <c r="L301" s="228" t="s">
        <v>328</v>
      </c>
      <c r="M301" s="228" t="s">
        <v>328</v>
      </c>
      <c r="N301" s="228" t="s">
        <v>328</v>
      </c>
      <c r="O301" s="229" t="s">
        <v>20</v>
      </c>
      <c r="P301" s="229" t="s">
        <v>20</v>
      </c>
      <c r="Q301" s="229" t="s">
        <v>15</v>
      </c>
      <c r="R301" s="229" t="s">
        <v>15</v>
      </c>
      <c r="S301" s="229" t="s">
        <v>16</v>
      </c>
      <c r="T301" s="229" t="s">
        <v>375</v>
      </c>
      <c r="U301" s="229" t="s">
        <v>331</v>
      </c>
      <c r="V301" s="229" t="s">
        <v>328</v>
      </c>
      <c r="W301" s="230" t="s">
        <v>328</v>
      </c>
      <c r="X301" s="230" t="s">
        <v>328</v>
      </c>
      <c r="Y301" s="231" t="s">
        <v>328</v>
      </c>
    </row>
    <row r="302" spans="1:25">
      <c r="A302" s="223">
        <v>8</v>
      </c>
      <c r="B302" s="224" t="str">
        <f>VLOOKUP(Tabel10[[#This Row],[Locatiecode]],Ruimtegroepen[[#All],[Code]:[Ruimte omschrijving]],2,FALSE)</f>
        <v>Toneel</v>
      </c>
      <c r="C302" s="225" t="s">
        <v>655</v>
      </c>
      <c r="D302" s="224" t="s">
        <v>21</v>
      </c>
      <c r="E302" s="226" t="s">
        <v>123</v>
      </c>
      <c r="F302" s="225" t="s">
        <v>659</v>
      </c>
      <c r="G302" s="228" t="s">
        <v>328</v>
      </c>
      <c r="H302" s="228" t="s">
        <v>328</v>
      </c>
      <c r="I302" s="228" t="s">
        <v>20</v>
      </c>
      <c r="J302" s="228" t="s">
        <v>15</v>
      </c>
      <c r="K302" s="228" t="s">
        <v>16</v>
      </c>
      <c r="L302" s="228" t="s">
        <v>328</v>
      </c>
      <c r="M302" s="228" t="s">
        <v>328</v>
      </c>
      <c r="N302" s="228" t="s">
        <v>328</v>
      </c>
      <c r="O302" s="229" t="s">
        <v>20</v>
      </c>
      <c r="P302" s="229" t="s">
        <v>20</v>
      </c>
      <c r="Q302" s="229" t="s">
        <v>15</v>
      </c>
      <c r="R302" s="229" t="s">
        <v>15</v>
      </c>
      <c r="S302" s="229" t="s">
        <v>16</v>
      </c>
      <c r="T302" s="229" t="s">
        <v>375</v>
      </c>
      <c r="U302" s="229" t="s">
        <v>331</v>
      </c>
      <c r="V302" s="229" t="s">
        <v>328</v>
      </c>
      <c r="W302" s="230" t="s">
        <v>328</v>
      </c>
      <c r="X302" s="230" t="s">
        <v>328</v>
      </c>
      <c r="Y302" s="231" t="s">
        <v>328</v>
      </c>
    </row>
    <row r="303" spans="1:25">
      <c r="A303" s="223">
        <v>8</v>
      </c>
      <c r="B303" s="224" t="str">
        <f>VLOOKUP(Tabel10[[#This Row],[Locatiecode]],Ruimtegroepen[[#All],[Code]:[Ruimte omschrijving]],2,FALSE)</f>
        <v>Toneel</v>
      </c>
      <c r="C303" s="225" t="s">
        <v>660</v>
      </c>
      <c r="D303" s="224" t="s">
        <v>12</v>
      </c>
      <c r="E303" s="226" t="s">
        <v>121</v>
      </c>
      <c r="F303" s="225" t="s">
        <v>661</v>
      </c>
      <c r="G303" s="228" t="s">
        <v>328</v>
      </c>
      <c r="H303" s="228" t="s">
        <v>328</v>
      </c>
      <c r="I303" s="228" t="s">
        <v>18</v>
      </c>
      <c r="J303" s="228" t="s">
        <v>15</v>
      </c>
      <c r="K303" s="228" t="s">
        <v>328</v>
      </c>
      <c r="L303" s="228" t="s">
        <v>328</v>
      </c>
      <c r="M303" s="228" t="s">
        <v>328</v>
      </c>
      <c r="N303" s="228" t="s">
        <v>328</v>
      </c>
      <c r="O303" s="229" t="s">
        <v>18</v>
      </c>
      <c r="P303" s="229" t="s">
        <v>18</v>
      </c>
      <c r="Q303" s="229" t="s">
        <v>15</v>
      </c>
      <c r="R303" s="229" t="s">
        <v>15</v>
      </c>
      <c r="S303" s="229" t="s">
        <v>16</v>
      </c>
      <c r="T303" s="229" t="s">
        <v>375</v>
      </c>
      <c r="U303" s="229" t="s">
        <v>331</v>
      </c>
      <c r="V303" s="229" t="s">
        <v>328</v>
      </c>
      <c r="W303" s="230" t="s">
        <v>328</v>
      </c>
      <c r="X303" s="230" t="s">
        <v>328</v>
      </c>
      <c r="Y303" s="231" t="s">
        <v>328</v>
      </c>
    </row>
    <row r="304" spans="1:25">
      <c r="A304" s="223">
        <v>8</v>
      </c>
      <c r="B304" s="224" t="str">
        <f>VLOOKUP(Tabel10[[#This Row],[Locatiecode]],Ruimtegroepen[[#All],[Code]:[Ruimte omschrijving]],2,FALSE)</f>
        <v>Toneel</v>
      </c>
      <c r="C304" s="225" t="s">
        <v>660</v>
      </c>
      <c r="D304" s="224" t="s">
        <v>12</v>
      </c>
      <c r="E304" s="226" t="s">
        <v>120</v>
      </c>
      <c r="F304" s="225" t="s">
        <v>662</v>
      </c>
      <c r="G304" s="228" t="s">
        <v>17</v>
      </c>
      <c r="H304" s="228" t="s">
        <v>15</v>
      </c>
      <c r="I304" s="228" t="s">
        <v>328</v>
      </c>
      <c r="J304" s="228" t="s">
        <v>328</v>
      </c>
      <c r="K304" s="228" t="s">
        <v>328</v>
      </c>
      <c r="L304" s="228" t="s">
        <v>328</v>
      </c>
      <c r="M304" s="228" t="s">
        <v>328</v>
      </c>
      <c r="N304" s="228" t="s">
        <v>328</v>
      </c>
      <c r="O304" s="229" t="s">
        <v>18</v>
      </c>
      <c r="P304" s="229" t="s">
        <v>18</v>
      </c>
      <c r="Q304" s="229" t="s">
        <v>15</v>
      </c>
      <c r="R304" s="229" t="s">
        <v>15</v>
      </c>
      <c r="S304" s="229" t="s">
        <v>16</v>
      </c>
      <c r="T304" s="229" t="s">
        <v>375</v>
      </c>
      <c r="U304" s="229" t="s">
        <v>331</v>
      </c>
      <c r="V304" s="229" t="s">
        <v>328</v>
      </c>
      <c r="W304" s="230" t="s">
        <v>328</v>
      </c>
      <c r="X304" s="230" t="s">
        <v>328</v>
      </c>
      <c r="Y304" s="231" t="s">
        <v>328</v>
      </c>
    </row>
    <row r="305" spans="1:25">
      <c r="A305" s="223">
        <v>8</v>
      </c>
      <c r="B305" s="224" t="str">
        <f>VLOOKUP(Tabel10[[#This Row],[Locatiecode]],Ruimtegroepen[[#All],[Code]:[Ruimte omschrijving]],2,FALSE)</f>
        <v>Toneel</v>
      </c>
      <c r="C305" s="225" t="s">
        <v>660</v>
      </c>
      <c r="D305" s="224" t="s">
        <v>12</v>
      </c>
      <c r="E305" s="226" t="s">
        <v>122</v>
      </c>
      <c r="F305" s="225" t="s">
        <v>663</v>
      </c>
      <c r="G305" s="228" t="s">
        <v>328</v>
      </c>
      <c r="H305" s="228" t="s">
        <v>328</v>
      </c>
      <c r="I305" s="228" t="s">
        <v>18</v>
      </c>
      <c r="J305" s="228" t="s">
        <v>15</v>
      </c>
      <c r="K305" s="228" t="s">
        <v>16</v>
      </c>
      <c r="L305" s="228" t="s">
        <v>328</v>
      </c>
      <c r="M305" s="228" t="s">
        <v>328</v>
      </c>
      <c r="N305" s="228" t="s">
        <v>328</v>
      </c>
      <c r="O305" s="229" t="s">
        <v>18</v>
      </c>
      <c r="P305" s="229" t="s">
        <v>18</v>
      </c>
      <c r="Q305" s="229" t="s">
        <v>15</v>
      </c>
      <c r="R305" s="229" t="s">
        <v>15</v>
      </c>
      <c r="S305" s="229" t="s">
        <v>16</v>
      </c>
      <c r="T305" s="229" t="s">
        <v>375</v>
      </c>
      <c r="U305" s="229" t="s">
        <v>331</v>
      </c>
      <c r="V305" s="229" t="s">
        <v>328</v>
      </c>
      <c r="W305" s="230" t="s">
        <v>328</v>
      </c>
      <c r="X305" s="230" t="s">
        <v>328</v>
      </c>
      <c r="Y305" s="231" t="s">
        <v>328</v>
      </c>
    </row>
    <row r="306" spans="1:25">
      <c r="A306" s="223">
        <v>8</v>
      </c>
      <c r="B306" s="224" t="str">
        <f>VLOOKUP(Tabel10[[#This Row],[Locatiecode]],Ruimtegroepen[[#All],[Code]:[Ruimte omschrijving]],2,FALSE)</f>
        <v>Toneel</v>
      </c>
      <c r="C306" s="225" t="s">
        <v>660</v>
      </c>
      <c r="D306" s="224" t="s">
        <v>12</v>
      </c>
      <c r="E306" s="226" t="s">
        <v>123</v>
      </c>
      <c r="F306" s="225" t="s">
        <v>664</v>
      </c>
      <c r="G306" s="228" t="s">
        <v>328</v>
      </c>
      <c r="H306" s="228" t="s">
        <v>328</v>
      </c>
      <c r="I306" s="228" t="s">
        <v>18</v>
      </c>
      <c r="J306" s="228" t="s">
        <v>15</v>
      </c>
      <c r="K306" s="228" t="s">
        <v>16</v>
      </c>
      <c r="L306" s="228" t="s">
        <v>328</v>
      </c>
      <c r="M306" s="228" t="s">
        <v>328</v>
      </c>
      <c r="N306" s="228" t="s">
        <v>328</v>
      </c>
      <c r="O306" s="229" t="s">
        <v>18</v>
      </c>
      <c r="P306" s="229" t="s">
        <v>18</v>
      </c>
      <c r="Q306" s="229" t="s">
        <v>15</v>
      </c>
      <c r="R306" s="229" t="s">
        <v>15</v>
      </c>
      <c r="S306" s="229" t="s">
        <v>16</v>
      </c>
      <c r="T306" s="229" t="s">
        <v>375</v>
      </c>
      <c r="U306" s="229" t="s">
        <v>331</v>
      </c>
      <c r="V306" s="229" t="s">
        <v>328</v>
      </c>
      <c r="W306" s="230" t="s">
        <v>328</v>
      </c>
      <c r="X306" s="230" t="s">
        <v>328</v>
      </c>
      <c r="Y306" s="231" t="s">
        <v>328</v>
      </c>
    </row>
    <row r="307" spans="1:25">
      <c r="A307" s="223">
        <v>8</v>
      </c>
      <c r="B307" s="224" t="str">
        <f>VLOOKUP(Tabel10[[#This Row],[Locatiecode]],Ruimtegroepen[[#All],[Code]:[Ruimte omschrijving]],2,FALSE)</f>
        <v>Toneel</v>
      </c>
      <c r="C307" s="225" t="s">
        <v>665</v>
      </c>
      <c r="D307" s="224" t="s">
        <v>14</v>
      </c>
      <c r="E307" s="226" t="s">
        <v>121</v>
      </c>
      <c r="F307" s="225" t="s">
        <v>666</v>
      </c>
      <c r="G307" s="228" t="s">
        <v>328</v>
      </c>
      <c r="H307" s="228" t="s">
        <v>328</v>
      </c>
      <c r="I307" s="228" t="s">
        <v>17</v>
      </c>
      <c r="J307" s="228" t="s">
        <v>15</v>
      </c>
      <c r="K307" s="228" t="s">
        <v>328</v>
      </c>
      <c r="L307" s="228" t="s">
        <v>328</v>
      </c>
      <c r="M307" s="228" t="s">
        <v>328</v>
      </c>
      <c r="N307" s="228" t="s">
        <v>328</v>
      </c>
      <c r="O307" s="229" t="s">
        <v>17</v>
      </c>
      <c r="P307" s="229" t="s">
        <v>17</v>
      </c>
      <c r="Q307" s="229" t="s">
        <v>15</v>
      </c>
      <c r="R307" s="229" t="s">
        <v>15</v>
      </c>
      <c r="S307" s="229" t="s">
        <v>16</v>
      </c>
      <c r="T307" s="229" t="s">
        <v>375</v>
      </c>
      <c r="U307" s="229" t="s">
        <v>331</v>
      </c>
      <c r="V307" s="229" t="s">
        <v>328</v>
      </c>
      <c r="W307" s="230" t="s">
        <v>328</v>
      </c>
      <c r="X307" s="230" t="s">
        <v>328</v>
      </c>
      <c r="Y307" s="231" t="s">
        <v>328</v>
      </c>
    </row>
    <row r="308" spans="1:25">
      <c r="A308" s="223">
        <v>8</v>
      </c>
      <c r="B308" s="224" t="str">
        <f>VLOOKUP(Tabel10[[#This Row],[Locatiecode]],Ruimtegroepen[[#All],[Code]:[Ruimte omschrijving]],2,FALSE)</f>
        <v>Toneel</v>
      </c>
      <c r="C308" s="225" t="s">
        <v>665</v>
      </c>
      <c r="D308" s="224" t="s">
        <v>14</v>
      </c>
      <c r="E308" s="226" t="s">
        <v>120</v>
      </c>
      <c r="F308" s="225" t="s">
        <v>667</v>
      </c>
      <c r="G308" s="228" t="s">
        <v>15</v>
      </c>
      <c r="H308" s="228" t="s">
        <v>15</v>
      </c>
      <c r="I308" s="228" t="s">
        <v>328</v>
      </c>
      <c r="J308" s="228" t="s">
        <v>328</v>
      </c>
      <c r="K308" s="228" t="s">
        <v>328</v>
      </c>
      <c r="L308" s="228" t="s">
        <v>328</v>
      </c>
      <c r="M308" s="228" t="s">
        <v>328</v>
      </c>
      <c r="N308" s="228" t="s">
        <v>328</v>
      </c>
      <c r="O308" s="229" t="s">
        <v>17</v>
      </c>
      <c r="P308" s="229" t="s">
        <v>17</v>
      </c>
      <c r="Q308" s="229" t="s">
        <v>15</v>
      </c>
      <c r="R308" s="229" t="s">
        <v>15</v>
      </c>
      <c r="S308" s="229" t="s">
        <v>16</v>
      </c>
      <c r="T308" s="229" t="s">
        <v>375</v>
      </c>
      <c r="U308" s="229" t="s">
        <v>331</v>
      </c>
      <c r="V308" s="229" t="s">
        <v>328</v>
      </c>
      <c r="W308" s="230" t="s">
        <v>328</v>
      </c>
      <c r="X308" s="230" t="s">
        <v>328</v>
      </c>
      <c r="Y308" s="231" t="s">
        <v>328</v>
      </c>
    </row>
    <row r="309" spans="1:25">
      <c r="A309" s="223">
        <v>8</v>
      </c>
      <c r="B309" s="224" t="str">
        <f>VLOOKUP(Tabel10[[#This Row],[Locatiecode]],Ruimtegroepen[[#All],[Code]:[Ruimte omschrijving]],2,FALSE)</f>
        <v>Toneel</v>
      </c>
      <c r="C309" s="225" t="s">
        <v>665</v>
      </c>
      <c r="D309" s="224" t="s">
        <v>14</v>
      </c>
      <c r="E309" s="226" t="s">
        <v>122</v>
      </c>
      <c r="F309" s="225" t="s">
        <v>668</v>
      </c>
      <c r="G309" s="228" t="s">
        <v>328</v>
      </c>
      <c r="H309" s="228" t="s">
        <v>328</v>
      </c>
      <c r="I309" s="228" t="s">
        <v>17</v>
      </c>
      <c r="J309" s="228" t="s">
        <v>15</v>
      </c>
      <c r="K309" s="228" t="s">
        <v>16</v>
      </c>
      <c r="L309" s="228" t="s">
        <v>328</v>
      </c>
      <c r="M309" s="228" t="s">
        <v>328</v>
      </c>
      <c r="N309" s="228" t="s">
        <v>328</v>
      </c>
      <c r="O309" s="229" t="s">
        <v>17</v>
      </c>
      <c r="P309" s="229" t="s">
        <v>17</v>
      </c>
      <c r="Q309" s="229" t="s">
        <v>15</v>
      </c>
      <c r="R309" s="229" t="s">
        <v>15</v>
      </c>
      <c r="S309" s="229" t="s">
        <v>16</v>
      </c>
      <c r="T309" s="229" t="s">
        <v>375</v>
      </c>
      <c r="U309" s="229" t="s">
        <v>331</v>
      </c>
      <c r="V309" s="229" t="s">
        <v>328</v>
      </c>
      <c r="W309" s="230" t="s">
        <v>328</v>
      </c>
      <c r="X309" s="230" t="s">
        <v>328</v>
      </c>
      <c r="Y309" s="231" t="s">
        <v>328</v>
      </c>
    </row>
    <row r="310" spans="1:25">
      <c r="A310" s="223">
        <v>8</v>
      </c>
      <c r="B310" s="224" t="str">
        <f>VLOOKUP(Tabel10[[#This Row],[Locatiecode]],Ruimtegroepen[[#All],[Code]:[Ruimte omschrijving]],2,FALSE)</f>
        <v>Toneel</v>
      </c>
      <c r="C310" s="225" t="s">
        <v>665</v>
      </c>
      <c r="D310" s="224" t="s">
        <v>14</v>
      </c>
      <c r="E310" s="226" t="s">
        <v>123</v>
      </c>
      <c r="F310" s="225" t="s">
        <v>669</v>
      </c>
      <c r="G310" s="228" t="s">
        <v>328</v>
      </c>
      <c r="H310" s="228" t="s">
        <v>328</v>
      </c>
      <c r="I310" s="228" t="s">
        <v>17</v>
      </c>
      <c r="J310" s="228" t="s">
        <v>15</v>
      </c>
      <c r="K310" s="228" t="s">
        <v>16</v>
      </c>
      <c r="L310" s="228" t="s">
        <v>328</v>
      </c>
      <c r="M310" s="228" t="s">
        <v>328</v>
      </c>
      <c r="N310" s="228" t="s">
        <v>328</v>
      </c>
      <c r="O310" s="229" t="s">
        <v>17</v>
      </c>
      <c r="P310" s="229" t="s">
        <v>17</v>
      </c>
      <c r="Q310" s="229" t="s">
        <v>15</v>
      </c>
      <c r="R310" s="229" t="s">
        <v>15</v>
      </c>
      <c r="S310" s="229" t="s">
        <v>16</v>
      </c>
      <c r="T310" s="229" t="s">
        <v>375</v>
      </c>
      <c r="U310" s="229" t="s">
        <v>331</v>
      </c>
      <c r="V310" s="229" t="s">
        <v>328</v>
      </c>
      <c r="W310" s="230" t="s">
        <v>328</v>
      </c>
      <c r="X310" s="230" t="s">
        <v>328</v>
      </c>
      <c r="Y310" s="231" t="s">
        <v>328</v>
      </c>
    </row>
    <row r="311" spans="1:25">
      <c r="A311" s="223">
        <v>8</v>
      </c>
      <c r="B311" s="224" t="str">
        <f>VLOOKUP(Tabel10[[#This Row],[Locatiecode]],Ruimtegroepen[[#All],[Code]:[Ruimte omschrijving]],2,FALSE)</f>
        <v>Toneel</v>
      </c>
      <c r="C311" s="225" t="s">
        <v>670</v>
      </c>
      <c r="D311" s="224" t="s">
        <v>13</v>
      </c>
      <c r="E311" s="226" t="s">
        <v>121</v>
      </c>
      <c r="F311" s="225" t="s">
        <v>671</v>
      </c>
      <c r="G311" s="228" t="s">
        <v>328</v>
      </c>
      <c r="H311" s="228" t="s">
        <v>328</v>
      </c>
      <c r="I311" s="228" t="s">
        <v>15</v>
      </c>
      <c r="J311" s="228" t="s">
        <v>15</v>
      </c>
      <c r="K311" s="228" t="s">
        <v>328</v>
      </c>
      <c r="L311" s="228" t="s">
        <v>328</v>
      </c>
      <c r="M311" s="228" t="s">
        <v>328</v>
      </c>
      <c r="N311" s="228" t="s">
        <v>328</v>
      </c>
      <c r="O311" s="229" t="s">
        <v>15</v>
      </c>
      <c r="P311" s="229" t="s">
        <v>15</v>
      </c>
      <c r="Q311" s="229" t="s">
        <v>15</v>
      </c>
      <c r="R311" s="229" t="s">
        <v>15</v>
      </c>
      <c r="S311" s="229" t="s">
        <v>16</v>
      </c>
      <c r="T311" s="229" t="s">
        <v>375</v>
      </c>
      <c r="U311" s="229" t="s">
        <v>331</v>
      </c>
      <c r="V311" s="229" t="s">
        <v>328</v>
      </c>
      <c r="W311" s="230" t="s">
        <v>328</v>
      </c>
      <c r="X311" s="230" t="s">
        <v>328</v>
      </c>
      <c r="Y311" s="231" t="s">
        <v>328</v>
      </c>
    </row>
    <row r="312" spans="1:25">
      <c r="A312" s="223">
        <v>8</v>
      </c>
      <c r="B312" s="224" t="str">
        <f>VLOOKUP(Tabel10[[#This Row],[Locatiecode]],Ruimtegroepen[[#All],[Code]:[Ruimte omschrijving]],2,FALSE)</f>
        <v>Toneel</v>
      </c>
      <c r="C312" s="225" t="s">
        <v>670</v>
      </c>
      <c r="D312" s="224" t="s">
        <v>13</v>
      </c>
      <c r="E312" s="226" t="s">
        <v>120</v>
      </c>
      <c r="F312" s="225" t="s">
        <v>672</v>
      </c>
      <c r="G312" s="228" t="s">
        <v>407</v>
      </c>
      <c r="H312" s="228" t="s">
        <v>15</v>
      </c>
      <c r="I312" s="228" t="s">
        <v>328</v>
      </c>
      <c r="J312" s="228" t="s">
        <v>328</v>
      </c>
      <c r="K312" s="228" t="s">
        <v>328</v>
      </c>
      <c r="L312" s="228" t="s">
        <v>328</v>
      </c>
      <c r="M312" s="228" t="s">
        <v>328</v>
      </c>
      <c r="N312" s="228" t="s">
        <v>328</v>
      </c>
      <c r="O312" s="229" t="s">
        <v>15</v>
      </c>
      <c r="P312" s="229" t="s">
        <v>15</v>
      </c>
      <c r="Q312" s="229" t="s">
        <v>15</v>
      </c>
      <c r="R312" s="229" t="s">
        <v>15</v>
      </c>
      <c r="S312" s="229" t="s">
        <v>16</v>
      </c>
      <c r="T312" s="229" t="s">
        <v>375</v>
      </c>
      <c r="U312" s="229" t="s">
        <v>331</v>
      </c>
      <c r="V312" s="229" t="s">
        <v>328</v>
      </c>
      <c r="W312" s="230" t="s">
        <v>328</v>
      </c>
      <c r="X312" s="230" t="s">
        <v>328</v>
      </c>
      <c r="Y312" s="231" t="s">
        <v>328</v>
      </c>
    </row>
    <row r="313" spans="1:25">
      <c r="A313" s="223">
        <v>8</v>
      </c>
      <c r="B313" s="224" t="str">
        <f>VLOOKUP(Tabel10[[#This Row],[Locatiecode]],Ruimtegroepen[[#All],[Code]:[Ruimte omschrijving]],2,FALSE)</f>
        <v>Toneel</v>
      </c>
      <c r="C313" s="225" t="s">
        <v>670</v>
      </c>
      <c r="D313" s="224" t="s">
        <v>13</v>
      </c>
      <c r="E313" s="226" t="s">
        <v>122</v>
      </c>
      <c r="F313" s="225" t="s">
        <v>673</v>
      </c>
      <c r="G313" s="228" t="s">
        <v>328</v>
      </c>
      <c r="H313" s="228" t="s">
        <v>328</v>
      </c>
      <c r="I313" s="228" t="s">
        <v>15</v>
      </c>
      <c r="J313" s="228" t="s">
        <v>15</v>
      </c>
      <c r="K313" s="228" t="s">
        <v>16</v>
      </c>
      <c r="L313" s="228" t="s">
        <v>328</v>
      </c>
      <c r="M313" s="228" t="s">
        <v>328</v>
      </c>
      <c r="N313" s="228" t="s">
        <v>328</v>
      </c>
      <c r="O313" s="229" t="s">
        <v>15</v>
      </c>
      <c r="P313" s="229" t="s">
        <v>15</v>
      </c>
      <c r="Q313" s="229" t="s">
        <v>15</v>
      </c>
      <c r="R313" s="229" t="s">
        <v>15</v>
      </c>
      <c r="S313" s="229" t="s">
        <v>16</v>
      </c>
      <c r="T313" s="229" t="s">
        <v>375</v>
      </c>
      <c r="U313" s="229" t="s">
        <v>331</v>
      </c>
      <c r="V313" s="229" t="s">
        <v>328</v>
      </c>
      <c r="W313" s="230" t="s">
        <v>328</v>
      </c>
      <c r="X313" s="230" t="s">
        <v>328</v>
      </c>
      <c r="Y313" s="231" t="s">
        <v>328</v>
      </c>
    </row>
    <row r="314" spans="1:25">
      <c r="A314" s="223">
        <v>8</v>
      </c>
      <c r="B314" s="224" t="str">
        <f>VLOOKUP(Tabel10[[#This Row],[Locatiecode]],Ruimtegroepen[[#All],[Code]:[Ruimte omschrijving]],2,FALSE)</f>
        <v>Toneel</v>
      </c>
      <c r="C314" s="225" t="s">
        <v>670</v>
      </c>
      <c r="D314" s="224" t="s">
        <v>13</v>
      </c>
      <c r="E314" s="226" t="s">
        <v>123</v>
      </c>
      <c r="F314" s="225" t="s">
        <v>674</v>
      </c>
      <c r="G314" s="228" t="s">
        <v>328</v>
      </c>
      <c r="H314" s="228" t="s">
        <v>328</v>
      </c>
      <c r="I314" s="228" t="s">
        <v>15</v>
      </c>
      <c r="J314" s="228" t="s">
        <v>15</v>
      </c>
      <c r="K314" s="228" t="s">
        <v>16</v>
      </c>
      <c r="L314" s="228" t="s">
        <v>328</v>
      </c>
      <c r="M314" s="228" t="s">
        <v>328</v>
      </c>
      <c r="N314" s="228" t="s">
        <v>328</v>
      </c>
      <c r="O314" s="229" t="s">
        <v>15</v>
      </c>
      <c r="P314" s="229" t="s">
        <v>15</v>
      </c>
      <c r="Q314" s="229" t="s">
        <v>15</v>
      </c>
      <c r="R314" s="229" t="s">
        <v>15</v>
      </c>
      <c r="S314" s="229" t="s">
        <v>16</v>
      </c>
      <c r="T314" s="229" t="s">
        <v>375</v>
      </c>
      <c r="U314" s="229" t="s">
        <v>331</v>
      </c>
      <c r="V314" s="229" t="s">
        <v>328</v>
      </c>
      <c r="W314" s="230" t="s">
        <v>328</v>
      </c>
      <c r="X314" s="230" t="s">
        <v>328</v>
      </c>
      <c r="Y314" s="231" t="s">
        <v>328</v>
      </c>
    </row>
    <row r="315" spans="1:25">
      <c r="A315" s="223">
        <v>8</v>
      </c>
      <c r="B315" s="224" t="str">
        <f>VLOOKUP(Tabel10[[#This Row],[Locatiecode]],Ruimtegroepen[[#All],[Code]:[Ruimte omschrijving]],2,FALSE)</f>
        <v>Toneel</v>
      </c>
      <c r="C315" s="225" t="s">
        <v>675</v>
      </c>
      <c r="D315" s="224" t="s">
        <v>0</v>
      </c>
      <c r="E315" s="226" t="s">
        <v>121</v>
      </c>
      <c r="F315" s="225" t="s">
        <v>676</v>
      </c>
      <c r="G315" s="228" t="s">
        <v>328</v>
      </c>
      <c r="H315" s="228" t="s">
        <v>328</v>
      </c>
      <c r="I315" s="228" t="s">
        <v>16</v>
      </c>
      <c r="J315" s="228" t="s">
        <v>16</v>
      </c>
      <c r="K315" s="228" t="s">
        <v>328</v>
      </c>
      <c r="L315" s="228" t="s">
        <v>328</v>
      </c>
      <c r="M315" s="228" t="s">
        <v>328</v>
      </c>
      <c r="N315" s="228" t="s">
        <v>328</v>
      </c>
      <c r="O315" s="229" t="s">
        <v>16</v>
      </c>
      <c r="P315" s="229" t="s">
        <v>16</v>
      </c>
      <c r="Q315" s="229" t="s">
        <v>16</v>
      </c>
      <c r="R315" s="229" t="s">
        <v>16</v>
      </c>
      <c r="S315" s="229" t="s">
        <v>16</v>
      </c>
      <c r="T315" s="229" t="s">
        <v>375</v>
      </c>
      <c r="U315" s="229" t="s">
        <v>331</v>
      </c>
      <c r="V315" s="229" t="s">
        <v>328</v>
      </c>
      <c r="W315" s="230" t="s">
        <v>328</v>
      </c>
      <c r="X315" s="230" t="s">
        <v>328</v>
      </c>
      <c r="Y315" s="231" t="s">
        <v>328</v>
      </c>
    </row>
    <row r="316" spans="1:25">
      <c r="A316" s="223">
        <v>8</v>
      </c>
      <c r="B316" s="224" t="str">
        <f>VLOOKUP(Tabel10[[#This Row],[Locatiecode]],Ruimtegroepen[[#All],[Code]:[Ruimte omschrijving]],2,FALSE)</f>
        <v>Toneel</v>
      </c>
      <c r="C316" s="225" t="s">
        <v>675</v>
      </c>
      <c r="D316" s="224" t="s">
        <v>0</v>
      </c>
      <c r="E316" s="226" t="s">
        <v>120</v>
      </c>
      <c r="F316" s="225" t="s">
        <v>677</v>
      </c>
      <c r="G316" s="228" t="s">
        <v>407</v>
      </c>
      <c r="H316" s="228" t="s">
        <v>16</v>
      </c>
      <c r="I316" s="228" t="s">
        <v>328</v>
      </c>
      <c r="J316" s="228" t="s">
        <v>328</v>
      </c>
      <c r="K316" s="228" t="s">
        <v>328</v>
      </c>
      <c r="L316" s="228" t="s">
        <v>328</v>
      </c>
      <c r="M316" s="228" t="s">
        <v>328</v>
      </c>
      <c r="N316" s="228" t="s">
        <v>328</v>
      </c>
      <c r="O316" s="229" t="s">
        <v>16</v>
      </c>
      <c r="P316" s="229" t="s">
        <v>16</v>
      </c>
      <c r="Q316" s="229" t="s">
        <v>16</v>
      </c>
      <c r="R316" s="229" t="s">
        <v>16</v>
      </c>
      <c r="S316" s="229" t="s">
        <v>16</v>
      </c>
      <c r="T316" s="229" t="s">
        <v>375</v>
      </c>
      <c r="U316" s="229" t="s">
        <v>331</v>
      </c>
      <c r="V316" s="229" t="s">
        <v>328</v>
      </c>
      <c r="W316" s="230" t="s">
        <v>328</v>
      </c>
      <c r="X316" s="230" t="s">
        <v>328</v>
      </c>
      <c r="Y316" s="231" t="s">
        <v>328</v>
      </c>
    </row>
    <row r="317" spans="1:25">
      <c r="A317" s="223">
        <v>8</v>
      </c>
      <c r="B317" s="224" t="str">
        <f>VLOOKUP(Tabel10[[#This Row],[Locatiecode]],Ruimtegroepen[[#All],[Code]:[Ruimte omschrijving]],2,FALSE)</f>
        <v>Toneel</v>
      </c>
      <c r="C317" s="225" t="s">
        <v>675</v>
      </c>
      <c r="D317" s="224" t="s">
        <v>0</v>
      </c>
      <c r="E317" s="226" t="s">
        <v>122</v>
      </c>
      <c r="F317" s="225" t="s">
        <v>678</v>
      </c>
      <c r="G317" s="228" t="s">
        <v>328</v>
      </c>
      <c r="H317" s="228" t="s">
        <v>328</v>
      </c>
      <c r="I317" s="228" t="s">
        <v>16</v>
      </c>
      <c r="J317" s="228" t="s">
        <v>407</v>
      </c>
      <c r="K317" s="228" t="s">
        <v>16</v>
      </c>
      <c r="L317" s="228" t="s">
        <v>328</v>
      </c>
      <c r="M317" s="228" t="s">
        <v>328</v>
      </c>
      <c r="N317" s="228" t="s">
        <v>328</v>
      </c>
      <c r="O317" s="229" t="s">
        <v>16</v>
      </c>
      <c r="P317" s="229" t="s">
        <v>16</v>
      </c>
      <c r="Q317" s="229" t="s">
        <v>16</v>
      </c>
      <c r="R317" s="229" t="s">
        <v>16</v>
      </c>
      <c r="S317" s="229" t="s">
        <v>16</v>
      </c>
      <c r="T317" s="229" t="s">
        <v>375</v>
      </c>
      <c r="U317" s="229" t="s">
        <v>331</v>
      </c>
      <c r="V317" s="229" t="s">
        <v>328</v>
      </c>
      <c r="W317" s="230" t="s">
        <v>328</v>
      </c>
      <c r="X317" s="230" t="s">
        <v>328</v>
      </c>
      <c r="Y317" s="231" t="s">
        <v>328</v>
      </c>
    </row>
    <row r="318" spans="1:25">
      <c r="A318" s="223">
        <v>8</v>
      </c>
      <c r="B318" s="224" t="str">
        <f>VLOOKUP(Tabel10[[#This Row],[Locatiecode]],Ruimtegroepen[[#All],[Code]:[Ruimte omschrijving]],2,FALSE)</f>
        <v>Toneel</v>
      </c>
      <c r="C318" s="225" t="s">
        <v>675</v>
      </c>
      <c r="D318" s="224" t="s">
        <v>0</v>
      </c>
      <c r="E318" s="226" t="s">
        <v>123</v>
      </c>
      <c r="F318" s="225" t="s">
        <v>679</v>
      </c>
      <c r="G318" s="228" t="s">
        <v>328</v>
      </c>
      <c r="H318" s="228" t="s">
        <v>328</v>
      </c>
      <c r="I318" s="228" t="s">
        <v>16</v>
      </c>
      <c r="J318" s="228" t="s">
        <v>328</v>
      </c>
      <c r="K318" s="228" t="s">
        <v>16</v>
      </c>
      <c r="L318" s="228" t="s">
        <v>328</v>
      </c>
      <c r="M318" s="228" t="s">
        <v>328</v>
      </c>
      <c r="N318" s="228" t="s">
        <v>328</v>
      </c>
      <c r="O318" s="229" t="s">
        <v>16</v>
      </c>
      <c r="P318" s="229" t="s">
        <v>16</v>
      </c>
      <c r="Q318" s="229" t="s">
        <v>16</v>
      </c>
      <c r="R318" s="229" t="s">
        <v>16</v>
      </c>
      <c r="S318" s="229" t="s">
        <v>16</v>
      </c>
      <c r="T318" s="229" t="s">
        <v>375</v>
      </c>
      <c r="U318" s="229" t="s">
        <v>331</v>
      </c>
      <c r="V318" s="229" t="s">
        <v>328</v>
      </c>
      <c r="W318" s="230" t="s">
        <v>328</v>
      </c>
      <c r="X318" s="230" t="s">
        <v>328</v>
      </c>
      <c r="Y318" s="231" t="s">
        <v>328</v>
      </c>
    </row>
    <row r="319" spans="1:25">
      <c r="A319" s="223">
        <v>8</v>
      </c>
      <c r="B319" s="224" t="str">
        <f>VLOOKUP(Tabel10[[#This Row],[Locatiecode]],Ruimtegroepen[[#All],[Code]:[Ruimte omschrijving]],2,FALSE)</f>
        <v>Toneel</v>
      </c>
      <c r="C319" s="225" t="s">
        <v>680</v>
      </c>
      <c r="D319" s="224" t="s">
        <v>30</v>
      </c>
      <c r="E319" s="226" t="s">
        <v>121</v>
      </c>
      <c r="F319" s="225" t="s">
        <v>681</v>
      </c>
      <c r="G319" s="228" t="s">
        <v>328</v>
      </c>
      <c r="H319" s="228" t="s">
        <v>328</v>
      </c>
      <c r="I319" s="228" t="s">
        <v>15</v>
      </c>
      <c r="J319" s="228" t="s">
        <v>15</v>
      </c>
      <c r="K319" s="228" t="s">
        <v>328</v>
      </c>
      <c r="L319" s="228" t="s">
        <v>328</v>
      </c>
      <c r="M319" s="228" t="s">
        <v>328</v>
      </c>
      <c r="N319" s="228" t="s">
        <v>328</v>
      </c>
      <c r="O319" s="229" t="s">
        <v>15</v>
      </c>
      <c r="P319" s="229" t="s">
        <v>15</v>
      </c>
      <c r="Q319" s="229" t="s">
        <v>15</v>
      </c>
      <c r="R319" s="229" t="s">
        <v>15</v>
      </c>
      <c r="S319" s="229" t="s">
        <v>328</v>
      </c>
      <c r="T319" s="229" t="s">
        <v>328</v>
      </c>
      <c r="U319" s="229" t="s">
        <v>328</v>
      </c>
      <c r="V319" s="229" t="s">
        <v>328</v>
      </c>
      <c r="W319" s="230" t="s">
        <v>328</v>
      </c>
      <c r="X319" s="230" t="s">
        <v>328</v>
      </c>
      <c r="Y319" s="231" t="s">
        <v>328</v>
      </c>
    </row>
    <row r="320" spans="1:25">
      <c r="A320" s="223">
        <v>8</v>
      </c>
      <c r="B320" s="224" t="str">
        <f>VLOOKUP(Tabel10[[#This Row],[Locatiecode]],Ruimtegroepen[[#All],[Code]:[Ruimte omschrijving]],2,FALSE)</f>
        <v>Toneel</v>
      </c>
      <c r="C320" s="225" t="s">
        <v>680</v>
      </c>
      <c r="D320" s="224" t="s">
        <v>30</v>
      </c>
      <c r="E320" s="226" t="s">
        <v>120</v>
      </c>
      <c r="F320" s="225" t="s">
        <v>682</v>
      </c>
      <c r="G320" s="228" t="s">
        <v>407</v>
      </c>
      <c r="H320" s="228" t="s">
        <v>15</v>
      </c>
      <c r="I320" s="228" t="s">
        <v>328</v>
      </c>
      <c r="J320" s="228" t="s">
        <v>328</v>
      </c>
      <c r="K320" s="228" t="s">
        <v>328</v>
      </c>
      <c r="L320" s="228" t="s">
        <v>328</v>
      </c>
      <c r="M320" s="228" t="s">
        <v>328</v>
      </c>
      <c r="N320" s="228" t="s">
        <v>328</v>
      </c>
      <c r="O320" s="229" t="s">
        <v>15</v>
      </c>
      <c r="P320" s="229" t="s">
        <v>15</v>
      </c>
      <c r="Q320" s="229" t="s">
        <v>15</v>
      </c>
      <c r="R320" s="229" t="s">
        <v>15</v>
      </c>
      <c r="S320" s="229" t="s">
        <v>328</v>
      </c>
      <c r="T320" s="229" t="s">
        <v>328</v>
      </c>
      <c r="U320" s="229" t="s">
        <v>328</v>
      </c>
      <c r="V320" s="229" t="s">
        <v>328</v>
      </c>
      <c r="W320" s="230" t="s">
        <v>328</v>
      </c>
      <c r="X320" s="230" t="s">
        <v>328</v>
      </c>
      <c r="Y320" s="231" t="s">
        <v>328</v>
      </c>
    </row>
    <row r="321" spans="1:25">
      <c r="A321" s="223">
        <v>8</v>
      </c>
      <c r="B321" s="224" t="str">
        <f>VLOOKUP(Tabel10[[#This Row],[Locatiecode]],Ruimtegroepen[[#All],[Code]:[Ruimte omschrijving]],2,FALSE)</f>
        <v>Toneel</v>
      </c>
      <c r="C321" s="225" t="s">
        <v>680</v>
      </c>
      <c r="D321" s="224" t="s">
        <v>30</v>
      </c>
      <c r="E321" s="226" t="s">
        <v>122</v>
      </c>
      <c r="F321" s="225" t="s">
        <v>683</v>
      </c>
      <c r="G321" s="228" t="s">
        <v>328</v>
      </c>
      <c r="H321" s="228" t="s">
        <v>328</v>
      </c>
      <c r="I321" s="228" t="s">
        <v>15</v>
      </c>
      <c r="J321" s="228" t="s">
        <v>15</v>
      </c>
      <c r="K321" s="228" t="s">
        <v>328</v>
      </c>
      <c r="L321" s="228" t="s">
        <v>328</v>
      </c>
      <c r="M321" s="228" t="s">
        <v>328</v>
      </c>
      <c r="N321" s="228" t="s">
        <v>328</v>
      </c>
      <c r="O321" s="229" t="s">
        <v>15</v>
      </c>
      <c r="P321" s="229" t="s">
        <v>15</v>
      </c>
      <c r="Q321" s="229" t="s">
        <v>15</v>
      </c>
      <c r="R321" s="229" t="s">
        <v>15</v>
      </c>
      <c r="S321" s="229" t="s">
        <v>328</v>
      </c>
      <c r="T321" s="229" t="s">
        <v>328</v>
      </c>
      <c r="U321" s="229" t="s">
        <v>328</v>
      </c>
      <c r="V321" s="229" t="s">
        <v>328</v>
      </c>
      <c r="W321" s="230" t="s">
        <v>328</v>
      </c>
      <c r="X321" s="230" t="s">
        <v>328</v>
      </c>
      <c r="Y321" s="231" t="s">
        <v>328</v>
      </c>
    </row>
    <row r="322" spans="1:25">
      <c r="A322" s="223">
        <v>8</v>
      </c>
      <c r="B322" s="224" t="str">
        <f>VLOOKUP(Tabel10[[#This Row],[Locatiecode]],Ruimtegroepen[[#All],[Code]:[Ruimte omschrijving]],2,FALSE)</f>
        <v>Toneel</v>
      </c>
      <c r="C322" s="225" t="s">
        <v>680</v>
      </c>
      <c r="D322" s="224" t="s">
        <v>30</v>
      </c>
      <c r="E322" s="226" t="s">
        <v>123</v>
      </c>
      <c r="F322" s="225" t="s">
        <v>684</v>
      </c>
      <c r="G322" s="228" t="s">
        <v>328</v>
      </c>
      <c r="H322" s="228" t="s">
        <v>328</v>
      </c>
      <c r="I322" s="228" t="s">
        <v>15</v>
      </c>
      <c r="J322" s="228" t="s">
        <v>15</v>
      </c>
      <c r="K322" s="228" t="s">
        <v>328</v>
      </c>
      <c r="L322" s="228" t="s">
        <v>328</v>
      </c>
      <c r="M322" s="228" t="s">
        <v>328</v>
      </c>
      <c r="N322" s="228" t="s">
        <v>328</v>
      </c>
      <c r="O322" s="229" t="s">
        <v>15</v>
      </c>
      <c r="P322" s="229" t="s">
        <v>15</v>
      </c>
      <c r="Q322" s="229" t="s">
        <v>15</v>
      </c>
      <c r="R322" s="229" t="s">
        <v>15</v>
      </c>
      <c r="S322" s="229" t="s">
        <v>328</v>
      </c>
      <c r="T322" s="229" t="s">
        <v>328</v>
      </c>
      <c r="U322" s="229" t="s">
        <v>328</v>
      </c>
      <c r="V322" s="229" t="s">
        <v>328</v>
      </c>
      <c r="W322" s="230" t="s">
        <v>328</v>
      </c>
      <c r="X322" s="230" t="s">
        <v>328</v>
      </c>
      <c r="Y322" s="231" t="s">
        <v>328</v>
      </c>
    </row>
    <row r="323" spans="1:25">
      <c r="A323" s="223">
        <v>8</v>
      </c>
      <c r="B323" s="224" t="str">
        <f>VLOOKUP(Tabel10[[#This Row],[Locatiecode]],Ruimtegroepen[[#All],[Code]:[Ruimte omschrijving]],2,FALSE)</f>
        <v>Toneel</v>
      </c>
      <c r="C323" s="225" t="s">
        <v>685</v>
      </c>
      <c r="D323" s="224" t="s">
        <v>31</v>
      </c>
      <c r="E323" s="226" t="s">
        <v>121</v>
      </c>
      <c r="F323" s="225" t="s">
        <v>686</v>
      </c>
      <c r="G323" s="228" t="s">
        <v>328</v>
      </c>
      <c r="H323" s="228" t="s">
        <v>328</v>
      </c>
      <c r="I323" s="228" t="s">
        <v>17</v>
      </c>
      <c r="J323" s="228" t="s">
        <v>15</v>
      </c>
      <c r="K323" s="228" t="s">
        <v>328</v>
      </c>
      <c r="L323" s="228" t="s">
        <v>328</v>
      </c>
      <c r="M323" s="228" t="s">
        <v>328</v>
      </c>
      <c r="N323" s="228" t="s">
        <v>328</v>
      </c>
      <c r="O323" s="229" t="s">
        <v>17</v>
      </c>
      <c r="P323" s="229" t="s">
        <v>17</v>
      </c>
      <c r="Q323" s="229" t="s">
        <v>15</v>
      </c>
      <c r="R323" s="229" t="s">
        <v>15</v>
      </c>
      <c r="S323" s="229" t="s">
        <v>328</v>
      </c>
      <c r="T323" s="229" t="s">
        <v>328</v>
      </c>
      <c r="U323" s="229" t="s">
        <v>328</v>
      </c>
      <c r="V323" s="229" t="s">
        <v>328</v>
      </c>
      <c r="W323" s="230" t="s">
        <v>328</v>
      </c>
      <c r="X323" s="230" t="s">
        <v>328</v>
      </c>
      <c r="Y323" s="231" t="s">
        <v>328</v>
      </c>
    </row>
    <row r="324" spans="1:25">
      <c r="A324" s="223">
        <v>8</v>
      </c>
      <c r="B324" s="224" t="str">
        <f>VLOOKUP(Tabel10[[#This Row],[Locatiecode]],Ruimtegroepen[[#All],[Code]:[Ruimte omschrijving]],2,FALSE)</f>
        <v>Toneel</v>
      </c>
      <c r="C324" s="225" t="s">
        <v>685</v>
      </c>
      <c r="D324" s="224" t="s">
        <v>31</v>
      </c>
      <c r="E324" s="226" t="s">
        <v>120</v>
      </c>
      <c r="F324" s="225" t="s">
        <v>687</v>
      </c>
      <c r="G324" s="228" t="s">
        <v>15</v>
      </c>
      <c r="H324" s="228" t="s">
        <v>15</v>
      </c>
      <c r="I324" s="228" t="s">
        <v>328</v>
      </c>
      <c r="J324" s="228" t="s">
        <v>328</v>
      </c>
      <c r="K324" s="228" t="s">
        <v>328</v>
      </c>
      <c r="L324" s="228" t="s">
        <v>328</v>
      </c>
      <c r="M324" s="228" t="s">
        <v>328</v>
      </c>
      <c r="N324" s="228" t="s">
        <v>328</v>
      </c>
      <c r="O324" s="229" t="s">
        <v>17</v>
      </c>
      <c r="P324" s="229" t="s">
        <v>17</v>
      </c>
      <c r="Q324" s="229" t="s">
        <v>15</v>
      </c>
      <c r="R324" s="229" t="s">
        <v>15</v>
      </c>
      <c r="S324" s="229" t="s">
        <v>328</v>
      </c>
      <c r="T324" s="229" t="s">
        <v>328</v>
      </c>
      <c r="U324" s="229" t="s">
        <v>328</v>
      </c>
      <c r="V324" s="229" t="s">
        <v>328</v>
      </c>
      <c r="W324" s="230" t="s">
        <v>328</v>
      </c>
      <c r="X324" s="230" t="s">
        <v>328</v>
      </c>
      <c r="Y324" s="231" t="s">
        <v>328</v>
      </c>
    </row>
    <row r="325" spans="1:25">
      <c r="A325" s="223">
        <v>8</v>
      </c>
      <c r="B325" s="224" t="str">
        <f>VLOOKUP(Tabel10[[#This Row],[Locatiecode]],Ruimtegroepen[[#All],[Code]:[Ruimte omschrijving]],2,FALSE)</f>
        <v>Toneel</v>
      </c>
      <c r="C325" s="225" t="s">
        <v>685</v>
      </c>
      <c r="D325" s="224" t="s">
        <v>31</v>
      </c>
      <c r="E325" s="226" t="s">
        <v>122</v>
      </c>
      <c r="F325" s="225" t="s">
        <v>688</v>
      </c>
      <c r="G325" s="228" t="s">
        <v>328</v>
      </c>
      <c r="H325" s="228" t="s">
        <v>328</v>
      </c>
      <c r="I325" s="228" t="s">
        <v>17</v>
      </c>
      <c r="J325" s="228" t="s">
        <v>15</v>
      </c>
      <c r="K325" s="228" t="s">
        <v>328</v>
      </c>
      <c r="L325" s="228" t="s">
        <v>328</v>
      </c>
      <c r="M325" s="228" t="s">
        <v>328</v>
      </c>
      <c r="N325" s="228" t="s">
        <v>328</v>
      </c>
      <c r="O325" s="229" t="s">
        <v>17</v>
      </c>
      <c r="P325" s="229" t="s">
        <v>17</v>
      </c>
      <c r="Q325" s="229" t="s">
        <v>15</v>
      </c>
      <c r="R325" s="229" t="s">
        <v>15</v>
      </c>
      <c r="S325" s="229" t="s">
        <v>328</v>
      </c>
      <c r="T325" s="229" t="s">
        <v>328</v>
      </c>
      <c r="U325" s="229" t="s">
        <v>328</v>
      </c>
      <c r="V325" s="229" t="s">
        <v>328</v>
      </c>
      <c r="W325" s="230" t="s">
        <v>328</v>
      </c>
      <c r="X325" s="230" t="s">
        <v>328</v>
      </c>
      <c r="Y325" s="231" t="s">
        <v>328</v>
      </c>
    </row>
    <row r="326" spans="1:25">
      <c r="A326" s="223">
        <v>8</v>
      </c>
      <c r="B326" s="224" t="str">
        <f>VLOOKUP(Tabel10[[#This Row],[Locatiecode]],Ruimtegroepen[[#All],[Code]:[Ruimte omschrijving]],2,FALSE)</f>
        <v>Toneel</v>
      </c>
      <c r="C326" s="225" t="s">
        <v>685</v>
      </c>
      <c r="D326" s="224" t="s">
        <v>31</v>
      </c>
      <c r="E326" s="226" t="s">
        <v>123</v>
      </c>
      <c r="F326" s="225" t="s">
        <v>689</v>
      </c>
      <c r="G326" s="228" t="s">
        <v>328</v>
      </c>
      <c r="H326" s="228" t="s">
        <v>328</v>
      </c>
      <c r="I326" s="228" t="s">
        <v>17</v>
      </c>
      <c r="J326" s="228" t="s">
        <v>15</v>
      </c>
      <c r="K326" s="228" t="s">
        <v>328</v>
      </c>
      <c r="L326" s="228" t="s">
        <v>328</v>
      </c>
      <c r="M326" s="228" t="s">
        <v>328</v>
      </c>
      <c r="N326" s="228" t="s">
        <v>328</v>
      </c>
      <c r="O326" s="229" t="s">
        <v>17</v>
      </c>
      <c r="P326" s="229" t="s">
        <v>17</v>
      </c>
      <c r="Q326" s="229" t="s">
        <v>15</v>
      </c>
      <c r="R326" s="229" t="s">
        <v>15</v>
      </c>
      <c r="S326" s="229" t="s">
        <v>328</v>
      </c>
      <c r="T326" s="229" t="s">
        <v>328</v>
      </c>
      <c r="U326" s="229" t="s">
        <v>328</v>
      </c>
      <c r="V326" s="229" t="s">
        <v>328</v>
      </c>
      <c r="W326" s="230" t="s">
        <v>328</v>
      </c>
      <c r="X326" s="230" t="s">
        <v>328</v>
      </c>
      <c r="Y326" s="231" t="s">
        <v>328</v>
      </c>
    </row>
    <row r="327" spans="1:25">
      <c r="A327" s="223">
        <v>9</v>
      </c>
      <c r="B327" s="224" t="str">
        <f>VLOOKUP(Tabel10[[#This Row],[Locatiecode]],Ruimtegroepen[[#All],[Code]:[Ruimte omschrijving]],2,FALSE)</f>
        <v>Bibliotheek / OLC</v>
      </c>
      <c r="C327" s="225" t="s">
        <v>690</v>
      </c>
      <c r="D327" s="224" t="s">
        <v>32</v>
      </c>
      <c r="E327" s="226" t="s">
        <v>121</v>
      </c>
      <c r="F327" s="225" t="s">
        <v>691</v>
      </c>
      <c r="G327" s="228" t="s">
        <v>328</v>
      </c>
      <c r="H327" s="228" t="s">
        <v>328</v>
      </c>
      <c r="I327" s="228" t="s">
        <v>2</v>
      </c>
      <c r="J327" s="227" t="s">
        <v>15</v>
      </c>
      <c r="K327" s="227" t="s">
        <v>16</v>
      </c>
      <c r="L327" s="228" t="s">
        <v>328</v>
      </c>
      <c r="M327" s="228" t="s">
        <v>328</v>
      </c>
      <c r="N327" s="228" t="s">
        <v>2</v>
      </c>
      <c r="O327" s="229" t="s">
        <v>2</v>
      </c>
      <c r="P327" s="229" t="s">
        <v>2</v>
      </c>
      <c r="Q327" s="229" t="s">
        <v>15</v>
      </c>
      <c r="R327" s="229" t="s">
        <v>15</v>
      </c>
      <c r="S327" s="229" t="s">
        <v>16</v>
      </c>
      <c r="T327" s="229" t="s">
        <v>375</v>
      </c>
      <c r="U327" s="229" t="s">
        <v>331</v>
      </c>
      <c r="V327" s="229" t="s">
        <v>2</v>
      </c>
      <c r="W327" s="230" t="s">
        <v>328</v>
      </c>
      <c r="X327" s="230" t="s">
        <v>328</v>
      </c>
      <c r="Y327" s="231" t="s">
        <v>328</v>
      </c>
    </row>
    <row r="328" spans="1:25">
      <c r="A328" s="223">
        <v>9</v>
      </c>
      <c r="B328" s="224" t="str">
        <f>VLOOKUP(Tabel10[[#This Row],[Locatiecode]],Ruimtegroepen[[#All],[Code]:[Ruimte omschrijving]],2,FALSE)</f>
        <v>Bibliotheek / OLC</v>
      </c>
      <c r="C328" s="225" t="s">
        <v>690</v>
      </c>
      <c r="D328" s="224" t="s">
        <v>32</v>
      </c>
      <c r="E328" s="226" t="s">
        <v>120</v>
      </c>
      <c r="F328" s="225" t="s">
        <v>692</v>
      </c>
      <c r="G328" s="228" t="s">
        <v>20</v>
      </c>
      <c r="H328" s="228" t="s">
        <v>15</v>
      </c>
      <c r="I328" s="228" t="s">
        <v>328</v>
      </c>
      <c r="J328" s="228" t="s">
        <v>328</v>
      </c>
      <c r="K328" s="228" t="s">
        <v>328</v>
      </c>
      <c r="L328" s="228" t="s">
        <v>328</v>
      </c>
      <c r="M328" s="228" t="s">
        <v>328</v>
      </c>
      <c r="N328" s="228" t="s">
        <v>2</v>
      </c>
      <c r="O328" s="229" t="s">
        <v>2</v>
      </c>
      <c r="P328" s="229" t="s">
        <v>2</v>
      </c>
      <c r="Q328" s="229" t="s">
        <v>15</v>
      </c>
      <c r="R328" s="229" t="s">
        <v>15</v>
      </c>
      <c r="S328" s="229" t="s">
        <v>16</v>
      </c>
      <c r="T328" s="229" t="s">
        <v>375</v>
      </c>
      <c r="U328" s="229" t="s">
        <v>331</v>
      </c>
      <c r="V328" s="229" t="s">
        <v>2</v>
      </c>
      <c r="W328" s="230" t="s">
        <v>328</v>
      </c>
      <c r="X328" s="230" t="s">
        <v>328</v>
      </c>
      <c r="Y328" s="231" t="s">
        <v>328</v>
      </c>
    </row>
    <row r="329" spans="1:25">
      <c r="A329" s="223">
        <v>9</v>
      </c>
      <c r="B329" s="224" t="str">
        <f>VLOOKUP(Tabel10[[#This Row],[Locatiecode]],Ruimtegroepen[[#All],[Code]:[Ruimte omschrijving]],2,FALSE)</f>
        <v>Bibliotheek / OLC</v>
      </c>
      <c r="C329" s="225" t="s">
        <v>690</v>
      </c>
      <c r="D329" s="224" t="s">
        <v>32</v>
      </c>
      <c r="E329" s="226" t="s">
        <v>122</v>
      </c>
      <c r="F329" s="225" t="s">
        <v>693</v>
      </c>
      <c r="G329" s="228" t="s">
        <v>328</v>
      </c>
      <c r="H329" s="228" t="s">
        <v>328</v>
      </c>
      <c r="I329" s="228" t="s">
        <v>2</v>
      </c>
      <c r="J329" s="227" t="s">
        <v>15</v>
      </c>
      <c r="K329" s="227" t="s">
        <v>16</v>
      </c>
      <c r="L329" s="228" t="s">
        <v>328</v>
      </c>
      <c r="M329" s="228" t="s">
        <v>328</v>
      </c>
      <c r="N329" s="228" t="s">
        <v>2</v>
      </c>
      <c r="O329" s="229" t="s">
        <v>2</v>
      </c>
      <c r="P329" s="229" t="s">
        <v>2</v>
      </c>
      <c r="Q329" s="229" t="s">
        <v>15</v>
      </c>
      <c r="R329" s="229" t="s">
        <v>15</v>
      </c>
      <c r="S329" s="229" t="s">
        <v>16</v>
      </c>
      <c r="T329" s="229" t="s">
        <v>375</v>
      </c>
      <c r="U329" s="229" t="s">
        <v>331</v>
      </c>
      <c r="V329" s="229" t="s">
        <v>2</v>
      </c>
      <c r="W329" s="230" t="s">
        <v>328</v>
      </c>
      <c r="X329" s="230" t="s">
        <v>328</v>
      </c>
      <c r="Y329" s="231" t="s">
        <v>328</v>
      </c>
    </row>
    <row r="330" spans="1:25">
      <c r="A330" s="223">
        <v>9</v>
      </c>
      <c r="B330" s="224" t="str">
        <f>VLOOKUP(Tabel10[[#This Row],[Locatiecode]],Ruimtegroepen[[#All],[Code]:[Ruimte omschrijving]],2,FALSE)</f>
        <v>Bibliotheek / OLC</v>
      </c>
      <c r="C330" s="225" t="s">
        <v>690</v>
      </c>
      <c r="D330" s="224" t="s">
        <v>32</v>
      </c>
      <c r="E330" s="226" t="s">
        <v>123</v>
      </c>
      <c r="F330" s="225" t="s">
        <v>694</v>
      </c>
      <c r="G330" s="228" t="s">
        <v>328</v>
      </c>
      <c r="H330" s="228" t="s">
        <v>328</v>
      </c>
      <c r="I330" s="228" t="s">
        <v>2</v>
      </c>
      <c r="J330" s="227" t="s">
        <v>15</v>
      </c>
      <c r="K330" s="227" t="s">
        <v>16</v>
      </c>
      <c r="L330" s="228" t="s">
        <v>328</v>
      </c>
      <c r="M330" s="228" t="s">
        <v>328</v>
      </c>
      <c r="N330" s="228" t="s">
        <v>2</v>
      </c>
      <c r="O330" s="229" t="s">
        <v>2</v>
      </c>
      <c r="P330" s="229" t="s">
        <v>2</v>
      </c>
      <c r="Q330" s="229" t="s">
        <v>15</v>
      </c>
      <c r="R330" s="229" t="s">
        <v>15</v>
      </c>
      <c r="S330" s="229" t="s">
        <v>16</v>
      </c>
      <c r="T330" s="229" t="s">
        <v>375</v>
      </c>
      <c r="U330" s="229" t="s">
        <v>331</v>
      </c>
      <c r="V330" s="229" t="s">
        <v>2</v>
      </c>
      <c r="W330" s="230" t="s">
        <v>328</v>
      </c>
      <c r="X330" s="230" t="s">
        <v>328</v>
      </c>
      <c r="Y330" s="231" t="s">
        <v>328</v>
      </c>
    </row>
    <row r="331" spans="1:25">
      <c r="A331" s="223">
        <v>9</v>
      </c>
      <c r="B331" s="224" t="str">
        <f>VLOOKUP(Tabel10[[#This Row],[Locatiecode]],Ruimtegroepen[[#All],[Code]:[Ruimte omschrijving]],2,FALSE)</f>
        <v>Bibliotheek / OLC</v>
      </c>
      <c r="C331" s="225" t="s">
        <v>695</v>
      </c>
      <c r="D331" s="224" t="s">
        <v>1</v>
      </c>
      <c r="E331" s="226" t="s">
        <v>121</v>
      </c>
      <c r="F331" s="225" t="s">
        <v>696</v>
      </c>
      <c r="G331" s="228" t="s">
        <v>328</v>
      </c>
      <c r="H331" s="228" t="s">
        <v>328</v>
      </c>
      <c r="I331" s="228" t="s">
        <v>2</v>
      </c>
      <c r="J331" s="227" t="s">
        <v>15</v>
      </c>
      <c r="K331" s="227" t="s">
        <v>16</v>
      </c>
      <c r="L331" s="228" t="s">
        <v>328</v>
      </c>
      <c r="M331" s="228" t="s">
        <v>328</v>
      </c>
      <c r="N331" s="228" t="s">
        <v>328</v>
      </c>
      <c r="O331" s="229" t="s">
        <v>2</v>
      </c>
      <c r="P331" s="229" t="s">
        <v>2</v>
      </c>
      <c r="Q331" s="229" t="s">
        <v>15</v>
      </c>
      <c r="R331" s="229" t="s">
        <v>15</v>
      </c>
      <c r="S331" s="229" t="s">
        <v>16</v>
      </c>
      <c r="T331" s="229" t="s">
        <v>375</v>
      </c>
      <c r="U331" s="229" t="s">
        <v>331</v>
      </c>
      <c r="V331" s="229" t="s">
        <v>328</v>
      </c>
      <c r="W331" s="230" t="s">
        <v>328</v>
      </c>
      <c r="X331" s="230" t="s">
        <v>328</v>
      </c>
      <c r="Y331" s="231" t="s">
        <v>328</v>
      </c>
    </row>
    <row r="332" spans="1:25">
      <c r="A332" s="223">
        <v>9</v>
      </c>
      <c r="B332" s="224" t="str">
        <f>VLOOKUP(Tabel10[[#This Row],[Locatiecode]],Ruimtegroepen[[#All],[Code]:[Ruimte omschrijving]],2,FALSE)</f>
        <v>Bibliotheek / OLC</v>
      </c>
      <c r="C332" s="225" t="s">
        <v>695</v>
      </c>
      <c r="D332" s="224" t="s">
        <v>1</v>
      </c>
      <c r="E332" s="226" t="s">
        <v>120</v>
      </c>
      <c r="F332" s="225" t="s">
        <v>697</v>
      </c>
      <c r="G332" s="228" t="s">
        <v>20</v>
      </c>
      <c r="H332" s="228" t="s">
        <v>15</v>
      </c>
      <c r="I332" s="228" t="s">
        <v>328</v>
      </c>
      <c r="J332" s="228" t="s">
        <v>328</v>
      </c>
      <c r="K332" s="228" t="s">
        <v>328</v>
      </c>
      <c r="L332" s="228" t="s">
        <v>328</v>
      </c>
      <c r="M332" s="228" t="s">
        <v>328</v>
      </c>
      <c r="N332" s="228" t="s">
        <v>328</v>
      </c>
      <c r="O332" s="229" t="s">
        <v>2</v>
      </c>
      <c r="P332" s="229" t="s">
        <v>2</v>
      </c>
      <c r="Q332" s="229" t="s">
        <v>15</v>
      </c>
      <c r="R332" s="229" t="s">
        <v>15</v>
      </c>
      <c r="S332" s="229" t="s">
        <v>16</v>
      </c>
      <c r="T332" s="229" t="s">
        <v>375</v>
      </c>
      <c r="U332" s="229" t="s">
        <v>331</v>
      </c>
      <c r="V332" s="229" t="s">
        <v>328</v>
      </c>
      <c r="W332" s="230" t="s">
        <v>328</v>
      </c>
      <c r="X332" s="230" t="s">
        <v>328</v>
      </c>
      <c r="Y332" s="231" t="s">
        <v>328</v>
      </c>
    </row>
    <row r="333" spans="1:25">
      <c r="A333" s="223">
        <v>9</v>
      </c>
      <c r="B333" s="224" t="str">
        <f>VLOOKUP(Tabel10[[#This Row],[Locatiecode]],Ruimtegroepen[[#All],[Code]:[Ruimte omschrijving]],2,FALSE)</f>
        <v>Bibliotheek / OLC</v>
      </c>
      <c r="C333" s="225" t="s">
        <v>695</v>
      </c>
      <c r="D333" s="224" t="s">
        <v>1</v>
      </c>
      <c r="E333" s="226" t="s">
        <v>122</v>
      </c>
      <c r="F333" s="225" t="s">
        <v>698</v>
      </c>
      <c r="G333" s="228" t="s">
        <v>328</v>
      </c>
      <c r="H333" s="228" t="s">
        <v>328</v>
      </c>
      <c r="I333" s="228" t="s">
        <v>2</v>
      </c>
      <c r="J333" s="227" t="s">
        <v>15</v>
      </c>
      <c r="K333" s="227" t="s">
        <v>16</v>
      </c>
      <c r="L333" s="228" t="s">
        <v>328</v>
      </c>
      <c r="M333" s="228" t="s">
        <v>328</v>
      </c>
      <c r="N333" s="228" t="s">
        <v>328</v>
      </c>
      <c r="O333" s="229" t="s">
        <v>2</v>
      </c>
      <c r="P333" s="229" t="s">
        <v>2</v>
      </c>
      <c r="Q333" s="229" t="s">
        <v>15</v>
      </c>
      <c r="R333" s="229" t="s">
        <v>15</v>
      </c>
      <c r="S333" s="229" t="s">
        <v>16</v>
      </c>
      <c r="T333" s="229" t="s">
        <v>375</v>
      </c>
      <c r="U333" s="229" t="s">
        <v>331</v>
      </c>
      <c r="V333" s="229" t="s">
        <v>328</v>
      </c>
      <c r="W333" s="230" t="s">
        <v>328</v>
      </c>
      <c r="X333" s="230" t="s">
        <v>328</v>
      </c>
      <c r="Y333" s="231" t="s">
        <v>328</v>
      </c>
    </row>
    <row r="334" spans="1:25">
      <c r="A334" s="223">
        <v>9</v>
      </c>
      <c r="B334" s="224" t="str">
        <f>VLOOKUP(Tabel10[[#This Row],[Locatiecode]],Ruimtegroepen[[#All],[Code]:[Ruimte omschrijving]],2,FALSE)</f>
        <v>Bibliotheek / OLC</v>
      </c>
      <c r="C334" s="225" t="s">
        <v>695</v>
      </c>
      <c r="D334" s="224" t="s">
        <v>1</v>
      </c>
      <c r="E334" s="226" t="s">
        <v>123</v>
      </c>
      <c r="F334" s="225" t="s">
        <v>699</v>
      </c>
      <c r="G334" s="228" t="s">
        <v>328</v>
      </c>
      <c r="H334" s="228" t="s">
        <v>328</v>
      </c>
      <c r="I334" s="228" t="s">
        <v>2</v>
      </c>
      <c r="J334" s="227" t="s">
        <v>15</v>
      </c>
      <c r="K334" s="227" t="s">
        <v>16</v>
      </c>
      <c r="L334" s="228" t="s">
        <v>328</v>
      </c>
      <c r="M334" s="228" t="s">
        <v>328</v>
      </c>
      <c r="N334" s="228" t="s">
        <v>328</v>
      </c>
      <c r="O334" s="229" t="s">
        <v>2</v>
      </c>
      <c r="P334" s="229" t="s">
        <v>2</v>
      </c>
      <c r="Q334" s="229" t="s">
        <v>15</v>
      </c>
      <c r="R334" s="229" t="s">
        <v>15</v>
      </c>
      <c r="S334" s="229" t="s">
        <v>16</v>
      </c>
      <c r="T334" s="229" t="s">
        <v>375</v>
      </c>
      <c r="U334" s="229" t="s">
        <v>331</v>
      </c>
      <c r="V334" s="229" t="s">
        <v>328</v>
      </c>
      <c r="W334" s="230" t="s">
        <v>328</v>
      </c>
      <c r="X334" s="230" t="s">
        <v>328</v>
      </c>
      <c r="Y334" s="231" t="s">
        <v>328</v>
      </c>
    </row>
    <row r="335" spans="1:25">
      <c r="A335" s="223">
        <v>9</v>
      </c>
      <c r="B335" s="224" t="str">
        <f>VLOOKUP(Tabel10[[#This Row],[Locatiecode]],Ruimtegroepen[[#All],[Code]:[Ruimte omschrijving]],2,FALSE)</f>
        <v>Bibliotheek / OLC</v>
      </c>
      <c r="C335" s="225" t="s">
        <v>700</v>
      </c>
      <c r="D335" s="224" t="s">
        <v>21</v>
      </c>
      <c r="E335" s="226" t="s">
        <v>121</v>
      </c>
      <c r="F335" s="225" t="s">
        <v>701</v>
      </c>
      <c r="G335" s="228" t="s">
        <v>328</v>
      </c>
      <c r="H335" s="228" t="s">
        <v>328</v>
      </c>
      <c r="I335" s="228" t="s">
        <v>20</v>
      </c>
      <c r="J335" s="227" t="s">
        <v>15</v>
      </c>
      <c r="K335" s="227" t="s">
        <v>16</v>
      </c>
      <c r="L335" s="228" t="s">
        <v>328</v>
      </c>
      <c r="M335" s="228" t="s">
        <v>328</v>
      </c>
      <c r="N335" s="228" t="s">
        <v>328</v>
      </c>
      <c r="O335" s="229" t="s">
        <v>20</v>
      </c>
      <c r="P335" s="229" t="s">
        <v>20</v>
      </c>
      <c r="Q335" s="229" t="s">
        <v>15</v>
      </c>
      <c r="R335" s="229" t="s">
        <v>15</v>
      </c>
      <c r="S335" s="229" t="s">
        <v>16</v>
      </c>
      <c r="T335" s="229" t="s">
        <v>375</v>
      </c>
      <c r="U335" s="229" t="s">
        <v>331</v>
      </c>
      <c r="V335" s="229" t="s">
        <v>328</v>
      </c>
      <c r="W335" s="230" t="s">
        <v>328</v>
      </c>
      <c r="X335" s="230" t="s">
        <v>328</v>
      </c>
      <c r="Y335" s="231" t="s">
        <v>328</v>
      </c>
    </row>
    <row r="336" spans="1:25">
      <c r="A336" s="223">
        <v>9</v>
      </c>
      <c r="B336" s="224" t="str">
        <f>VLOOKUP(Tabel10[[#This Row],[Locatiecode]],Ruimtegroepen[[#All],[Code]:[Ruimte omschrijving]],2,FALSE)</f>
        <v>Bibliotheek / OLC</v>
      </c>
      <c r="C336" s="225" t="s">
        <v>700</v>
      </c>
      <c r="D336" s="224" t="s">
        <v>21</v>
      </c>
      <c r="E336" s="226" t="s">
        <v>120</v>
      </c>
      <c r="F336" s="225" t="s">
        <v>702</v>
      </c>
      <c r="G336" s="228" t="s">
        <v>20</v>
      </c>
      <c r="H336" s="228" t="s">
        <v>15</v>
      </c>
      <c r="I336" s="228" t="s">
        <v>328</v>
      </c>
      <c r="J336" s="228" t="s">
        <v>328</v>
      </c>
      <c r="K336" s="228" t="s">
        <v>328</v>
      </c>
      <c r="L336" s="228" t="s">
        <v>328</v>
      </c>
      <c r="M336" s="228" t="s">
        <v>328</v>
      </c>
      <c r="N336" s="228" t="s">
        <v>328</v>
      </c>
      <c r="O336" s="229" t="s">
        <v>20</v>
      </c>
      <c r="P336" s="229" t="s">
        <v>20</v>
      </c>
      <c r="Q336" s="229" t="s">
        <v>15</v>
      </c>
      <c r="R336" s="229" t="s">
        <v>15</v>
      </c>
      <c r="S336" s="229" t="s">
        <v>16</v>
      </c>
      <c r="T336" s="229" t="s">
        <v>375</v>
      </c>
      <c r="U336" s="229" t="s">
        <v>331</v>
      </c>
      <c r="V336" s="229" t="s">
        <v>328</v>
      </c>
      <c r="W336" s="230" t="s">
        <v>328</v>
      </c>
      <c r="X336" s="230" t="s">
        <v>328</v>
      </c>
      <c r="Y336" s="231" t="s">
        <v>328</v>
      </c>
    </row>
    <row r="337" spans="1:25">
      <c r="A337" s="223">
        <v>9</v>
      </c>
      <c r="B337" s="224" t="str">
        <f>VLOOKUP(Tabel10[[#This Row],[Locatiecode]],Ruimtegroepen[[#All],[Code]:[Ruimte omschrijving]],2,FALSE)</f>
        <v>Bibliotheek / OLC</v>
      </c>
      <c r="C337" s="225" t="s">
        <v>700</v>
      </c>
      <c r="D337" s="224" t="s">
        <v>21</v>
      </c>
      <c r="E337" s="226" t="s">
        <v>122</v>
      </c>
      <c r="F337" s="225" t="s">
        <v>703</v>
      </c>
      <c r="G337" s="228" t="s">
        <v>328</v>
      </c>
      <c r="H337" s="228" t="s">
        <v>328</v>
      </c>
      <c r="I337" s="228" t="s">
        <v>20</v>
      </c>
      <c r="J337" s="227" t="s">
        <v>15</v>
      </c>
      <c r="K337" s="227" t="s">
        <v>16</v>
      </c>
      <c r="L337" s="228" t="s">
        <v>328</v>
      </c>
      <c r="M337" s="228" t="s">
        <v>328</v>
      </c>
      <c r="N337" s="228" t="s">
        <v>328</v>
      </c>
      <c r="O337" s="229" t="s">
        <v>20</v>
      </c>
      <c r="P337" s="229" t="s">
        <v>20</v>
      </c>
      <c r="Q337" s="229" t="s">
        <v>15</v>
      </c>
      <c r="R337" s="229" t="s">
        <v>15</v>
      </c>
      <c r="S337" s="229" t="s">
        <v>16</v>
      </c>
      <c r="T337" s="229" t="s">
        <v>375</v>
      </c>
      <c r="U337" s="229" t="s">
        <v>331</v>
      </c>
      <c r="V337" s="229" t="s">
        <v>328</v>
      </c>
      <c r="W337" s="230" t="s">
        <v>328</v>
      </c>
      <c r="X337" s="230" t="s">
        <v>328</v>
      </c>
      <c r="Y337" s="231" t="s">
        <v>328</v>
      </c>
    </row>
    <row r="338" spans="1:25">
      <c r="A338" s="223">
        <v>9</v>
      </c>
      <c r="B338" s="224" t="str">
        <f>VLOOKUP(Tabel10[[#This Row],[Locatiecode]],Ruimtegroepen[[#All],[Code]:[Ruimte omschrijving]],2,FALSE)</f>
        <v>Bibliotheek / OLC</v>
      </c>
      <c r="C338" s="225" t="s">
        <v>700</v>
      </c>
      <c r="D338" s="224" t="s">
        <v>21</v>
      </c>
      <c r="E338" s="226" t="s">
        <v>123</v>
      </c>
      <c r="F338" s="225" t="s">
        <v>704</v>
      </c>
      <c r="G338" s="228" t="s">
        <v>328</v>
      </c>
      <c r="H338" s="228" t="s">
        <v>328</v>
      </c>
      <c r="I338" s="228" t="s">
        <v>20</v>
      </c>
      <c r="J338" s="227" t="s">
        <v>15</v>
      </c>
      <c r="K338" s="227" t="s">
        <v>16</v>
      </c>
      <c r="L338" s="228" t="s">
        <v>328</v>
      </c>
      <c r="M338" s="228" t="s">
        <v>328</v>
      </c>
      <c r="N338" s="228" t="s">
        <v>328</v>
      </c>
      <c r="O338" s="229" t="s">
        <v>20</v>
      </c>
      <c r="P338" s="229" t="s">
        <v>20</v>
      </c>
      <c r="Q338" s="229" t="s">
        <v>15</v>
      </c>
      <c r="R338" s="229" t="s">
        <v>15</v>
      </c>
      <c r="S338" s="229" t="s">
        <v>16</v>
      </c>
      <c r="T338" s="229" t="s">
        <v>375</v>
      </c>
      <c r="U338" s="229" t="s">
        <v>331</v>
      </c>
      <c r="V338" s="229" t="s">
        <v>328</v>
      </c>
      <c r="W338" s="230" t="s">
        <v>328</v>
      </c>
      <c r="X338" s="230" t="s">
        <v>328</v>
      </c>
      <c r="Y338" s="231" t="s">
        <v>328</v>
      </c>
    </row>
    <row r="339" spans="1:25">
      <c r="A339" s="223">
        <v>9</v>
      </c>
      <c r="B339" s="224" t="str">
        <f>VLOOKUP(Tabel10[[#This Row],[Locatiecode]],Ruimtegroepen[[#All],[Code]:[Ruimte omschrijving]],2,FALSE)</f>
        <v>Bibliotheek / OLC</v>
      </c>
      <c r="C339" s="225" t="s">
        <v>705</v>
      </c>
      <c r="D339" s="224" t="s">
        <v>12</v>
      </c>
      <c r="E339" s="226" t="s">
        <v>121</v>
      </c>
      <c r="F339" s="225" t="s">
        <v>706</v>
      </c>
      <c r="G339" s="228" t="s">
        <v>328</v>
      </c>
      <c r="H339" s="228" t="s">
        <v>328</v>
      </c>
      <c r="I339" s="228" t="s">
        <v>18</v>
      </c>
      <c r="J339" s="227" t="s">
        <v>15</v>
      </c>
      <c r="K339" s="227" t="s">
        <v>16</v>
      </c>
      <c r="L339" s="228" t="s">
        <v>328</v>
      </c>
      <c r="M339" s="228" t="s">
        <v>328</v>
      </c>
      <c r="N339" s="228" t="s">
        <v>328</v>
      </c>
      <c r="O339" s="229" t="s">
        <v>18</v>
      </c>
      <c r="P339" s="229" t="s">
        <v>18</v>
      </c>
      <c r="Q339" s="229" t="s">
        <v>15</v>
      </c>
      <c r="R339" s="229" t="s">
        <v>15</v>
      </c>
      <c r="S339" s="229" t="s">
        <v>16</v>
      </c>
      <c r="T339" s="229" t="s">
        <v>375</v>
      </c>
      <c r="U339" s="229" t="s">
        <v>331</v>
      </c>
      <c r="V339" s="229" t="s">
        <v>328</v>
      </c>
      <c r="W339" s="230" t="s">
        <v>328</v>
      </c>
      <c r="X339" s="230" t="s">
        <v>328</v>
      </c>
      <c r="Y339" s="231" t="s">
        <v>328</v>
      </c>
    </row>
    <row r="340" spans="1:25">
      <c r="A340" s="223">
        <v>9</v>
      </c>
      <c r="B340" s="224" t="str">
        <f>VLOOKUP(Tabel10[[#This Row],[Locatiecode]],Ruimtegroepen[[#All],[Code]:[Ruimte omschrijving]],2,FALSE)</f>
        <v>Bibliotheek / OLC</v>
      </c>
      <c r="C340" s="225" t="s">
        <v>705</v>
      </c>
      <c r="D340" s="224" t="s">
        <v>12</v>
      </c>
      <c r="E340" s="226" t="s">
        <v>120</v>
      </c>
      <c r="F340" s="225" t="s">
        <v>707</v>
      </c>
      <c r="G340" s="228" t="s">
        <v>17</v>
      </c>
      <c r="H340" s="228" t="s">
        <v>15</v>
      </c>
      <c r="I340" s="228" t="s">
        <v>328</v>
      </c>
      <c r="J340" s="228" t="s">
        <v>328</v>
      </c>
      <c r="K340" s="228" t="s">
        <v>328</v>
      </c>
      <c r="L340" s="228" t="s">
        <v>328</v>
      </c>
      <c r="M340" s="228" t="s">
        <v>328</v>
      </c>
      <c r="N340" s="228" t="s">
        <v>328</v>
      </c>
      <c r="O340" s="229" t="s">
        <v>18</v>
      </c>
      <c r="P340" s="229" t="s">
        <v>18</v>
      </c>
      <c r="Q340" s="229" t="s">
        <v>15</v>
      </c>
      <c r="R340" s="229" t="s">
        <v>15</v>
      </c>
      <c r="S340" s="229" t="s">
        <v>16</v>
      </c>
      <c r="T340" s="229" t="s">
        <v>375</v>
      </c>
      <c r="U340" s="229" t="s">
        <v>331</v>
      </c>
      <c r="V340" s="229" t="s">
        <v>328</v>
      </c>
      <c r="W340" s="230" t="s">
        <v>328</v>
      </c>
      <c r="X340" s="230" t="s">
        <v>328</v>
      </c>
      <c r="Y340" s="231" t="s">
        <v>328</v>
      </c>
    </row>
    <row r="341" spans="1:25">
      <c r="A341" s="223">
        <v>9</v>
      </c>
      <c r="B341" s="224" t="str">
        <f>VLOOKUP(Tabel10[[#This Row],[Locatiecode]],Ruimtegroepen[[#All],[Code]:[Ruimte omschrijving]],2,FALSE)</f>
        <v>Bibliotheek / OLC</v>
      </c>
      <c r="C341" s="225" t="s">
        <v>705</v>
      </c>
      <c r="D341" s="224" t="s">
        <v>12</v>
      </c>
      <c r="E341" s="226" t="s">
        <v>122</v>
      </c>
      <c r="F341" s="225" t="s">
        <v>708</v>
      </c>
      <c r="G341" s="228" t="s">
        <v>328</v>
      </c>
      <c r="H341" s="228" t="s">
        <v>328</v>
      </c>
      <c r="I341" s="228" t="s">
        <v>18</v>
      </c>
      <c r="J341" s="227" t="s">
        <v>15</v>
      </c>
      <c r="K341" s="227" t="s">
        <v>16</v>
      </c>
      <c r="L341" s="228" t="s">
        <v>328</v>
      </c>
      <c r="M341" s="228" t="s">
        <v>328</v>
      </c>
      <c r="N341" s="228" t="s">
        <v>328</v>
      </c>
      <c r="O341" s="229" t="s">
        <v>18</v>
      </c>
      <c r="P341" s="229" t="s">
        <v>18</v>
      </c>
      <c r="Q341" s="229" t="s">
        <v>15</v>
      </c>
      <c r="R341" s="229" t="s">
        <v>15</v>
      </c>
      <c r="S341" s="229" t="s">
        <v>16</v>
      </c>
      <c r="T341" s="229" t="s">
        <v>375</v>
      </c>
      <c r="U341" s="229" t="s">
        <v>331</v>
      </c>
      <c r="V341" s="229" t="s">
        <v>328</v>
      </c>
      <c r="W341" s="230" t="s">
        <v>328</v>
      </c>
      <c r="X341" s="230" t="s">
        <v>328</v>
      </c>
      <c r="Y341" s="231" t="s">
        <v>328</v>
      </c>
    </row>
    <row r="342" spans="1:25">
      <c r="A342" s="223">
        <v>9</v>
      </c>
      <c r="B342" s="224" t="str">
        <f>VLOOKUP(Tabel10[[#This Row],[Locatiecode]],Ruimtegroepen[[#All],[Code]:[Ruimte omschrijving]],2,FALSE)</f>
        <v>Bibliotheek / OLC</v>
      </c>
      <c r="C342" s="225" t="s">
        <v>705</v>
      </c>
      <c r="D342" s="224" t="s">
        <v>12</v>
      </c>
      <c r="E342" s="226" t="s">
        <v>123</v>
      </c>
      <c r="F342" s="225" t="s">
        <v>709</v>
      </c>
      <c r="G342" s="228" t="s">
        <v>328</v>
      </c>
      <c r="H342" s="228" t="s">
        <v>328</v>
      </c>
      <c r="I342" s="228" t="s">
        <v>18</v>
      </c>
      <c r="J342" s="227" t="s">
        <v>15</v>
      </c>
      <c r="K342" s="227" t="s">
        <v>16</v>
      </c>
      <c r="L342" s="228" t="s">
        <v>328</v>
      </c>
      <c r="M342" s="228" t="s">
        <v>328</v>
      </c>
      <c r="N342" s="228" t="s">
        <v>328</v>
      </c>
      <c r="O342" s="229" t="s">
        <v>18</v>
      </c>
      <c r="P342" s="229" t="s">
        <v>18</v>
      </c>
      <c r="Q342" s="229" t="s">
        <v>15</v>
      </c>
      <c r="R342" s="229" t="s">
        <v>15</v>
      </c>
      <c r="S342" s="229" t="s">
        <v>16</v>
      </c>
      <c r="T342" s="229" t="s">
        <v>375</v>
      </c>
      <c r="U342" s="229" t="s">
        <v>331</v>
      </c>
      <c r="V342" s="229" t="s">
        <v>328</v>
      </c>
      <c r="W342" s="230" t="s">
        <v>328</v>
      </c>
      <c r="X342" s="230" t="s">
        <v>328</v>
      </c>
      <c r="Y342" s="231" t="s">
        <v>328</v>
      </c>
    </row>
    <row r="343" spans="1:25">
      <c r="A343" s="223">
        <v>9</v>
      </c>
      <c r="B343" s="224" t="str">
        <f>VLOOKUP(Tabel10[[#This Row],[Locatiecode]],Ruimtegroepen[[#All],[Code]:[Ruimte omschrijving]],2,FALSE)</f>
        <v>Bibliotheek / OLC</v>
      </c>
      <c r="C343" s="225" t="s">
        <v>710</v>
      </c>
      <c r="D343" s="224" t="s">
        <v>14</v>
      </c>
      <c r="E343" s="226" t="s">
        <v>121</v>
      </c>
      <c r="F343" s="225" t="s">
        <v>711</v>
      </c>
      <c r="G343" s="228" t="s">
        <v>328</v>
      </c>
      <c r="H343" s="228" t="s">
        <v>328</v>
      </c>
      <c r="I343" s="228" t="s">
        <v>17</v>
      </c>
      <c r="J343" s="227" t="s">
        <v>15</v>
      </c>
      <c r="K343" s="227" t="s">
        <v>16</v>
      </c>
      <c r="L343" s="228" t="s">
        <v>328</v>
      </c>
      <c r="M343" s="228" t="s">
        <v>328</v>
      </c>
      <c r="N343" s="228" t="s">
        <v>328</v>
      </c>
      <c r="O343" s="229" t="s">
        <v>17</v>
      </c>
      <c r="P343" s="229" t="s">
        <v>17</v>
      </c>
      <c r="Q343" s="229" t="s">
        <v>15</v>
      </c>
      <c r="R343" s="229" t="s">
        <v>15</v>
      </c>
      <c r="S343" s="229" t="s">
        <v>16</v>
      </c>
      <c r="T343" s="229" t="s">
        <v>375</v>
      </c>
      <c r="U343" s="229" t="s">
        <v>331</v>
      </c>
      <c r="V343" s="229" t="s">
        <v>328</v>
      </c>
      <c r="W343" s="230" t="s">
        <v>328</v>
      </c>
      <c r="X343" s="230" t="s">
        <v>328</v>
      </c>
      <c r="Y343" s="231" t="s">
        <v>328</v>
      </c>
    </row>
    <row r="344" spans="1:25">
      <c r="A344" s="223">
        <v>9</v>
      </c>
      <c r="B344" s="224" t="str">
        <f>VLOOKUP(Tabel10[[#This Row],[Locatiecode]],Ruimtegroepen[[#All],[Code]:[Ruimte omschrijving]],2,FALSE)</f>
        <v>Bibliotheek / OLC</v>
      </c>
      <c r="C344" s="225" t="s">
        <v>710</v>
      </c>
      <c r="D344" s="224" t="s">
        <v>14</v>
      </c>
      <c r="E344" s="226" t="s">
        <v>120</v>
      </c>
      <c r="F344" s="225" t="s">
        <v>712</v>
      </c>
      <c r="G344" s="228" t="s">
        <v>15</v>
      </c>
      <c r="H344" s="228" t="s">
        <v>15</v>
      </c>
      <c r="I344" s="228" t="s">
        <v>328</v>
      </c>
      <c r="J344" s="228" t="s">
        <v>328</v>
      </c>
      <c r="K344" s="228" t="s">
        <v>328</v>
      </c>
      <c r="L344" s="228" t="s">
        <v>328</v>
      </c>
      <c r="M344" s="228" t="s">
        <v>328</v>
      </c>
      <c r="N344" s="228" t="s">
        <v>328</v>
      </c>
      <c r="O344" s="229" t="s">
        <v>17</v>
      </c>
      <c r="P344" s="229" t="s">
        <v>17</v>
      </c>
      <c r="Q344" s="229" t="s">
        <v>15</v>
      </c>
      <c r="R344" s="229" t="s">
        <v>15</v>
      </c>
      <c r="S344" s="229" t="s">
        <v>16</v>
      </c>
      <c r="T344" s="229" t="s">
        <v>375</v>
      </c>
      <c r="U344" s="229" t="s">
        <v>331</v>
      </c>
      <c r="V344" s="229" t="s">
        <v>328</v>
      </c>
      <c r="W344" s="230" t="s">
        <v>328</v>
      </c>
      <c r="X344" s="230" t="s">
        <v>328</v>
      </c>
      <c r="Y344" s="231" t="s">
        <v>328</v>
      </c>
    </row>
    <row r="345" spans="1:25">
      <c r="A345" s="223">
        <v>9</v>
      </c>
      <c r="B345" s="224" t="str">
        <f>VLOOKUP(Tabel10[[#This Row],[Locatiecode]],Ruimtegroepen[[#All],[Code]:[Ruimte omschrijving]],2,FALSE)</f>
        <v>Bibliotheek / OLC</v>
      </c>
      <c r="C345" s="225" t="s">
        <v>710</v>
      </c>
      <c r="D345" s="224" t="s">
        <v>14</v>
      </c>
      <c r="E345" s="226" t="s">
        <v>122</v>
      </c>
      <c r="F345" s="225" t="s">
        <v>713</v>
      </c>
      <c r="G345" s="228" t="s">
        <v>328</v>
      </c>
      <c r="H345" s="228" t="s">
        <v>328</v>
      </c>
      <c r="I345" s="228" t="s">
        <v>17</v>
      </c>
      <c r="J345" s="228" t="s">
        <v>15</v>
      </c>
      <c r="K345" s="227" t="s">
        <v>16</v>
      </c>
      <c r="L345" s="228" t="s">
        <v>328</v>
      </c>
      <c r="M345" s="228" t="s">
        <v>328</v>
      </c>
      <c r="N345" s="228" t="s">
        <v>328</v>
      </c>
      <c r="O345" s="229" t="s">
        <v>17</v>
      </c>
      <c r="P345" s="229" t="s">
        <v>17</v>
      </c>
      <c r="Q345" s="229" t="s">
        <v>15</v>
      </c>
      <c r="R345" s="229" t="s">
        <v>15</v>
      </c>
      <c r="S345" s="229" t="s">
        <v>16</v>
      </c>
      <c r="T345" s="229" t="s">
        <v>375</v>
      </c>
      <c r="U345" s="229" t="s">
        <v>331</v>
      </c>
      <c r="V345" s="229" t="s">
        <v>328</v>
      </c>
      <c r="W345" s="230" t="s">
        <v>328</v>
      </c>
      <c r="X345" s="230" t="s">
        <v>328</v>
      </c>
      <c r="Y345" s="231" t="s">
        <v>328</v>
      </c>
    </row>
    <row r="346" spans="1:25">
      <c r="A346" s="223">
        <v>9</v>
      </c>
      <c r="B346" s="224" t="str">
        <f>VLOOKUP(Tabel10[[#This Row],[Locatiecode]],Ruimtegroepen[[#All],[Code]:[Ruimte omschrijving]],2,FALSE)</f>
        <v>Bibliotheek / OLC</v>
      </c>
      <c r="C346" s="225" t="s">
        <v>710</v>
      </c>
      <c r="D346" s="224" t="s">
        <v>14</v>
      </c>
      <c r="E346" s="226" t="s">
        <v>123</v>
      </c>
      <c r="F346" s="225" t="s">
        <v>714</v>
      </c>
      <c r="G346" s="228" t="s">
        <v>328</v>
      </c>
      <c r="H346" s="228" t="s">
        <v>328</v>
      </c>
      <c r="I346" s="228" t="s">
        <v>17</v>
      </c>
      <c r="J346" s="228" t="s">
        <v>15</v>
      </c>
      <c r="K346" s="227" t="s">
        <v>16</v>
      </c>
      <c r="L346" s="228" t="s">
        <v>328</v>
      </c>
      <c r="M346" s="228" t="s">
        <v>328</v>
      </c>
      <c r="N346" s="228" t="s">
        <v>328</v>
      </c>
      <c r="O346" s="229" t="s">
        <v>17</v>
      </c>
      <c r="P346" s="229" t="s">
        <v>17</v>
      </c>
      <c r="Q346" s="229" t="s">
        <v>15</v>
      </c>
      <c r="R346" s="229" t="s">
        <v>15</v>
      </c>
      <c r="S346" s="229" t="s">
        <v>16</v>
      </c>
      <c r="T346" s="229" t="s">
        <v>375</v>
      </c>
      <c r="U346" s="229" t="s">
        <v>331</v>
      </c>
      <c r="V346" s="229" t="s">
        <v>328</v>
      </c>
      <c r="W346" s="230" t="s">
        <v>328</v>
      </c>
      <c r="X346" s="230" t="s">
        <v>328</v>
      </c>
      <c r="Y346" s="231" t="s">
        <v>328</v>
      </c>
    </row>
    <row r="347" spans="1:25">
      <c r="A347" s="223">
        <v>9</v>
      </c>
      <c r="B347" s="224" t="str">
        <f>VLOOKUP(Tabel10[[#This Row],[Locatiecode]],Ruimtegroepen[[#All],[Code]:[Ruimte omschrijving]],2,FALSE)</f>
        <v>Bibliotheek / OLC</v>
      </c>
      <c r="C347" s="225" t="s">
        <v>715</v>
      </c>
      <c r="D347" s="224" t="s">
        <v>13</v>
      </c>
      <c r="E347" s="226" t="s">
        <v>121</v>
      </c>
      <c r="F347" s="225" t="s">
        <v>716</v>
      </c>
      <c r="G347" s="228" t="s">
        <v>328</v>
      </c>
      <c r="H347" s="228" t="s">
        <v>328</v>
      </c>
      <c r="I347" s="228" t="s">
        <v>15</v>
      </c>
      <c r="J347" s="228" t="s">
        <v>328</v>
      </c>
      <c r="K347" s="227" t="s">
        <v>16</v>
      </c>
      <c r="L347" s="228" t="s">
        <v>328</v>
      </c>
      <c r="M347" s="228" t="s">
        <v>328</v>
      </c>
      <c r="N347" s="228" t="s">
        <v>328</v>
      </c>
      <c r="O347" s="229" t="s">
        <v>15</v>
      </c>
      <c r="P347" s="229" t="s">
        <v>15</v>
      </c>
      <c r="Q347" s="229" t="s">
        <v>15</v>
      </c>
      <c r="R347" s="229" t="s">
        <v>15</v>
      </c>
      <c r="S347" s="229" t="s">
        <v>16</v>
      </c>
      <c r="T347" s="229" t="s">
        <v>375</v>
      </c>
      <c r="U347" s="229" t="s">
        <v>331</v>
      </c>
      <c r="V347" s="229" t="s">
        <v>328</v>
      </c>
      <c r="W347" s="230" t="s">
        <v>328</v>
      </c>
      <c r="X347" s="230" t="s">
        <v>328</v>
      </c>
      <c r="Y347" s="231" t="s">
        <v>328</v>
      </c>
    </row>
    <row r="348" spans="1:25">
      <c r="A348" s="223">
        <v>9</v>
      </c>
      <c r="B348" s="224" t="str">
        <f>VLOOKUP(Tabel10[[#This Row],[Locatiecode]],Ruimtegroepen[[#All],[Code]:[Ruimte omschrijving]],2,FALSE)</f>
        <v>Bibliotheek / OLC</v>
      </c>
      <c r="C348" s="225" t="s">
        <v>715</v>
      </c>
      <c r="D348" s="224" t="s">
        <v>13</v>
      </c>
      <c r="E348" s="226" t="s">
        <v>120</v>
      </c>
      <c r="F348" s="225" t="s">
        <v>717</v>
      </c>
      <c r="G348" s="228" t="s">
        <v>407</v>
      </c>
      <c r="H348" s="228" t="s">
        <v>15</v>
      </c>
      <c r="I348" s="228" t="s">
        <v>328</v>
      </c>
      <c r="J348" s="228" t="s">
        <v>328</v>
      </c>
      <c r="K348" s="228" t="s">
        <v>328</v>
      </c>
      <c r="L348" s="228" t="s">
        <v>328</v>
      </c>
      <c r="M348" s="228" t="s">
        <v>328</v>
      </c>
      <c r="N348" s="228" t="s">
        <v>328</v>
      </c>
      <c r="O348" s="229" t="s">
        <v>15</v>
      </c>
      <c r="P348" s="229" t="s">
        <v>15</v>
      </c>
      <c r="Q348" s="229" t="s">
        <v>15</v>
      </c>
      <c r="R348" s="229" t="s">
        <v>15</v>
      </c>
      <c r="S348" s="229" t="s">
        <v>16</v>
      </c>
      <c r="T348" s="229" t="s">
        <v>375</v>
      </c>
      <c r="U348" s="229" t="s">
        <v>331</v>
      </c>
      <c r="V348" s="229" t="s">
        <v>328</v>
      </c>
      <c r="W348" s="230" t="s">
        <v>328</v>
      </c>
      <c r="X348" s="230" t="s">
        <v>328</v>
      </c>
      <c r="Y348" s="231" t="s">
        <v>328</v>
      </c>
    </row>
    <row r="349" spans="1:25">
      <c r="A349" s="223">
        <v>9</v>
      </c>
      <c r="B349" s="224" t="str">
        <f>VLOOKUP(Tabel10[[#This Row],[Locatiecode]],Ruimtegroepen[[#All],[Code]:[Ruimte omschrijving]],2,FALSE)</f>
        <v>Bibliotheek / OLC</v>
      </c>
      <c r="C349" s="225" t="s">
        <v>715</v>
      </c>
      <c r="D349" s="224" t="s">
        <v>13</v>
      </c>
      <c r="E349" s="226" t="s">
        <v>122</v>
      </c>
      <c r="F349" s="225" t="s">
        <v>718</v>
      </c>
      <c r="G349" s="228" t="s">
        <v>328</v>
      </c>
      <c r="H349" s="228" t="s">
        <v>328</v>
      </c>
      <c r="I349" s="228" t="s">
        <v>15</v>
      </c>
      <c r="J349" s="228" t="s">
        <v>15</v>
      </c>
      <c r="K349" s="228" t="s">
        <v>16</v>
      </c>
      <c r="L349" s="228" t="s">
        <v>328</v>
      </c>
      <c r="M349" s="228" t="s">
        <v>328</v>
      </c>
      <c r="N349" s="228" t="s">
        <v>328</v>
      </c>
      <c r="O349" s="229" t="s">
        <v>15</v>
      </c>
      <c r="P349" s="229" t="s">
        <v>15</v>
      </c>
      <c r="Q349" s="229" t="s">
        <v>15</v>
      </c>
      <c r="R349" s="229" t="s">
        <v>15</v>
      </c>
      <c r="S349" s="229" t="s">
        <v>16</v>
      </c>
      <c r="T349" s="229" t="s">
        <v>375</v>
      </c>
      <c r="U349" s="229" t="s">
        <v>331</v>
      </c>
      <c r="V349" s="229" t="s">
        <v>328</v>
      </c>
      <c r="W349" s="230" t="s">
        <v>328</v>
      </c>
      <c r="X349" s="230" t="s">
        <v>328</v>
      </c>
      <c r="Y349" s="231" t="s">
        <v>328</v>
      </c>
    </row>
    <row r="350" spans="1:25">
      <c r="A350" s="223">
        <v>9</v>
      </c>
      <c r="B350" s="224" t="str">
        <f>VLOOKUP(Tabel10[[#This Row],[Locatiecode]],Ruimtegroepen[[#All],[Code]:[Ruimte omschrijving]],2,FALSE)</f>
        <v>Bibliotheek / OLC</v>
      </c>
      <c r="C350" s="225" t="s">
        <v>715</v>
      </c>
      <c r="D350" s="224" t="s">
        <v>13</v>
      </c>
      <c r="E350" s="226" t="s">
        <v>123</v>
      </c>
      <c r="F350" s="225" t="s">
        <v>719</v>
      </c>
      <c r="G350" s="228" t="s">
        <v>328</v>
      </c>
      <c r="H350" s="228" t="s">
        <v>328</v>
      </c>
      <c r="I350" s="228" t="s">
        <v>15</v>
      </c>
      <c r="J350" s="228" t="s">
        <v>15</v>
      </c>
      <c r="K350" s="228" t="s">
        <v>16</v>
      </c>
      <c r="L350" s="228" t="s">
        <v>328</v>
      </c>
      <c r="M350" s="228" t="s">
        <v>328</v>
      </c>
      <c r="N350" s="228" t="s">
        <v>328</v>
      </c>
      <c r="O350" s="229" t="s">
        <v>15</v>
      </c>
      <c r="P350" s="229" t="s">
        <v>15</v>
      </c>
      <c r="Q350" s="229" t="s">
        <v>15</v>
      </c>
      <c r="R350" s="229" t="s">
        <v>15</v>
      </c>
      <c r="S350" s="229" t="s">
        <v>16</v>
      </c>
      <c r="T350" s="229" t="s">
        <v>375</v>
      </c>
      <c r="U350" s="229" t="s">
        <v>331</v>
      </c>
      <c r="V350" s="229" t="s">
        <v>328</v>
      </c>
      <c r="W350" s="230" t="s">
        <v>328</v>
      </c>
      <c r="X350" s="230" t="s">
        <v>328</v>
      </c>
      <c r="Y350" s="231" t="s">
        <v>328</v>
      </c>
    </row>
    <row r="351" spans="1:25">
      <c r="A351" s="223">
        <v>9</v>
      </c>
      <c r="B351" s="224" t="str">
        <f>VLOOKUP(Tabel10[[#This Row],[Locatiecode]],Ruimtegroepen[[#All],[Code]:[Ruimte omschrijving]],2,FALSE)</f>
        <v>Bibliotheek / OLC</v>
      </c>
      <c r="C351" s="225" t="s">
        <v>720</v>
      </c>
      <c r="D351" s="224" t="s">
        <v>0</v>
      </c>
      <c r="E351" s="226" t="s">
        <v>121</v>
      </c>
      <c r="F351" s="225" t="s">
        <v>721</v>
      </c>
      <c r="G351" s="228" t="s">
        <v>328</v>
      </c>
      <c r="H351" s="228" t="s">
        <v>328</v>
      </c>
      <c r="I351" s="228" t="s">
        <v>16</v>
      </c>
      <c r="J351" s="228" t="s">
        <v>328</v>
      </c>
      <c r="K351" s="228" t="s">
        <v>16</v>
      </c>
      <c r="L351" s="228" t="s">
        <v>328</v>
      </c>
      <c r="M351" s="228" t="s">
        <v>328</v>
      </c>
      <c r="N351" s="228" t="s">
        <v>328</v>
      </c>
      <c r="O351" s="229" t="s">
        <v>16</v>
      </c>
      <c r="P351" s="229" t="s">
        <v>16</v>
      </c>
      <c r="Q351" s="229" t="s">
        <v>16</v>
      </c>
      <c r="R351" s="229" t="s">
        <v>16</v>
      </c>
      <c r="S351" s="229" t="s">
        <v>16</v>
      </c>
      <c r="T351" s="229" t="s">
        <v>375</v>
      </c>
      <c r="U351" s="229" t="s">
        <v>331</v>
      </c>
      <c r="V351" s="229" t="s">
        <v>328</v>
      </c>
      <c r="W351" s="230" t="s">
        <v>328</v>
      </c>
      <c r="X351" s="230" t="s">
        <v>328</v>
      </c>
      <c r="Y351" s="231" t="s">
        <v>328</v>
      </c>
    </row>
    <row r="352" spans="1:25">
      <c r="A352" s="223">
        <v>9</v>
      </c>
      <c r="B352" s="224" t="str">
        <f>VLOOKUP(Tabel10[[#This Row],[Locatiecode]],Ruimtegroepen[[#All],[Code]:[Ruimte omschrijving]],2,FALSE)</f>
        <v>Bibliotheek / OLC</v>
      </c>
      <c r="C352" s="225" t="s">
        <v>720</v>
      </c>
      <c r="D352" s="224" t="s">
        <v>0</v>
      </c>
      <c r="E352" s="226" t="s">
        <v>120</v>
      </c>
      <c r="F352" s="225" t="s">
        <v>722</v>
      </c>
      <c r="G352" s="228" t="s">
        <v>407</v>
      </c>
      <c r="H352" s="228" t="s">
        <v>16</v>
      </c>
      <c r="I352" s="228" t="s">
        <v>328</v>
      </c>
      <c r="J352" s="228" t="s">
        <v>328</v>
      </c>
      <c r="K352" s="228" t="s">
        <v>328</v>
      </c>
      <c r="L352" s="228" t="s">
        <v>328</v>
      </c>
      <c r="M352" s="228" t="s">
        <v>328</v>
      </c>
      <c r="N352" s="228" t="s">
        <v>328</v>
      </c>
      <c r="O352" s="229" t="s">
        <v>16</v>
      </c>
      <c r="P352" s="229" t="s">
        <v>16</v>
      </c>
      <c r="Q352" s="229" t="s">
        <v>16</v>
      </c>
      <c r="R352" s="229" t="s">
        <v>16</v>
      </c>
      <c r="S352" s="229" t="s">
        <v>16</v>
      </c>
      <c r="T352" s="229" t="s">
        <v>375</v>
      </c>
      <c r="U352" s="229" t="s">
        <v>331</v>
      </c>
      <c r="V352" s="229" t="s">
        <v>328</v>
      </c>
      <c r="W352" s="230" t="s">
        <v>328</v>
      </c>
      <c r="X352" s="230" t="s">
        <v>328</v>
      </c>
      <c r="Y352" s="231" t="s">
        <v>328</v>
      </c>
    </row>
    <row r="353" spans="1:25">
      <c r="A353" s="223">
        <v>9</v>
      </c>
      <c r="B353" s="224" t="str">
        <f>VLOOKUP(Tabel10[[#This Row],[Locatiecode]],Ruimtegroepen[[#All],[Code]:[Ruimte omschrijving]],2,FALSE)</f>
        <v>Bibliotheek / OLC</v>
      </c>
      <c r="C353" s="225" t="s">
        <v>720</v>
      </c>
      <c r="D353" s="224" t="s">
        <v>0</v>
      </c>
      <c r="E353" s="226" t="s">
        <v>122</v>
      </c>
      <c r="F353" s="225" t="s">
        <v>723</v>
      </c>
      <c r="G353" s="228" t="s">
        <v>328</v>
      </c>
      <c r="H353" s="228" t="s">
        <v>328</v>
      </c>
      <c r="I353" s="228" t="s">
        <v>16</v>
      </c>
      <c r="J353" s="228" t="s">
        <v>407</v>
      </c>
      <c r="K353" s="228" t="s">
        <v>16</v>
      </c>
      <c r="L353" s="228" t="s">
        <v>328</v>
      </c>
      <c r="M353" s="228" t="s">
        <v>328</v>
      </c>
      <c r="N353" s="228" t="s">
        <v>328</v>
      </c>
      <c r="O353" s="229" t="s">
        <v>16</v>
      </c>
      <c r="P353" s="229" t="s">
        <v>16</v>
      </c>
      <c r="Q353" s="229" t="s">
        <v>16</v>
      </c>
      <c r="R353" s="229" t="s">
        <v>16</v>
      </c>
      <c r="S353" s="229" t="s">
        <v>16</v>
      </c>
      <c r="T353" s="229" t="s">
        <v>375</v>
      </c>
      <c r="U353" s="229" t="s">
        <v>331</v>
      </c>
      <c r="V353" s="229" t="s">
        <v>328</v>
      </c>
      <c r="W353" s="230" t="s">
        <v>328</v>
      </c>
      <c r="X353" s="230" t="s">
        <v>328</v>
      </c>
      <c r="Y353" s="231" t="s">
        <v>328</v>
      </c>
    </row>
    <row r="354" spans="1:25">
      <c r="A354" s="223">
        <v>9</v>
      </c>
      <c r="B354" s="224" t="str">
        <f>VLOOKUP(Tabel10[[#This Row],[Locatiecode]],Ruimtegroepen[[#All],[Code]:[Ruimte omschrijving]],2,FALSE)</f>
        <v>Bibliotheek / OLC</v>
      </c>
      <c r="C354" s="225" t="s">
        <v>720</v>
      </c>
      <c r="D354" s="224" t="s">
        <v>0</v>
      </c>
      <c r="E354" s="226" t="s">
        <v>123</v>
      </c>
      <c r="F354" s="225" t="s">
        <v>724</v>
      </c>
      <c r="G354" s="228" t="s">
        <v>328</v>
      </c>
      <c r="H354" s="228" t="s">
        <v>328</v>
      </c>
      <c r="I354" s="228" t="s">
        <v>16</v>
      </c>
      <c r="J354" s="228" t="s">
        <v>328</v>
      </c>
      <c r="K354" s="228" t="s">
        <v>16</v>
      </c>
      <c r="L354" s="228" t="s">
        <v>328</v>
      </c>
      <c r="M354" s="228" t="s">
        <v>328</v>
      </c>
      <c r="N354" s="228" t="s">
        <v>328</v>
      </c>
      <c r="O354" s="229" t="s">
        <v>16</v>
      </c>
      <c r="P354" s="229" t="s">
        <v>16</v>
      </c>
      <c r="Q354" s="229" t="s">
        <v>16</v>
      </c>
      <c r="R354" s="229" t="s">
        <v>16</v>
      </c>
      <c r="S354" s="229" t="s">
        <v>16</v>
      </c>
      <c r="T354" s="229" t="s">
        <v>375</v>
      </c>
      <c r="U354" s="229" t="s">
        <v>331</v>
      </c>
      <c r="V354" s="229" t="s">
        <v>328</v>
      </c>
      <c r="W354" s="230" t="s">
        <v>328</v>
      </c>
      <c r="X354" s="230" t="s">
        <v>328</v>
      </c>
      <c r="Y354" s="231" t="s">
        <v>328</v>
      </c>
    </row>
    <row r="355" spans="1:25">
      <c r="A355" s="223">
        <v>9</v>
      </c>
      <c r="B355" s="224" t="str">
        <f>VLOOKUP(Tabel10[[#This Row],[Locatiecode]],Ruimtegroepen[[#All],[Code]:[Ruimte omschrijving]],2,FALSE)</f>
        <v>Bibliotheek / OLC</v>
      </c>
      <c r="C355" s="225" t="s">
        <v>725</v>
      </c>
      <c r="D355" s="224" t="s">
        <v>30</v>
      </c>
      <c r="E355" s="226" t="s">
        <v>121</v>
      </c>
      <c r="F355" s="225" t="s">
        <v>726</v>
      </c>
      <c r="G355" s="228" t="s">
        <v>328</v>
      </c>
      <c r="H355" s="228" t="s">
        <v>328</v>
      </c>
      <c r="I355" s="228" t="s">
        <v>15</v>
      </c>
      <c r="J355" s="228" t="s">
        <v>328</v>
      </c>
      <c r="K355" s="228" t="s">
        <v>15</v>
      </c>
      <c r="L355" s="228" t="s">
        <v>328</v>
      </c>
      <c r="M355" s="228" t="s">
        <v>328</v>
      </c>
      <c r="N355" s="228" t="s">
        <v>328</v>
      </c>
      <c r="O355" s="229" t="s">
        <v>15</v>
      </c>
      <c r="P355" s="229" t="s">
        <v>15</v>
      </c>
      <c r="Q355" s="229" t="s">
        <v>15</v>
      </c>
      <c r="R355" s="229" t="s">
        <v>15</v>
      </c>
      <c r="S355" s="229" t="s">
        <v>328</v>
      </c>
      <c r="T355" s="229" t="s">
        <v>328</v>
      </c>
      <c r="U355" s="229" t="s">
        <v>328</v>
      </c>
      <c r="V355" s="229" t="s">
        <v>328</v>
      </c>
      <c r="W355" s="230" t="s">
        <v>328</v>
      </c>
      <c r="X355" s="230" t="s">
        <v>328</v>
      </c>
      <c r="Y355" s="231" t="s">
        <v>328</v>
      </c>
    </row>
    <row r="356" spans="1:25">
      <c r="A356" s="223">
        <v>9</v>
      </c>
      <c r="B356" s="224" t="str">
        <f>VLOOKUP(Tabel10[[#This Row],[Locatiecode]],Ruimtegroepen[[#All],[Code]:[Ruimte omschrijving]],2,FALSE)</f>
        <v>Bibliotheek / OLC</v>
      </c>
      <c r="C356" s="225" t="s">
        <v>725</v>
      </c>
      <c r="D356" s="224" t="s">
        <v>30</v>
      </c>
      <c r="E356" s="226" t="s">
        <v>120</v>
      </c>
      <c r="F356" s="225" t="s">
        <v>727</v>
      </c>
      <c r="G356" s="228" t="s">
        <v>407</v>
      </c>
      <c r="H356" s="228" t="s">
        <v>15</v>
      </c>
      <c r="I356" s="228" t="s">
        <v>328</v>
      </c>
      <c r="J356" s="228" t="s">
        <v>328</v>
      </c>
      <c r="K356" s="228" t="s">
        <v>328</v>
      </c>
      <c r="L356" s="228" t="s">
        <v>328</v>
      </c>
      <c r="M356" s="228" t="s">
        <v>328</v>
      </c>
      <c r="N356" s="228" t="s">
        <v>328</v>
      </c>
      <c r="O356" s="229" t="s">
        <v>15</v>
      </c>
      <c r="P356" s="229" t="s">
        <v>15</v>
      </c>
      <c r="Q356" s="229" t="s">
        <v>15</v>
      </c>
      <c r="R356" s="229" t="s">
        <v>15</v>
      </c>
      <c r="S356" s="229" t="s">
        <v>328</v>
      </c>
      <c r="T356" s="229" t="s">
        <v>328</v>
      </c>
      <c r="U356" s="229" t="s">
        <v>328</v>
      </c>
      <c r="V356" s="229" t="s">
        <v>328</v>
      </c>
      <c r="W356" s="230" t="s">
        <v>328</v>
      </c>
      <c r="X356" s="230" t="s">
        <v>328</v>
      </c>
      <c r="Y356" s="231" t="s">
        <v>328</v>
      </c>
    </row>
    <row r="357" spans="1:25">
      <c r="A357" s="223">
        <v>9</v>
      </c>
      <c r="B357" s="224" t="str">
        <f>VLOOKUP(Tabel10[[#This Row],[Locatiecode]],Ruimtegroepen[[#All],[Code]:[Ruimte omschrijving]],2,FALSE)</f>
        <v>Bibliotheek / OLC</v>
      </c>
      <c r="C357" s="225" t="s">
        <v>725</v>
      </c>
      <c r="D357" s="224" t="s">
        <v>30</v>
      </c>
      <c r="E357" s="226" t="s">
        <v>122</v>
      </c>
      <c r="F357" s="225" t="s">
        <v>728</v>
      </c>
      <c r="G357" s="228" t="s">
        <v>328</v>
      </c>
      <c r="H357" s="228" t="s">
        <v>328</v>
      </c>
      <c r="I357" s="228" t="s">
        <v>15</v>
      </c>
      <c r="J357" s="228" t="s">
        <v>15</v>
      </c>
      <c r="K357" s="228" t="s">
        <v>328</v>
      </c>
      <c r="L357" s="228" t="s">
        <v>328</v>
      </c>
      <c r="M357" s="228" t="s">
        <v>328</v>
      </c>
      <c r="N357" s="228" t="s">
        <v>328</v>
      </c>
      <c r="O357" s="229" t="s">
        <v>15</v>
      </c>
      <c r="P357" s="229" t="s">
        <v>15</v>
      </c>
      <c r="Q357" s="229" t="s">
        <v>15</v>
      </c>
      <c r="R357" s="229" t="s">
        <v>15</v>
      </c>
      <c r="S357" s="229" t="s">
        <v>328</v>
      </c>
      <c r="T357" s="229" t="s">
        <v>328</v>
      </c>
      <c r="U357" s="229" t="s">
        <v>328</v>
      </c>
      <c r="V357" s="229" t="s">
        <v>328</v>
      </c>
      <c r="W357" s="230" t="s">
        <v>328</v>
      </c>
      <c r="X357" s="230" t="s">
        <v>328</v>
      </c>
      <c r="Y357" s="231" t="s">
        <v>328</v>
      </c>
    </row>
    <row r="358" spans="1:25">
      <c r="A358" s="223">
        <v>9</v>
      </c>
      <c r="B358" s="224" t="str">
        <f>VLOOKUP(Tabel10[[#This Row],[Locatiecode]],Ruimtegroepen[[#All],[Code]:[Ruimte omschrijving]],2,FALSE)</f>
        <v>Bibliotheek / OLC</v>
      </c>
      <c r="C358" s="225" t="s">
        <v>725</v>
      </c>
      <c r="D358" s="224" t="s">
        <v>30</v>
      </c>
      <c r="E358" s="226" t="s">
        <v>123</v>
      </c>
      <c r="F358" s="225" t="s">
        <v>729</v>
      </c>
      <c r="G358" s="228" t="s">
        <v>328</v>
      </c>
      <c r="H358" s="228" t="s">
        <v>328</v>
      </c>
      <c r="I358" s="228" t="s">
        <v>15</v>
      </c>
      <c r="J358" s="228" t="s">
        <v>15</v>
      </c>
      <c r="K358" s="228" t="s">
        <v>328</v>
      </c>
      <c r="L358" s="228" t="s">
        <v>328</v>
      </c>
      <c r="M358" s="228" t="s">
        <v>328</v>
      </c>
      <c r="N358" s="228" t="s">
        <v>328</v>
      </c>
      <c r="O358" s="229" t="s">
        <v>15</v>
      </c>
      <c r="P358" s="229" t="s">
        <v>15</v>
      </c>
      <c r="Q358" s="229" t="s">
        <v>15</v>
      </c>
      <c r="R358" s="229" t="s">
        <v>15</v>
      </c>
      <c r="S358" s="229" t="s">
        <v>328</v>
      </c>
      <c r="T358" s="229" t="s">
        <v>328</v>
      </c>
      <c r="U358" s="229" t="s">
        <v>328</v>
      </c>
      <c r="V358" s="229" t="s">
        <v>328</v>
      </c>
      <c r="W358" s="230" t="s">
        <v>328</v>
      </c>
      <c r="X358" s="230" t="s">
        <v>328</v>
      </c>
      <c r="Y358" s="231" t="s">
        <v>328</v>
      </c>
    </row>
    <row r="359" spans="1:25">
      <c r="A359" s="223">
        <v>9</v>
      </c>
      <c r="B359" s="224" t="str">
        <f>VLOOKUP(Tabel10[[#This Row],[Locatiecode]],Ruimtegroepen[[#All],[Code]:[Ruimte omschrijving]],2,FALSE)</f>
        <v>Bibliotheek / OLC</v>
      </c>
      <c r="C359" s="225" t="s">
        <v>730</v>
      </c>
      <c r="D359" s="224" t="s">
        <v>31</v>
      </c>
      <c r="E359" s="226" t="s">
        <v>121</v>
      </c>
      <c r="F359" s="225" t="s">
        <v>731</v>
      </c>
      <c r="G359" s="228" t="s">
        <v>328</v>
      </c>
      <c r="H359" s="228" t="s">
        <v>328</v>
      </c>
      <c r="I359" s="228" t="s">
        <v>17</v>
      </c>
      <c r="J359" s="228" t="s">
        <v>15</v>
      </c>
      <c r="K359" s="227" t="s">
        <v>16</v>
      </c>
      <c r="L359" s="228" t="s">
        <v>328</v>
      </c>
      <c r="M359" s="228" t="s">
        <v>328</v>
      </c>
      <c r="N359" s="228" t="s">
        <v>328</v>
      </c>
      <c r="O359" s="229" t="s">
        <v>17</v>
      </c>
      <c r="P359" s="229" t="s">
        <v>17</v>
      </c>
      <c r="Q359" s="229" t="s">
        <v>15</v>
      </c>
      <c r="R359" s="229" t="s">
        <v>15</v>
      </c>
      <c r="S359" s="229" t="s">
        <v>328</v>
      </c>
      <c r="T359" s="229" t="s">
        <v>328</v>
      </c>
      <c r="U359" s="229" t="s">
        <v>328</v>
      </c>
      <c r="V359" s="229" t="s">
        <v>328</v>
      </c>
      <c r="W359" s="230" t="s">
        <v>328</v>
      </c>
      <c r="X359" s="230" t="s">
        <v>328</v>
      </c>
      <c r="Y359" s="231" t="s">
        <v>328</v>
      </c>
    </row>
    <row r="360" spans="1:25">
      <c r="A360" s="223">
        <v>9</v>
      </c>
      <c r="B360" s="224" t="str">
        <f>VLOOKUP(Tabel10[[#This Row],[Locatiecode]],Ruimtegroepen[[#All],[Code]:[Ruimte omschrijving]],2,FALSE)</f>
        <v>Bibliotheek / OLC</v>
      </c>
      <c r="C360" s="225" t="s">
        <v>730</v>
      </c>
      <c r="D360" s="224" t="s">
        <v>31</v>
      </c>
      <c r="E360" s="226" t="s">
        <v>120</v>
      </c>
      <c r="F360" s="225" t="s">
        <v>732</v>
      </c>
      <c r="G360" s="228" t="s">
        <v>15</v>
      </c>
      <c r="H360" s="228" t="s">
        <v>15</v>
      </c>
      <c r="I360" s="228" t="s">
        <v>328</v>
      </c>
      <c r="J360" s="228" t="s">
        <v>328</v>
      </c>
      <c r="K360" s="228" t="s">
        <v>328</v>
      </c>
      <c r="L360" s="228" t="s">
        <v>328</v>
      </c>
      <c r="M360" s="228" t="s">
        <v>328</v>
      </c>
      <c r="N360" s="228" t="s">
        <v>328</v>
      </c>
      <c r="O360" s="229" t="s">
        <v>17</v>
      </c>
      <c r="P360" s="229" t="s">
        <v>17</v>
      </c>
      <c r="Q360" s="229" t="s">
        <v>15</v>
      </c>
      <c r="R360" s="229" t="s">
        <v>15</v>
      </c>
      <c r="S360" s="229" t="s">
        <v>328</v>
      </c>
      <c r="T360" s="229" t="s">
        <v>328</v>
      </c>
      <c r="U360" s="229" t="s">
        <v>328</v>
      </c>
      <c r="V360" s="229" t="s">
        <v>328</v>
      </c>
      <c r="W360" s="230" t="s">
        <v>328</v>
      </c>
      <c r="X360" s="230" t="s">
        <v>328</v>
      </c>
      <c r="Y360" s="231" t="s">
        <v>328</v>
      </c>
    </row>
    <row r="361" spans="1:25">
      <c r="A361" s="223">
        <v>9</v>
      </c>
      <c r="B361" s="224" t="str">
        <f>VLOOKUP(Tabel10[[#This Row],[Locatiecode]],Ruimtegroepen[[#All],[Code]:[Ruimte omschrijving]],2,FALSE)</f>
        <v>Bibliotheek / OLC</v>
      </c>
      <c r="C361" s="225" t="s">
        <v>730</v>
      </c>
      <c r="D361" s="224" t="s">
        <v>31</v>
      </c>
      <c r="E361" s="226" t="s">
        <v>122</v>
      </c>
      <c r="F361" s="225" t="s">
        <v>733</v>
      </c>
      <c r="G361" s="228" t="s">
        <v>328</v>
      </c>
      <c r="H361" s="228" t="s">
        <v>328</v>
      </c>
      <c r="I361" s="228" t="s">
        <v>17</v>
      </c>
      <c r="J361" s="228" t="s">
        <v>15</v>
      </c>
      <c r="K361" s="227" t="s">
        <v>16</v>
      </c>
      <c r="L361" s="228" t="s">
        <v>328</v>
      </c>
      <c r="M361" s="228" t="s">
        <v>328</v>
      </c>
      <c r="N361" s="228" t="s">
        <v>328</v>
      </c>
      <c r="O361" s="229" t="s">
        <v>17</v>
      </c>
      <c r="P361" s="229" t="s">
        <v>17</v>
      </c>
      <c r="Q361" s="229" t="s">
        <v>15</v>
      </c>
      <c r="R361" s="229" t="s">
        <v>15</v>
      </c>
      <c r="S361" s="229" t="s">
        <v>328</v>
      </c>
      <c r="T361" s="229" t="s">
        <v>328</v>
      </c>
      <c r="U361" s="229" t="s">
        <v>328</v>
      </c>
      <c r="V361" s="229" t="s">
        <v>328</v>
      </c>
      <c r="W361" s="230" t="s">
        <v>328</v>
      </c>
      <c r="X361" s="230" t="s">
        <v>328</v>
      </c>
      <c r="Y361" s="231" t="s">
        <v>328</v>
      </c>
    </row>
    <row r="362" spans="1:25">
      <c r="A362" s="223">
        <v>9</v>
      </c>
      <c r="B362" s="224" t="str">
        <f>VLOOKUP(Tabel10[[#This Row],[Locatiecode]],Ruimtegroepen[[#All],[Code]:[Ruimte omschrijving]],2,FALSE)</f>
        <v>Bibliotheek / OLC</v>
      </c>
      <c r="C362" s="225" t="s">
        <v>730</v>
      </c>
      <c r="D362" s="224" t="s">
        <v>31</v>
      </c>
      <c r="E362" s="226" t="s">
        <v>123</v>
      </c>
      <c r="F362" s="225" t="s">
        <v>734</v>
      </c>
      <c r="G362" s="228" t="s">
        <v>328</v>
      </c>
      <c r="H362" s="228" t="s">
        <v>328</v>
      </c>
      <c r="I362" s="228" t="s">
        <v>17</v>
      </c>
      <c r="J362" s="228" t="s">
        <v>15</v>
      </c>
      <c r="K362" s="227" t="s">
        <v>16</v>
      </c>
      <c r="L362" s="228" t="s">
        <v>328</v>
      </c>
      <c r="M362" s="228" t="s">
        <v>328</v>
      </c>
      <c r="N362" s="228" t="s">
        <v>328</v>
      </c>
      <c r="O362" s="229" t="s">
        <v>17</v>
      </c>
      <c r="P362" s="229" t="s">
        <v>17</v>
      </c>
      <c r="Q362" s="229" t="s">
        <v>15</v>
      </c>
      <c r="R362" s="229" t="s">
        <v>15</v>
      </c>
      <c r="S362" s="229" t="s">
        <v>328</v>
      </c>
      <c r="T362" s="229" t="s">
        <v>328</v>
      </c>
      <c r="U362" s="229" t="s">
        <v>328</v>
      </c>
      <c r="V362" s="229" t="s">
        <v>328</v>
      </c>
      <c r="W362" s="230" t="s">
        <v>328</v>
      </c>
      <c r="X362" s="230" t="s">
        <v>328</v>
      </c>
      <c r="Y362" s="231" t="s">
        <v>328</v>
      </c>
    </row>
    <row r="363" spans="1:25">
      <c r="A363" s="223">
        <v>10</v>
      </c>
      <c r="B363" s="224" t="str">
        <f>VLOOKUP(Tabel10[[#This Row],[Locatiecode]],Ruimtegroepen[[#All],[Code]:[Ruimte omschrijving]],2,FALSE)</f>
        <v>Trappenhuizen/lift</v>
      </c>
      <c r="C363" s="225" t="s">
        <v>735</v>
      </c>
      <c r="D363" s="224" t="s">
        <v>32</v>
      </c>
      <c r="E363" s="226" t="s">
        <v>121</v>
      </c>
      <c r="F363" s="225" t="s">
        <v>736</v>
      </c>
      <c r="G363" s="228" t="s">
        <v>328</v>
      </c>
      <c r="H363" s="228" t="s">
        <v>328</v>
      </c>
      <c r="I363" s="228" t="s">
        <v>2</v>
      </c>
      <c r="J363" s="228" t="s">
        <v>15</v>
      </c>
      <c r="K363" s="227" t="s">
        <v>16</v>
      </c>
      <c r="L363" s="228" t="s">
        <v>328</v>
      </c>
      <c r="M363" s="228" t="s">
        <v>328</v>
      </c>
      <c r="N363" s="228" t="s">
        <v>2</v>
      </c>
      <c r="O363" s="229" t="s">
        <v>2</v>
      </c>
      <c r="P363" s="229" t="s">
        <v>2</v>
      </c>
      <c r="Q363" s="229" t="s">
        <v>15</v>
      </c>
      <c r="R363" s="229" t="s">
        <v>15</v>
      </c>
      <c r="S363" s="229" t="s">
        <v>16</v>
      </c>
      <c r="T363" s="229" t="s">
        <v>375</v>
      </c>
      <c r="U363" s="229" t="s">
        <v>331</v>
      </c>
      <c r="V363" s="229" t="s">
        <v>2</v>
      </c>
      <c r="W363" s="230" t="s">
        <v>328</v>
      </c>
      <c r="X363" s="230" t="s">
        <v>328</v>
      </c>
      <c r="Y363" s="231" t="s">
        <v>328</v>
      </c>
    </row>
    <row r="364" spans="1:25">
      <c r="A364" s="223">
        <v>10</v>
      </c>
      <c r="B364" s="224" t="str">
        <f>VLOOKUP(Tabel10[[#This Row],[Locatiecode]],Ruimtegroepen[[#All],[Code]:[Ruimte omschrijving]],2,FALSE)</f>
        <v>Trappenhuizen/lift</v>
      </c>
      <c r="C364" s="225" t="s">
        <v>735</v>
      </c>
      <c r="D364" s="224" t="s">
        <v>32</v>
      </c>
      <c r="E364" s="226" t="s">
        <v>120</v>
      </c>
      <c r="F364" s="225" t="s">
        <v>737</v>
      </c>
      <c r="G364" s="228" t="s">
        <v>328</v>
      </c>
      <c r="H364" s="228" t="s">
        <v>2</v>
      </c>
      <c r="I364" s="228" t="s">
        <v>328</v>
      </c>
      <c r="J364" s="228" t="s">
        <v>328</v>
      </c>
      <c r="K364" s="228" t="s">
        <v>328</v>
      </c>
      <c r="L364" s="228" t="s">
        <v>328</v>
      </c>
      <c r="M364" s="228" t="s">
        <v>328</v>
      </c>
      <c r="N364" s="228" t="s">
        <v>2</v>
      </c>
      <c r="O364" s="229" t="s">
        <v>2</v>
      </c>
      <c r="P364" s="229" t="s">
        <v>2</v>
      </c>
      <c r="Q364" s="229" t="s">
        <v>15</v>
      </c>
      <c r="R364" s="229" t="s">
        <v>15</v>
      </c>
      <c r="S364" s="229" t="s">
        <v>16</v>
      </c>
      <c r="T364" s="229" t="s">
        <v>375</v>
      </c>
      <c r="U364" s="229" t="s">
        <v>331</v>
      </c>
      <c r="V364" s="229" t="s">
        <v>2</v>
      </c>
      <c r="W364" s="230" t="s">
        <v>328</v>
      </c>
      <c r="X364" s="230" t="s">
        <v>328</v>
      </c>
      <c r="Y364" s="231" t="s">
        <v>328</v>
      </c>
    </row>
    <row r="365" spans="1:25">
      <c r="A365" s="223">
        <v>10</v>
      </c>
      <c r="B365" s="224" t="str">
        <f>VLOOKUP(Tabel10[[#This Row],[Locatiecode]],Ruimtegroepen[[#All],[Code]:[Ruimte omschrijving]],2,FALSE)</f>
        <v>Trappenhuizen/lift</v>
      </c>
      <c r="C365" s="225" t="s">
        <v>735</v>
      </c>
      <c r="D365" s="224" t="s">
        <v>32</v>
      </c>
      <c r="E365" s="226" t="s">
        <v>122</v>
      </c>
      <c r="F365" s="225" t="s">
        <v>738</v>
      </c>
      <c r="G365" s="228" t="s">
        <v>328</v>
      </c>
      <c r="H365" s="228" t="s">
        <v>2</v>
      </c>
      <c r="I365" s="228" t="s">
        <v>328</v>
      </c>
      <c r="J365" s="228" t="s">
        <v>2</v>
      </c>
      <c r="K365" s="227" t="s">
        <v>16</v>
      </c>
      <c r="L365" s="228" t="s">
        <v>328</v>
      </c>
      <c r="M365" s="228" t="s">
        <v>328</v>
      </c>
      <c r="N365" s="228" t="s">
        <v>2</v>
      </c>
      <c r="O365" s="229" t="s">
        <v>2</v>
      </c>
      <c r="P365" s="229" t="s">
        <v>2</v>
      </c>
      <c r="Q365" s="229" t="s">
        <v>15</v>
      </c>
      <c r="R365" s="229" t="s">
        <v>15</v>
      </c>
      <c r="S365" s="229" t="s">
        <v>16</v>
      </c>
      <c r="T365" s="229" t="s">
        <v>375</v>
      </c>
      <c r="U365" s="229" t="s">
        <v>331</v>
      </c>
      <c r="V365" s="229" t="s">
        <v>2</v>
      </c>
      <c r="W365" s="230" t="s">
        <v>328</v>
      </c>
      <c r="X365" s="230" t="s">
        <v>328</v>
      </c>
      <c r="Y365" s="231" t="s">
        <v>328</v>
      </c>
    </row>
    <row r="366" spans="1:25">
      <c r="A366" s="223">
        <v>10</v>
      </c>
      <c r="B366" s="224" t="str">
        <f>VLOOKUP(Tabel10[[#This Row],[Locatiecode]],Ruimtegroepen[[#All],[Code]:[Ruimte omschrijving]],2,FALSE)</f>
        <v>Trappenhuizen/lift</v>
      </c>
      <c r="C366" s="225" t="s">
        <v>735</v>
      </c>
      <c r="D366" s="224" t="s">
        <v>32</v>
      </c>
      <c r="E366" s="226" t="s">
        <v>123</v>
      </c>
      <c r="F366" s="225" t="s">
        <v>739</v>
      </c>
      <c r="G366" s="228" t="s">
        <v>328</v>
      </c>
      <c r="H366" s="228" t="s">
        <v>2</v>
      </c>
      <c r="I366" s="228" t="s">
        <v>328</v>
      </c>
      <c r="J366" s="228" t="s">
        <v>2</v>
      </c>
      <c r="K366" s="227" t="s">
        <v>16</v>
      </c>
      <c r="L366" s="228" t="s">
        <v>328</v>
      </c>
      <c r="M366" s="228" t="s">
        <v>328</v>
      </c>
      <c r="N366" s="228" t="s">
        <v>2</v>
      </c>
      <c r="O366" s="229" t="s">
        <v>2</v>
      </c>
      <c r="P366" s="229" t="s">
        <v>2</v>
      </c>
      <c r="Q366" s="229" t="s">
        <v>15</v>
      </c>
      <c r="R366" s="229" t="s">
        <v>15</v>
      </c>
      <c r="S366" s="229" t="s">
        <v>16</v>
      </c>
      <c r="T366" s="229" t="s">
        <v>375</v>
      </c>
      <c r="U366" s="229" t="s">
        <v>331</v>
      </c>
      <c r="V366" s="229" t="s">
        <v>2</v>
      </c>
      <c r="W366" s="230" t="s">
        <v>328</v>
      </c>
      <c r="X366" s="230" t="s">
        <v>328</v>
      </c>
      <c r="Y366" s="231" t="s">
        <v>328</v>
      </c>
    </row>
    <row r="367" spans="1:25">
      <c r="A367" s="223">
        <v>10</v>
      </c>
      <c r="B367" s="224" t="str">
        <f>VLOOKUP(Tabel10[[#This Row],[Locatiecode]],Ruimtegroepen[[#All],[Code]:[Ruimte omschrijving]],2,FALSE)</f>
        <v>Trappenhuizen/lift</v>
      </c>
      <c r="C367" s="225" t="s">
        <v>740</v>
      </c>
      <c r="D367" s="224" t="s">
        <v>1</v>
      </c>
      <c r="E367" s="226" t="s">
        <v>121</v>
      </c>
      <c r="F367" s="225" t="s">
        <v>741</v>
      </c>
      <c r="G367" s="228" t="s">
        <v>328</v>
      </c>
      <c r="H367" s="228" t="s">
        <v>328</v>
      </c>
      <c r="I367" s="227" t="s">
        <v>328</v>
      </c>
      <c r="J367" s="227" t="s">
        <v>2</v>
      </c>
      <c r="K367" s="227" t="s">
        <v>16</v>
      </c>
      <c r="L367" s="228" t="s">
        <v>328</v>
      </c>
      <c r="M367" s="228" t="s">
        <v>328</v>
      </c>
      <c r="N367" s="228" t="s">
        <v>328</v>
      </c>
      <c r="O367" s="229" t="s">
        <v>2</v>
      </c>
      <c r="P367" s="229" t="s">
        <v>2</v>
      </c>
      <c r="Q367" s="229" t="s">
        <v>15</v>
      </c>
      <c r="R367" s="229" t="s">
        <v>15</v>
      </c>
      <c r="S367" s="229" t="s">
        <v>16</v>
      </c>
      <c r="T367" s="229" t="s">
        <v>375</v>
      </c>
      <c r="U367" s="229" t="s">
        <v>331</v>
      </c>
      <c r="V367" s="229" t="s">
        <v>328</v>
      </c>
      <c r="W367" s="230" t="s">
        <v>328</v>
      </c>
      <c r="X367" s="230" t="s">
        <v>328</v>
      </c>
      <c r="Y367" s="231" t="s">
        <v>328</v>
      </c>
    </row>
    <row r="368" spans="1:25">
      <c r="A368" s="223">
        <v>10</v>
      </c>
      <c r="B368" s="224" t="str">
        <f>VLOOKUP(Tabel10[[#This Row],[Locatiecode]],Ruimtegroepen[[#All],[Code]:[Ruimte omschrijving]],2,FALSE)</f>
        <v>Trappenhuizen/lift</v>
      </c>
      <c r="C368" s="225" t="s">
        <v>740</v>
      </c>
      <c r="D368" s="224" t="s">
        <v>1</v>
      </c>
      <c r="E368" s="226" t="s">
        <v>120</v>
      </c>
      <c r="F368" s="225" t="s">
        <v>742</v>
      </c>
      <c r="G368" s="228" t="s">
        <v>328</v>
      </c>
      <c r="H368" s="228" t="s">
        <v>2</v>
      </c>
      <c r="I368" s="228" t="s">
        <v>328</v>
      </c>
      <c r="J368" s="228" t="s">
        <v>328</v>
      </c>
      <c r="K368" s="228" t="s">
        <v>328</v>
      </c>
      <c r="L368" s="228" t="s">
        <v>328</v>
      </c>
      <c r="M368" s="228" t="s">
        <v>328</v>
      </c>
      <c r="N368" s="228" t="s">
        <v>328</v>
      </c>
      <c r="O368" s="229" t="s">
        <v>2</v>
      </c>
      <c r="P368" s="229" t="s">
        <v>2</v>
      </c>
      <c r="Q368" s="229" t="s">
        <v>15</v>
      </c>
      <c r="R368" s="229" t="s">
        <v>15</v>
      </c>
      <c r="S368" s="229" t="s">
        <v>16</v>
      </c>
      <c r="T368" s="229" t="s">
        <v>375</v>
      </c>
      <c r="U368" s="229" t="s">
        <v>331</v>
      </c>
      <c r="V368" s="229" t="s">
        <v>328</v>
      </c>
      <c r="W368" s="230" t="s">
        <v>328</v>
      </c>
      <c r="X368" s="230" t="s">
        <v>328</v>
      </c>
      <c r="Y368" s="231" t="s">
        <v>328</v>
      </c>
    </row>
    <row r="369" spans="1:25">
      <c r="A369" s="223">
        <v>10</v>
      </c>
      <c r="B369" s="224" t="str">
        <f>VLOOKUP(Tabel10[[#This Row],[Locatiecode]],Ruimtegroepen[[#All],[Code]:[Ruimte omschrijving]],2,FALSE)</f>
        <v>Trappenhuizen/lift</v>
      </c>
      <c r="C369" s="225" t="s">
        <v>740</v>
      </c>
      <c r="D369" s="224" t="s">
        <v>1</v>
      </c>
      <c r="E369" s="226" t="s">
        <v>122</v>
      </c>
      <c r="F369" s="225" t="s">
        <v>743</v>
      </c>
      <c r="G369" s="228" t="s">
        <v>328</v>
      </c>
      <c r="H369" s="228" t="s">
        <v>2</v>
      </c>
      <c r="I369" s="228" t="s">
        <v>328</v>
      </c>
      <c r="J369" s="228" t="s">
        <v>2</v>
      </c>
      <c r="K369" s="227" t="s">
        <v>16</v>
      </c>
      <c r="L369" s="228" t="s">
        <v>328</v>
      </c>
      <c r="M369" s="228" t="s">
        <v>328</v>
      </c>
      <c r="N369" s="228" t="s">
        <v>328</v>
      </c>
      <c r="O369" s="229" t="s">
        <v>2</v>
      </c>
      <c r="P369" s="229" t="s">
        <v>2</v>
      </c>
      <c r="Q369" s="229" t="s">
        <v>15</v>
      </c>
      <c r="R369" s="229" t="s">
        <v>15</v>
      </c>
      <c r="S369" s="229" t="s">
        <v>16</v>
      </c>
      <c r="T369" s="229" t="s">
        <v>375</v>
      </c>
      <c r="U369" s="229" t="s">
        <v>331</v>
      </c>
      <c r="V369" s="229" t="s">
        <v>328</v>
      </c>
      <c r="W369" s="230" t="s">
        <v>328</v>
      </c>
      <c r="X369" s="230" t="s">
        <v>328</v>
      </c>
      <c r="Y369" s="231" t="s">
        <v>328</v>
      </c>
    </row>
    <row r="370" spans="1:25">
      <c r="A370" s="223">
        <v>10</v>
      </c>
      <c r="B370" s="224" t="str">
        <f>VLOOKUP(Tabel10[[#This Row],[Locatiecode]],Ruimtegroepen[[#All],[Code]:[Ruimte omschrijving]],2,FALSE)</f>
        <v>Trappenhuizen/lift</v>
      </c>
      <c r="C370" s="225" t="s">
        <v>740</v>
      </c>
      <c r="D370" s="224" t="s">
        <v>1</v>
      </c>
      <c r="E370" s="226" t="s">
        <v>123</v>
      </c>
      <c r="F370" s="225" t="s">
        <v>744</v>
      </c>
      <c r="G370" s="228" t="s">
        <v>328</v>
      </c>
      <c r="H370" s="228" t="s">
        <v>2</v>
      </c>
      <c r="I370" s="228" t="s">
        <v>328</v>
      </c>
      <c r="J370" s="228" t="s">
        <v>2</v>
      </c>
      <c r="K370" s="227" t="s">
        <v>16</v>
      </c>
      <c r="L370" s="228" t="s">
        <v>328</v>
      </c>
      <c r="M370" s="228" t="s">
        <v>328</v>
      </c>
      <c r="N370" s="228" t="s">
        <v>328</v>
      </c>
      <c r="O370" s="229" t="s">
        <v>2</v>
      </c>
      <c r="P370" s="229" t="s">
        <v>2</v>
      </c>
      <c r="Q370" s="229" t="s">
        <v>15</v>
      </c>
      <c r="R370" s="229" t="s">
        <v>15</v>
      </c>
      <c r="S370" s="229" t="s">
        <v>16</v>
      </c>
      <c r="T370" s="229" t="s">
        <v>375</v>
      </c>
      <c r="U370" s="229" t="s">
        <v>331</v>
      </c>
      <c r="V370" s="229" t="s">
        <v>328</v>
      </c>
      <c r="W370" s="230" t="s">
        <v>328</v>
      </c>
      <c r="X370" s="230" t="s">
        <v>328</v>
      </c>
      <c r="Y370" s="231" t="s">
        <v>328</v>
      </c>
    </row>
    <row r="371" spans="1:25">
      <c r="A371" s="223">
        <v>10</v>
      </c>
      <c r="B371" s="224" t="str">
        <f>VLOOKUP(Tabel10[[#This Row],[Locatiecode]],Ruimtegroepen[[#All],[Code]:[Ruimte omschrijving]],2,FALSE)</f>
        <v>Trappenhuizen/lift</v>
      </c>
      <c r="C371" s="225" t="s">
        <v>745</v>
      </c>
      <c r="D371" s="224" t="s">
        <v>21</v>
      </c>
      <c r="E371" s="226" t="s">
        <v>121</v>
      </c>
      <c r="F371" s="225" t="s">
        <v>746</v>
      </c>
      <c r="G371" s="228" t="s">
        <v>328</v>
      </c>
      <c r="H371" s="228" t="s">
        <v>328</v>
      </c>
      <c r="I371" s="227" t="s">
        <v>328</v>
      </c>
      <c r="J371" s="227" t="s">
        <v>2</v>
      </c>
      <c r="K371" s="227" t="s">
        <v>16</v>
      </c>
      <c r="L371" s="228" t="s">
        <v>328</v>
      </c>
      <c r="M371" s="228" t="s">
        <v>328</v>
      </c>
      <c r="N371" s="228" t="s">
        <v>328</v>
      </c>
      <c r="O371" s="229" t="s">
        <v>20</v>
      </c>
      <c r="P371" s="229" t="s">
        <v>20</v>
      </c>
      <c r="Q371" s="229" t="s">
        <v>15</v>
      </c>
      <c r="R371" s="229" t="s">
        <v>15</v>
      </c>
      <c r="S371" s="229" t="s">
        <v>16</v>
      </c>
      <c r="T371" s="229" t="s">
        <v>375</v>
      </c>
      <c r="U371" s="229" t="s">
        <v>331</v>
      </c>
      <c r="V371" s="229" t="s">
        <v>328</v>
      </c>
      <c r="W371" s="230" t="s">
        <v>328</v>
      </c>
      <c r="X371" s="230" t="s">
        <v>328</v>
      </c>
      <c r="Y371" s="231" t="s">
        <v>328</v>
      </c>
    </row>
    <row r="372" spans="1:25">
      <c r="A372" s="223">
        <v>10</v>
      </c>
      <c r="B372" s="224" t="str">
        <f>VLOOKUP(Tabel10[[#This Row],[Locatiecode]],Ruimtegroepen[[#All],[Code]:[Ruimte omschrijving]],2,FALSE)</f>
        <v>Trappenhuizen/lift</v>
      </c>
      <c r="C372" s="225" t="s">
        <v>745</v>
      </c>
      <c r="D372" s="224" t="s">
        <v>21</v>
      </c>
      <c r="E372" s="226" t="s">
        <v>120</v>
      </c>
      <c r="F372" s="225" t="s">
        <v>747</v>
      </c>
      <c r="G372" s="228" t="s">
        <v>328</v>
      </c>
      <c r="H372" s="228" t="s">
        <v>20</v>
      </c>
      <c r="I372" s="228" t="s">
        <v>328</v>
      </c>
      <c r="J372" s="228" t="s">
        <v>328</v>
      </c>
      <c r="K372" s="228" t="s">
        <v>328</v>
      </c>
      <c r="L372" s="228" t="s">
        <v>328</v>
      </c>
      <c r="M372" s="228" t="s">
        <v>328</v>
      </c>
      <c r="N372" s="228" t="s">
        <v>328</v>
      </c>
      <c r="O372" s="229" t="s">
        <v>20</v>
      </c>
      <c r="P372" s="229" t="s">
        <v>20</v>
      </c>
      <c r="Q372" s="229" t="s">
        <v>15</v>
      </c>
      <c r="R372" s="229" t="s">
        <v>15</v>
      </c>
      <c r="S372" s="229" t="s">
        <v>16</v>
      </c>
      <c r="T372" s="229" t="s">
        <v>375</v>
      </c>
      <c r="U372" s="229" t="s">
        <v>331</v>
      </c>
      <c r="V372" s="229" t="s">
        <v>328</v>
      </c>
      <c r="W372" s="230" t="s">
        <v>328</v>
      </c>
      <c r="X372" s="230" t="s">
        <v>328</v>
      </c>
      <c r="Y372" s="231" t="s">
        <v>328</v>
      </c>
    </row>
    <row r="373" spans="1:25">
      <c r="A373" s="223">
        <v>10</v>
      </c>
      <c r="B373" s="224" t="str">
        <f>VLOOKUP(Tabel10[[#This Row],[Locatiecode]],Ruimtegroepen[[#All],[Code]:[Ruimte omschrijving]],2,FALSE)</f>
        <v>Trappenhuizen/lift</v>
      </c>
      <c r="C373" s="225" t="s">
        <v>745</v>
      </c>
      <c r="D373" s="224" t="s">
        <v>21</v>
      </c>
      <c r="E373" s="226" t="s">
        <v>122</v>
      </c>
      <c r="F373" s="225" t="s">
        <v>748</v>
      </c>
      <c r="G373" s="228" t="s">
        <v>328</v>
      </c>
      <c r="H373" s="228" t="s">
        <v>20</v>
      </c>
      <c r="I373" s="228" t="s">
        <v>328</v>
      </c>
      <c r="J373" s="228" t="s">
        <v>20</v>
      </c>
      <c r="K373" s="227" t="s">
        <v>16</v>
      </c>
      <c r="L373" s="228" t="s">
        <v>328</v>
      </c>
      <c r="M373" s="228" t="s">
        <v>328</v>
      </c>
      <c r="N373" s="228" t="s">
        <v>328</v>
      </c>
      <c r="O373" s="229" t="s">
        <v>20</v>
      </c>
      <c r="P373" s="229" t="s">
        <v>20</v>
      </c>
      <c r="Q373" s="229" t="s">
        <v>15</v>
      </c>
      <c r="R373" s="229" t="s">
        <v>15</v>
      </c>
      <c r="S373" s="229" t="s">
        <v>16</v>
      </c>
      <c r="T373" s="229" t="s">
        <v>375</v>
      </c>
      <c r="U373" s="229" t="s">
        <v>331</v>
      </c>
      <c r="V373" s="229" t="s">
        <v>328</v>
      </c>
      <c r="W373" s="230" t="s">
        <v>328</v>
      </c>
      <c r="X373" s="230" t="s">
        <v>328</v>
      </c>
      <c r="Y373" s="231" t="s">
        <v>328</v>
      </c>
    </row>
    <row r="374" spans="1:25">
      <c r="A374" s="223">
        <v>10</v>
      </c>
      <c r="B374" s="224" t="str">
        <f>VLOOKUP(Tabel10[[#This Row],[Locatiecode]],Ruimtegroepen[[#All],[Code]:[Ruimte omschrijving]],2,FALSE)</f>
        <v>Trappenhuizen/lift</v>
      </c>
      <c r="C374" s="225" t="s">
        <v>745</v>
      </c>
      <c r="D374" s="224" t="s">
        <v>21</v>
      </c>
      <c r="E374" s="226" t="s">
        <v>123</v>
      </c>
      <c r="F374" s="225" t="s">
        <v>749</v>
      </c>
      <c r="G374" s="228" t="s">
        <v>328</v>
      </c>
      <c r="H374" s="228" t="s">
        <v>20</v>
      </c>
      <c r="I374" s="228" t="s">
        <v>328</v>
      </c>
      <c r="J374" s="228" t="s">
        <v>20</v>
      </c>
      <c r="K374" s="227" t="s">
        <v>16</v>
      </c>
      <c r="L374" s="228" t="s">
        <v>328</v>
      </c>
      <c r="M374" s="228" t="s">
        <v>328</v>
      </c>
      <c r="N374" s="228" t="s">
        <v>328</v>
      </c>
      <c r="O374" s="229" t="s">
        <v>20</v>
      </c>
      <c r="P374" s="229" t="s">
        <v>20</v>
      </c>
      <c r="Q374" s="229" t="s">
        <v>15</v>
      </c>
      <c r="R374" s="229" t="s">
        <v>15</v>
      </c>
      <c r="S374" s="229" t="s">
        <v>16</v>
      </c>
      <c r="T374" s="229" t="s">
        <v>375</v>
      </c>
      <c r="U374" s="229" t="s">
        <v>331</v>
      </c>
      <c r="V374" s="229" t="s">
        <v>328</v>
      </c>
      <c r="W374" s="230" t="s">
        <v>328</v>
      </c>
      <c r="X374" s="230" t="s">
        <v>328</v>
      </c>
      <c r="Y374" s="231" t="s">
        <v>328</v>
      </c>
    </row>
    <row r="375" spans="1:25">
      <c r="A375" s="223">
        <v>10</v>
      </c>
      <c r="B375" s="224" t="str">
        <f>VLOOKUP(Tabel10[[#This Row],[Locatiecode]],Ruimtegroepen[[#All],[Code]:[Ruimte omschrijving]],2,FALSE)</f>
        <v>Trappenhuizen/lift</v>
      </c>
      <c r="C375" s="225" t="s">
        <v>750</v>
      </c>
      <c r="D375" s="224" t="s">
        <v>12</v>
      </c>
      <c r="E375" s="226" t="s">
        <v>121</v>
      </c>
      <c r="F375" s="225" t="s">
        <v>751</v>
      </c>
      <c r="G375" s="228" t="s">
        <v>328</v>
      </c>
      <c r="H375" s="228" t="s">
        <v>328</v>
      </c>
      <c r="I375" s="227" t="s">
        <v>328</v>
      </c>
      <c r="J375" s="227" t="s">
        <v>20</v>
      </c>
      <c r="K375" s="227" t="s">
        <v>16</v>
      </c>
      <c r="L375" s="228" t="s">
        <v>328</v>
      </c>
      <c r="M375" s="228" t="s">
        <v>328</v>
      </c>
      <c r="N375" s="228" t="s">
        <v>328</v>
      </c>
      <c r="O375" s="229" t="s">
        <v>18</v>
      </c>
      <c r="P375" s="229" t="s">
        <v>18</v>
      </c>
      <c r="Q375" s="229" t="s">
        <v>15</v>
      </c>
      <c r="R375" s="229" t="s">
        <v>15</v>
      </c>
      <c r="S375" s="229" t="s">
        <v>16</v>
      </c>
      <c r="T375" s="229" t="s">
        <v>375</v>
      </c>
      <c r="U375" s="229" t="s">
        <v>331</v>
      </c>
      <c r="V375" s="229" t="s">
        <v>328</v>
      </c>
      <c r="W375" s="230" t="s">
        <v>328</v>
      </c>
      <c r="X375" s="230" t="s">
        <v>328</v>
      </c>
      <c r="Y375" s="231" t="s">
        <v>328</v>
      </c>
    </row>
    <row r="376" spans="1:25">
      <c r="A376" s="223">
        <v>10</v>
      </c>
      <c r="B376" s="224" t="str">
        <f>VLOOKUP(Tabel10[[#This Row],[Locatiecode]],Ruimtegroepen[[#All],[Code]:[Ruimte omschrijving]],2,FALSE)</f>
        <v>Trappenhuizen/lift</v>
      </c>
      <c r="C376" s="225" t="s">
        <v>750</v>
      </c>
      <c r="D376" s="224" t="s">
        <v>12</v>
      </c>
      <c r="E376" s="226" t="s">
        <v>120</v>
      </c>
      <c r="F376" s="225" t="s">
        <v>752</v>
      </c>
      <c r="G376" s="228" t="s">
        <v>328</v>
      </c>
      <c r="H376" s="228" t="s">
        <v>18</v>
      </c>
      <c r="I376" s="228" t="s">
        <v>328</v>
      </c>
      <c r="J376" s="228" t="s">
        <v>328</v>
      </c>
      <c r="K376" s="228" t="s">
        <v>328</v>
      </c>
      <c r="L376" s="228" t="s">
        <v>328</v>
      </c>
      <c r="M376" s="228" t="s">
        <v>328</v>
      </c>
      <c r="N376" s="228" t="s">
        <v>328</v>
      </c>
      <c r="O376" s="229" t="s">
        <v>18</v>
      </c>
      <c r="P376" s="229" t="s">
        <v>18</v>
      </c>
      <c r="Q376" s="229" t="s">
        <v>15</v>
      </c>
      <c r="R376" s="229" t="s">
        <v>15</v>
      </c>
      <c r="S376" s="229" t="s">
        <v>16</v>
      </c>
      <c r="T376" s="229" t="s">
        <v>375</v>
      </c>
      <c r="U376" s="229" t="s">
        <v>331</v>
      </c>
      <c r="V376" s="229" t="s">
        <v>328</v>
      </c>
      <c r="W376" s="230" t="s">
        <v>328</v>
      </c>
      <c r="X376" s="230" t="s">
        <v>328</v>
      </c>
      <c r="Y376" s="231" t="s">
        <v>328</v>
      </c>
    </row>
    <row r="377" spans="1:25">
      <c r="A377" s="223">
        <v>10</v>
      </c>
      <c r="B377" s="224" t="str">
        <f>VLOOKUP(Tabel10[[#This Row],[Locatiecode]],Ruimtegroepen[[#All],[Code]:[Ruimte omschrijving]],2,FALSE)</f>
        <v>Trappenhuizen/lift</v>
      </c>
      <c r="C377" s="225" t="s">
        <v>750</v>
      </c>
      <c r="D377" s="224" t="s">
        <v>12</v>
      </c>
      <c r="E377" s="226" t="s">
        <v>122</v>
      </c>
      <c r="F377" s="225" t="s">
        <v>753</v>
      </c>
      <c r="G377" s="228" t="s">
        <v>328</v>
      </c>
      <c r="H377" s="228" t="s">
        <v>18</v>
      </c>
      <c r="I377" s="228" t="s">
        <v>328</v>
      </c>
      <c r="J377" s="228" t="s">
        <v>18</v>
      </c>
      <c r="K377" s="227" t="s">
        <v>16</v>
      </c>
      <c r="L377" s="228" t="s">
        <v>328</v>
      </c>
      <c r="M377" s="228" t="s">
        <v>328</v>
      </c>
      <c r="N377" s="228" t="s">
        <v>328</v>
      </c>
      <c r="O377" s="229" t="s">
        <v>18</v>
      </c>
      <c r="P377" s="229" t="s">
        <v>18</v>
      </c>
      <c r="Q377" s="229" t="s">
        <v>15</v>
      </c>
      <c r="R377" s="229" t="s">
        <v>15</v>
      </c>
      <c r="S377" s="229" t="s">
        <v>16</v>
      </c>
      <c r="T377" s="229" t="s">
        <v>375</v>
      </c>
      <c r="U377" s="229" t="s">
        <v>331</v>
      </c>
      <c r="V377" s="229" t="s">
        <v>328</v>
      </c>
      <c r="W377" s="230" t="s">
        <v>328</v>
      </c>
      <c r="X377" s="230" t="s">
        <v>328</v>
      </c>
      <c r="Y377" s="231" t="s">
        <v>328</v>
      </c>
    </row>
    <row r="378" spans="1:25">
      <c r="A378" s="223">
        <v>10</v>
      </c>
      <c r="B378" s="224" t="str">
        <f>VLOOKUP(Tabel10[[#This Row],[Locatiecode]],Ruimtegroepen[[#All],[Code]:[Ruimte omschrijving]],2,FALSE)</f>
        <v>Trappenhuizen/lift</v>
      </c>
      <c r="C378" s="225" t="s">
        <v>750</v>
      </c>
      <c r="D378" s="224" t="s">
        <v>12</v>
      </c>
      <c r="E378" s="226" t="s">
        <v>123</v>
      </c>
      <c r="F378" s="225" t="s">
        <v>754</v>
      </c>
      <c r="G378" s="228" t="s">
        <v>328</v>
      </c>
      <c r="H378" s="228" t="s">
        <v>18</v>
      </c>
      <c r="I378" s="228" t="s">
        <v>328</v>
      </c>
      <c r="J378" s="228" t="s">
        <v>18</v>
      </c>
      <c r="K378" s="227" t="s">
        <v>16</v>
      </c>
      <c r="L378" s="228" t="s">
        <v>328</v>
      </c>
      <c r="M378" s="228" t="s">
        <v>328</v>
      </c>
      <c r="N378" s="228" t="s">
        <v>328</v>
      </c>
      <c r="O378" s="229" t="s">
        <v>18</v>
      </c>
      <c r="P378" s="229" t="s">
        <v>18</v>
      </c>
      <c r="Q378" s="229" t="s">
        <v>15</v>
      </c>
      <c r="R378" s="229" t="s">
        <v>15</v>
      </c>
      <c r="S378" s="229" t="s">
        <v>16</v>
      </c>
      <c r="T378" s="229" t="s">
        <v>375</v>
      </c>
      <c r="U378" s="229" t="s">
        <v>331</v>
      </c>
      <c r="V378" s="229" t="s">
        <v>328</v>
      </c>
      <c r="W378" s="230" t="s">
        <v>328</v>
      </c>
      <c r="X378" s="230" t="s">
        <v>328</v>
      </c>
      <c r="Y378" s="231" t="s">
        <v>328</v>
      </c>
    </row>
    <row r="379" spans="1:25">
      <c r="A379" s="223">
        <v>10</v>
      </c>
      <c r="B379" s="224" t="str">
        <f>VLOOKUP(Tabel10[[#This Row],[Locatiecode]],Ruimtegroepen[[#All],[Code]:[Ruimte omschrijving]],2,FALSE)</f>
        <v>Trappenhuizen/lift</v>
      </c>
      <c r="C379" s="225" t="s">
        <v>755</v>
      </c>
      <c r="D379" s="224" t="s">
        <v>14</v>
      </c>
      <c r="E379" s="226" t="s">
        <v>121</v>
      </c>
      <c r="F379" s="225" t="s">
        <v>756</v>
      </c>
      <c r="G379" s="228" t="s">
        <v>328</v>
      </c>
      <c r="H379" s="228" t="s">
        <v>328</v>
      </c>
      <c r="I379" s="227" t="s">
        <v>328</v>
      </c>
      <c r="J379" s="227" t="s">
        <v>18</v>
      </c>
      <c r="K379" s="227" t="s">
        <v>16</v>
      </c>
      <c r="L379" s="228" t="s">
        <v>328</v>
      </c>
      <c r="M379" s="228" t="s">
        <v>328</v>
      </c>
      <c r="N379" s="228" t="s">
        <v>328</v>
      </c>
      <c r="O379" s="229" t="s">
        <v>17</v>
      </c>
      <c r="P379" s="229" t="s">
        <v>17</v>
      </c>
      <c r="Q379" s="229" t="s">
        <v>15</v>
      </c>
      <c r="R379" s="229" t="s">
        <v>15</v>
      </c>
      <c r="S379" s="229" t="s">
        <v>16</v>
      </c>
      <c r="T379" s="229" t="s">
        <v>375</v>
      </c>
      <c r="U379" s="229" t="s">
        <v>331</v>
      </c>
      <c r="V379" s="229" t="s">
        <v>328</v>
      </c>
      <c r="W379" s="230" t="s">
        <v>328</v>
      </c>
      <c r="X379" s="230" t="s">
        <v>328</v>
      </c>
      <c r="Y379" s="231" t="s">
        <v>328</v>
      </c>
    </row>
    <row r="380" spans="1:25">
      <c r="A380" s="223">
        <v>10</v>
      </c>
      <c r="B380" s="224" t="str">
        <f>VLOOKUP(Tabel10[[#This Row],[Locatiecode]],Ruimtegroepen[[#All],[Code]:[Ruimte omschrijving]],2,FALSE)</f>
        <v>Trappenhuizen/lift</v>
      </c>
      <c r="C380" s="225" t="s">
        <v>755</v>
      </c>
      <c r="D380" s="224" t="s">
        <v>14</v>
      </c>
      <c r="E380" s="226" t="s">
        <v>120</v>
      </c>
      <c r="F380" s="225" t="s">
        <v>757</v>
      </c>
      <c r="G380" s="228" t="s">
        <v>328</v>
      </c>
      <c r="H380" s="228" t="s">
        <v>17</v>
      </c>
      <c r="I380" s="228" t="s">
        <v>328</v>
      </c>
      <c r="J380" s="228" t="s">
        <v>328</v>
      </c>
      <c r="K380" s="228" t="s">
        <v>328</v>
      </c>
      <c r="L380" s="228" t="s">
        <v>328</v>
      </c>
      <c r="M380" s="228" t="s">
        <v>328</v>
      </c>
      <c r="N380" s="228" t="s">
        <v>328</v>
      </c>
      <c r="O380" s="229" t="s">
        <v>17</v>
      </c>
      <c r="P380" s="229" t="s">
        <v>17</v>
      </c>
      <c r="Q380" s="229" t="s">
        <v>15</v>
      </c>
      <c r="R380" s="229" t="s">
        <v>15</v>
      </c>
      <c r="S380" s="229" t="s">
        <v>16</v>
      </c>
      <c r="T380" s="229" t="s">
        <v>375</v>
      </c>
      <c r="U380" s="229" t="s">
        <v>331</v>
      </c>
      <c r="V380" s="229" t="s">
        <v>328</v>
      </c>
      <c r="W380" s="230" t="s">
        <v>328</v>
      </c>
      <c r="X380" s="230" t="s">
        <v>328</v>
      </c>
      <c r="Y380" s="231" t="s">
        <v>328</v>
      </c>
    </row>
    <row r="381" spans="1:25">
      <c r="A381" s="223">
        <v>10</v>
      </c>
      <c r="B381" s="224" t="str">
        <f>VLOOKUP(Tabel10[[#This Row],[Locatiecode]],Ruimtegroepen[[#All],[Code]:[Ruimte omschrijving]],2,FALSE)</f>
        <v>Trappenhuizen/lift</v>
      </c>
      <c r="C381" s="225" t="s">
        <v>755</v>
      </c>
      <c r="D381" s="224" t="s">
        <v>14</v>
      </c>
      <c r="E381" s="226" t="s">
        <v>122</v>
      </c>
      <c r="F381" s="225" t="s">
        <v>758</v>
      </c>
      <c r="G381" s="228" t="s">
        <v>328</v>
      </c>
      <c r="H381" s="228" t="s">
        <v>17</v>
      </c>
      <c r="I381" s="228" t="s">
        <v>328</v>
      </c>
      <c r="J381" s="228" t="s">
        <v>17</v>
      </c>
      <c r="K381" s="227" t="s">
        <v>16</v>
      </c>
      <c r="L381" s="228" t="s">
        <v>328</v>
      </c>
      <c r="M381" s="228" t="s">
        <v>328</v>
      </c>
      <c r="N381" s="228" t="s">
        <v>328</v>
      </c>
      <c r="O381" s="229" t="s">
        <v>17</v>
      </c>
      <c r="P381" s="229" t="s">
        <v>17</v>
      </c>
      <c r="Q381" s="229" t="s">
        <v>15</v>
      </c>
      <c r="R381" s="229" t="s">
        <v>15</v>
      </c>
      <c r="S381" s="229" t="s">
        <v>16</v>
      </c>
      <c r="T381" s="229" t="s">
        <v>375</v>
      </c>
      <c r="U381" s="229" t="s">
        <v>331</v>
      </c>
      <c r="V381" s="229" t="s">
        <v>328</v>
      </c>
      <c r="W381" s="230" t="s">
        <v>328</v>
      </c>
      <c r="X381" s="230" t="s">
        <v>328</v>
      </c>
      <c r="Y381" s="231" t="s">
        <v>328</v>
      </c>
    </row>
    <row r="382" spans="1:25">
      <c r="A382" s="223">
        <v>10</v>
      </c>
      <c r="B382" s="224" t="str">
        <f>VLOOKUP(Tabel10[[#This Row],[Locatiecode]],Ruimtegroepen[[#All],[Code]:[Ruimte omschrijving]],2,FALSE)</f>
        <v>Trappenhuizen/lift</v>
      </c>
      <c r="C382" s="225" t="s">
        <v>755</v>
      </c>
      <c r="D382" s="224" t="s">
        <v>14</v>
      </c>
      <c r="E382" s="226" t="s">
        <v>123</v>
      </c>
      <c r="F382" s="225" t="s">
        <v>759</v>
      </c>
      <c r="G382" s="228" t="s">
        <v>328</v>
      </c>
      <c r="H382" s="228" t="s">
        <v>17</v>
      </c>
      <c r="I382" s="228" t="s">
        <v>328</v>
      </c>
      <c r="J382" s="228" t="s">
        <v>17</v>
      </c>
      <c r="K382" s="227" t="s">
        <v>16</v>
      </c>
      <c r="L382" s="228" t="s">
        <v>328</v>
      </c>
      <c r="M382" s="228" t="s">
        <v>328</v>
      </c>
      <c r="N382" s="228" t="s">
        <v>328</v>
      </c>
      <c r="O382" s="229" t="s">
        <v>17</v>
      </c>
      <c r="P382" s="229" t="s">
        <v>17</v>
      </c>
      <c r="Q382" s="229" t="s">
        <v>15</v>
      </c>
      <c r="R382" s="229" t="s">
        <v>15</v>
      </c>
      <c r="S382" s="229" t="s">
        <v>16</v>
      </c>
      <c r="T382" s="229" t="s">
        <v>375</v>
      </c>
      <c r="U382" s="229" t="s">
        <v>331</v>
      </c>
      <c r="V382" s="229" t="s">
        <v>328</v>
      </c>
      <c r="W382" s="230" t="s">
        <v>328</v>
      </c>
      <c r="X382" s="230" t="s">
        <v>328</v>
      </c>
      <c r="Y382" s="231" t="s">
        <v>328</v>
      </c>
    </row>
    <row r="383" spans="1:25">
      <c r="A383" s="223">
        <v>10</v>
      </c>
      <c r="B383" s="224" t="str">
        <f>VLOOKUP(Tabel10[[#This Row],[Locatiecode]],Ruimtegroepen[[#All],[Code]:[Ruimte omschrijving]],2,FALSE)</f>
        <v>Trappenhuizen/lift</v>
      </c>
      <c r="C383" s="225" t="s">
        <v>760</v>
      </c>
      <c r="D383" s="224" t="s">
        <v>13</v>
      </c>
      <c r="E383" s="226" t="s">
        <v>121</v>
      </c>
      <c r="F383" s="225" t="s">
        <v>761</v>
      </c>
      <c r="G383" s="228" t="s">
        <v>328</v>
      </c>
      <c r="H383" s="228" t="s">
        <v>328</v>
      </c>
      <c r="I383" s="227" t="s">
        <v>328</v>
      </c>
      <c r="J383" s="227" t="s">
        <v>17</v>
      </c>
      <c r="K383" s="227" t="s">
        <v>16</v>
      </c>
      <c r="L383" s="228" t="s">
        <v>328</v>
      </c>
      <c r="M383" s="228" t="s">
        <v>328</v>
      </c>
      <c r="N383" s="228" t="s">
        <v>328</v>
      </c>
      <c r="O383" s="229" t="s">
        <v>15</v>
      </c>
      <c r="P383" s="229" t="s">
        <v>15</v>
      </c>
      <c r="Q383" s="229" t="s">
        <v>15</v>
      </c>
      <c r="R383" s="229" t="s">
        <v>15</v>
      </c>
      <c r="S383" s="229" t="s">
        <v>16</v>
      </c>
      <c r="T383" s="229" t="s">
        <v>375</v>
      </c>
      <c r="U383" s="229" t="s">
        <v>331</v>
      </c>
      <c r="V383" s="229" t="s">
        <v>328</v>
      </c>
      <c r="W383" s="230" t="s">
        <v>328</v>
      </c>
      <c r="X383" s="230" t="s">
        <v>328</v>
      </c>
      <c r="Y383" s="231" t="s">
        <v>328</v>
      </c>
    </row>
    <row r="384" spans="1:25">
      <c r="A384" s="223">
        <v>10</v>
      </c>
      <c r="B384" s="224" t="str">
        <f>VLOOKUP(Tabel10[[#This Row],[Locatiecode]],Ruimtegroepen[[#All],[Code]:[Ruimte omschrijving]],2,FALSE)</f>
        <v>Trappenhuizen/lift</v>
      </c>
      <c r="C384" s="225" t="s">
        <v>760</v>
      </c>
      <c r="D384" s="224" t="s">
        <v>13</v>
      </c>
      <c r="E384" s="226" t="s">
        <v>120</v>
      </c>
      <c r="F384" s="225" t="s">
        <v>762</v>
      </c>
      <c r="G384" s="228" t="s">
        <v>407</v>
      </c>
      <c r="H384" s="228" t="s">
        <v>15</v>
      </c>
      <c r="I384" s="228" t="s">
        <v>328</v>
      </c>
      <c r="J384" s="228" t="s">
        <v>328</v>
      </c>
      <c r="K384" s="228" t="s">
        <v>328</v>
      </c>
      <c r="L384" s="228" t="s">
        <v>328</v>
      </c>
      <c r="M384" s="228" t="s">
        <v>328</v>
      </c>
      <c r="N384" s="228" t="s">
        <v>328</v>
      </c>
      <c r="O384" s="229" t="s">
        <v>15</v>
      </c>
      <c r="P384" s="229" t="s">
        <v>15</v>
      </c>
      <c r="Q384" s="229" t="s">
        <v>15</v>
      </c>
      <c r="R384" s="229" t="s">
        <v>15</v>
      </c>
      <c r="S384" s="229" t="s">
        <v>16</v>
      </c>
      <c r="T384" s="229" t="s">
        <v>375</v>
      </c>
      <c r="U384" s="229" t="s">
        <v>331</v>
      </c>
      <c r="V384" s="229" t="s">
        <v>328</v>
      </c>
      <c r="W384" s="230" t="s">
        <v>328</v>
      </c>
      <c r="X384" s="230" t="s">
        <v>328</v>
      </c>
      <c r="Y384" s="231" t="s">
        <v>328</v>
      </c>
    </row>
    <row r="385" spans="1:25">
      <c r="A385" s="223">
        <v>10</v>
      </c>
      <c r="B385" s="224" t="str">
        <f>VLOOKUP(Tabel10[[#This Row],[Locatiecode]],Ruimtegroepen[[#All],[Code]:[Ruimte omschrijving]],2,FALSE)</f>
        <v>Trappenhuizen/lift</v>
      </c>
      <c r="C385" s="225" t="s">
        <v>760</v>
      </c>
      <c r="D385" s="224" t="s">
        <v>13</v>
      </c>
      <c r="E385" s="226" t="s">
        <v>122</v>
      </c>
      <c r="F385" s="225" t="s">
        <v>763</v>
      </c>
      <c r="G385" s="228" t="s">
        <v>328</v>
      </c>
      <c r="H385" s="228" t="s">
        <v>15</v>
      </c>
      <c r="I385" s="228" t="s">
        <v>328</v>
      </c>
      <c r="J385" s="228" t="s">
        <v>328</v>
      </c>
      <c r="K385" s="227" t="s">
        <v>16</v>
      </c>
      <c r="L385" s="228" t="s">
        <v>328</v>
      </c>
      <c r="M385" s="228" t="s">
        <v>328</v>
      </c>
      <c r="N385" s="228" t="s">
        <v>328</v>
      </c>
      <c r="O385" s="229" t="s">
        <v>15</v>
      </c>
      <c r="P385" s="229" t="s">
        <v>15</v>
      </c>
      <c r="Q385" s="229" t="s">
        <v>15</v>
      </c>
      <c r="R385" s="229" t="s">
        <v>15</v>
      </c>
      <c r="S385" s="229" t="s">
        <v>16</v>
      </c>
      <c r="T385" s="229" t="s">
        <v>375</v>
      </c>
      <c r="U385" s="229" t="s">
        <v>331</v>
      </c>
      <c r="V385" s="229" t="s">
        <v>328</v>
      </c>
      <c r="W385" s="230" t="s">
        <v>328</v>
      </c>
      <c r="X385" s="230" t="s">
        <v>328</v>
      </c>
      <c r="Y385" s="231" t="s">
        <v>328</v>
      </c>
    </row>
    <row r="386" spans="1:25">
      <c r="A386" s="223">
        <v>10</v>
      </c>
      <c r="B386" s="224" t="str">
        <f>VLOOKUP(Tabel10[[#This Row],[Locatiecode]],Ruimtegroepen[[#All],[Code]:[Ruimte omschrijving]],2,FALSE)</f>
        <v>Trappenhuizen/lift</v>
      </c>
      <c r="C386" s="225" t="s">
        <v>760</v>
      </c>
      <c r="D386" s="224" t="s">
        <v>13</v>
      </c>
      <c r="E386" s="226" t="s">
        <v>123</v>
      </c>
      <c r="F386" s="225" t="s">
        <v>764</v>
      </c>
      <c r="G386" s="228" t="s">
        <v>328</v>
      </c>
      <c r="H386" s="228" t="s">
        <v>15</v>
      </c>
      <c r="I386" s="228" t="s">
        <v>328</v>
      </c>
      <c r="J386" s="228" t="s">
        <v>328</v>
      </c>
      <c r="K386" s="227" t="s">
        <v>16</v>
      </c>
      <c r="L386" s="228" t="s">
        <v>328</v>
      </c>
      <c r="M386" s="228" t="s">
        <v>328</v>
      </c>
      <c r="N386" s="228" t="s">
        <v>328</v>
      </c>
      <c r="O386" s="229" t="s">
        <v>15</v>
      </c>
      <c r="P386" s="229" t="s">
        <v>15</v>
      </c>
      <c r="Q386" s="229" t="s">
        <v>15</v>
      </c>
      <c r="R386" s="229" t="s">
        <v>15</v>
      </c>
      <c r="S386" s="229" t="s">
        <v>16</v>
      </c>
      <c r="T386" s="229" t="s">
        <v>375</v>
      </c>
      <c r="U386" s="229" t="s">
        <v>331</v>
      </c>
      <c r="V386" s="229" t="s">
        <v>328</v>
      </c>
      <c r="W386" s="230" t="s">
        <v>328</v>
      </c>
      <c r="X386" s="230" t="s">
        <v>328</v>
      </c>
      <c r="Y386" s="231" t="s">
        <v>328</v>
      </c>
    </row>
    <row r="387" spans="1:25">
      <c r="A387" s="223">
        <v>10</v>
      </c>
      <c r="B387" s="224" t="str">
        <f>VLOOKUP(Tabel10[[#This Row],[Locatiecode]],Ruimtegroepen[[#All],[Code]:[Ruimte omschrijving]],2,FALSE)</f>
        <v>Trappenhuizen/lift</v>
      </c>
      <c r="C387" s="225" t="s">
        <v>765</v>
      </c>
      <c r="D387" s="224" t="s">
        <v>0</v>
      </c>
      <c r="E387" s="226" t="s">
        <v>121</v>
      </c>
      <c r="F387" s="225" t="s">
        <v>766</v>
      </c>
      <c r="G387" s="228" t="s">
        <v>328</v>
      </c>
      <c r="H387" s="228" t="s">
        <v>328</v>
      </c>
      <c r="I387" s="227" t="s">
        <v>328</v>
      </c>
      <c r="J387" s="228" t="s">
        <v>328</v>
      </c>
      <c r="K387" s="228" t="s">
        <v>16</v>
      </c>
      <c r="L387" s="228" t="s">
        <v>328</v>
      </c>
      <c r="M387" s="228" t="s">
        <v>328</v>
      </c>
      <c r="N387" s="228" t="s">
        <v>328</v>
      </c>
      <c r="O387" s="229" t="s">
        <v>16</v>
      </c>
      <c r="P387" s="229" t="s">
        <v>16</v>
      </c>
      <c r="Q387" s="229" t="s">
        <v>16</v>
      </c>
      <c r="R387" s="229" t="s">
        <v>16</v>
      </c>
      <c r="S387" s="229" t="s">
        <v>16</v>
      </c>
      <c r="T387" s="229" t="s">
        <v>375</v>
      </c>
      <c r="U387" s="229" t="s">
        <v>331</v>
      </c>
      <c r="V387" s="229" t="s">
        <v>328</v>
      </c>
      <c r="W387" s="230" t="s">
        <v>328</v>
      </c>
      <c r="X387" s="230" t="s">
        <v>328</v>
      </c>
      <c r="Y387" s="231" t="s">
        <v>328</v>
      </c>
    </row>
    <row r="388" spans="1:25">
      <c r="A388" s="223">
        <v>10</v>
      </c>
      <c r="B388" s="224" t="str">
        <f>VLOOKUP(Tabel10[[#This Row],[Locatiecode]],Ruimtegroepen[[#All],[Code]:[Ruimte omschrijving]],2,FALSE)</f>
        <v>Trappenhuizen/lift</v>
      </c>
      <c r="C388" s="225" t="s">
        <v>765</v>
      </c>
      <c r="D388" s="224" t="s">
        <v>0</v>
      </c>
      <c r="E388" s="226" t="s">
        <v>120</v>
      </c>
      <c r="F388" s="225" t="s">
        <v>767</v>
      </c>
      <c r="G388" s="228" t="s">
        <v>407</v>
      </c>
      <c r="H388" s="228" t="s">
        <v>16</v>
      </c>
      <c r="I388" s="228" t="s">
        <v>328</v>
      </c>
      <c r="J388" s="228" t="s">
        <v>328</v>
      </c>
      <c r="K388" s="228" t="s">
        <v>328</v>
      </c>
      <c r="L388" s="228" t="s">
        <v>328</v>
      </c>
      <c r="M388" s="228" t="s">
        <v>328</v>
      </c>
      <c r="N388" s="228" t="s">
        <v>328</v>
      </c>
      <c r="O388" s="229" t="s">
        <v>16</v>
      </c>
      <c r="P388" s="229" t="s">
        <v>16</v>
      </c>
      <c r="Q388" s="229" t="s">
        <v>16</v>
      </c>
      <c r="R388" s="229" t="s">
        <v>16</v>
      </c>
      <c r="S388" s="229" t="s">
        <v>16</v>
      </c>
      <c r="T388" s="229" t="s">
        <v>375</v>
      </c>
      <c r="U388" s="229" t="s">
        <v>331</v>
      </c>
      <c r="V388" s="229" t="s">
        <v>328</v>
      </c>
      <c r="W388" s="230" t="s">
        <v>328</v>
      </c>
      <c r="X388" s="230" t="s">
        <v>328</v>
      </c>
      <c r="Y388" s="231" t="s">
        <v>328</v>
      </c>
    </row>
    <row r="389" spans="1:25">
      <c r="A389" s="223">
        <v>10</v>
      </c>
      <c r="B389" s="224" t="str">
        <f>VLOOKUP(Tabel10[[#This Row],[Locatiecode]],Ruimtegroepen[[#All],[Code]:[Ruimte omschrijving]],2,FALSE)</f>
        <v>Trappenhuizen/lift</v>
      </c>
      <c r="C389" s="225" t="s">
        <v>765</v>
      </c>
      <c r="D389" s="224" t="s">
        <v>0</v>
      </c>
      <c r="E389" s="226" t="s">
        <v>122</v>
      </c>
      <c r="F389" s="225" t="s">
        <v>768</v>
      </c>
      <c r="G389" s="228" t="s">
        <v>328</v>
      </c>
      <c r="H389" s="228" t="s">
        <v>16</v>
      </c>
      <c r="I389" s="228" t="s">
        <v>328</v>
      </c>
      <c r="J389" s="228" t="s">
        <v>328</v>
      </c>
      <c r="K389" s="228" t="s">
        <v>16</v>
      </c>
      <c r="L389" s="228" t="s">
        <v>328</v>
      </c>
      <c r="M389" s="228" t="s">
        <v>328</v>
      </c>
      <c r="N389" s="228" t="s">
        <v>328</v>
      </c>
      <c r="O389" s="229" t="s">
        <v>16</v>
      </c>
      <c r="P389" s="229" t="s">
        <v>16</v>
      </c>
      <c r="Q389" s="229" t="s">
        <v>16</v>
      </c>
      <c r="R389" s="229" t="s">
        <v>16</v>
      </c>
      <c r="S389" s="229" t="s">
        <v>16</v>
      </c>
      <c r="T389" s="229" t="s">
        <v>375</v>
      </c>
      <c r="U389" s="229" t="s">
        <v>331</v>
      </c>
      <c r="V389" s="229" t="s">
        <v>328</v>
      </c>
      <c r="W389" s="230" t="s">
        <v>328</v>
      </c>
      <c r="X389" s="230" t="s">
        <v>328</v>
      </c>
      <c r="Y389" s="231" t="s">
        <v>328</v>
      </c>
    </row>
    <row r="390" spans="1:25">
      <c r="A390" s="223">
        <v>10</v>
      </c>
      <c r="B390" s="224" t="str">
        <f>VLOOKUP(Tabel10[[#This Row],[Locatiecode]],Ruimtegroepen[[#All],[Code]:[Ruimte omschrijving]],2,FALSE)</f>
        <v>Trappenhuizen/lift</v>
      </c>
      <c r="C390" s="225" t="s">
        <v>765</v>
      </c>
      <c r="D390" s="224" t="s">
        <v>0</v>
      </c>
      <c r="E390" s="226" t="s">
        <v>123</v>
      </c>
      <c r="F390" s="225" t="s">
        <v>769</v>
      </c>
      <c r="G390" s="228" t="s">
        <v>328</v>
      </c>
      <c r="H390" s="228" t="s">
        <v>16</v>
      </c>
      <c r="I390" s="228" t="s">
        <v>328</v>
      </c>
      <c r="J390" s="228" t="s">
        <v>328</v>
      </c>
      <c r="K390" s="228" t="s">
        <v>16</v>
      </c>
      <c r="L390" s="228" t="s">
        <v>328</v>
      </c>
      <c r="M390" s="228" t="s">
        <v>328</v>
      </c>
      <c r="N390" s="228" t="s">
        <v>328</v>
      </c>
      <c r="O390" s="229" t="s">
        <v>16</v>
      </c>
      <c r="P390" s="229" t="s">
        <v>16</v>
      </c>
      <c r="Q390" s="229" t="s">
        <v>16</v>
      </c>
      <c r="R390" s="229" t="s">
        <v>16</v>
      </c>
      <c r="S390" s="229" t="s">
        <v>16</v>
      </c>
      <c r="T390" s="229" t="s">
        <v>375</v>
      </c>
      <c r="U390" s="229" t="s">
        <v>331</v>
      </c>
      <c r="V390" s="229" t="s">
        <v>328</v>
      </c>
      <c r="W390" s="230" t="s">
        <v>328</v>
      </c>
      <c r="X390" s="230" t="s">
        <v>328</v>
      </c>
      <c r="Y390" s="231" t="s">
        <v>328</v>
      </c>
    </row>
    <row r="391" spans="1:25">
      <c r="A391" s="223">
        <v>10</v>
      </c>
      <c r="B391" s="224" t="str">
        <f>VLOOKUP(Tabel10[[#This Row],[Locatiecode]],Ruimtegroepen[[#All],[Code]:[Ruimte omschrijving]],2,FALSE)</f>
        <v>Trappenhuizen/lift</v>
      </c>
      <c r="C391" s="225" t="s">
        <v>770</v>
      </c>
      <c r="D391" s="224" t="s">
        <v>30</v>
      </c>
      <c r="E391" s="226" t="s">
        <v>121</v>
      </c>
      <c r="F391" s="225" t="s">
        <v>771</v>
      </c>
      <c r="G391" s="228" t="s">
        <v>328</v>
      </c>
      <c r="H391" s="227" t="s">
        <v>15</v>
      </c>
      <c r="I391" s="227" t="s">
        <v>328</v>
      </c>
      <c r="J391" s="227" t="s">
        <v>15</v>
      </c>
      <c r="K391" s="227" t="s">
        <v>328</v>
      </c>
      <c r="L391" s="228" t="s">
        <v>328</v>
      </c>
      <c r="M391" s="228" t="s">
        <v>328</v>
      </c>
      <c r="N391" s="228" t="s">
        <v>328</v>
      </c>
      <c r="O391" s="229" t="s">
        <v>15</v>
      </c>
      <c r="P391" s="229" t="s">
        <v>15</v>
      </c>
      <c r="Q391" s="229" t="s">
        <v>15</v>
      </c>
      <c r="R391" s="229" t="s">
        <v>15</v>
      </c>
      <c r="S391" s="229" t="s">
        <v>328</v>
      </c>
      <c r="T391" s="229" t="s">
        <v>328</v>
      </c>
      <c r="U391" s="229" t="s">
        <v>328</v>
      </c>
      <c r="V391" s="229" t="s">
        <v>328</v>
      </c>
      <c r="W391" s="230" t="s">
        <v>328</v>
      </c>
      <c r="X391" s="230" t="s">
        <v>328</v>
      </c>
      <c r="Y391" s="231" t="s">
        <v>328</v>
      </c>
    </row>
    <row r="392" spans="1:25">
      <c r="A392" s="223">
        <v>10</v>
      </c>
      <c r="B392" s="224" t="str">
        <f>VLOOKUP(Tabel10[[#This Row],[Locatiecode]],Ruimtegroepen[[#All],[Code]:[Ruimte omschrijving]],2,FALSE)</f>
        <v>Trappenhuizen/lift</v>
      </c>
      <c r="C392" s="225" t="s">
        <v>770</v>
      </c>
      <c r="D392" s="224" t="s">
        <v>30</v>
      </c>
      <c r="E392" s="226" t="s">
        <v>120</v>
      </c>
      <c r="F392" s="225" t="s">
        <v>772</v>
      </c>
      <c r="G392" s="228" t="s">
        <v>407</v>
      </c>
      <c r="H392" s="228" t="s">
        <v>15</v>
      </c>
      <c r="I392" s="228" t="s">
        <v>328</v>
      </c>
      <c r="J392" s="228" t="s">
        <v>328</v>
      </c>
      <c r="K392" s="228" t="s">
        <v>328</v>
      </c>
      <c r="L392" s="228" t="s">
        <v>328</v>
      </c>
      <c r="M392" s="228" t="s">
        <v>328</v>
      </c>
      <c r="N392" s="228" t="s">
        <v>328</v>
      </c>
      <c r="O392" s="229" t="s">
        <v>15</v>
      </c>
      <c r="P392" s="229" t="s">
        <v>15</v>
      </c>
      <c r="Q392" s="229" t="s">
        <v>15</v>
      </c>
      <c r="R392" s="229" t="s">
        <v>15</v>
      </c>
      <c r="S392" s="229" t="s">
        <v>328</v>
      </c>
      <c r="T392" s="229" t="s">
        <v>328</v>
      </c>
      <c r="U392" s="229" t="s">
        <v>328</v>
      </c>
      <c r="V392" s="229" t="s">
        <v>328</v>
      </c>
      <c r="W392" s="230" t="s">
        <v>328</v>
      </c>
      <c r="X392" s="230" t="s">
        <v>328</v>
      </c>
      <c r="Y392" s="231" t="s">
        <v>328</v>
      </c>
    </row>
    <row r="393" spans="1:25">
      <c r="A393" s="223">
        <v>10</v>
      </c>
      <c r="B393" s="224" t="str">
        <f>VLOOKUP(Tabel10[[#This Row],[Locatiecode]],Ruimtegroepen[[#All],[Code]:[Ruimte omschrijving]],2,FALSE)</f>
        <v>Trappenhuizen/lift</v>
      </c>
      <c r="C393" s="225" t="s">
        <v>770</v>
      </c>
      <c r="D393" s="224" t="s">
        <v>30</v>
      </c>
      <c r="E393" s="226" t="s">
        <v>122</v>
      </c>
      <c r="F393" s="225" t="s">
        <v>773</v>
      </c>
      <c r="G393" s="228" t="s">
        <v>328</v>
      </c>
      <c r="H393" s="228" t="s">
        <v>15</v>
      </c>
      <c r="I393" s="228" t="s">
        <v>328</v>
      </c>
      <c r="J393" s="227" t="s">
        <v>15</v>
      </c>
      <c r="K393" s="227" t="s">
        <v>328</v>
      </c>
      <c r="L393" s="228" t="s">
        <v>328</v>
      </c>
      <c r="M393" s="228" t="s">
        <v>328</v>
      </c>
      <c r="N393" s="228" t="s">
        <v>328</v>
      </c>
      <c r="O393" s="229" t="s">
        <v>15</v>
      </c>
      <c r="P393" s="229" t="s">
        <v>15</v>
      </c>
      <c r="Q393" s="229" t="s">
        <v>15</v>
      </c>
      <c r="R393" s="229" t="s">
        <v>15</v>
      </c>
      <c r="S393" s="229" t="s">
        <v>328</v>
      </c>
      <c r="T393" s="229" t="s">
        <v>328</v>
      </c>
      <c r="U393" s="229" t="s">
        <v>328</v>
      </c>
      <c r="V393" s="229" t="s">
        <v>328</v>
      </c>
      <c r="W393" s="230" t="s">
        <v>328</v>
      </c>
      <c r="X393" s="230" t="s">
        <v>328</v>
      </c>
      <c r="Y393" s="231" t="s">
        <v>328</v>
      </c>
    </row>
    <row r="394" spans="1:25">
      <c r="A394" s="223">
        <v>10</v>
      </c>
      <c r="B394" s="224" t="str">
        <f>VLOOKUP(Tabel10[[#This Row],[Locatiecode]],Ruimtegroepen[[#All],[Code]:[Ruimte omschrijving]],2,FALSE)</f>
        <v>Trappenhuizen/lift</v>
      </c>
      <c r="C394" s="225" t="s">
        <v>770</v>
      </c>
      <c r="D394" s="224" t="s">
        <v>30</v>
      </c>
      <c r="E394" s="226" t="s">
        <v>123</v>
      </c>
      <c r="F394" s="225" t="s">
        <v>774</v>
      </c>
      <c r="G394" s="228" t="s">
        <v>328</v>
      </c>
      <c r="H394" s="228" t="s">
        <v>15</v>
      </c>
      <c r="I394" s="228" t="s">
        <v>328</v>
      </c>
      <c r="J394" s="227" t="s">
        <v>15</v>
      </c>
      <c r="K394" s="227" t="s">
        <v>328</v>
      </c>
      <c r="L394" s="228" t="s">
        <v>328</v>
      </c>
      <c r="M394" s="228" t="s">
        <v>328</v>
      </c>
      <c r="N394" s="228" t="s">
        <v>328</v>
      </c>
      <c r="O394" s="229" t="s">
        <v>15</v>
      </c>
      <c r="P394" s="229" t="s">
        <v>15</v>
      </c>
      <c r="Q394" s="229" t="s">
        <v>15</v>
      </c>
      <c r="R394" s="229" t="s">
        <v>15</v>
      </c>
      <c r="S394" s="229" t="s">
        <v>328</v>
      </c>
      <c r="T394" s="229" t="s">
        <v>328</v>
      </c>
      <c r="U394" s="229" t="s">
        <v>328</v>
      </c>
      <c r="V394" s="229" t="s">
        <v>328</v>
      </c>
      <c r="W394" s="230" t="s">
        <v>328</v>
      </c>
      <c r="X394" s="230" t="s">
        <v>328</v>
      </c>
      <c r="Y394" s="231" t="s">
        <v>328</v>
      </c>
    </row>
    <row r="395" spans="1:25">
      <c r="A395" s="223">
        <v>10</v>
      </c>
      <c r="B395" s="224" t="str">
        <f>VLOOKUP(Tabel10[[#This Row],[Locatiecode]],Ruimtegroepen[[#All],[Code]:[Ruimte omschrijving]],2,FALSE)</f>
        <v>Trappenhuizen/lift</v>
      </c>
      <c r="C395" s="225" t="s">
        <v>775</v>
      </c>
      <c r="D395" s="224" t="s">
        <v>31</v>
      </c>
      <c r="E395" s="226" t="s">
        <v>121</v>
      </c>
      <c r="F395" s="225" t="s">
        <v>776</v>
      </c>
      <c r="G395" s="228" t="s">
        <v>328</v>
      </c>
      <c r="H395" s="228" t="s">
        <v>328</v>
      </c>
      <c r="I395" s="228" t="s">
        <v>17</v>
      </c>
      <c r="J395" s="227" t="s">
        <v>17</v>
      </c>
      <c r="K395" s="227" t="s">
        <v>328</v>
      </c>
      <c r="L395" s="228" t="s">
        <v>328</v>
      </c>
      <c r="M395" s="228" t="s">
        <v>328</v>
      </c>
      <c r="N395" s="228" t="s">
        <v>328</v>
      </c>
      <c r="O395" s="229" t="s">
        <v>17</v>
      </c>
      <c r="P395" s="229" t="s">
        <v>17</v>
      </c>
      <c r="Q395" s="229" t="s">
        <v>15</v>
      </c>
      <c r="R395" s="229" t="s">
        <v>15</v>
      </c>
      <c r="S395" s="229" t="s">
        <v>328</v>
      </c>
      <c r="T395" s="229" t="s">
        <v>328</v>
      </c>
      <c r="U395" s="229" t="s">
        <v>328</v>
      </c>
      <c r="V395" s="229" t="s">
        <v>328</v>
      </c>
      <c r="W395" s="230" t="s">
        <v>328</v>
      </c>
      <c r="X395" s="230" t="s">
        <v>328</v>
      </c>
      <c r="Y395" s="231" t="s">
        <v>328</v>
      </c>
    </row>
    <row r="396" spans="1:25">
      <c r="A396" s="223">
        <v>10</v>
      </c>
      <c r="B396" s="224" t="str">
        <f>VLOOKUP(Tabel10[[#This Row],[Locatiecode]],Ruimtegroepen[[#All],[Code]:[Ruimte omschrijving]],2,FALSE)</f>
        <v>Trappenhuizen/lift</v>
      </c>
      <c r="C396" s="225" t="s">
        <v>775</v>
      </c>
      <c r="D396" s="224" t="s">
        <v>31</v>
      </c>
      <c r="E396" s="226" t="s">
        <v>120</v>
      </c>
      <c r="F396" s="225" t="s">
        <v>777</v>
      </c>
      <c r="G396" s="228" t="s">
        <v>328</v>
      </c>
      <c r="H396" s="228" t="s">
        <v>17</v>
      </c>
      <c r="I396" s="228" t="s">
        <v>328</v>
      </c>
      <c r="J396" s="228" t="s">
        <v>328</v>
      </c>
      <c r="K396" s="228" t="s">
        <v>328</v>
      </c>
      <c r="L396" s="228" t="s">
        <v>328</v>
      </c>
      <c r="M396" s="228" t="s">
        <v>328</v>
      </c>
      <c r="N396" s="228" t="s">
        <v>328</v>
      </c>
      <c r="O396" s="229" t="s">
        <v>17</v>
      </c>
      <c r="P396" s="229" t="s">
        <v>17</v>
      </c>
      <c r="Q396" s="229" t="s">
        <v>15</v>
      </c>
      <c r="R396" s="229" t="s">
        <v>15</v>
      </c>
      <c r="S396" s="229" t="s">
        <v>328</v>
      </c>
      <c r="T396" s="229" t="s">
        <v>328</v>
      </c>
      <c r="U396" s="229" t="s">
        <v>328</v>
      </c>
      <c r="V396" s="229" t="s">
        <v>328</v>
      </c>
      <c r="W396" s="230" t="s">
        <v>328</v>
      </c>
      <c r="X396" s="230" t="s">
        <v>328</v>
      </c>
      <c r="Y396" s="231" t="s">
        <v>328</v>
      </c>
    </row>
    <row r="397" spans="1:25">
      <c r="A397" s="223">
        <v>10</v>
      </c>
      <c r="B397" s="224" t="str">
        <f>VLOOKUP(Tabel10[[#This Row],[Locatiecode]],Ruimtegroepen[[#All],[Code]:[Ruimte omschrijving]],2,FALSE)</f>
        <v>Trappenhuizen/lift</v>
      </c>
      <c r="C397" s="225" t="s">
        <v>775</v>
      </c>
      <c r="D397" s="224" t="s">
        <v>31</v>
      </c>
      <c r="E397" s="226" t="s">
        <v>122</v>
      </c>
      <c r="F397" s="225" t="s">
        <v>778</v>
      </c>
      <c r="G397" s="228" t="s">
        <v>328</v>
      </c>
      <c r="H397" s="227" t="s">
        <v>328</v>
      </c>
      <c r="I397" s="227" t="s">
        <v>17</v>
      </c>
      <c r="J397" s="227" t="s">
        <v>17</v>
      </c>
      <c r="K397" s="227" t="s">
        <v>328</v>
      </c>
      <c r="L397" s="228" t="s">
        <v>328</v>
      </c>
      <c r="M397" s="228" t="s">
        <v>328</v>
      </c>
      <c r="N397" s="228" t="s">
        <v>328</v>
      </c>
      <c r="O397" s="229" t="s">
        <v>17</v>
      </c>
      <c r="P397" s="229" t="s">
        <v>17</v>
      </c>
      <c r="Q397" s="229" t="s">
        <v>15</v>
      </c>
      <c r="R397" s="229" t="s">
        <v>15</v>
      </c>
      <c r="S397" s="229" t="s">
        <v>328</v>
      </c>
      <c r="T397" s="229" t="s">
        <v>328</v>
      </c>
      <c r="U397" s="229" t="s">
        <v>328</v>
      </c>
      <c r="V397" s="229" t="s">
        <v>328</v>
      </c>
      <c r="W397" s="230" t="s">
        <v>328</v>
      </c>
      <c r="X397" s="230" t="s">
        <v>328</v>
      </c>
      <c r="Y397" s="231" t="s">
        <v>328</v>
      </c>
    </row>
    <row r="398" spans="1:25">
      <c r="A398" s="223">
        <v>10</v>
      </c>
      <c r="B398" s="224" t="str">
        <f>VLOOKUP(Tabel10[[#This Row],[Locatiecode]],Ruimtegroepen[[#All],[Code]:[Ruimte omschrijving]],2,FALSE)</f>
        <v>Trappenhuizen/lift</v>
      </c>
      <c r="C398" s="225" t="s">
        <v>775</v>
      </c>
      <c r="D398" s="224" t="s">
        <v>31</v>
      </c>
      <c r="E398" s="226" t="s">
        <v>123</v>
      </c>
      <c r="F398" s="225" t="s">
        <v>779</v>
      </c>
      <c r="G398" s="228" t="s">
        <v>328</v>
      </c>
      <c r="H398" s="227" t="s">
        <v>328</v>
      </c>
      <c r="I398" s="227" t="s">
        <v>17</v>
      </c>
      <c r="J398" s="227" t="s">
        <v>17</v>
      </c>
      <c r="K398" s="227" t="s">
        <v>328</v>
      </c>
      <c r="L398" s="228" t="s">
        <v>328</v>
      </c>
      <c r="M398" s="228" t="s">
        <v>328</v>
      </c>
      <c r="N398" s="228" t="s">
        <v>328</v>
      </c>
      <c r="O398" s="229" t="s">
        <v>17</v>
      </c>
      <c r="P398" s="229" t="s">
        <v>17</v>
      </c>
      <c r="Q398" s="229" t="s">
        <v>15</v>
      </c>
      <c r="R398" s="229" t="s">
        <v>15</v>
      </c>
      <c r="S398" s="229" t="s">
        <v>328</v>
      </c>
      <c r="T398" s="229" t="s">
        <v>328</v>
      </c>
      <c r="U398" s="229" t="s">
        <v>328</v>
      </c>
      <c r="V398" s="229" t="s">
        <v>328</v>
      </c>
      <c r="W398" s="230" t="s">
        <v>328</v>
      </c>
      <c r="X398" s="230" t="s">
        <v>328</v>
      </c>
      <c r="Y398" s="231" t="s">
        <v>328</v>
      </c>
    </row>
    <row r="399" spans="1:25">
      <c r="A399" s="223">
        <v>11</v>
      </c>
      <c r="B399" s="224" t="str">
        <f>VLOOKUP(Tabel10[[#This Row],[Locatiecode]],Ruimtegroepen[[#All],[Code]:[Ruimte omschrijving]],2,FALSE)</f>
        <v>Garderobes</v>
      </c>
      <c r="C399" s="225" t="s">
        <v>780</v>
      </c>
      <c r="D399" s="224" t="s">
        <v>32</v>
      </c>
      <c r="E399" s="226" t="s">
        <v>121</v>
      </c>
      <c r="F399" s="225" t="s">
        <v>781</v>
      </c>
      <c r="G399" s="228" t="s">
        <v>328</v>
      </c>
      <c r="H399" s="228" t="s">
        <v>328</v>
      </c>
      <c r="I399" s="228" t="s">
        <v>2</v>
      </c>
      <c r="J399" s="228" t="s">
        <v>20</v>
      </c>
      <c r="K399" s="228" t="s">
        <v>15</v>
      </c>
      <c r="L399" s="228" t="s">
        <v>328</v>
      </c>
      <c r="M399" s="228" t="s">
        <v>328</v>
      </c>
      <c r="N399" s="228" t="s">
        <v>2</v>
      </c>
      <c r="O399" s="229" t="s">
        <v>2</v>
      </c>
      <c r="P399" s="229" t="s">
        <v>2</v>
      </c>
      <c r="Q399" s="229" t="s">
        <v>15</v>
      </c>
      <c r="R399" s="229" t="s">
        <v>15</v>
      </c>
      <c r="S399" s="229" t="s">
        <v>16</v>
      </c>
      <c r="T399" s="229" t="s">
        <v>375</v>
      </c>
      <c r="U399" s="229" t="s">
        <v>331</v>
      </c>
      <c r="V399" s="229" t="s">
        <v>2</v>
      </c>
      <c r="W399" s="230" t="s">
        <v>328</v>
      </c>
      <c r="X399" s="230" t="s">
        <v>328</v>
      </c>
      <c r="Y399" s="231" t="s">
        <v>328</v>
      </c>
    </row>
    <row r="400" spans="1:25">
      <c r="A400" s="223">
        <v>11</v>
      </c>
      <c r="B400" s="224" t="str">
        <f>VLOOKUP(Tabel10[[#This Row],[Locatiecode]],Ruimtegroepen[[#All],[Code]:[Ruimte omschrijving]],2,FALSE)</f>
        <v>Garderobes</v>
      </c>
      <c r="C400" s="225" t="s">
        <v>780</v>
      </c>
      <c r="D400" s="224" t="s">
        <v>32</v>
      </c>
      <c r="E400" s="226" t="s">
        <v>120</v>
      </c>
      <c r="F400" s="225" t="s">
        <v>782</v>
      </c>
      <c r="G400" s="228" t="s">
        <v>20</v>
      </c>
      <c r="H400" s="228" t="s">
        <v>15</v>
      </c>
      <c r="I400" s="228" t="s">
        <v>328</v>
      </c>
      <c r="J400" s="228" t="s">
        <v>328</v>
      </c>
      <c r="K400" s="228" t="s">
        <v>328</v>
      </c>
      <c r="L400" s="228" t="s">
        <v>328</v>
      </c>
      <c r="M400" s="228" t="s">
        <v>328</v>
      </c>
      <c r="N400" s="228" t="s">
        <v>2</v>
      </c>
      <c r="O400" s="229" t="s">
        <v>2</v>
      </c>
      <c r="P400" s="229" t="s">
        <v>2</v>
      </c>
      <c r="Q400" s="229" t="s">
        <v>15</v>
      </c>
      <c r="R400" s="229" t="s">
        <v>15</v>
      </c>
      <c r="S400" s="229" t="s">
        <v>16</v>
      </c>
      <c r="T400" s="229" t="s">
        <v>375</v>
      </c>
      <c r="U400" s="229" t="s">
        <v>331</v>
      </c>
      <c r="V400" s="229" t="s">
        <v>2</v>
      </c>
      <c r="W400" s="230" t="s">
        <v>328</v>
      </c>
      <c r="X400" s="230" t="s">
        <v>328</v>
      </c>
      <c r="Y400" s="231" t="s">
        <v>328</v>
      </c>
    </row>
    <row r="401" spans="1:25">
      <c r="A401" s="223">
        <v>11</v>
      </c>
      <c r="B401" s="224" t="str">
        <f>VLOOKUP(Tabel10[[#This Row],[Locatiecode]],Ruimtegroepen[[#All],[Code]:[Ruimte omschrijving]],2,FALSE)</f>
        <v>Garderobes</v>
      </c>
      <c r="C401" s="225" t="s">
        <v>780</v>
      </c>
      <c r="D401" s="224" t="s">
        <v>32</v>
      </c>
      <c r="E401" s="226" t="s">
        <v>122</v>
      </c>
      <c r="F401" s="225" t="s">
        <v>783</v>
      </c>
      <c r="G401" s="228" t="s">
        <v>328</v>
      </c>
      <c r="H401" s="228" t="s">
        <v>328</v>
      </c>
      <c r="I401" s="228" t="s">
        <v>2</v>
      </c>
      <c r="J401" s="228" t="s">
        <v>20</v>
      </c>
      <c r="K401" s="228" t="s">
        <v>15</v>
      </c>
      <c r="L401" s="228" t="s">
        <v>328</v>
      </c>
      <c r="M401" s="228" t="s">
        <v>328</v>
      </c>
      <c r="N401" s="228" t="s">
        <v>2</v>
      </c>
      <c r="O401" s="229" t="s">
        <v>2</v>
      </c>
      <c r="P401" s="229" t="s">
        <v>2</v>
      </c>
      <c r="Q401" s="229" t="s">
        <v>15</v>
      </c>
      <c r="R401" s="229" t="s">
        <v>15</v>
      </c>
      <c r="S401" s="229" t="s">
        <v>16</v>
      </c>
      <c r="T401" s="229" t="s">
        <v>375</v>
      </c>
      <c r="U401" s="229" t="s">
        <v>331</v>
      </c>
      <c r="V401" s="229" t="s">
        <v>2</v>
      </c>
      <c r="W401" s="230" t="s">
        <v>328</v>
      </c>
      <c r="X401" s="230" t="s">
        <v>328</v>
      </c>
      <c r="Y401" s="231" t="s">
        <v>328</v>
      </c>
    </row>
    <row r="402" spans="1:25">
      <c r="A402" s="223">
        <v>11</v>
      </c>
      <c r="B402" s="224" t="str">
        <f>VLOOKUP(Tabel10[[#This Row],[Locatiecode]],Ruimtegroepen[[#All],[Code]:[Ruimte omschrijving]],2,FALSE)</f>
        <v>Garderobes</v>
      </c>
      <c r="C402" s="225" t="s">
        <v>780</v>
      </c>
      <c r="D402" s="224" t="s">
        <v>32</v>
      </c>
      <c r="E402" s="226" t="s">
        <v>123</v>
      </c>
      <c r="F402" s="225" t="s">
        <v>784</v>
      </c>
      <c r="G402" s="228" t="s">
        <v>328</v>
      </c>
      <c r="H402" s="228" t="s">
        <v>328</v>
      </c>
      <c r="I402" s="228" t="s">
        <v>2</v>
      </c>
      <c r="J402" s="228" t="s">
        <v>20</v>
      </c>
      <c r="K402" s="228" t="s">
        <v>15</v>
      </c>
      <c r="L402" s="228" t="s">
        <v>328</v>
      </c>
      <c r="M402" s="228" t="s">
        <v>328</v>
      </c>
      <c r="N402" s="228" t="s">
        <v>2</v>
      </c>
      <c r="O402" s="229" t="s">
        <v>2</v>
      </c>
      <c r="P402" s="229" t="s">
        <v>2</v>
      </c>
      <c r="Q402" s="229" t="s">
        <v>15</v>
      </c>
      <c r="R402" s="229" t="s">
        <v>15</v>
      </c>
      <c r="S402" s="229" t="s">
        <v>16</v>
      </c>
      <c r="T402" s="229" t="s">
        <v>375</v>
      </c>
      <c r="U402" s="229" t="s">
        <v>331</v>
      </c>
      <c r="V402" s="229" t="s">
        <v>2</v>
      </c>
      <c r="W402" s="230" t="s">
        <v>328</v>
      </c>
      <c r="X402" s="230" t="s">
        <v>328</v>
      </c>
      <c r="Y402" s="231" t="s">
        <v>328</v>
      </c>
    </row>
    <row r="403" spans="1:25">
      <c r="A403" s="223">
        <v>11</v>
      </c>
      <c r="B403" s="224" t="str">
        <f>VLOOKUP(Tabel10[[#This Row],[Locatiecode]],Ruimtegroepen[[#All],[Code]:[Ruimte omschrijving]],2,FALSE)</f>
        <v>Garderobes</v>
      </c>
      <c r="C403" s="225" t="s">
        <v>785</v>
      </c>
      <c r="D403" s="224" t="s">
        <v>1</v>
      </c>
      <c r="E403" s="226" t="s">
        <v>121</v>
      </c>
      <c r="F403" s="225" t="s">
        <v>786</v>
      </c>
      <c r="G403" s="228" t="s">
        <v>328</v>
      </c>
      <c r="H403" s="228" t="s">
        <v>328</v>
      </c>
      <c r="I403" s="228" t="s">
        <v>2</v>
      </c>
      <c r="J403" s="228" t="s">
        <v>20</v>
      </c>
      <c r="K403" s="228" t="s">
        <v>15</v>
      </c>
      <c r="L403" s="228" t="s">
        <v>328</v>
      </c>
      <c r="M403" s="228" t="s">
        <v>328</v>
      </c>
      <c r="N403" s="228" t="s">
        <v>328</v>
      </c>
      <c r="O403" s="229" t="s">
        <v>2</v>
      </c>
      <c r="P403" s="229" t="s">
        <v>2</v>
      </c>
      <c r="Q403" s="229" t="s">
        <v>15</v>
      </c>
      <c r="R403" s="229" t="s">
        <v>15</v>
      </c>
      <c r="S403" s="229" t="s">
        <v>16</v>
      </c>
      <c r="T403" s="229" t="s">
        <v>375</v>
      </c>
      <c r="U403" s="229" t="s">
        <v>331</v>
      </c>
      <c r="V403" s="229" t="s">
        <v>328</v>
      </c>
      <c r="W403" s="230" t="s">
        <v>328</v>
      </c>
      <c r="X403" s="230" t="s">
        <v>328</v>
      </c>
      <c r="Y403" s="231" t="s">
        <v>328</v>
      </c>
    </row>
    <row r="404" spans="1:25">
      <c r="A404" s="223">
        <v>11</v>
      </c>
      <c r="B404" s="224" t="str">
        <f>VLOOKUP(Tabel10[[#This Row],[Locatiecode]],Ruimtegroepen[[#All],[Code]:[Ruimte omschrijving]],2,FALSE)</f>
        <v>Garderobes</v>
      </c>
      <c r="C404" s="225" t="s">
        <v>785</v>
      </c>
      <c r="D404" s="224" t="s">
        <v>1</v>
      </c>
      <c r="E404" s="226" t="s">
        <v>120</v>
      </c>
      <c r="F404" s="225" t="s">
        <v>787</v>
      </c>
      <c r="G404" s="228" t="s">
        <v>20</v>
      </c>
      <c r="H404" s="228" t="s">
        <v>15</v>
      </c>
      <c r="I404" s="228" t="s">
        <v>328</v>
      </c>
      <c r="J404" s="228" t="s">
        <v>328</v>
      </c>
      <c r="K404" s="228" t="s">
        <v>328</v>
      </c>
      <c r="L404" s="228" t="s">
        <v>328</v>
      </c>
      <c r="M404" s="228" t="s">
        <v>328</v>
      </c>
      <c r="N404" s="228" t="s">
        <v>328</v>
      </c>
      <c r="O404" s="229" t="s">
        <v>2</v>
      </c>
      <c r="P404" s="229" t="s">
        <v>2</v>
      </c>
      <c r="Q404" s="229" t="s">
        <v>15</v>
      </c>
      <c r="R404" s="229" t="s">
        <v>15</v>
      </c>
      <c r="S404" s="229" t="s">
        <v>16</v>
      </c>
      <c r="T404" s="229" t="s">
        <v>375</v>
      </c>
      <c r="U404" s="229" t="s">
        <v>331</v>
      </c>
      <c r="V404" s="229" t="s">
        <v>328</v>
      </c>
      <c r="W404" s="230" t="s">
        <v>328</v>
      </c>
      <c r="X404" s="230" t="s">
        <v>328</v>
      </c>
      <c r="Y404" s="231" t="s">
        <v>328</v>
      </c>
    </row>
    <row r="405" spans="1:25">
      <c r="A405" s="223">
        <v>11</v>
      </c>
      <c r="B405" s="224" t="str">
        <f>VLOOKUP(Tabel10[[#This Row],[Locatiecode]],Ruimtegroepen[[#All],[Code]:[Ruimte omschrijving]],2,FALSE)</f>
        <v>Garderobes</v>
      </c>
      <c r="C405" s="225" t="s">
        <v>785</v>
      </c>
      <c r="D405" s="224" t="s">
        <v>1</v>
      </c>
      <c r="E405" s="226" t="s">
        <v>122</v>
      </c>
      <c r="F405" s="225" t="s">
        <v>788</v>
      </c>
      <c r="G405" s="228" t="s">
        <v>328</v>
      </c>
      <c r="H405" s="228" t="s">
        <v>328</v>
      </c>
      <c r="I405" s="228" t="s">
        <v>2</v>
      </c>
      <c r="J405" s="228" t="s">
        <v>20</v>
      </c>
      <c r="K405" s="228" t="s">
        <v>15</v>
      </c>
      <c r="L405" s="228" t="s">
        <v>328</v>
      </c>
      <c r="M405" s="228" t="s">
        <v>328</v>
      </c>
      <c r="N405" s="228" t="s">
        <v>328</v>
      </c>
      <c r="O405" s="229" t="s">
        <v>2</v>
      </c>
      <c r="P405" s="229" t="s">
        <v>2</v>
      </c>
      <c r="Q405" s="229" t="s">
        <v>15</v>
      </c>
      <c r="R405" s="229" t="s">
        <v>15</v>
      </c>
      <c r="S405" s="229" t="s">
        <v>16</v>
      </c>
      <c r="T405" s="229" t="s">
        <v>375</v>
      </c>
      <c r="U405" s="229" t="s">
        <v>331</v>
      </c>
      <c r="V405" s="229" t="s">
        <v>328</v>
      </c>
      <c r="W405" s="230" t="s">
        <v>328</v>
      </c>
      <c r="X405" s="230" t="s">
        <v>328</v>
      </c>
      <c r="Y405" s="231" t="s">
        <v>328</v>
      </c>
    </row>
    <row r="406" spans="1:25">
      <c r="A406" s="223">
        <v>11</v>
      </c>
      <c r="B406" s="224" t="str">
        <f>VLOOKUP(Tabel10[[#This Row],[Locatiecode]],Ruimtegroepen[[#All],[Code]:[Ruimte omschrijving]],2,FALSE)</f>
        <v>Garderobes</v>
      </c>
      <c r="C406" s="225" t="s">
        <v>785</v>
      </c>
      <c r="D406" s="224" t="s">
        <v>1</v>
      </c>
      <c r="E406" s="226" t="s">
        <v>123</v>
      </c>
      <c r="F406" s="225" t="s">
        <v>789</v>
      </c>
      <c r="G406" s="228" t="s">
        <v>328</v>
      </c>
      <c r="H406" s="228" t="s">
        <v>328</v>
      </c>
      <c r="I406" s="228" t="s">
        <v>2</v>
      </c>
      <c r="J406" s="228" t="s">
        <v>20</v>
      </c>
      <c r="K406" s="228" t="s">
        <v>15</v>
      </c>
      <c r="L406" s="228" t="s">
        <v>328</v>
      </c>
      <c r="M406" s="228" t="s">
        <v>328</v>
      </c>
      <c r="N406" s="228" t="s">
        <v>328</v>
      </c>
      <c r="O406" s="229" t="s">
        <v>2</v>
      </c>
      <c r="P406" s="229" t="s">
        <v>2</v>
      </c>
      <c r="Q406" s="229" t="s">
        <v>15</v>
      </c>
      <c r="R406" s="229" t="s">
        <v>15</v>
      </c>
      <c r="S406" s="229" t="s">
        <v>16</v>
      </c>
      <c r="T406" s="229" t="s">
        <v>375</v>
      </c>
      <c r="U406" s="229" t="s">
        <v>331</v>
      </c>
      <c r="V406" s="229" t="s">
        <v>328</v>
      </c>
      <c r="W406" s="230" t="s">
        <v>328</v>
      </c>
      <c r="X406" s="230" t="s">
        <v>328</v>
      </c>
      <c r="Y406" s="231" t="s">
        <v>328</v>
      </c>
    </row>
    <row r="407" spans="1:25">
      <c r="A407" s="223">
        <v>11</v>
      </c>
      <c r="B407" s="224" t="str">
        <f>VLOOKUP(Tabel10[[#This Row],[Locatiecode]],Ruimtegroepen[[#All],[Code]:[Ruimte omschrijving]],2,FALSE)</f>
        <v>Garderobes</v>
      </c>
      <c r="C407" s="225" t="s">
        <v>790</v>
      </c>
      <c r="D407" s="224" t="s">
        <v>21</v>
      </c>
      <c r="E407" s="226" t="s">
        <v>121</v>
      </c>
      <c r="F407" s="225" t="s">
        <v>791</v>
      </c>
      <c r="G407" s="228" t="s">
        <v>328</v>
      </c>
      <c r="H407" s="228" t="s">
        <v>328</v>
      </c>
      <c r="I407" s="228" t="s">
        <v>20</v>
      </c>
      <c r="J407" s="228" t="s">
        <v>18</v>
      </c>
      <c r="K407" s="228" t="s">
        <v>15</v>
      </c>
      <c r="L407" s="228" t="s">
        <v>328</v>
      </c>
      <c r="M407" s="228" t="s">
        <v>328</v>
      </c>
      <c r="N407" s="228" t="s">
        <v>328</v>
      </c>
      <c r="O407" s="229" t="s">
        <v>20</v>
      </c>
      <c r="P407" s="229" t="s">
        <v>20</v>
      </c>
      <c r="Q407" s="229" t="s">
        <v>15</v>
      </c>
      <c r="R407" s="229" t="s">
        <v>15</v>
      </c>
      <c r="S407" s="229" t="s">
        <v>16</v>
      </c>
      <c r="T407" s="229" t="s">
        <v>375</v>
      </c>
      <c r="U407" s="229" t="s">
        <v>331</v>
      </c>
      <c r="V407" s="229" t="s">
        <v>328</v>
      </c>
      <c r="W407" s="230" t="s">
        <v>328</v>
      </c>
      <c r="X407" s="230" t="s">
        <v>328</v>
      </c>
      <c r="Y407" s="231" t="s">
        <v>328</v>
      </c>
    </row>
    <row r="408" spans="1:25">
      <c r="A408" s="223">
        <v>11</v>
      </c>
      <c r="B408" s="224" t="str">
        <f>VLOOKUP(Tabel10[[#This Row],[Locatiecode]],Ruimtegroepen[[#All],[Code]:[Ruimte omschrijving]],2,FALSE)</f>
        <v>Garderobes</v>
      </c>
      <c r="C408" s="225" t="s">
        <v>790</v>
      </c>
      <c r="D408" s="224" t="s">
        <v>21</v>
      </c>
      <c r="E408" s="226" t="s">
        <v>120</v>
      </c>
      <c r="F408" s="225" t="s">
        <v>792</v>
      </c>
      <c r="G408" s="228" t="s">
        <v>20</v>
      </c>
      <c r="H408" s="228" t="s">
        <v>15</v>
      </c>
      <c r="I408" s="228" t="s">
        <v>328</v>
      </c>
      <c r="J408" s="228" t="s">
        <v>328</v>
      </c>
      <c r="K408" s="228" t="s">
        <v>328</v>
      </c>
      <c r="L408" s="228" t="s">
        <v>328</v>
      </c>
      <c r="M408" s="228" t="s">
        <v>328</v>
      </c>
      <c r="N408" s="228" t="s">
        <v>328</v>
      </c>
      <c r="O408" s="229" t="s">
        <v>20</v>
      </c>
      <c r="P408" s="229" t="s">
        <v>20</v>
      </c>
      <c r="Q408" s="229" t="s">
        <v>15</v>
      </c>
      <c r="R408" s="229" t="s">
        <v>15</v>
      </c>
      <c r="S408" s="229" t="s">
        <v>16</v>
      </c>
      <c r="T408" s="229" t="s">
        <v>375</v>
      </c>
      <c r="U408" s="229" t="s">
        <v>331</v>
      </c>
      <c r="V408" s="229" t="s">
        <v>328</v>
      </c>
      <c r="W408" s="230" t="s">
        <v>328</v>
      </c>
      <c r="X408" s="230" t="s">
        <v>328</v>
      </c>
      <c r="Y408" s="231" t="s">
        <v>328</v>
      </c>
    </row>
    <row r="409" spans="1:25">
      <c r="A409" s="223">
        <v>11</v>
      </c>
      <c r="B409" s="224" t="str">
        <f>VLOOKUP(Tabel10[[#This Row],[Locatiecode]],Ruimtegroepen[[#All],[Code]:[Ruimte omschrijving]],2,FALSE)</f>
        <v>Garderobes</v>
      </c>
      <c r="C409" s="225" t="s">
        <v>790</v>
      </c>
      <c r="D409" s="224" t="s">
        <v>21</v>
      </c>
      <c r="E409" s="226" t="s">
        <v>122</v>
      </c>
      <c r="F409" s="225" t="s">
        <v>793</v>
      </c>
      <c r="G409" s="228" t="s">
        <v>328</v>
      </c>
      <c r="H409" s="228" t="s">
        <v>328</v>
      </c>
      <c r="I409" s="228" t="s">
        <v>20</v>
      </c>
      <c r="J409" s="228" t="s">
        <v>18</v>
      </c>
      <c r="K409" s="228" t="s">
        <v>15</v>
      </c>
      <c r="L409" s="228" t="s">
        <v>328</v>
      </c>
      <c r="M409" s="228" t="s">
        <v>328</v>
      </c>
      <c r="N409" s="228" t="s">
        <v>328</v>
      </c>
      <c r="O409" s="229" t="s">
        <v>20</v>
      </c>
      <c r="P409" s="229" t="s">
        <v>20</v>
      </c>
      <c r="Q409" s="229" t="s">
        <v>15</v>
      </c>
      <c r="R409" s="229" t="s">
        <v>15</v>
      </c>
      <c r="S409" s="229" t="s">
        <v>16</v>
      </c>
      <c r="T409" s="229" t="s">
        <v>375</v>
      </c>
      <c r="U409" s="229" t="s">
        <v>331</v>
      </c>
      <c r="V409" s="229" t="s">
        <v>328</v>
      </c>
      <c r="W409" s="230" t="s">
        <v>328</v>
      </c>
      <c r="X409" s="230" t="s">
        <v>328</v>
      </c>
      <c r="Y409" s="231" t="s">
        <v>328</v>
      </c>
    </row>
    <row r="410" spans="1:25">
      <c r="A410" s="223">
        <v>11</v>
      </c>
      <c r="B410" s="224" t="str">
        <f>VLOOKUP(Tabel10[[#This Row],[Locatiecode]],Ruimtegroepen[[#All],[Code]:[Ruimte omschrijving]],2,FALSE)</f>
        <v>Garderobes</v>
      </c>
      <c r="C410" s="225" t="s">
        <v>790</v>
      </c>
      <c r="D410" s="224" t="s">
        <v>21</v>
      </c>
      <c r="E410" s="226" t="s">
        <v>123</v>
      </c>
      <c r="F410" s="225" t="s">
        <v>794</v>
      </c>
      <c r="G410" s="228" t="s">
        <v>328</v>
      </c>
      <c r="H410" s="228" t="s">
        <v>328</v>
      </c>
      <c r="I410" s="228" t="s">
        <v>20</v>
      </c>
      <c r="J410" s="228" t="s">
        <v>18</v>
      </c>
      <c r="K410" s="228" t="s">
        <v>15</v>
      </c>
      <c r="L410" s="228" t="s">
        <v>328</v>
      </c>
      <c r="M410" s="228" t="s">
        <v>328</v>
      </c>
      <c r="N410" s="228" t="s">
        <v>328</v>
      </c>
      <c r="O410" s="229" t="s">
        <v>20</v>
      </c>
      <c r="P410" s="229" t="s">
        <v>20</v>
      </c>
      <c r="Q410" s="229" t="s">
        <v>15</v>
      </c>
      <c r="R410" s="229" t="s">
        <v>15</v>
      </c>
      <c r="S410" s="229" t="s">
        <v>16</v>
      </c>
      <c r="T410" s="229" t="s">
        <v>375</v>
      </c>
      <c r="U410" s="229" t="s">
        <v>331</v>
      </c>
      <c r="V410" s="229" t="s">
        <v>328</v>
      </c>
      <c r="W410" s="230" t="s">
        <v>328</v>
      </c>
      <c r="X410" s="230" t="s">
        <v>328</v>
      </c>
      <c r="Y410" s="231" t="s">
        <v>328</v>
      </c>
    </row>
    <row r="411" spans="1:25">
      <c r="A411" s="223">
        <v>11</v>
      </c>
      <c r="B411" s="224" t="str">
        <f>VLOOKUP(Tabel10[[#This Row],[Locatiecode]],Ruimtegroepen[[#All],[Code]:[Ruimte omschrijving]],2,FALSE)</f>
        <v>Garderobes</v>
      </c>
      <c r="C411" s="225" t="s">
        <v>795</v>
      </c>
      <c r="D411" s="224" t="s">
        <v>12</v>
      </c>
      <c r="E411" s="226" t="s">
        <v>121</v>
      </c>
      <c r="F411" s="225" t="s">
        <v>796</v>
      </c>
      <c r="G411" s="228" t="s">
        <v>328</v>
      </c>
      <c r="H411" s="228" t="s">
        <v>328</v>
      </c>
      <c r="I411" s="228" t="s">
        <v>18</v>
      </c>
      <c r="J411" s="228" t="s">
        <v>17</v>
      </c>
      <c r="K411" s="228" t="s">
        <v>15</v>
      </c>
      <c r="L411" s="228" t="s">
        <v>328</v>
      </c>
      <c r="M411" s="228" t="s">
        <v>328</v>
      </c>
      <c r="N411" s="228" t="s">
        <v>328</v>
      </c>
      <c r="O411" s="229" t="s">
        <v>18</v>
      </c>
      <c r="P411" s="229" t="s">
        <v>18</v>
      </c>
      <c r="Q411" s="229" t="s">
        <v>15</v>
      </c>
      <c r="R411" s="229" t="s">
        <v>15</v>
      </c>
      <c r="S411" s="229" t="s">
        <v>16</v>
      </c>
      <c r="T411" s="229" t="s">
        <v>375</v>
      </c>
      <c r="U411" s="229" t="s">
        <v>331</v>
      </c>
      <c r="V411" s="229" t="s">
        <v>328</v>
      </c>
      <c r="W411" s="230" t="s">
        <v>328</v>
      </c>
      <c r="X411" s="230" t="s">
        <v>328</v>
      </c>
      <c r="Y411" s="231" t="s">
        <v>328</v>
      </c>
    </row>
    <row r="412" spans="1:25">
      <c r="A412" s="223">
        <v>11</v>
      </c>
      <c r="B412" s="224" t="str">
        <f>VLOOKUP(Tabel10[[#This Row],[Locatiecode]],Ruimtegroepen[[#All],[Code]:[Ruimte omschrijving]],2,FALSE)</f>
        <v>Garderobes</v>
      </c>
      <c r="C412" s="225" t="s">
        <v>795</v>
      </c>
      <c r="D412" s="224" t="s">
        <v>12</v>
      </c>
      <c r="E412" s="226" t="s">
        <v>120</v>
      </c>
      <c r="F412" s="225" t="s">
        <v>797</v>
      </c>
      <c r="G412" s="228" t="s">
        <v>17</v>
      </c>
      <c r="H412" s="228" t="s">
        <v>15</v>
      </c>
      <c r="I412" s="228" t="s">
        <v>328</v>
      </c>
      <c r="J412" s="228" t="s">
        <v>328</v>
      </c>
      <c r="K412" s="228" t="s">
        <v>328</v>
      </c>
      <c r="L412" s="228" t="s">
        <v>328</v>
      </c>
      <c r="M412" s="228" t="s">
        <v>328</v>
      </c>
      <c r="N412" s="228" t="s">
        <v>328</v>
      </c>
      <c r="O412" s="229" t="s">
        <v>18</v>
      </c>
      <c r="P412" s="229" t="s">
        <v>18</v>
      </c>
      <c r="Q412" s="229" t="s">
        <v>15</v>
      </c>
      <c r="R412" s="229" t="s">
        <v>15</v>
      </c>
      <c r="S412" s="229" t="s">
        <v>16</v>
      </c>
      <c r="T412" s="229" t="s">
        <v>375</v>
      </c>
      <c r="U412" s="229" t="s">
        <v>331</v>
      </c>
      <c r="V412" s="229" t="s">
        <v>328</v>
      </c>
      <c r="W412" s="230" t="s">
        <v>328</v>
      </c>
      <c r="X412" s="230" t="s">
        <v>328</v>
      </c>
      <c r="Y412" s="231" t="s">
        <v>328</v>
      </c>
    </row>
    <row r="413" spans="1:25">
      <c r="A413" s="223">
        <v>11</v>
      </c>
      <c r="B413" s="224" t="str">
        <f>VLOOKUP(Tabel10[[#This Row],[Locatiecode]],Ruimtegroepen[[#All],[Code]:[Ruimte omschrijving]],2,FALSE)</f>
        <v>Garderobes</v>
      </c>
      <c r="C413" s="225" t="s">
        <v>795</v>
      </c>
      <c r="D413" s="224" t="s">
        <v>12</v>
      </c>
      <c r="E413" s="226" t="s">
        <v>122</v>
      </c>
      <c r="F413" s="225" t="s">
        <v>798</v>
      </c>
      <c r="G413" s="228" t="s">
        <v>328</v>
      </c>
      <c r="H413" s="228" t="s">
        <v>328</v>
      </c>
      <c r="I413" s="228" t="s">
        <v>18</v>
      </c>
      <c r="J413" s="228" t="s">
        <v>17</v>
      </c>
      <c r="K413" s="228" t="s">
        <v>15</v>
      </c>
      <c r="L413" s="228" t="s">
        <v>328</v>
      </c>
      <c r="M413" s="228" t="s">
        <v>328</v>
      </c>
      <c r="N413" s="228" t="s">
        <v>328</v>
      </c>
      <c r="O413" s="229" t="s">
        <v>18</v>
      </c>
      <c r="P413" s="229" t="s">
        <v>18</v>
      </c>
      <c r="Q413" s="229" t="s">
        <v>15</v>
      </c>
      <c r="R413" s="229" t="s">
        <v>15</v>
      </c>
      <c r="S413" s="229" t="s">
        <v>16</v>
      </c>
      <c r="T413" s="229" t="s">
        <v>375</v>
      </c>
      <c r="U413" s="229" t="s">
        <v>331</v>
      </c>
      <c r="V413" s="229" t="s">
        <v>328</v>
      </c>
      <c r="W413" s="230" t="s">
        <v>328</v>
      </c>
      <c r="X413" s="230" t="s">
        <v>328</v>
      </c>
      <c r="Y413" s="231" t="s">
        <v>328</v>
      </c>
    </row>
    <row r="414" spans="1:25">
      <c r="A414" s="223">
        <v>11</v>
      </c>
      <c r="B414" s="224" t="str">
        <f>VLOOKUP(Tabel10[[#This Row],[Locatiecode]],Ruimtegroepen[[#All],[Code]:[Ruimte omschrijving]],2,FALSE)</f>
        <v>Garderobes</v>
      </c>
      <c r="C414" s="225" t="s">
        <v>795</v>
      </c>
      <c r="D414" s="224" t="s">
        <v>12</v>
      </c>
      <c r="E414" s="226" t="s">
        <v>123</v>
      </c>
      <c r="F414" s="225" t="s">
        <v>799</v>
      </c>
      <c r="G414" s="228" t="s">
        <v>328</v>
      </c>
      <c r="H414" s="228" t="s">
        <v>328</v>
      </c>
      <c r="I414" s="228" t="s">
        <v>18</v>
      </c>
      <c r="J414" s="228" t="s">
        <v>17</v>
      </c>
      <c r="K414" s="228" t="s">
        <v>15</v>
      </c>
      <c r="L414" s="228" t="s">
        <v>328</v>
      </c>
      <c r="M414" s="228" t="s">
        <v>328</v>
      </c>
      <c r="N414" s="228" t="s">
        <v>328</v>
      </c>
      <c r="O414" s="229" t="s">
        <v>18</v>
      </c>
      <c r="P414" s="229" t="s">
        <v>18</v>
      </c>
      <c r="Q414" s="229" t="s">
        <v>15</v>
      </c>
      <c r="R414" s="229" t="s">
        <v>15</v>
      </c>
      <c r="S414" s="229" t="s">
        <v>16</v>
      </c>
      <c r="T414" s="229" t="s">
        <v>375</v>
      </c>
      <c r="U414" s="229" t="s">
        <v>331</v>
      </c>
      <c r="V414" s="229" t="s">
        <v>328</v>
      </c>
      <c r="W414" s="230" t="s">
        <v>328</v>
      </c>
      <c r="X414" s="230" t="s">
        <v>328</v>
      </c>
      <c r="Y414" s="231" t="s">
        <v>328</v>
      </c>
    </row>
    <row r="415" spans="1:25">
      <c r="A415" s="223">
        <v>11</v>
      </c>
      <c r="B415" s="224" t="str">
        <f>VLOOKUP(Tabel10[[#This Row],[Locatiecode]],Ruimtegroepen[[#All],[Code]:[Ruimte omschrijving]],2,FALSE)</f>
        <v>Garderobes</v>
      </c>
      <c r="C415" s="225" t="s">
        <v>800</v>
      </c>
      <c r="D415" s="224" t="s">
        <v>14</v>
      </c>
      <c r="E415" s="226" t="s">
        <v>121</v>
      </c>
      <c r="F415" s="225" t="s">
        <v>801</v>
      </c>
      <c r="G415" s="228" t="s">
        <v>328</v>
      </c>
      <c r="H415" s="228" t="s">
        <v>328</v>
      </c>
      <c r="I415" s="228" t="s">
        <v>17</v>
      </c>
      <c r="J415" s="228" t="s">
        <v>15</v>
      </c>
      <c r="K415" s="228" t="s">
        <v>15</v>
      </c>
      <c r="L415" s="228" t="s">
        <v>328</v>
      </c>
      <c r="M415" s="228" t="s">
        <v>328</v>
      </c>
      <c r="N415" s="228" t="s">
        <v>328</v>
      </c>
      <c r="O415" s="229" t="s">
        <v>17</v>
      </c>
      <c r="P415" s="229" t="s">
        <v>17</v>
      </c>
      <c r="Q415" s="229" t="s">
        <v>15</v>
      </c>
      <c r="R415" s="229" t="s">
        <v>15</v>
      </c>
      <c r="S415" s="229" t="s">
        <v>16</v>
      </c>
      <c r="T415" s="229" t="s">
        <v>375</v>
      </c>
      <c r="U415" s="229" t="s">
        <v>331</v>
      </c>
      <c r="V415" s="229" t="s">
        <v>328</v>
      </c>
      <c r="W415" s="230" t="s">
        <v>328</v>
      </c>
      <c r="X415" s="230" t="s">
        <v>328</v>
      </c>
      <c r="Y415" s="231" t="s">
        <v>328</v>
      </c>
    </row>
    <row r="416" spans="1:25">
      <c r="A416" s="223">
        <v>11</v>
      </c>
      <c r="B416" s="224" t="str">
        <f>VLOOKUP(Tabel10[[#This Row],[Locatiecode]],Ruimtegroepen[[#All],[Code]:[Ruimte omschrijving]],2,FALSE)</f>
        <v>Garderobes</v>
      </c>
      <c r="C416" s="225" t="s">
        <v>800</v>
      </c>
      <c r="D416" s="224" t="s">
        <v>14</v>
      </c>
      <c r="E416" s="226" t="s">
        <v>120</v>
      </c>
      <c r="F416" s="225" t="s">
        <v>802</v>
      </c>
      <c r="G416" s="228" t="s">
        <v>15</v>
      </c>
      <c r="H416" s="228" t="s">
        <v>15</v>
      </c>
      <c r="I416" s="228" t="s">
        <v>328</v>
      </c>
      <c r="J416" s="228" t="s">
        <v>328</v>
      </c>
      <c r="K416" s="228" t="s">
        <v>328</v>
      </c>
      <c r="L416" s="228" t="s">
        <v>328</v>
      </c>
      <c r="M416" s="228" t="s">
        <v>328</v>
      </c>
      <c r="N416" s="228" t="s">
        <v>328</v>
      </c>
      <c r="O416" s="229" t="s">
        <v>17</v>
      </c>
      <c r="P416" s="229" t="s">
        <v>17</v>
      </c>
      <c r="Q416" s="229" t="s">
        <v>15</v>
      </c>
      <c r="R416" s="229" t="s">
        <v>15</v>
      </c>
      <c r="S416" s="229" t="s">
        <v>16</v>
      </c>
      <c r="T416" s="229" t="s">
        <v>375</v>
      </c>
      <c r="U416" s="229" t="s">
        <v>331</v>
      </c>
      <c r="V416" s="229" t="s">
        <v>328</v>
      </c>
      <c r="W416" s="230" t="s">
        <v>328</v>
      </c>
      <c r="X416" s="230" t="s">
        <v>328</v>
      </c>
      <c r="Y416" s="231" t="s">
        <v>328</v>
      </c>
    </row>
    <row r="417" spans="1:25">
      <c r="A417" s="223">
        <v>11</v>
      </c>
      <c r="B417" s="224" t="str">
        <f>VLOOKUP(Tabel10[[#This Row],[Locatiecode]],Ruimtegroepen[[#All],[Code]:[Ruimte omschrijving]],2,FALSE)</f>
        <v>Garderobes</v>
      </c>
      <c r="C417" s="225" t="s">
        <v>800</v>
      </c>
      <c r="D417" s="224" t="s">
        <v>14</v>
      </c>
      <c r="E417" s="226" t="s">
        <v>122</v>
      </c>
      <c r="F417" s="225" t="s">
        <v>803</v>
      </c>
      <c r="G417" s="228" t="s">
        <v>328</v>
      </c>
      <c r="H417" s="228" t="s">
        <v>328</v>
      </c>
      <c r="I417" s="228" t="s">
        <v>17</v>
      </c>
      <c r="J417" s="228" t="s">
        <v>15</v>
      </c>
      <c r="K417" s="228" t="s">
        <v>15</v>
      </c>
      <c r="L417" s="228" t="s">
        <v>328</v>
      </c>
      <c r="M417" s="228" t="s">
        <v>328</v>
      </c>
      <c r="N417" s="228" t="s">
        <v>328</v>
      </c>
      <c r="O417" s="229" t="s">
        <v>17</v>
      </c>
      <c r="P417" s="229" t="s">
        <v>17</v>
      </c>
      <c r="Q417" s="229" t="s">
        <v>15</v>
      </c>
      <c r="R417" s="229" t="s">
        <v>15</v>
      </c>
      <c r="S417" s="229" t="s">
        <v>16</v>
      </c>
      <c r="T417" s="229" t="s">
        <v>375</v>
      </c>
      <c r="U417" s="229" t="s">
        <v>331</v>
      </c>
      <c r="V417" s="229" t="s">
        <v>328</v>
      </c>
      <c r="W417" s="230" t="s">
        <v>328</v>
      </c>
      <c r="X417" s="230" t="s">
        <v>328</v>
      </c>
      <c r="Y417" s="231" t="s">
        <v>328</v>
      </c>
    </row>
    <row r="418" spans="1:25">
      <c r="A418" s="223">
        <v>11</v>
      </c>
      <c r="B418" s="224" t="str">
        <f>VLOOKUP(Tabel10[[#This Row],[Locatiecode]],Ruimtegroepen[[#All],[Code]:[Ruimte omschrijving]],2,FALSE)</f>
        <v>Garderobes</v>
      </c>
      <c r="C418" s="225" t="s">
        <v>800</v>
      </c>
      <c r="D418" s="224" t="s">
        <v>14</v>
      </c>
      <c r="E418" s="226" t="s">
        <v>123</v>
      </c>
      <c r="F418" s="225" t="s">
        <v>804</v>
      </c>
      <c r="G418" s="228" t="s">
        <v>328</v>
      </c>
      <c r="H418" s="228" t="s">
        <v>328</v>
      </c>
      <c r="I418" s="228" t="s">
        <v>17</v>
      </c>
      <c r="J418" s="228" t="s">
        <v>15</v>
      </c>
      <c r="K418" s="228" t="s">
        <v>15</v>
      </c>
      <c r="L418" s="228" t="s">
        <v>328</v>
      </c>
      <c r="M418" s="228" t="s">
        <v>328</v>
      </c>
      <c r="N418" s="228" t="s">
        <v>328</v>
      </c>
      <c r="O418" s="229" t="s">
        <v>17</v>
      </c>
      <c r="P418" s="229" t="s">
        <v>17</v>
      </c>
      <c r="Q418" s="229" t="s">
        <v>15</v>
      </c>
      <c r="R418" s="229" t="s">
        <v>15</v>
      </c>
      <c r="S418" s="229" t="s">
        <v>16</v>
      </c>
      <c r="T418" s="229" t="s">
        <v>375</v>
      </c>
      <c r="U418" s="229" t="s">
        <v>331</v>
      </c>
      <c r="V418" s="229" t="s">
        <v>328</v>
      </c>
      <c r="W418" s="230" t="s">
        <v>328</v>
      </c>
      <c r="X418" s="230" t="s">
        <v>328</v>
      </c>
      <c r="Y418" s="231" t="s">
        <v>328</v>
      </c>
    </row>
    <row r="419" spans="1:25">
      <c r="A419" s="223">
        <v>11</v>
      </c>
      <c r="B419" s="224" t="str">
        <f>VLOOKUP(Tabel10[[#This Row],[Locatiecode]],Ruimtegroepen[[#All],[Code]:[Ruimte omschrijving]],2,FALSE)</f>
        <v>Garderobes</v>
      </c>
      <c r="C419" s="225" t="s">
        <v>805</v>
      </c>
      <c r="D419" s="224" t="s">
        <v>13</v>
      </c>
      <c r="E419" s="226" t="s">
        <v>121</v>
      </c>
      <c r="F419" s="225" t="s">
        <v>806</v>
      </c>
      <c r="G419" s="228" t="s">
        <v>328</v>
      </c>
      <c r="H419" s="228" t="s">
        <v>328</v>
      </c>
      <c r="I419" s="228" t="s">
        <v>15</v>
      </c>
      <c r="J419" s="228" t="s">
        <v>328</v>
      </c>
      <c r="K419" s="228" t="s">
        <v>15</v>
      </c>
      <c r="L419" s="228" t="s">
        <v>328</v>
      </c>
      <c r="M419" s="228" t="s">
        <v>328</v>
      </c>
      <c r="N419" s="228" t="s">
        <v>328</v>
      </c>
      <c r="O419" s="229" t="s">
        <v>15</v>
      </c>
      <c r="P419" s="229" t="s">
        <v>15</v>
      </c>
      <c r="Q419" s="229" t="s">
        <v>15</v>
      </c>
      <c r="R419" s="229" t="s">
        <v>15</v>
      </c>
      <c r="S419" s="229" t="s">
        <v>16</v>
      </c>
      <c r="T419" s="229" t="s">
        <v>375</v>
      </c>
      <c r="U419" s="229" t="s">
        <v>331</v>
      </c>
      <c r="V419" s="229" t="s">
        <v>328</v>
      </c>
      <c r="W419" s="230" t="s">
        <v>328</v>
      </c>
      <c r="X419" s="230" t="s">
        <v>328</v>
      </c>
      <c r="Y419" s="231" t="s">
        <v>328</v>
      </c>
    </row>
    <row r="420" spans="1:25">
      <c r="A420" s="223">
        <v>11</v>
      </c>
      <c r="B420" s="224" t="str">
        <f>VLOOKUP(Tabel10[[#This Row],[Locatiecode]],Ruimtegroepen[[#All],[Code]:[Ruimte omschrijving]],2,FALSE)</f>
        <v>Garderobes</v>
      </c>
      <c r="C420" s="225" t="s">
        <v>805</v>
      </c>
      <c r="D420" s="224" t="s">
        <v>13</v>
      </c>
      <c r="E420" s="226" t="s">
        <v>120</v>
      </c>
      <c r="F420" s="225" t="s">
        <v>807</v>
      </c>
      <c r="G420" s="228" t="s">
        <v>407</v>
      </c>
      <c r="H420" s="228" t="s">
        <v>15</v>
      </c>
      <c r="I420" s="228" t="s">
        <v>328</v>
      </c>
      <c r="J420" s="228" t="s">
        <v>328</v>
      </c>
      <c r="K420" s="228" t="s">
        <v>328</v>
      </c>
      <c r="L420" s="228" t="s">
        <v>328</v>
      </c>
      <c r="M420" s="228" t="s">
        <v>328</v>
      </c>
      <c r="N420" s="228" t="s">
        <v>328</v>
      </c>
      <c r="O420" s="229" t="s">
        <v>15</v>
      </c>
      <c r="P420" s="229" t="s">
        <v>15</v>
      </c>
      <c r="Q420" s="229" t="s">
        <v>15</v>
      </c>
      <c r="R420" s="229" t="s">
        <v>15</v>
      </c>
      <c r="S420" s="229" t="s">
        <v>16</v>
      </c>
      <c r="T420" s="229" t="s">
        <v>375</v>
      </c>
      <c r="U420" s="229" t="s">
        <v>331</v>
      </c>
      <c r="V420" s="229" t="s">
        <v>328</v>
      </c>
      <c r="W420" s="230" t="s">
        <v>328</v>
      </c>
      <c r="X420" s="230" t="s">
        <v>328</v>
      </c>
      <c r="Y420" s="231" t="s">
        <v>328</v>
      </c>
    </row>
    <row r="421" spans="1:25">
      <c r="A421" s="223">
        <v>11</v>
      </c>
      <c r="B421" s="224" t="str">
        <f>VLOOKUP(Tabel10[[#This Row],[Locatiecode]],Ruimtegroepen[[#All],[Code]:[Ruimte omschrijving]],2,FALSE)</f>
        <v>Garderobes</v>
      </c>
      <c r="C421" s="225" t="s">
        <v>805</v>
      </c>
      <c r="D421" s="224" t="s">
        <v>13</v>
      </c>
      <c r="E421" s="226" t="s">
        <v>122</v>
      </c>
      <c r="F421" s="225" t="s">
        <v>808</v>
      </c>
      <c r="G421" s="228" t="s">
        <v>328</v>
      </c>
      <c r="H421" s="228" t="s">
        <v>328</v>
      </c>
      <c r="I421" s="228" t="s">
        <v>15</v>
      </c>
      <c r="J421" s="228" t="s">
        <v>15</v>
      </c>
      <c r="K421" s="228" t="s">
        <v>16</v>
      </c>
      <c r="L421" s="228" t="s">
        <v>328</v>
      </c>
      <c r="M421" s="228" t="s">
        <v>328</v>
      </c>
      <c r="N421" s="228" t="s">
        <v>328</v>
      </c>
      <c r="O421" s="229" t="s">
        <v>15</v>
      </c>
      <c r="P421" s="229" t="s">
        <v>15</v>
      </c>
      <c r="Q421" s="229" t="s">
        <v>15</v>
      </c>
      <c r="R421" s="229" t="s">
        <v>15</v>
      </c>
      <c r="S421" s="229" t="s">
        <v>16</v>
      </c>
      <c r="T421" s="229" t="s">
        <v>375</v>
      </c>
      <c r="U421" s="229" t="s">
        <v>331</v>
      </c>
      <c r="V421" s="229" t="s">
        <v>328</v>
      </c>
      <c r="W421" s="230" t="s">
        <v>328</v>
      </c>
      <c r="X421" s="230" t="s">
        <v>328</v>
      </c>
      <c r="Y421" s="231" t="s">
        <v>328</v>
      </c>
    </row>
    <row r="422" spans="1:25">
      <c r="A422" s="223">
        <v>11</v>
      </c>
      <c r="B422" s="224" t="str">
        <f>VLOOKUP(Tabel10[[#This Row],[Locatiecode]],Ruimtegroepen[[#All],[Code]:[Ruimte omschrijving]],2,FALSE)</f>
        <v>Garderobes</v>
      </c>
      <c r="C422" s="225" t="s">
        <v>805</v>
      </c>
      <c r="D422" s="224" t="s">
        <v>13</v>
      </c>
      <c r="E422" s="226" t="s">
        <v>123</v>
      </c>
      <c r="F422" s="225" t="s">
        <v>809</v>
      </c>
      <c r="G422" s="228" t="s">
        <v>328</v>
      </c>
      <c r="H422" s="228" t="s">
        <v>328</v>
      </c>
      <c r="I422" s="228" t="s">
        <v>15</v>
      </c>
      <c r="J422" s="228" t="s">
        <v>15</v>
      </c>
      <c r="K422" s="228" t="s">
        <v>16</v>
      </c>
      <c r="L422" s="228" t="s">
        <v>328</v>
      </c>
      <c r="M422" s="228" t="s">
        <v>328</v>
      </c>
      <c r="N422" s="228" t="s">
        <v>328</v>
      </c>
      <c r="O422" s="229" t="s">
        <v>15</v>
      </c>
      <c r="P422" s="229" t="s">
        <v>15</v>
      </c>
      <c r="Q422" s="229" t="s">
        <v>15</v>
      </c>
      <c r="R422" s="229" t="s">
        <v>15</v>
      </c>
      <c r="S422" s="229" t="s">
        <v>16</v>
      </c>
      <c r="T422" s="229" t="s">
        <v>375</v>
      </c>
      <c r="U422" s="229" t="s">
        <v>331</v>
      </c>
      <c r="V422" s="229" t="s">
        <v>328</v>
      </c>
      <c r="W422" s="230" t="s">
        <v>328</v>
      </c>
      <c r="X422" s="230" t="s">
        <v>328</v>
      </c>
      <c r="Y422" s="231" t="s">
        <v>328</v>
      </c>
    </row>
    <row r="423" spans="1:25">
      <c r="A423" s="223">
        <v>11</v>
      </c>
      <c r="B423" s="224" t="str">
        <f>VLOOKUP(Tabel10[[#This Row],[Locatiecode]],Ruimtegroepen[[#All],[Code]:[Ruimte omschrijving]],2,FALSE)</f>
        <v>Garderobes</v>
      </c>
      <c r="C423" s="225" t="s">
        <v>810</v>
      </c>
      <c r="D423" s="224" t="s">
        <v>0</v>
      </c>
      <c r="E423" s="226" t="s">
        <v>121</v>
      </c>
      <c r="F423" s="225" t="s">
        <v>811</v>
      </c>
      <c r="G423" s="228" t="s">
        <v>328</v>
      </c>
      <c r="H423" s="228" t="s">
        <v>328</v>
      </c>
      <c r="I423" s="228" t="s">
        <v>16</v>
      </c>
      <c r="J423" s="228" t="s">
        <v>328</v>
      </c>
      <c r="K423" s="228" t="s">
        <v>16</v>
      </c>
      <c r="L423" s="228" t="s">
        <v>328</v>
      </c>
      <c r="M423" s="228" t="s">
        <v>328</v>
      </c>
      <c r="N423" s="228" t="s">
        <v>328</v>
      </c>
      <c r="O423" s="229" t="s">
        <v>16</v>
      </c>
      <c r="P423" s="229" t="s">
        <v>16</v>
      </c>
      <c r="Q423" s="229" t="s">
        <v>16</v>
      </c>
      <c r="R423" s="229" t="s">
        <v>16</v>
      </c>
      <c r="S423" s="229" t="s">
        <v>16</v>
      </c>
      <c r="T423" s="229" t="s">
        <v>375</v>
      </c>
      <c r="U423" s="229" t="s">
        <v>331</v>
      </c>
      <c r="V423" s="229" t="s">
        <v>328</v>
      </c>
      <c r="W423" s="230" t="s">
        <v>328</v>
      </c>
      <c r="X423" s="230" t="s">
        <v>328</v>
      </c>
      <c r="Y423" s="231" t="s">
        <v>328</v>
      </c>
    </row>
    <row r="424" spans="1:25">
      <c r="A424" s="223">
        <v>11</v>
      </c>
      <c r="B424" s="224" t="str">
        <f>VLOOKUP(Tabel10[[#This Row],[Locatiecode]],Ruimtegroepen[[#All],[Code]:[Ruimte omschrijving]],2,FALSE)</f>
        <v>Garderobes</v>
      </c>
      <c r="C424" s="225" t="s">
        <v>810</v>
      </c>
      <c r="D424" s="224" t="s">
        <v>0</v>
      </c>
      <c r="E424" s="226" t="s">
        <v>120</v>
      </c>
      <c r="F424" s="225" t="s">
        <v>812</v>
      </c>
      <c r="G424" s="228" t="s">
        <v>407</v>
      </c>
      <c r="H424" s="228" t="s">
        <v>16</v>
      </c>
      <c r="I424" s="228" t="s">
        <v>328</v>
      </c>
      <c r="J424" s="228" t="s">
        <v>328</v>
      </c>
      <c r="K424" s="228" t="s">
        <v>328</v>
      </c>
      <c r="L424" s="228" t="s">
        <v>328</v>
      </c>
      <c r="M424" s="228" t="s">
        <v>328</v>
      </c>
      <c r="N424" s="228" t="s">
        <v>328</v>
      </c>
      <c r="O424" s="229" t="s">
        <v>16</v>
      </c>
      <c r="P424" s="229" t="s">
        <v>16</v>
      </c>
      <c r="Q424" s="229" t="s">
        <v>16</v>
      </c>
      <c r="R424" s="229" t="s">
        <v>16</v>
      </c>
      <c r="S424" s="229" t="s">
        <v>16</v>
      </c>
      <c r="T424" s="229" t="s">
        <v>375</v>
      </c>
      <c r="U424" s="229" t="s">
        <v>331</v>
      </c>
      <c r="V424" s="229" t="s">
        <v>328</v>
      </c>
      <c r="W424" s="230" t="s">
        <v>328</v>
      </c>
      <c r="X424" s="230" t="s">
        <v>328</v>
      </c>
      <c r="Y424" s="231" t="s">
        <v>328</v>
      </c>
    </row>
    <row r="425" spans="1:25">
      <c r="A425" s="223">
        <v>11</v>
      </c>
      <c r="B425" s="224" t="str">
        <f>VLOOKUP(Tabel10[[#This Row],[Locatiecode]],Ruimtegroepen[[#All],[Code]:[Ruimte omschrijving]],2,FALSE)</f>
        <v>Garderobes</v>
      </c>
      <c r="C425" s="225" t="s">
        <v>810</v>
      </c>
      <c r="D425" s="224" t="s">
        <v>0</v>
      </c>
      <c r="E425" s="226" t="s">
        <v>122</v>
      </c>
      <c r="F425" s="225" t="s">
        <v>813</v>
      </c>
      <c r="G425" s="228" t="s">
        <v>328</v>
      </c>
      <c r="H425" s="228" t="s">
        <v>328</v>
      </c>
      <c r="I425" s="228" t="s">
        <v>16</v>
      </c>
      <c r="J425" s="228" t="s">
        <v>407</v>
      </c>
      <c r="K425" s="228" t="s">
        <v>16</v>
      </c>
      <c r="L425" s="228" t="s">
        <v>328</v>
      </c>
      <c r="M425" s="228" t="s">
        <v>328</v>
      </c>
      <c r="N425" s="228" t="s">
        <v>328</v>
      </c>
      <c r="O425" s="229" t="s">
        <v>16</v>
      </c>
      <c r="P425" s="229" t="s">
        <v>16</v>
      </c>
      <c r="Q425" s="229" t="s">
        <v>16</v>
      </c>
      <c r="R425" s="229" t="s">
        <v>16</v>
      </c>
      <c r="S425" s="229" t="s">
        <v>16</v>
      </c>
      <c r="T425" s="229" t="s">
        <v>375</v>
      </c>
      <c r="U425" s="229" t="s">
        <v>331</v>
      </c>
      <c r="V425" s="229" t="s">
        <v>328</v>
      </c>
      <c r="W425" s="230" t="s">
        <v>328</v>
      </c>
      <c r="X425" s="230" t="s">
        <v>328</v>
      </c>
      <c r="Y425" s="231" t="s">
        <v>328</v>
      </c>
    </row>
    <row r="426" spans="1:25">
      <c r="A426" s="223">
        <v>11</v>
      </c>
      <c r="B426" s="224" t="str">
        <f>VLOOKUP(Tabel10[[#This Row],[Locatiecode]],Ruimtegroepen[[#All],[Code]:[Ruimte omschrijving]],2,FALSE)</f>
        <v>Garderobes</v>
      </c>
      <c r="C426" s="225" t="s">
        <v>810</v>
      </c>
      <c r="D426" s="224" t="s">
        <v>0</v>
      </c>
      <c r="E426" s="226" t="s">
        <v>123</v>
      </c>
      <c r="F426" s="225" t="s">
        <v>814</v>
      </c>
      <c r="G426" s="228" t="s">
        <v>328</v>
      </c>
      <c r="H426" s="228" t="s">
        <v>328</v>
      </c>
      <c r="I426" s="228" t="s">
        <v>16</v>
      </c>
      <c r="J426" s="228" t="s">
        <v>328</v>
      </c>
      <c r="K426" s="228" t="s">
        <v>16</v>
      </c>
      <c r="L426" s="228" t="s">
        <v>328</v>
      </c>
      <c r="M426" s="228" t="s">
        <v>328</v>
      </c>
      <c r="N426" s="228" t="s">
        <v>328</v>
      </c>
      <c r="O426" s="229" t="s">
        <v>16</v>
      </c>
      <c r="P426" s="229" t="s">
        <v>16</v>
      </c>
      <c r="Q426" s="229" t="s">
        <v>16</v>
      </c>
      <c r="R426" s="229" t="s">
        <v>16</v>
      </c>
      <c r="S426" s="229" t="s">
        <v>16</v>
      </c>
      <c r="T426" s="229" t="s">
        <v>375</v>
      </c>
      <c r="U426" s="229" t="s">
        <v>331</v>
      </c>
      <c r="V426" s="229" t="s">
        <v>328</v>
      </c>
      <c r="W426" s="230" t="s">
        <v>328</v>
      </c>
      <c r="X426" s="230" t="s">
        <v>328</v>
      </c>
      <c r="Y426" s="231" t="s">
        <v>328</v>
      </c>
    </row>
    <row r="427" spans="1:25">
      <c r="A427" s="223">
        <v>11</v>
      </c>
      <c r="B427" s="224" t="str">
        <f>VLOOKUP(Tabel10[[#This Row],[Locatiecode]],Ruimtegroepen[[#All],[Code]:[Ruimte omschrijving]],2,FALSE)</f>
        <v>Garderobes</v>
      </c>
      <c r="C427" s="225" t="s">
        <v>815</v>
      </c>
      <c r="D427" s="224" t="s">
        <v>30</v>
      </c>
      <c r="E427" s="226" t="s">
        <v>121</v>
      </c>
      <c r="F427" s="225" t="s">
        <v>816</v>
      </c>
      <c r="G427" s="228" t="s">
        <v>328</v>
      </c>
      <c r="H427" s="228" t="s">
        <v>328</v>
      </c>
      <c r="I427" s="228" t="s">
        <v>15</v>
      </c>
      <c r="J427" s="228" t="s">
        <v>328</v>
      </c>
      <c r="K427" s="228" t="s">
        <v>15</v>
      </c>
      <c r="L427" s="228" t="s">
        <v>328</v>
      </c>
      <c r="M427" s="228" t="s">
        <v>328</v>
      </c>
      <c r="N427" s="228" t="s">
        <v>328</v>
      </c>
      <c r="O427" s="229" t="s">
        <v>15</v>
      </c>
      <c r="P427" s="229" t="s">
        <v>15</v>
      </c>
      <c r="Q427" s="229" t="s">
        <v>15</v>
      </c>
      <c r="R427" s="229" t="s">
        <v>15</v>
      </c>
      <c r="S427" s="229" t="s">
        <v>328</v>
      </c>
      <c r="T427" s="229" t="s">
        <v>328</v>
      </c>
      <c r="U427" s="229" t="s">
        <v>328</v>
      </c>
      <c r="V427" s="229" t="s">
        <v>328</v>
      </c>
      <c r="W427" s="230" t="s">
        <v>328</v>
      </c>
      <c r="X427" s="230" t="s">
        <v>328</v>
      </c>
      <c r="Y427" s="231" t="s">
        <v>328</v>
      </c>
    </row>
    <row r="428" spans="1:25">
      <c r="A428" s="223">
        <v>11</v>
      </c>
      <c r="B428" s="224" t="str">
        <f>VLOOKUP(Tabel10[[#This Row],[Locatiecode]],Ruimtegroepen[[#All],[Code]:[Ruimte omschrijving]],2,FALSE)</f>
        <v>Garderobes</v>
      </c>
      <c r="C428" s="225" t="s">
        <v>815</v>
      </c>
      <c r="D428" s="224" t="s">
        <v>30</v>
      </c>
      <c r="E428" s="226" t="s">
        <v>120</v>
      </c>
      <c r="F428" s="225" t="s">
        <v>817</v>
      </c>
      <c r="G428" s="228" t="s">
        <v>407</v>
      </c>
      <c r="H428" s="228" t="s">
        <v>15</v>
      </c>
      <c r="I428" s="228" t="s">
        <v>328</v>
      </c>
      <c r="J428" s="228" t="s">
        <v>328</v>
      </c>
      <c r="K428" s="228" t="s">
        <v>328</v>
      </c>
      <c r="L428" s="228" t="s">
        <v>328</v>
      </c>
      <c r="M428" s="228" t="s">
        <v>328</v>
      </c>
      <c r="N428" s="228" t="s">
        <v>328</v>
      </c>
      <c r="O428" s="229" t="s">
        <v>15</v>
      </c>
      <c r="P428" s="229" t="s">
        <v>15</v>
      </c>
      <c r="Q428" s="229" t="s">
        <v>15</v>
      </c>
      <c r="R428" s="229" t="s">
        <v>15</v>
      </c>
      <c r="S428" s="229" t="s">
        <v>328</v>
      </c>
      <c r="T428" s="229" t="s">
        <v>328</v>
      </c>
      <c r="U428" s="229" t="s">
        <v>328</v>
      </c>
      <c r="V428" s="229" t="s">
        <v>328</v>
      </c>
      <c r="W428" s="230" t="s">
        <v>328</v>
      </c>
      <c r="X428" s="230" t="s">
        <v>328</v>
      </c>
      <c r="Y428" s="231" t="s">
        <v>328</v>
      </c>
    </row>
    <row r="429" spans="1:25">
      <c r="A429" s="223">
        <v>11</v>
      </c>
      <c r="B429" s="224" t="str">
        <f>VLOOKUP(Tabel10[[#This Row],[Locatiecode]],Ruimtegroepen[[#All],[Code]:[Ruimte omschrijving]],2,FALSE)</f>
        <v>Garderobes</v>
      </c>
      <c r="C429" s="225" t="s">
        <v>815</v>
      </c>
      <c r="D429" s="224" t="s">
        <v>30</v>
      </c>
      <c r="E429" s="226" t="s">
        <v>122</v>
      </c>
      <c r="F429" s="225" t="s">
        <v>818</v>
      </c>
      <c r="G429" s="228" t="s">
        <v>328</v>
      </c>
      <c r="H429" s="228" t="s">
        <v>328</v>
      </c>
      <c r="I429" s="228" t="s">
        <v>15</v>
      </c>
      <c r="J429" s="228" t="s">
        <v>15</v>
      </c>
      <c r="K429" s="228" t="s">
        <v>328</v>
      </c>
      <c r="L429" s="228" t="s">
        <v>328</v>
      </c>
      <c r="M429" s="228" t="s">
        <v>328</v>
      </c>
      <c r="N429" s="228" t="s">
        <v>328</v>
      </c>
      <c r="O429" s="229" t="s">
        <v>15</v>
      </c>
      <c r="P429" s="229" t="s">
        <v>15</v>
      </c>
      <c r="Q429" s="229" t="s">
        <v>15</v>
      </c>
      <c r="R429" s="229" t="s">
        <v>15</v>
      </c>
      <c r="S429" s="229" t="s">
        <v>328</v>
      </c>
      <c r="T429" s="229" t="s">
        <v>328</v>
      </c>
      <c r="U429" s="229" t="s">
        <v>328</v>
      </c>
      <c r="V429" s="229" t="s">
        <v>328</v>
      </c>
      <c r="W429" s="230" t="s">
        <v>328</v>
      </c>
      <c r="X429" s="230" t="s">
        <v>328</v>
      </c>
      <c r="Y429" s="231" t="s">
        <v>328</v>
      </c>
    </row>
    <row r="430" spans="1:25">
      <c r="A430" s="223">
        <v>11</v>
      </c>
      <c r="B430" s="224" t="str">
        <f>VLOOKUP(Tabel10[[#This Row],[Locatiecode]],Ruimtegroepen[[#All],[Code]:[Ruimte omschrijving]],2,FALSE)</f>
        <v>Garderobes</v>
      </c>
      <c r="C430" s="225" t="s">
        <v>815</v>
      </c>
      <c r="D430" s="224" t="s">
        <v>30</v>
      </c>
      <c r="E430" s="226" t="s">
        <v>123</v>
      </c>
      <c r="F430" s="225" t="s">
        <v>819</v>
      </c>
      <c r="G430" s="228" t="s">
        <v>328</v>
      </c>
      <c r="H430" s="228" t="s">
        <v>328</v>
      </c>
      <c r="I430" s="228" t="s">
        <v>15</v>
      </c>
      <c r="J430" s="228" t="s">
        <v>15</v>
      </c>
      <c r="K430" s="228" t="s">
        <v>328</v>
      </c>
      <c r="L430" s="228" t="s">
        <v>328</v>
      </c>
      <c r="M430" s="228" t="s">
        <v>328</v>
      </c>
      <c r="N430" s="228" t="s">
        <v>328</v>
      </c>
      <c r="O430" s="229" t="s">
        <v>15</v>
      </c>
      <c r="P430" s="229" t="s">
        <v>15</v>
      </c>
      <c r="Q430" s="229" t="s">
        <v>15</v>
      </c>
      <c r="R430" s="229" t="s">
        <v>15</v>
      </c>
      <c r="S430" s="229" t="s">
        <v>328</v>
      </c>
      <c r="T430" s="229" t="s">
        <v>328</v>
      </c>
      <c r="U430" s="229" t="s">
        <v>328</v>
      </c>
      <c r="V430" s="229" t="s">
        <v>328</v>
      </c>
      <c r="W430" s="230" t="s">
        <v>328</v>
      </c>
      <c r="X430" s="230" t="s">
        <v>328</v>
      </c>
      <c r="Y430" s="231" t="s">
        <v>328</v>
      </c>
    </row>
    <row r="431" spans="1:25">
      <c r="A431" s="223">
        <v>11</v>
      </c>
      <c r="B431" s="224" t="str">
        <f>VLOOKUP(Tabel10[[#This Row],[Locatiecode]],Ruimtegroepen[[#All],[Code]:[Ruimte omschrijving]],2,FALSE)</f>
        <v>Garderobes</v>
      </c>
      <c r="C431" s="225" t="s">
        <v>820</v>
      </c>
      <c r="D431" s="224" t="s">
        <v>31</v>
      </c>
      <c r="E431" s="226" t="s">
        <v>121</v>
      </c>
      <c r="F431" s="225" t="s">
        <v>821</v>
      </c>
      <c r="G431" s="228" t="s">
        <v>328</v>
      </c>
      <c r="H431" s="228" t="s">
        <v>328</v>
      </c>
      <c r="I431" s="228" t="s">
        <v>17</v>
      </c>
      <c r="J431" s="227" t="s">
        <v>17</v>
      </c>
      <c r="K431" s="227" t="s">
        <v>328</v>
      </c>
      <c r="L431" s="228" t="s">
        <v>328</v>
      </c>
      <c r="M431" s="228" t="s">
        <v>328</v>
      </c>
      <c r="N431" s="228" t="s">
        <v>328</v>
      </c>
      <c r="O431" s="229" t="s">
        <v>17</v>
      </c>
      <c r="P431" s="229" t="s">
        <v>17</v>
      </c>
      <c r="Q431" s="229" t="s">
        <v>15</v>
      </c>
      <c r="R431" s="229" t="s">
        <v>15</v>
      </c>
      <c r="S431" s="229" t="s">
        <v>328</v>
      </c>
      <c r="T431" s="229" t="s">
        <v>328</v>
      </c>
      <c r="U431" s="229" t="s">
        <v>328</v>
      </c>
      <c r="V431" s="229" t="s">
        <v>328</v>
      </c>
      <c r="W431" s="230" t="s">
        <v>328</v>
      </c>
      <c r="X431" s="230" t="s">
        <v>328</v>
      </c>
      <c r="Y431" s="231" t="s">
        <v>328</v>
      </c>
    </row>
    <row r="432" spans="1:25">
      <c r="A432" s="223">
        <v>11</v>
      </c>
      <c r="B432" s="224" t="str">
        <f>VLOOKUP(Tabel10[[#This Row],[Locatiecode]],Ruimtegroepen[[#All],[Code]:[Ruimte omschrijving]],2,FALSE)</f>
        <v>Garderobes</v>
      </c>
      <c r="C432" s="225" t="s">
        <v>820</v>
      </c>
      <c r="D432" s="224" t="s">
        <v>31</v>
      </c>
      <c r="E432" s="226" t="s">
        <v>120</v>
      </c>
      <c r="F432" s="225" t="s">
        <v>822</v>
      </c>
      <c r="G432" s="228" t="s">
        <v>15</v>
      </c>
      <c r="H432" s="228" t="s">
        <v>15</v>
      </c>
      <c r="I432" s="228" t="s">
        <v>328</v>
      </c>
      <c r="J432" s="228" t="s">
        <v>328</v>
      </c>
      <c r="K432" s="228" t="s">
        <v>328</v>
      </c>
      <c r="L432" s="228" t="s">
        <v>328</v>
      </c>
      <c r="M432" s="228" t="s">
        <v>328</v>
      </c>
      <c r="N432" s="228" t="s">
        <v>328</v>
      </c>
      <c r="O432" s="229" t="s">
        <v>17</v>
      </c>
      <c r="P432" s="229" t="s">
        <v>17</v>
      </c>
      <c r="Q432" s="229" t="s">
        <v>15</v>
      </c>
      <c r="R432" s="229" t="s">
        <v>15</v>
      </c>
      <c r="S432" s="229" t="s">
        <v>328</v>
      </c>
      <c r="T432" s="229" t="s">
        <v>328</v>
      </c>
      <c r="U432" s="229" t="s">
        <v>328</v>
      </c>
      <c r="V432" s="229" t="s">
        <v>328</v>
      </c>
      <c r="W432" s="230" t="s">
        <v>328</v>
      </c>
      <c r="X432" s="230" t="s">
        <v>328</v>
      </c>
      <c r="Y432" s="231" t="s">
        <v>328</v>
      </c>
    </row>
    <row r="433" spans="1:25">
      <c r="A433" s="223">
        <v>11</v>
      </c>
      <c r="B433" s="224" t="str">
        <f>VLOOKUP(Tabel10[[#This Row],[Locatiecode]],Ruimtegroepen[[#All],[Code]:[Ruimte omschrijving]],2,FALSE)</f>
        <v>Garderobes</v>
      </c>
      <c r="C433" s="225" t="s">
        <v>820</v>
      </c>
      <c r="D433" s="224" t="s">
        <v>31</v>
      </c>
      <c r="E433" s="226" t="s">
        <v>122</v>
      </c>
      <c r="F433" s="225" t="s">
        <v>823</v>
      </c>
      <c r="G433" s="228" t="s">
        <v>328</v>
      </c>
      <c r="H433" s="228" t="s">
        <v>328</v>
      </c>
      <c r="I433" s="228" t="s">
        <v>17</v>
      </c>
      <c r="J433" s="227" t="s">
        <v>17</v>
      </c>
      <c r="K433" s="227" t="s">
        <v>328</v>
      </c>
      <c r="L433" s="228" t="s">
        <v>328</v>
      </c>
      <c r="M433" s="228" t="s">
        <v>328</v>
      </c>
      <c r="N433" s="228" t="s">
        <v>328</v>
      </c>
      <c r="O433" s="229" t="s">
        <v>17</v>
      </c>
      <c r="P433" s="229" t="s">
        <v>17</v>
      </c>
      <c r="Q433" s="229" t="s">
        <v>15</v>
      </c>
      <c r="R433" s="229" t="s">
        <v>15</v>
      </c>
      <c r="S433" s="229" t="s">
        <v>328</v>
      </c>
      <c r="T433" s="229" t="s">
        <v>328</v>
      </c>
      <c r="U433" s="229" t="s">
        <v>328</v>
      </c>
      <c r="V433" s="229" t="s">
        <v>328</v>
      </c>
      <c r="W433" s="230" t="s">
        <v>328</v>
      </c>
      <c r="X433" s="230" t="s">
        <v>328</v>
      </c>
      <c r="Y433" s="231" t="s">
        <v>328</v>
      </c>
    </row>
    <row r="434" spans="1:25">
      <c r="A434" s="223">
        <v>11</v>
      </c>
      <c r="B434" s="224" t="str">
        <f>VLOOKUP(Tabel10[[#This Row],[Locatiecode]],Ruimtegroepen[[#All],[Code]:[Ruimte omschrijving]],2,FALSE)</f>
        <v>Garderobes</v>
      </c>
      <c r="C434" s="225" t="s">
        <v>820</v>
      </c>
      <c r="D434" s="224" t="s">
        <v>31</v>
      </c>
      <c r="E434" s="226" t="s">
        <v>123</v>
      </c>
      <c r="F434" s="225" t="s">
        <v>824</v>
      </c>
      <c r="G434" s="228" t="s">
        <v>328</v>
      </c>
      <c r="H434" s="228" t="s">
        <v>328</v>
      </c>
      <c r="I434" s="228" t="s">
        <v>17</v>
      </c>
      <c r="J434" s="227" t="s">
        <v>17</v>
      </c>
      <c r="K434" s="227" t="s">
        <v>328</v>
      </c>
      <c r="L434" s="228" t="s">
        <v>328</v>
      </c>
      <c r="M434" s="228" t="s">
        <v>328</v>
      </c>
      <c r="N434" s="228" t="s">
        <v>328</v>
      </c>
      <c r="O434" s="229" t="s">
        <v>17</v>
      </c>
      <c r="P434" s="229" t="s">
        <v>17</v>
      </c>
      <c r="Q434" s="229" t="s">
        <v>15</v>
      </c>
      <c r="R434" s="229" t="s">
        <v>15</v>
      </c>
      <c r="S434" s="229" t="s">
        <v>328</v>
      </c>
      <c r="T434" s="229" t="s">
        <v>328</v>
      </c>
      <c r="U434" s="229" t="s">
        <v>328</v>
      </c>
      <c r="V434" s="229" t="s">
        <v>328</v>
      </c>
      <c r="W434" s="230" t="s">
        <v>328</v>
      </c>
      <c r="X434" s="230" t="s">
        <v>328</v>
      </c>
      <c r="Y434" s="231" t="s">
        <v>328</v>
      </c>
    </row>
    <row r="435" spans="1:25">
      <c r="A435" s="223">
        <v>12</v>
      </c>
      <c r="B435" s="224" t="str">
        <f>VLOOKUP(Tabel10[[#This Row],[Locatiecode]],Ruimtegroepen[[#All],[Code]:[Ruimte omschrijving]],2,FALSE)</f>
        <v>Kantine</v>
      </c>
      <c r="C435" s="225" t="s">
        <v>825</v>
      </c>
      <c r="D435" s="224" t="s">
        <v>32</v>
      </c>
      <c r="E435" s="226" t="s">
        <v>121</v>
      </c>
      <c r="F435" s="225" t="s">
        <v>826</v>
      </c>
      <c r="G435" s="228" t="s">
        <v>328</v>
      </c>
      <c r="H435" s="228" t="s">
        <v>328</v>
      </c>
      <c r="I435" s="228" t="s">
        <v>2</v>
      </c>
      <c r="J435" s="227" t="s">
        <v>328</v>
      </c>
      <c r="K435" s="227" t="s">
        <v>2</v>
      </c>
      <c r="L435" s="228" t="s">
        <v>328</v>
      </c>
      <c r="M435" s="228" t="s">
        <v>328</v>
      </c>
      <c r="N435" s="228" t="s">
        <v>2</v>
      </c>
      <c r="O435" s="229" t="s">
        <v>2</v>
      </c>
      <c r="P435" s="229" t="s">
        <v>2</v>
      </c>
      <c r="Q435" s="229" t="s">
        <v>15</v>
      </c>
      <c r="R435" s="229" t="s">
        <v>15</v>
      </c>
      <c r="S435" s="229" t="s">
        <v>16</v>
      </c>
      <c r="T435" s="229" t="s">
        <v>375</v>
      </c>
      <c r="U435" s="229" t="s">
        <v>331</v>
      </c>
      <c r="V435" s="229" t="s">
        <v>2</v>
      </c>
      <c r="W435" s="230" t="s">
        <v>328</v>
      </c>
      <c r="X435" s="230" t="s">
        <v>328</v>
      </c>
      <c r="Y435" s="231" t="s">
        <v>328</v>
      </c>
    </row>
    <row r="436" spans="1:25">
      <c r="A436" s="223">
        <v>12</v>
      </c>
      <c r="B436" s="224" t="str">
        <f>VLOOKUP(Tabel10[[#This Row],[Locatiecode]],Ruimtegroepen[[#All],[Code]:[Ruimte omschrijving]],2,FALSE)</f>
        <v>Kantine</v>
      </c>
      <c r="C436" s="225" t="s">
        <v>825</v>
      </c>
      <c r="D436" s="224" t="s">
        <v>32</v>
      </c>
      <c r="E436" s="226" t="s">
        <v>120</v>
      </c>
      <c r="F436" s="225" t="s">
        <v>827</v>
      </c>
      <c r="G436" s="228" t="s">
        <v>328</v>
      </c>
      <c r="H436" s="228" t="s">
        <v>2</v>
      </c>
      <c r="I436" s="228" t="s">
        <v>328</v>
      </c>
      <c r="J436" s="228" t="s">
        <v>328</v>
      </c>
      <c r="K436" s="228" t="s">
        <v>328</v>
      </c>
      <c r="L436" s="228" t="s">
        <v>328</v>
      </c>
      <c r="M436" s="228" t="s">
        <v>328</v>
      </c>
      <c r="N436" s="228" t="s">
        <v>2</v>
      </c>
      <c r="O436" s="229" t="s">
        <v>2</v>
      </c>
      <c r="P436" s="229" t="s">
        <v>2</v>
      </c>
      <c r="Q436" s="229" t="s">
        <v>15</v>
      </c>
      <c r="R436" s="229" t="s">
        <v>15</v>
      </c>
      <c r="S436" s="229" t="s">
        <v>16</v>
      </c>
      <c r="T436" s="229" t="s">
        <v>375</v>
      </c>
      <c r="U436" s="229" t="s">
        <v>331</v>
      </c>
      <c r="V436" s="229" t="s">
        <v>2</v>
      </c>
      <c r="W436" s="230" t="s">
        <v>328</v>
      </c>
      <c r="X436" s="230" t="s">
        <v>328</v>
      </c>
      <c r="Y436" s="231" t="s">
        <v>328</v>
      </c>
    </row>
    <row r="437" spans="1:25">
      <c r="A437" s="223">
        <v>12</v>
      </c>
      <c r="B437" s="224" t="str">
        <f>VLOOKUP(Tabel10[[#This Row],[Locatiecode]],Ruimtegroepen[[#All],[Code]:[Ruimte omschrijving]],2,FALSE)</f>
        <v>Kantine</v>
      </c>
      <c r="C437" s="225" t="s">
        <v>825</v>
      </c>
      <c r="D437" s="224" t="s">
        <v>32</v>
      </c>
      <c r="E437" s="226" t="s">
        <v>122</v>
      </c>
      <c r="F437" s="225" t="s">
        <v>828</v>
      </c>
      <c r="G437" s="228" t="s">
        <v>328</v>
      </c>
      <c r="H437" s="228" t="s">
        <v>328</v>
      </c>
      <c r="I437" s="228" t="s">
        <v>2</v>
      </c>
      <c r="J437" s="227" t="s">
        <v>328</v>
      </c>
      <c r="K437" s="227" t="s">
        <v>2</v>
      </c>
      <c r="L437" s="228" t="s">
        <v>328</v>
      </c>
      <c r="M437" s="228" t="s">
        <v>328</v>
      </c>
      <c r="N437" s="228" t="s">
        <v>2</v>
      </c>
      <c r="O437" s="229" t="s">
        <v>2</v>
      </c>
      <c r="P437" s="229" t="s">
        <v>2</v>
      </c>
      <c r="Q437" s="229" t="s">
        <v>15</v>
      </c>
      <c r="R437" s="229" t="s">
        <v>15</v>
      </c>
      <c r="S437" s="229" t="s">
        <v>16</v>
      </c>
      <c r="T437" s="229" t="s">
        <v>375</v>
      </c>
      <c r="U437" s="229" t="s">
        <v>331</v>
      </c>
      <c r="V437" s="229" t="s">
        <v>2</v>
      </c>
      <c r="W437" s="230" t="s">
        <v>328</v>
      </c>
      <c r="X437" s="230" t="s">
        <v>328</v>
      </c>
      <c r="Y437" s="231" t="s">
        <v>328</v>
      </c>
    </row>
    <row r="438" spans="1:25">
      <c r="A438" s="223">
        <v>12</v>
      </c>
      <c r="B438" s="224" t="str">
        <f>VLOOKUP(Tabel10[[#This Row],[Locatiecode]],Ruimtegroepen[[#All],[Code]:[Ruimte omschrijving]],2,FALSE)</f>
        <v>Kantine</v>
      </c>
      <c r="C438" s="225" t="s">
        <v>825</v>
      </c>
      <c r="D438" s="224" t="s">
        <v>32</v>
      </c>
      <c r="E438" s="226" t="s">
        <v>123</v>
      </c>
      <c r="F438" s="225" t="s">
        <v>829</v>
      </c>
      <c r="G438" s="228" t="s">
        <v>328</v>
      </c>
      <c r="H438" s="228" t="s">
        <v>328</v>
      </c>
      <c r="I438" s="228" t="s">
        <v>2</v>
      </c>
      <c r="J438" s="227" t="s">
        <v>328</v>
      </c>
      <c r="K438" s="227" t="s">
        <v>2</v>
      </c>
      <c r="L438" s="228" t="s">
        <v>328</v>
      </c>
      <c r="M438" s="228" t="s">
        <v>328</v>
      </c>
      <c r="N438" s="228" t="s">
        <v>2</v>
      </c>
      <c r="O438" s="229" t="s">
        <v>2</v>
      </c>
      <c r="P438" s="229" t="s">
        <v>2</v>
      </c>
      <c r="Q438" s="229" t="s">
        <v>15</v>
      </c>
      <c r="R438" s="229" t="s">
        <v>15</v>
      </c>
      <c r="S438" s="229" t="s">
        <v>16</v>
      </c>
      <c r="T438" s="229" t="s">
        <v>375</v>
      </c>
      <c r="U438" s="229" t="s">
        <v>331</v>
      </c>
      <c r="V438" s="229" t="s">
        <v>2</v>
      </c>
      <c r="W438" s="230" t="s">
        <v>328</v>
      </c>
      <c r="X438" s="230" t="s">
        <v>328</v>
      </c>
      <c r="Y438" s="231" t="s">
        <v>328</v>
      </c>
    </row>
    <row r="439" spans="1:25">
      <c r="A439" s="223">
        <v>12</v>
      </c>
      <c r="B439" s="224" t="str">
        <f>VLOOKUP(Tabel10[[#This Row],[Locatiecode]],Ruimtegroepen[[#All],[Code]:[Ruimte omschrijving]],2,FALSE)</f>
        <v>Kantine</v>
      </c>
      <c r="C439" s="225" t="s">
        <v>830</v>
      </c>
      <c r="D439" s="224" t="s">
        <v>1</v>
      </c>
      <c r="E439" s="226" t="s">
        <v>121</v>
      </c>
      <c r="F439" s="225" t="s">
        <v>831</v>
      </c>
      <c r="G439" s="228" t="s">
        <v>328</v>
      </c>
      <c r="H439" s="228" t="s">
        <v>328</v>
      </c>
      <c r="I439" s="228" t="s">
        <v>2</v>
      </c>
      <c r="J439" s="227" t="s">
        <v>328</v>
      </c>
      <c r="K439" s="227" t="s">
        <v>2</v>
      </c>
      <c r="L439" s="228" t="s">
        <v>328</v>
      </c>
      <c r="M439" s="228" t="s">
        <v>328</v>
      </c>
      <c r="N439" s="228" t="s">
        <v>328</v>
      </c>
      <c r="O439" s="229" t="s">
        <v>328</v>
      </c>
      <c r="P439" s="229" t="s">
        <v>328</v>
      </c>
      <c r="Q439" s="229" t="s">
        <v>328</v>
      </c>
      <c r="R439" s="229" t="s">
        <v>328</v>
      </c>
      <c r="S439" s="229" t="s">
        <v>328</v>
      </c>
      <c r="T439" s="229" t="s">
        <v>328</v>
      </c>
      <c r="U439" s="229" t="s">
        <v>328</v>
      </c>
      <c r="V439" s="229" t="s">
        <v>328</v>
      </c>
      <c r="W439" s="230" t="s">
        <v>328</v>
      </c>
      <c r="X439" s="230" t="s">
        <v>328</v>
      </c>
      <c r="Y439" s="231" t="s">
        <v>328</v>
      </c>
    </row>
    <row r="440" spans="1:25">
      <c r="A440" s="223">
        <v>12</v>
      </c>
      <c r="B440" s="224" t="str">
        <f>VLOOKUP(Tabel10[[#This Row],[Locatiecode]],Ruimtegroepen[[#All],[Code]:[Ruimte omschrijving]],2,FALSE)</f>
        <v>Kantine</v>
      </c>
      <c r="C440" s="225" t="s">
        <v>830</v>
      </c>
      <c r="D440" s="224" t="s">
        <v>1</v>
      </c>
      <c r="E440" s="226" t="s">
        <v>120</v>
      </c>
      <c r="F440" s="225" t="s">
        <v>832</v>
      </c>
      <c r="G440" s="228" t="s">
        <v>328</v>
      </c>
      <c r="H440" s="228" t="s">
        <v>2</v>
      </c>
      <c r="I440" s="228" t="s">
        <v>328</v>
      </c>
      <c r="J440" s="228" t="s">
        <v>328</v>
      </c>
      <c r="K440" s="228" t="s">
        <v>328</v>
      </c>
      <c r="L440" s="228" t="s">
        <v>328</v>
      </c>
      <c r="M440" s="228" t="s">
        <v>328</v>
      </c>
      <c r="N440" s="228" t="s">
        <v>328</v>
      </c>
      <c r="O440" s="229" t="s">
        <v>328</v>
      </c>
      <c r="P440" s="229" t="s">
        <v>328</v>
      </c>
      <c r="Q440" s="229" t="s">
        <v>328</v>
      </c>
      <c r="R440" s="229" t="s">
        <v>328</v>
      </c>
      <c r="S440" s="229" t="s">
        <v>328</v>
      </c>
      <c r="T440" s="229" t="s">
        <v>328</v>
      </c>
      <c r="U440" s="229" t="s">
        <v>328</v>
      </c>
      <c r="V440" s="229" t="s">
        <v>328</v>
      </c>
      <c r="W440" s="230" t="s">
        <v>328</v>
      </c>
      <c r="X440" s="230" t="s">
        <v>328</v>
      </c>
      <c r="Y440" s="231" t="s">
        <v>328</v>
      </c>
    </row>
    <row r="441" spans="1:25">
      <c r="A441" s="223">
        <v>12</v>
      </c>
      <c r="B441" s="224" t="str">
        <f>VLOOKUP(Tabel10[[#This Row],[Locatiecode]],Ruimtegroepen[[#All],[Code]:[Ruimte omschrijving]],2,FALSE)</f>
        <v>Kantine</v>
      </c>
      <c r="C441" s="225" t="s">
        <v>830</v>
      </c>
      <c r="D441" s="224" t="s">
        <v>1</v>
      </c>
      <c r="E441" s="226" t="s">
        <v>122</v>
      </c>
      <c r="F441" s="225" t="s">
        <v>833</v>
      </c>
      <c r="G441" s="228" t="s">
        <v>328</v>
      </c>
      <c r="H441" s="228" t="s">
        <v>328</v>
      </c>
      <c r="I441" s="228" t="s">
        <v>2</v>
      </c>
      <c r="J441" s="227" t="s">
        <v>328</v>
      </c>
      <c r="K441" s="227" t="s">
        <v>2</v>
      </c>
      <c r="L441" s="228" t="s">
        <v>328</v>
      </c>
      <c r="M441" s="228" t="s">
        <v>328</v>
      </c>
      <c r="N441" s="228" t="s">
        <v>328</v>
      </c>
      <c r="O441" s="229" t="s">
        <v>328</v>
      </c>
      <c r="P441" s="229" t="s">
        <v>328</v>
      </c>
      <c r="Q441" s="229" t="s">
        <v>328</v>
      </c>
      <c r="R441" s="229" t="s">
        <v>328</v>
      </c>
      <c r="S441" s="229" t="s">
        <v>328</v>
      </c>
      <c r="T441" s="229" t="s">
        <v>328</v>
      </c>
      <c r="U441" s="229" t="s">
        <v>328</v>
      </c>
      <c r="V441" s="229" t="s">
        <v>328</v>
      </c>
      <c r="W441" s="230" t="s">
        <v>328</v>
      </c>
      <c r="X441" s="230" t="s">
        <v>328</v>
      </c>
      <c r="Y441" s="231" t="s">
        <v>328</v>
      </c>
    </row>
    <row r="442" spans="1:25">
      <c r="A442" s="223">
        <v>12</v>
      </c>
      <c r="B442" s="224" t="str">
        <f>VLOOKUP(Tabel10[[#This Row],[Locatiecode]],Ruimtegroepen[[#All],[Code]:[Ruimte omschrijving]],2,FALSE)</f>
        <v>Kantine</v>
      </c>
      <c r="C442" s="225" t="s">
        <v>830</v>
      </c>
      <c r="D442" s="224" t="s">
        <v>1</v>
      </c>
      <c r="E442" s="226" t="s">
        <v>123</v>
      </c>
      <c r="F442" s="225" t="s">
        <v>834</v>
      </c>
      <c r="G442" s="228" t="s">
        <v>328</v>
      </c>
      <c r="H442" s="228" t="s">
        <v>328</v>
      </c>
      <c r="I442" s="228" t="s">
        <v>2</v>
      </c>
      <c r="J442" s="227" t="s">
        <v>328</v>
      </c>
      <c r="K442" s="227" t="s">
        <v>2</v>
      </c>
      <c r="L442" s="228" t="s">
        <v>328</v>
      </c>
      <c r="M442" s="228" t="s">
        <v>328</v>
      </c>
      <c r="N442" s="228" t="s">
        <v>328</v>
      </c>
      <c r="O442" s="229" t="s">
        <v>328</v>
      </c>
      <c r="P442" s="229" t="s">
        <v>328</v>
      </c>
      <c r="Q442" s="229" t="s">
        <v>328</v>
      </c>
      <c r="R442" s="229" t="s">
        <v>328</v>
      </c>
      <c r="S442" s="229" t="s">
        <v>328</v>
      </c>
      <c r="T442" s="229" t="s">
        <v>328</v>
      </c>
      <c r="U442" s="229" t="s">
        <v>328</v>
      </c>
      <c r="V442" s="229" t="s">
        <v>328</v>
      </c>
      <c r="W442" s="230" t="s">
        <v>328</v>
      </c>
      <c r="X442" s="230" t="s">
        <v>328</v>
      </c>
      <c r="Y442" s="231" t="s">
        <v>328</v>
      </c>
    </row>
    <row r="443" spans="1:25">
      <c r="A443" s="223">
        <v>12</v>
      </c>
      <c r="B443" s="224" t="str">
        <f>VLOOKUP(Tabel10[[#This Row],[Locatiecode]],Ruimtegroepen[[#All],[Code]:[Ruimte omschrijving]],2,FALSE)</f>
        <v>Kantine</v>
      </c>
      <c r="C443" s="225" t="s">
        <v>835</v>
      </c>
      <c r="D443" s="224" t="s">
        <v>21</v>
      </c>
      <c r="E443" s="226" t="s">
        <v>121</v>
      </c>
      <c r="F443" s="225" t="s">
        <v>836</v>
      </c>
      <c r="G443" s="228" t="s">
        <v>328</v>
      </c>
      <c r="H443" s="228" t="s">
        <v>328</v>
      </c>
      <c r="I443" s="228" t="s">
        <v>20</v>
      </c>
      <c r="J443" s="227" t="s">
        <v>328</v>
      </c>
      <c r="K443" s="227" t="s">
        <v>2</v>
      </c>
      <c r="L443" s="228" t="s">
        <v>328</v>
      </c>
      <c r="M443" s="228" t="s">
        <v>328</v>
      </c>
      <c r="N443" s="228" t="s">
        <v>328</v>
      </c>
      <c r="O443" s="229" t="s">
        <v>20</v>
      </c>
      <c r="P443" s="229" t="s">
        <v>20</v>
      </c>
      <c r="Q443" s="229" t="s">
        <v>15</v>
      </c>
      <c r="R443" s="229" t="s">
        <v>15</v>
      </c>
      <c r="S443" s="229" t="s">
        <v>16</v>
      </c>
      <c r="T443" s="229" t="s">
        <v>375</v>
      </c>
      <c r="U443" s="229" t="s">
        <v>331</v>
      </c>
      <c r="V443" s="229" t="s">
        <v>328</v>
      </c>
      <c r="W443" s="230" t="s">
        <v>328</v>
      </c>
      <c r="X443" s="230" t="s">
        <v>328</v>
      </c>
      <c r="Y443" s="231" t="s">
        <v>328</v>
      </c>
    </row>
    <row r="444" spans="1:25">
      <c r="A444" s="223">
        <v>12</v>
      </c>
      <c r="B444" s="224" t="str">
        <f>VLOOKUP(Tabel10[[#This Row],[Locatiecode]],Ruimtegroepen[[#All],[Code]:[Ruimte omschrijving]],2,FALSE)</f>
        <v>Kantine</v>
      </c>
      <c r="C444" s="225" t="s">
        <v>835</v>
      </c>
      <c r="D444" s="224" t="s">
        <v>21</v>
      </c>
      <c r="E444" s="226" t="s">
        <v>120</v>
      </c>
      <c r="F444" s="225" t="s">
        <v>837</v>
      </c>
      <c r="G444" s="228" t="s">
        <v>328</v>
      </c>
      <c r="H444" s="228" t="s">
        <v>20</v>
      </c>
      <c r="I444" s="228" t="s">
        <v>328</v>
      </c>
      <c r="J444" s="228" t="s">
        <v>328</v>
      </c>
      <c r="K444" s="228" t="s">
        <v>328</v>
      </c>
      <c r="L444" s="228" t="s">
        <v>328</v>
      </c>
      <c r="M444" s="228" t="s">
        <v>328</v>
      </c>
      <c r="N444" s="228" t="s">
        <v>328</v>
      </c>
      <c r="O444" s="229" t="s">
        <v>20</v>
      </c>
      <c r="P444" s="229" t="s">
        <v>20</v>
      </c>
      <c r="Q444" s="229" t="s">
        <v>15</v>
      </c>
      <c r="R444" s="229" t="s">
        <v>15</v>
      </c>
      <c r="S444" s="229" t="s">
        <v>16</v>
      </c>
      <c r="T444" s="229" t="s">
        <v>375</v>
      </c>
      <c r="U444" s="229" t="s">
        <v>331</v>
      </c>
      <c r="V444" s="229" t="s">
        <v>328</v>
      </c>
      <c r="W444" s="230" t="s">
        <v>328</v>
      </c>
      <c r="X444" s="230" t="s">
        <v>328</v>
      </c>
      <c r="Y444" s="231" t="s">
        <v>328</v>
      </c>
    </row>
    <row r="445" spans="1:25">
      <c r="A445" s="223">
        <v>12</v>
      </c>
      <c r="B445" s="224" t="str">
        <f>VLOOKUP(Tabel10[[#This Row],[Locatiecode]],Ruimtegroepen[[#All],[Code]:[Ruimte omschrijving]],2,FALSE)</f>
        <v>Kantine</v>
      </c>
      <c r="C445" s="225" t="s">
        <v>835</v>
      </c>
      <c r="D445" s="224" t="s">
        <v>21</v>
      </c>
      <c r="E445" s="226" t="s">
        <v>122</v>
      </c>
      <c r="F445" s="225" t="s">
        <v>838</v>
      </c>
      <c r="G445" s="228" t="s">
        <v>328</v>
      </c>
      <c r="H445" s="228" t="s">
        <v>328</v>
      </c>
      <c r="I445" s="228" t="s">
        <v>20</v>
      </c>
      <c r="J445" s="227" t="s">
        <v>328</v>
      </c>
      <c r="K445" s="227" t="s">
        <v>20</v>
      </c>
      <c r="L445" s="228" t="s">
        <v>328</v>
      </c>
      <c r="M445" s="228" t="s">
        <v>328</v>
      </c>
      <c r="N445" s="228" t="s">
        <v>328</v>
      </c>
      <c r="O445" s="229" t="s">
        <v>20</v>
      </c>
      <c r="P445" s="229" t="s">
        <v>20</v>
      </c>
      <c r="Q445" s="229" t="s">
        <v>15</v>
      </c>
      <c r="R445" s="229" t="s">
        <v>15</v>
      </c>
      <c r="S445" s="229" t="s">
        <v>16</v>
      </c>
      <c r="T445" s="229" t="s">
        <v>375</v>
      </c>
      <c r="U445" s="229" t="s">
        <v>331</v>
      </c>
      <c r="V445" s="229" t="s">
        <v>328</v>
      </c>
      <c r="W445" s="230" t="s">
        <v>328</v>
      </c>
      <c r="X445" s="230" t="s">
        <v>328</v>
      </c>
      <c r="Y445" s="231" t="s">
        <v>328</v>
      </c>
    </row>
    <row r="446" spans="1:25">
      <c r="A446" s="223">
        <v>12</v>
      </c>
      <c r="B446" s="224" t="str">
        <f>VLOOKUP(Tabel10[[#This Row],[Locatiecode]],Ruimtegroepen[[#All],[Code]:[Ruimte omschrijving]],2,FALSE)</f>
        <v>Kantine</v>
      </c>
      <c r="C446" s="225" t="s">
        <v>835</v>
      </c>
      <c r="D446" s="224" t="s">
        <v>21</v>
      </c>
      <c r="E446" s="226" t="s">
        <v>123</v>
      </c>
      <c r="F446" s="225" t="s">
        <v>839</v>
      </c>
      <c r="G446" s="228" t="s">
        <v>328</v>
      </c>
      <c r="H446" s="228" t="s">
        <v>328</v>
      </c>
      <c r="I446" s="228" t="s">
        <v>20</v>
      </c>
      <c r="J446" s="227" t="s">
        <v>328</v>
      </c>
      <c r="K446" s="227" t="s">
        <v>20</v>
      </c>
      <c r="L446" s="228" t="s">
        <v>328</v>
      </c>
      <c r="M446" s="228" t="s">
        <v>328</v>
      </c>
      <c r="N446" s="228" t="s">
        <v>328</v>
      </c>
      <c r="O446" s="229" t="s">
        <v>20</v>
      </c>
      <c r="P446" s="229" t="s">
        <v>20</v>
      </c>
      <c r="Q446" s="229" t="s">
        <v>15</v>
      </c>
      <c r="R446" s="229" t="s">
        <v>15</v>
      </c>
      <c r="S446" s="229" t="s">
        <v>16</v>
      </c>
      <c r="T446" s="229" t="s">
        <v>375</v>
      </c>
      <c r="U446" s="229" t="s">
        <v>331</v>
      </c>
      <c r="V446" s="229" t="s">
        <v>328</v>
      </c>
      <c r="W446" s="230" t="s">
        <v>328</v>
      </c>
      <c r="X446" s="230" t="s">
        <v>328</v>
      </c>
      <c r="Y446" s="231" t="s">
        <v>328</v>
      </c>
    </row>
    <row r="447" spans="1:25">
      <c r="A447" s="223">
        <v>12</v>
      </c>
      <c r="B447" s="224" t="str">
        <f>VLOOKUP(Tabel10[[#This Row],[Locatiecode]],Ruimtegroepen[[#All],[Code]:[Ruimte omschrijving]],2,FALSE)</f>
        <v>Kantine</v>
      </c>
      <c r="C447" s="225" t="s">
        <v>840</v>
      </c>
      <c r="D447" s="224" t="s">
        <v>12</v>
      </c>
      <c r="E447" s="226" t="s">
        <v>121</v>
      </c>
      <c r="F447" s="225" t="s">
        <v>841</v>
      </c>
      <c r="G447" s="228" t="s">
        <v>328</v>
      </c>
      <c r="H447" s="228" t="s">
        <v>328</v>
      </c>
      <c r="I447" s="228" t="s">
        <v>18</v>
      </c>
      <c r="J447" s="227" t="s">
        <v>328</v>
      </c>
      <c r="K447" s="227" t="s">
        <v>18</v>
      </c>
      <c r="L447" s="228" t="s">
        <v>328</v>
      </c>
      <c r="M447" s="228" t="s">
        <v>328</v>
      </c>
      <c r="N447" s="228" t="s">
        <v>328</v>
      </c>
      <c r="O447" s="229" t="s">
        <v>18</v>
      </c>
      <c r="P447" s="229" t="s">
        <v>18</v>
      </c>
      <c r="Q447" s="229" t="s">
        <v>15</v>
      </c>
      <c r="R447" s="229" t="s">
        <v>15</v>
      </c>
      <c r="S447" s="229" t="s">
        <v>16</v>
      </c>
      <c r="T447" s="229" t="s">
        <v>375</v>
      </c>
      <c r="U447" s="229" t="s">
        <v>331</v>
      </c>
      <c r="V447" s="229" t="s">
        <v>328</v>
      </c>
      <c r="W447" s="230" t="s">
        <v>328</v>
      </c>
      <c r="X447" s="230" t="s">
        <v>328</v>
      </c>
      <c r="Y447" s="231" t="s">
        <v>328</v>
      </c>
    </row>
    <row r="448" spans="1:25">
      <c r="A448" s="223">
        <v>12</v>
      </c>
      <c r="B448" s="224" t="str">
        <f>VLOOKUP(Tabel10[[#This Row],[Locatiecode]],Ruimtegroepen[[#All],[Code]:[Ruimte omschrijving]],2,FALSE)</f>
        <v>Kantine</v>
      </c>
      <c r="C448" s="225" t="s">
        <v>840</v>
      </c>
      <c r="D448" s="224" t="s">
        <v>12</v>
      </c>
      <c r="E448" s="226" t="s">
        <v>120</v>
      </c>
      <c r="F448" s="225" t="s">
        <v>842</v>
      </c>
      <c r="G448" s="228" t="s">
        <v>328</v>
      </c>
      <c r="H448" s="228" t="s">
        <v>18</v>
      </c>
      <c r="I448" s="228" t="s">
        <v>328</v>
      </c>
      <c r="J448" s="228" t="s">
        <v>328</v>
      </c>
      <c r="K448" s="228" t="s">
        <v>328</v>
      </c>
      <c r="L448" s="228" t="s">
        <v>328</v>
      </c>
      <c r="M448" s="228" t="s">
        <v>328</v>
      </c>
      <c r="N448" s="228" t="s">
        <v>328</v>
      </c>
      <c r="O448" s="229" t="s">
        <v>18</v>
      </c>
      <c r="P448" s="229" t="s">
        <v>18</v>
      </c>
      <c r="Q448" s="229" t="s">
        <v>15</v>
      </c>
      <c r="R448" s="229" t="s">
        <v>15</v>
      </c>
      <c r="S448" s="229" t="s">
        <v>16</v>
      </c>
      <c r="T448" s="229" t="s">
        <v>375</v>
      </c>
      <c r="U448" s="229" t="s">
        <v>331</v>
      </c>
      <c r="V448" s="229" t="s">
        <v>328</v>
      </c>
      <c r="W448" s="230" t="s">
        <v>328</v>
      </c>
      <c r="X448" s="230" t="s">
        <v>328</v>
      </c>
      <c r="Y448" s="231" t="s">
        <v>328</v>
      </c>
    </row>
    <row r="449" spans="1:25">
      <c r="A449" s="223">
        <v>12</v>
      </c>
      <c r="B449" s="224" t="str">
        <f>VLOOKUP(Tabel10[[#This Row],[Locatiecode]],Ruimtegroepen[[#All],[Code]:[Ruimte omschrijving]],2,FALSE)</f>
        <v>Kantine</v>
      </c>
      <c r="C449" s="225" t="s">
        <v>840</v>
      </c>
      <c r="D449" s="224" t="s">
        <v>12</v>
      </c>
      <c r="E449" s="226" t="s">
        <v>122</v>
      </c>
      <c r="F449" s="225" t="s">
        <v>843</v>
      </c>
      <c r="G449" s="228" t="s">
        <v>328</v>
      </c>
      <c r="H449" s="228" t="s">
        <v>328</v>
      </c>
      <c r="I449" s="228" t="s">
        <v>18</v>
      </c>
      <c r="J449" s="227" t="s">
        <v>328</v>
      </c>
      <c r="K449" s="227" t="s">
        <v>18</v>
      </c>
      <c r="L449" s="228" t="s">
        <v>328</v>
      </c>
      <c r="M449" s="228" t="s">
        <v>328</v>
      </c>
      <c r="N449" s="228" t="s">
        <v>328</v>
      </c>
      <c r="O449" s="229" t="s">
        <v>18</v>
      </c>
      <c r="P449" s="229" t="s">
        <v>18</v>
      </c>
      <c r="Q449" s="229" t="s">
        <v>15</v>
      </c>
      <c r="R449" s="229" t="s">
        <v>15</v>
      </c>
      <c r="S449" s="229" t="s">
        <v>16</v>
      </c>
      <c r="T449" s="229" t="s">
        <v>375</v>
      </c>
      <c r="U449" s="229" t="s">
        <v>331</v>
      </c>
      <c r="V449" s="229" t="s">
        <v>328</v>
      </c>
      <c r="W449" s="230" t="s">
        <v>328</v>
      </c>
      <c r="X449" s="230" t="s">
        <v>328</v>
      </c>
      <c r="Y449" s="231" t="s">
        <v>328</v>
      </c>
    </row>
    <row r="450" spans="1:25">
      <c r="A450" s="223">
        <v>12</v>
      </c>
      <c r="B450" s="224" t="str">
        <f>VLOOKUP(Tabel10[[#This Row],[Locatiecode]],Ruimtegroepen[[#All],[Code]:[Ruimte omschrijving]],2,FALSE)</f>
        <v>Kantine</v>
      </c>
      <c r="C450" s="225" t="s">
        <v>840</v>
      </c>
      <c r="D450" s="224" t="s">
        <v>12</v>
      </c>
      <c r="E450" s="226" t="s">
        <v>123</v>
      </c>
      <c r="F450" s="225" t="s">
        <v>844</v>
      </c>
      <c r="G450" s="228" t="s">
        <v>328</v>
      </c>
      <c r="H450" s="228" t="s">
        <v>328</v>
      </c>
      <c r="I450" s="228" t="s">
        <v>18</v>
      </c>
      <c r="J450" s="227" t="s">
        <v>328</v>
      </c>
      <c r="K450" s="227" t="s">
        <v>18</v>
      </c>
      <c r="L450" s="228" t="s">
        <v>328</v>
      </c>
      <c r="M450" s="228" t="s">
        <v>328</v>
      </c>
      <c r="N450" s="228" t="s">
        <v>328</v>
      </c>
      <c r="O450" s="229" t="s">
        <v>18</v>
      </c>
      <c r="P450" s="229" t="s">
        <v>18</v>
      </c>
      <c r="Q450" s="229" t="s">
        <v>15</v>
      </c>
      <c r="R450" s="229" t="s">
        <v>15</v>
      </c>
      <c r="S450" s="229" t="s">
        <v>16</v>
      </c>
      <c r="T450" s="229" t="s">
        <v>375</v>
      </c>
      <c r="U450" s="229" t="s">
        <v>331</v>
      </c>
      <c r="V450" s="229" t="s">
        <v>328</v>
      </c>
      <c r="W450" s="230" t="s">
        <v>328</v>
      </c>
      <c r="X450" s="230" t="s">
        <v>328</v>
      </c>
      <c r="Y450" s="231" t="s">
        <v>328</v>
      </c>
    </row>
    <row r="451" spans="1:25">
      <c r="A451" s="223">
        <v>12</v>
      </c>
      <c r="B451" s="224" t="str">
        <f>VLOOKUP(Tabel10[[#This Row],[Locatiecode]],Ruimtegroepen[[#All],[Code]:[Ruimte omschrijving]],2,FALSE)</f>
        <v>Kantine</v>
      </c>
      <c r="C451" s="225" t="s">
        <v>845</v>
      </c>
      <c r="D451" s="224" t="s">
        <v>14</v>
      </c>
      <c r="E451" s="226" t="s">
        <v>121</v>
      </c>
      <c r="F451" s="225" t="s">
        <v>846</v>
      </c>
      <c r="G451" s="228" t="s">
        <v>328</v>
      </c>
      <c r="H451" s="228" t="s">
        <v>328</v>
      </c>
      <c r="I451" s="228" t="s">
        <v>17</v>
      </c>
      <c r="J451" s="227" t="s">
        <v>328</v>
      </c>
      <c r="K451" s="227" t="s">
        <v>17</v>
      </c>
      <c r="L451" s="228" t="s">
        <v>328</v>
      </c>
      <c r="M451" s="228" t="s">
        <v>328</v>
      </c>
      <c r="N451" s="228" t="s">
        <v>328</v>
      </c>
      <c r="O451" s="229" t="s">
        <v>17</v>
      </c>
      <c r="P451" s="229" t="s">
        <v>17</v>
      </c>
      <c r="Q451" s="229" t="s">
        <v>15</v>
      </c>
      <c r="R451" s="229" t="s">
        <v>15</v>
      </c>
      <c r="S451" s="229" t="s">
        <v>16</v>
      </c>
      <c r="T451" s="229" t="s">
        <v>375</v>
      </c>
      <c r="U451" s="229" t="s">
        <v>331</v>
      </c>
      <c r="V451" s="229" t="s">
        <v>328</v>
      </c>
      <c r="W451" s="230" t="s">
        <v>328</v>
      </c>
      <c r="X451" s="230" t="s">
        <v>328</v>
      </c>
      <c r="Y451" s="231" t="s">
        <v>328</v>
      </c>
    </row>
    <row r="452" spans="1:25">
      <c r="A452" s="223">
        <v>12</v>
      </c>
      <c r="B452" s="224" t="str">
        <f>VLOOKUP(Tabel10[[#This Row],[Locatiecode]],Ruimtegroepen[[#All],[Code]:[Ruimte omschrijving]],2,FALSE)</f>
        <v>Kantine</v>
      </c>
      <c r="C452" s="225" t="s">
        <v>845</v>
      </c>
      <c r="D452" s="224" t="s">
        <v>14</v>
      </c>
      <c r="E452" s="226" t="s">
        <v>120</v>
      </c>
      <c r="F452" s="225" t="s">
        <v>847</v>
      </c>
      <c r="G452" s="228" t="s">
        <v>328</v>
      </c>
      <c r="H452" s="228" t="s">
        <v>17</v>
      </c>
      <c r="I452" s="228" t="s">
        <v>328</v>
      </c>
      <c r="J452" s="228" t="s">
        <v>328</v>
      </c>
      <c r="K452" s="228" t="s">
        <v>328</v>
      </c>
      <c r="L452" s="228" t="s">
        <v>328</v>
      </c>
      <c r="M452" s="228" t="s">
        <v>328</v>
      </c>
      <c r="N452" s="228" t="s">
        <v>328</v>
      </c>
      <c r="O452" s="229" t="s">
        <v>17</v>
      </c>
      <c r="P452" s="229" t="s">
        <v>17</v>
      </c>
      <c r="Q452" s="229" t="s">
        <v>15</v>
      </c>
      <c r="R452" s="229" t="s">
        <v>15</v>
      </c>
      <c r="S452" s="229" t="s">
        <v>16</v>
      </c>
      <c r="T452" s="229" t="s">
        <v>375</v>
      </c>
      <c r="U452" s="229" t="s">
        <v>331</v>
      </c>
      <c r="V452" s="229" t="s">
        <v>328</v>
      </c>
      <c r="W452" s="230" t="s">
        <v>328</v>
      </c>
      <c r="X452" s="230" t="s">
        <v>328</v>
      </c>
      <c r="Y452" s="231" t="s">
        <v>328</v>
      </c>
    </row>
    <row r="453" spans="1:25">
      <c r="A453" s="223">
        <v>12</v>
      </c>
      <c r="B453" s="224" t="str">
        <f>VLOOKUP(Tabel10[[#This Row],[Locatiecode]],Ruimtegroepen[[#All],[Code]:[Ruimte omschrijving]],2,FALSE)</f>
        <v>Kantine</v>
      </c>
      <c r="C453" s="225" t="s">
        <v>845</v>
      </c>
      <c r="D453" s="224" t="s">
        <v>14</v>
      </c>
      <c r="E453" s="226" t="s">
        <v>122</v>
      </c>
      <c r="F453" s="225" t="s">
        <v>848</v>
      </c>
      <c r="G453" s="228" t="s">
        <v>328</v>
      </c>
      <c r="H453" s="228" t="s">
        <v>328</v>
      </c>
      <c r="I453" s="228" t="s">
        <v>17</v>
      </c>
      <c r="J453" s="227" t="s">
        <v>328</v>
      </c>
      <c r="K453" s="227" t="s">
        <v>17</v>
      </c>
      <c r="L453" s="228" t="s">
        <v>328</v>
      </c>
      <c r="M453" s="228" t="s">
        <v>328</v>
      </c>
      <c r="N453" s="228" t="s">
        <v>328</v>
      </c>
      <c r="O453" s="229" t="s">
        <v>17</v>
      </c>
      <c r="P453" s="229" t="s">
        <v>17</v>
      </c>
      <c r="Q453" s="229" t="s">
        <v>15</v>
      </c>
      <c r="R453" s="229" t="s">
        <v>15</v>
      </c>
      <c r="S453" s="229" t="s">
        <v>16</v>
      </c>
      <c r="T453" s="229" t="s">
        <v>375</v>
      </c>
      <c r="U453" s="229" t="s">
        <v>331</v>
      </c>
      <c r="V453" s="229" t="s">
        <v>328</v>
      </c>
      <c r="W453" s="230" t="s">
        <v>328</v>
      </c>
      <c r="X453" s="230" t="s">
        <v>328</v>
      </c>
      <c r="Y453" s="231" t="s">
        <v>328</v>
      </c>
    </row>
    <row r="454" spans="1:25">
      <c r="A454" s="223">
        <v>12</v>
      </c>
      <c r="B454" s="224" t="str">
        <f>VLOOKUP(Tabel10[[#This Row],[Locatiecode]],Ruimtegroepen[[#All],[Code]:[Ruimte omschrijving]],2,FALSE)</f>
        <v>Kantine</v>
      </c>
      <c r="C454" s="225" t="s">
        <v>845</v>
      </c>
      <c r="D454" s="224" t="s">
        <v>14</v>
      </c>
      <c r="E454" s="226" t="s">
        <v>123</v>
      </c>
      <c r="F454" s="225" t="s">
        <v>849</v>
      </c>
      <c r="G454" s="228" t="s">
        <v>328</v>
      </c>
      <c r="H454" s="228" t="s">
        <v>328</v>
      </c>
      <c r="I454" s="228" t="s">
        <v>17</v>
      </c>
      <c r="J454" s="227" t="s">
        <v>328</v>
      </c>
      <c r="K454" s="227" t="s">
        <v>17</v>
      </c>
      <c r="L454" s="228" t="s">
        <v>328</v>
      </c>
      <c r="M454" s="228" t="s">
        <v>328</v>
      </c>
      <c r="N454" s="228" t="s">
        <v>328</v>
      </c>
      <c r="O454" s="229" t="s">
        <v>17</v>
      </c>
      <c r="P454" s="229" t="s">
        <v>17</v>
      </c>
      <c r="Q454" s="229" t="s">
        <v>15</v>
      </c>
      <c r="R454" s="229" t="s">
        <v>15</v>
      </c>
      <c r="S454" s="229" t="s">
        <v>16</v>
      </c>
      <c r="T454" s="229" t="s">
        <v>375</v>
      </c>
      <c r="U454" s="229" t="s">
        <v>331</v>
      </c>
      <c r="V454" s="229" t="s">
        <v>328</v>
      </c>
      <c r="W454" s="230" t="s">
        <v>328</v>
      </c>
      <c r="X454" s="230" t="s">
        <v>328</v>
      </c>
      <c r="Y454" s="231" t="s">
        <v>328</v>
      </c>
    </row>
    <row r="455" spans="1:25">
      <c r="A455" s="223">
        <v>12</v>
      </c>
      <c r="B455" s="224" t="str">
        <f>VLOOKUP(Tabel10[[#This Row],[Locatiecode]],Ruimtegroepen[[#All],[Code]:[Ruimte omschrijving]],2,FALSE)</f>
        <v>Kantine</v>
      </c>
      <c r="C455" s="225" t="s">
        <v>850</v>
      </c>
      <c r="D455" s="224" t="s">
        <v>13</v>
      </c>
      <c r="E455" s="226" t="s">
        <v>121</v>
      </c>
      <c r="F455" s="225" t="s">
        <v>851</v>
      </c>
      <c r="G455" s="228" t="s">
        <v>328</v>
      </c>
      <c r="H455" s="228" t="s">
        <v>328</v>
      </c>
      <c r="I455" s="228" t="s">
        <v>15</v>
      </c>
      <c r="J455" s="228" t="s">
        <v>328</v>
      </c>
      <c r="K455" s="228" t="s">
        <v>15</v>
      </c>
      <c r="L455" s="228" t="s">
        <v>328</v>
      </c>
      <c r="M455" s="228" t="s">
        <v>328</v>
      </c>
      <c r="N455" s="228" t="s">
        <v>328</v>
      </c>
      <c r="O455" s="229" t="s">
        <v>15</v>
      </c>
      <c r="P455" s="229" t="s">
        <v>15</v>
      </c>
      <c r="Q455" s="229" t="s">
        <v>15</v>
      </c>
      <c r="R455" s="229" t="s">
        <v>15</v>
      </c>
      <c r="S455" s="229" t="s">
        <v>16</v>
      </c>
      <c r="T455" s="229" t="s">
        <v>375</v>
      </c>
      <c r="U455" s="229" t="s">
        <v>331</v>
      </c>
      <c r="V455" s="229" t="s">
        <v>328</v>
      </c>
      <c r="W455" s="230" t="s">
        <v>328</v>
      </c>
      <c r="X455" s="230" t="s">
        <v>328</v>
      </c>
      <c r="Y455" s="231" t="s">
        <v>328</v>
      </c>
    </row>
    <row r="456" spans="1:25">
      <c r="A456" s="223">
        <v>12</v>
      </c>
      <c r="B456" s="224" t="str">
        <f>VLOOKUP(Tabel10[[#This Row],[Locatiecode]],Ruimtegroepen[[#All],[Code]:[Ruimte omschrijving]],2,FALSE)</f>
        <v>Kantine</v>
      </c>
      <c r="C456" s="225" t="s">
        <v>850</v>
      </c>
      <c r="D456" s="224" t="s">
        <v>13</v>
      </c>
      <c r="E456" s="226" t="s">
        <v>120</v>
      </c>
      <c r="F456" s="225" t="s">
        <v>852</v>
      </c>
      <c r="G456" s="228" t="s">
        <v>407</v>
      </c>
      <c r="H456" s="228" t="s">
        <v>15</v>
      </c>
      <c r="I456" s="228" t="s">
        <v>328</v>
      </c>
      <c r="J456" s="228" t="s">
        <v>328</v>
      </c>
      <c r="K456" s="228" t="s">
        <v>328</v>
      </c>
      <c r="L456" s="228" t="s">
        <v>328</v>
      </c>
      <c r="M456" s="228" t="s">
        <v>328</v>
      </c>
      <c r="N456" s="228" t="s">
        <v>328</v>
      </c>
      <c r="O456" s="229" t="s">
        <v>15</v>
      </c>
      <c r="P456" s="229" t="s">
        <v>15</v>
      </c>
      <c r="Q456" s="229" t="s">
        <v>15</v>
      </c>
      <c r="R456" s="229" t="s">
        <v>15</v>
      </c>
      <c r="S456" s="229" t="s">
        <v>16</v>
      </c>
      <c r="T456" s="229" t="s">
        <v>375</v>
      </c>
      <c r="U456" s="229" t="s">
        <v>331</v>
      </c>
      <c r="V456" s="229" t="s">
        <v>328</v>
      </c>
      <c r="W456" s="230" t="s">
        <v>328</v>
      </c>
      <c r="X456" s="230" t="s">
        <v>328</v>
      </c>
      <c r="Y456" s="231" t="s">
        <v>328</v>
      </c>
    </row>
    <row r="457" spans="1:25">
      <c r="A457" s="223">
        <v>12</v>
      </c>
      <c r="B457" s="224" t="str">
        <f>VLOOKUP(Tabel10[[#This Row],[Locatiecode]],Ruimtegroepen[[#All],[Code]:[Ruimte omschrijving]],2,FALSE)</f>
        <v>Kantine</v>
      </c>
      <c r="C457" s="225" t="s">
        <v>850</v>
      </c>
      <c r="D457" s="224" t="s">
        <v>13</v>
      </c>
      <c r="E457" s="226" t="s">
        <v>122</v>
      </c>
      <c r="F457" s="225" t="s">
        <v>853</v>
      </c>
      <c r="G457" s="228" t="s">
        <v>328</v>
      </c>
      <c r="H457" s="228" t="s">
        <v>328</v>
      </c>
      <c r="I457" s="228" t="s">
        <v>15</v>
      </c>
      <c r="J457" s="228" t="s">
        <v>328</v>
      </c>
      <c r="K457" s="228" t="s">
        <v>15</v>
      </c>
      <c r="L457" s="228" t="s">
        <v>328</v>
      </c>
      <c r="M457" s="228" t="s">
        <v>328</v>
      </c>
      <c r="N457" s="228" t="s">
        <v>328</v>
      </c>
      <c r="O457" s="229" t="s">
        <v>15</v>
      </c>
      <c r="P457" s="229" t="s">
        <v>15</v>
      </c>
      <c r="Q457" s="229" t="s">
        <v>15</v>
      </c>
      <c r="R457" s="229" t="s">
        <v>15</v>
      </c>
      <c r="S457" s="229" t="s">
        <v>16</v>
      </c>
      <c r="T457" s="229" t="s">
        <v>375</v>
      </c>
      <c r="U457" s="229" t="s">
        <v>331</v>
      </c>
      <c r="V457" s="229" t="s">
        <v>328</v>
      </c>
      <c r="W457" s="230" t="s">
        <v>328</v>
      </c>
      <c r="X457" s="230" t="s">
        <v>328</v>
      </c>
      <c r="Y457" s="231" t="s">
        <v>328</v>
      </c>
    </row>
    <row r="458" spans="1:25">
      <c r="A458" s="223">
        <v>12</v>
      </c>
      <c r="B458" s="224" t="str">
        <f>VLOOKUP(Tabel10[[#This Row],[Locatiecode]],Ruimtegroepen[[#All],[Code]:[Ruimte omschrijving]],2,FALSE)</f>
        <v>Kantine</v>
      </c>
      <c r="C458" s="225" t="s">
        <v>850</v>
      </c>
      <c r="D458" s="224" t="s">
        <v>13</v>
      </c>
      <c r="E458" s="226" t="s">
        <v>123</v>
      </c>
      <c r="F458" s="225" t="s">
        <v>854</v>
      </c>
      <c r="G458" s="228" t="s">
        <v>328</v>
      </c>
      <c r="H458" s="228" t="s">
        <v>328</v>
      </c>
      <c r="I458" s="228" t="s">
        <v>15</v>
      </c>
      <c r="J458" s="228" t="s">
        <v>328</v>
      </c>
      <c r="K458" s="228" t="s">
        <v>15</v>
      </c>
      <c r="L458" s="228" t="s">
        <v>328</v>
      </c>
      <c r="M458" s="228" t="s">
        <v>328</v>
      </c>
      <c r="N458" s="228" t="s">
        <v>328</v>
      </c>
      <c r="O458" s="229" t="s">
        <v>15</v>
      </c>
      <c r="P458" s="229" t="s">
        <v>15</v>
      </c>
      <c r="Q458" s="229" t="s">
        <v>15</v>
      </c>
      <c r="R458" s="229" t="s">
        <v>15</v>
      </c>
      <c r="S458" s="229" t="s">
        <v>16</v>
      </c>
      <c r="T458" s="229" t="s">
        <v>375</v>
      </c>
      <c r="U458" s="229" t="s">
        <v>331</v>
      </c>
      <c r="V458" s="229" t="s">
        <v>328</v>
      </c>
      <c r="W458" s="230" t="s">
        <v>328</v>
      </c>
      <c r="X458" s="230" t="s">
        <v>328</v>
      </c>
      <c r="Y458" s="231" t="s">
        <v>328</v>
      </c>
    </row>
    <row r="459" spans="1:25">
      <c r="A459" s="223">
        <v>12</v>
      </c>
      <c r="B459" s="224" t="str">
        <f>VLOOKUP(Tabel10[[#This Row],[Locatiecode]],Ruimtegroepen[[#All],[Code]:[Ruimte omschrijving]],2,FALSE)</f>
        <v>Kantine</v>
      </c>
      <c r="C459" s="225" t="s">
        <v>855</v>
      </c>
      <c r="D459" s="224" t="s">
        <v>0</v>
      </c>
      <c r="E459" s="226" t="s">
        <v>121</v>
      </c>
      <c r="F459" s="225" t="s">
        <v>856</v>
      </c>
      <c r="G459" s="228" t="s">
        <v>328</v>
      </c>
      <c r="H459" s="228" t="s">
        <v>328</v>
      </c>
      <c r="I459" s="228" t="s">
        <v>16</v>
      </c>
      <c r="J459" s="228" t="s">
        <v>328</v>
      </c>
      <c r="K459" s="228" t="s">
        <v>16</v>
      </c>
      <c r="L459" s="228" t="s">
        <v>328</v>
      </c>
      <c r="M459" s="228" t="s">
        <v>328</v>
      </c>
      <c r="N459" s="228" t="s">
        <v>328</v>
      </c>
      <c r="O459" s="229" t="s">
        <v>16</v>
      </c>
      <c r="P459" s="229" t="s">
        <v>16</v>
      </c>
      <c r="Q459" s="229" t="s">
        <v>16</v>
      </c>
      <c r="R459" s="229" t="s">
        <v>16</v>
      </c>
      <c r="S459" s="229" t="s">
        <v>16</v>
      </c>
      <c r="T459" s="229" t="s">
        <v>375</v>
      </c>
      <c r="U459" s="229" t="s">
        <v>331</v>
      </c>
      <c r="V459" s="229" t="s">
        <v>328</v>
      </c>
      <c r="W459" s="230" t="s">
        <v>328</v>
      </c>
      <c r="X459" s="230" t="s">
        <v>328</v>
      </c>
      <c r="Y459" s="231" t="s">
        <v>328</v>
      </c>
    </row>
    <row r="460" spans="1:25">
      <c r="A460" s="223">
        <v>12</v>
      </c>
      <c r="B460" s="224" t="str">
        <f>VLOOKUP(Tabel10[[#This Row],[Locatiecode]],Ruimtegroepen[[#All],[Code]:[Ruimte omschrijving]],2,FALSE)</f>
        <v>Kantine</v>
      </c>
      <c r="C460" s="225" t="s">
        <v>855</v>
      </c>
      <c r="D460" s="224" t="s">
        <v>0</v>
      </c>
      <c r="E460" s="226" t="s">
        <v>120</v>
      </c>
      <c r="F460" s="225" t="s">
        <v>857</v>
      </c>
      <c r="G460" s="228" t="s">
        <v>407</v>
      </c>
      <c r="H460" s="228" t="s">
        <v>16</v>
      </c>
      <c r="I460" s="228" t="s">
        <v>328</v>
      </c>
      <c r="J460" s="228" t="s">
        <v>328</v>
      </c>
      <c r="K460" s="228" t="s">
        <v>328</v>
      </c>
      <c r="L460" s="228" t="s">
        <v>328</v>
      </c>
      <c r="M460" s="228" t="s">
        <v>328</v>
      </c>
      <c r="N460" s="228" t="s">
        <v>328</v>
      </c>
      <c r="O460" s="229" t="s">
        <v>16</v>
      </c>
      <c r="P460" s="229" t="s">
        <v>16</v>
      </c>
      <c r="Q460" s="229" t="s">
        <v>16</v>
      </c>
      <c r="R460" s="229" t="s">
        <v>16</v>
      </c>
      <c r="S460" s="229" t="s">
        <v>16</v>
      </c>
      <c r="T460" s="229" t="s">
        <v>375</v>
      </c>
      <c r="U460" s="229" t="s">
        <v>331</v>
      </c>
      <c r="V460" s="229" t="s">
        <v>328</v>
      </c>
      <c r="W460" s="230" t="s">
        <v>328</v>
      </c>
      <c r="X460" s="230" t="s">
        <v>328</v>
      </c>
      <c r="Y460" s="231" t="s">
        <v>328</v>
      </c>
    </row>
    <row r="461" spans="1:25">
      <c r="A461" s="223">
        <v>12</v>
      </c>
      <c r="B461" s="224" t="str">
        <f>VLOOKUP(Tabel10[[#This Row],[Locatiecode]],Ruimtegroepen[[#All],[Code]:[Ruimte omschrijving]],2,FALSE)</f>
        <v>Kantine</v>
      </c>
      <c r="C461" s="225" t="s">
        <v>855</v>
      </c>
      <c r="D461" s="224" t="s">
        <v>0</v>
      </c>
      <c r="E461" s="226" t="s">
        <v>122</v>
      </c>
      <c r="F461" s="225" t="s">
        <v>858</v>
      </c>
      <c r="G461" s="228" t="s">
        <v>328</v>
      </c>
      <c r="H461" s="228" t="s">
        <v>328</v>
      </c>
      <c r="I461" s="228" t="s">
        <v>16</v>
      </c>
      <c r="J461" s="228" t="s">
        <v>407</v>
      </c>
      <c r="K461" s="228" t="s">
        <v>16</v>
      </c>
      <c r="L461" s="228" t="s">
        <v>328</v>
      </c>
      <c r="M461" s="228" t="s">
        <v>328</v>
      </c>
      <c r="N461" s="228" t="s">
        <v>328</v>
      </c>
      <c r="O461" s="229" t="s">
        <v>16</v>
      </c>
      <c r="P461" s="229" t="s">
        <v>16</v>
      </c>
      <c r="Q461" s="229" t="s">
        <v>16</v>
      </c>
      <c r="R461" s="229" t="s">
        <v>16</v>
      </c>
      <c r="S461" s="229" t="s">
        <v>16</v>
      </c>
      <c r="T461" s="229" t="s">
        <v>375</v>
      </c>
      <c r="U461" s="229" t="s">
        <v>331</v>
      </c>
      <c r="V461" s="229" t="s">
        <v>328</v>
      </c>
      <c r="W461" s="230" t="s">
        <v>328</v>
      </c>
      <c r="X461" s="230" t="s">
        <v>328</v>
      </c>
      <c r="Y461" s="231" t="s">
        <v>328</v>
      </c>
    </row>
    <row r="462" spans="1:25">
      <c r="A462" s="223">
        <v>12</v>
      </c>
      <c r="B462" s="224" t="str">
        <f>VLOOKUP(Tabel10[[#This Row],[Locatiecode]],Ruimtegroepen[[#All],[Code]:[Ruimte omschrijving]],2,FALSE)</f>
        <v>Kantine</v>
      </c>
      <c r="C462" s="225" t="s">
        <v>855</v>
      </c>
      <c r="D462" s="224" t="s">
        <v>0</v>
      </c>
      <c r="E462" s="226" t="s">
        <v>123</v>
      </c>
      <c r="F462" s="225" t="s">
        <v>859</v>
      </c>
      <c r="G462" s="228" t="s">
        <v>328</v>
      </c>
      <c r="H462" s="228" t="s">
        <v>328</v>
      </c>
      <c r="I462" s="228" t="s">
        <v>16</v>
      </c>
      <c r="J462" s="228" t="s">
        <v>328</v>
      </c>
      <c r="K462" s="228" t="s">
        <v>16</v>
      </c>
      <c r="L462" s="228" t="s">
        <v>328</v>
      </c>
      <c r="M462" s="228" t="s">
        <v>328</v>
      </c>
      <c r="N462" s="228" t="s">
        <v>328</v>
      </c>
      <c r="O462" s="229" t="s">
        <v>16</v>
      </c>
      <c r="P462" s="229" t="s">
        <v>16</v>
      </c>
      <c r="Q462" s="229" t="s">
        <v>16</v>
      </c>
      <c r="R462" s="229" t="s">
        <v>16</v>
      </c>
      <c r="S462" s="229" t="s">
        <v>16</v>
      </c>
      <c r="T462" s="229" t="s">
        <v>375</v>
      </c>
      <c r="U462" s="229" t="s">
        <v>331</v>
      </c>
      <c r="V462" s="229" t="s">
        <v>328</v>
      </c>
      <c r="W462" s="230" t="s">
        <v>328</v>
      </c>
      <c r="X462" s="230" t="s">
        <v>328</v>
      </c>
      <c r="Y462" s="231" t="s">
        <v>328</v>
      </c>
    </row>
    <row r="463" spans="1:25">
      <c r="A463" s="223">
        <v>12</v>
      </c>
      <c r="B463" s="224" t="str">
        <f>VLOOKUP(Tabel10[[#This Row],[Locatiecode]],Ruimtegroepen[[#All],[Code]:[Ruimte omschrijving]],2,FALSE)</f>
        <v>Kantine</v>
      </c>
      <c r="C463" s="225" t="s">
        <v>860</v>
      </c>
      <c r="D463" s="224" t="s">
        <v>30</v>
      </c>
      <c r="E463" s="226" t="s">
        <v>121</v>
      </c>
      <c r="F463" s="225" t="s">
        <v>861</v>
      </c>
      <c r="G463" s="228" t="s">
        <v>328</v>
      </c>
      <c r="H463" s="228" t="s">
        <v>328</v>
      </c>
      <c r="I463" s="228" t="s">
        <v>15</v>
      </c>
      <c r="J463" s="228" t="s">
        <v>328</v>
      </c>
      <c r="K463" s="228" t="s">
        <v>15</v>
      </c>
      <c r="L463" s="228" t="s">
        <v>328</v>
      </c>
      <c r="M463" s="228" t="s">
        <v>328</v>
      </c>
      <c r="N463" s="228" t="s">
        <v>328</v>
      </c>
      <c r="O463" s="229" t="s">
        <v>15</v>
      </c>
      <c r="P463" s="229" t="s">
        <v>15</v>
      </c>
      <c r="Q463" s="229" t="s">
        <v>15</v>
      </c>
      <c r="R463" s="229" t="s">
        <v>15</v>
      </c>
      <c r="S463" s="229" t="s">
        <v>328</v>
      </c>
      <c r="T463" s="229" t="s">
        <v>328</v>
      </c>
      <c r="U463" s="229" t="s">
        <v>328</v>
      </c>
      <c r="V463" s="229" t="s">
        <v>328</v>
      </c>
      <c r="W463" s="230" t="s">
        <v>328</v>
      </c>
      <c r="X463" s="230" t="s">
        <v>328</v>
      </c>
      <c r="Y463" s="231" t="s">
        <v>328</v>
      </c>
    </row>
    <row r="464" spans="1:25">
      <c r="A464" s="223">
        <v>12</v>
      </c>
      <c r="B464" s="224" t="str">
        <f>VLOOKUP(Tabel10[[#This Row],[Locatiecode]],Ruimtegroepen[[#All],[Code]:[Ruimte omschrijving]],2,FALSE)</f>
        <v>Kantine</v>
      </c>
      <c r="C464" s="225" t="s">
        <v>860</v>
      </c>
      <c r="D464" s="224" t="s">
        <v>30</v>
      </c>
      <c r="E464" s="226" t="s">
        <v>120</v>
      </c>
      <c r="F464" s="225" t="s">
        <v>862</v>
      </c>
      <c r="G464" s="228" t="s">
        <v>407</v>
      </c>
      <c r="H464" s="228" t="s">
        <v>15</v>
      </c>
      <c r="I464" s="228" t="s">
        <v>328</v>
      </c>
      <c r="J464" s="228" t="s">
        <v>328</v>
      </c>
      <c r="K464" s="228" t="s">
        <v>328</v>
      </c>
      <c r="L464" s="228" t="s">
        <v>328</v>
      </c>
      <c r="M464" s="228" t="s">
        <v>328</v>
      </c>
      <c r="N464" s="228" t="s">
        <v>328</v>
      </c>
      <c r="O464" s="229" t="s">
        <v>15</v>
      </c>
      <c r="P464" s="229" t="s">
        <v>15</v>
      </c>
      <c r="Q464" s="229" t="s">
        <v>15</v>
      </c>
      <c r="R464" s="229" t="s">
        <v>15</v>
      </c>
      <c r="S464" s="229" t="s">
        <v>328</v>
      </c>
      <c r="T464" s="229" t="s">
        <v>328</v>
      </c>
      <c r="U464" s="229" t="s">
        <v>328</v>
      </c>
      <c r="V464" s="229" t="s">
        <v>328</v>
      </c>
      <c r="W464" s="230" t="s">
        <v>328</v>
      </c>
      <c r="X464" s="230" t="s">
        <v>328</v>
      </c>
      <c r="Y464" s="231" t="s">
        <v>328</v>
      </c>
    </row>
    <row r="465" spans="1:25">
      <c r="A465" s="223">
        <v>12</v>
      </c>
      <c r="B465" s="224" t="str">
        <f>VLOOKUP(Tabel10[[#This Row],[Locatiecode]],Ruimtegroepen[[#All],[Code]:[Ruimte omschrijving]],2,FALSE)</f>
        <v>Kantine</v>
      </c>
      <c r="C465" s="225" t="s">
        <v>860</v>
      </c>
      <c r="D465" s="224" t="s">
        <v>30</v>
      </c>
      <c r="E465" s="226" t="s">
        <v>122</v>
      </c>
      <c r="F465" s="225" t="s">
        <v>863</v>
      </c>
      <c r="G465" s="228" t="s">
        <v>328</v>
      </c>
      <c r="H465" s="228" t="s">
        <v>328</v>
      </c>
      <c r="I465" s="228" t="s">
        <v>15</v>
      </c>
      <c r="J465" s="228" t="s">
        <v>328</v>
      </c>
      <c r="K465" s="228" t="s">
        <v>15</v>
      </c>
      <c r="L465" s="228" t="s">
        <v>328</v>
      </c>
      <c r="M465" s="228" t="s">
        <v>328</v>
      </c>
      <c r="N465" s="228" t="s">
        <v>328</v>
      </c>
      <c r="O465" s="229" t="s">
        <v>15</v>
      </c>
      <c r="P465" s="229" t="s">
        <v>15</v>
      </c>
      <c r="Q465" s="229" t="s">
        <v>15</v>
      </c>
      <c r="R465" s="229" t="s">
        <v>15</v>
      </c>
      <c r="S465" s="229" t="s">
        <v>328</v>
      </c>
      <c r="T465" s="229" t="s">
        <v>328</v>
      </c>
      <c r="U465" s="229" t="s">
        <v>328</v>
      </c>
      <c r="V465" s="229" t="s">
        <v>328</v>
      </c>
      <c r="W465" s="230" t="s">
        <v>328</v>
      </c>
      <c r="X465" s="230" t="s">
        <v>328</v>
      </c>
      <c r="Y465" s="231" t="s">
        <v>328</v>
      </c>
    </row>
    <row r="466" spans="1:25">
      <c r="A466" s="223">
        <v>12</v>
      </c>
      <c r="B466" s="224" t="str">
        <f>VLOOKUP(Tabel10[[#This Row],[Locatiecode]],Ruimtegroepen[[#All],[Code]:[Ruimte omschrijving]],2,FALSE)</f>
        <v>Kantine</v>
      </c>
      <c r="C466" s="225" t="s">
        <v>860</v>
      </c>
      <c r="D466" s="224" t="s">
        <v>30</v>
      </c>
      <c r="E466" s="226" t="s">
        <v>123</v>
      </c>
      <c r="F466" s="225" t="s">
        <v>864</v>
      </c>
      <c r="G466" s="228" t="s">
        <v>328</v>
      </c>
      <c r="H466" s="228" t="s">
        <v>328</v>
      </c>
      <c r="I466" s="228" t="s">
        <v>15</v>
      </c>
      <c r="J466" s="228" t="s">
        <v>328</v>
      </c>
      <c r="K466" s="228" t="s">
        <v>15</v>
      </c>
      <c r="L466" s="228" t="s">
        <v>328</v>
      </c>
      <c r="M466" s="228" t="s">
        <v>328</v>
      </c>
      <c r="N466" s="228" t="s">
        <v>328</v>
      </c>
      <c r="O466" s="229" t="s">
        <v>15</v>
      </c>
      <c r="P466" s="229" t="s">
        <v>15</v>
      </c>
      <c r="Q466" s="229" t="s">
        <v>15</v>
      </c>
      <c r="R466" s="229" t="s">
        <v>15</v>
      </c>
      <c r="S466" s="229" t="s">
        <v>328</v>
      </c>
      <c r="T466" s="229" t="s">
        <v>328</v>
      </c>
      <c r="U466" s="229" t="s">
        <v>328</v>
      </c>
      <c r="V466" s="229" t="s">
        <v>328</v>
      </c>
      <c r="W466" s="230" t="s">
        <v>328</v>
      </c>
      <c r="X466" s="230" t="s">
        <v>328</v>
      </c>
      <c r="Y466" s="231" t="s">
        <v>328</v>
      </c>
    </row>
    <row r="467" spans="1:25">
      <c r="A467" s="223">
        <v>12</v>
      </c>
      <c r="B467" s="224" t="str">
        <f>VLOOKUP(Tabel10[[#This Row],[Locatiecode]],Ruimtegroepen[[#All],[Code]:[Ruimte omschrijving]],2,FALSE)</f>
        <v>Kantine</v>
      </c>
      <c r="C467" s="225" t="s">
        <v>865</v>
      </c>
      <c r="D467" s="224" t="s">
        <v>31</v>
      </c>
      <c r="E467" s="226" t="s">
        <v>121</v>
      </c>
      <c r="F467" s="225" t="s">
        <v>866</v>
      </c>
      <c r="G467" s="228" t="s">
        <v>328</v>
      </c>
      <c r="H467" s="228" t="s">
        <v>328</v>
      </c>
      <c r="I467" s="228" t="s">
        <v>17</v>
      </c>
      <c r="J467" s="227" t="s">
        <v>328</v>
      </c>
      <c r="K467" s="227" t="s">
        <v>17</v>
      </c>
      <c r="L467" s="228" t="s">
        <v>328</v>
      </c>
      <c r="M467" s="228" t="s">
        <v>328</v>
      </c>
      <c r="N467" s="228" t="s">
        <v>328</v>
      </c>
      <c r="O467" s="229" t="s">
        <v>17</v>
      </c>
      <c r="P467" s="229" t="s">
        <v>17</v>
      </c>
      <c r="Q467" s="229" t="s">
        <v>15</v>
      </c>
      <c r="R467" s="229" t="s">
        <v>15</v>
      </c>
      <c r="S467" s="229" t="s">
        <v>328</v>
      </c>
      <c r="T467" s="229" t="s">
        <v>328</v>
      </c>
      <c r="U467" s="229" t="s">
        <v>328</v>
      </c>
      <c r="V467" s="229" t="s">
        <v>328</v>
      </c>
      <c r="W467" s="230" t="s">
        <v>328</v>
      </c>
      <c r="X467" s="230" t="s">
        <v>328</v>
      </c>
      <c r="Y467" s="231" t="s">
        <v>328</v>
      </c>
    </row>
    <row r="468" spans="1:25">
      <c r="A468" s="223">
        <v>12</v>
      </c>
      <c r="B468" s="224" t="str">
        <f>VLOOKUP(Tabel10[[#This Row],[Locatiecode]],Ruimtegroepen[[#All],[Code]:[Ruimte omschrijving]],2,FALSE)</f>
        <v>Kantine</v>
      </c>
      <c r="C468" s="225" t="s">
        <v>865</v>
      </c>
      <c r="D468" s="224" t="s">
        <v>31</v>
      </c>
      <c r="E468" s="226" t="s">
        <v>120</v>
      </c>
      <c r="F468" s="225" t="s">
        <v>867</v>
      </c>
      <c r="G468" s="228" t="s">
        <v>328</v>
      </c>
      <c r="H468" s="228" t="s">
        <v>17</v>
      </c>
      <c r="I468" s="228" t="s">
        <v>328</v>
      </c>
      <c r="J468" s="228" t="s">
        <v>328</v>
      </c>
      <c r="K468" s="228" t="s">
        <v>328</v>
      </c>
      <c r="L468" s="228" t="s">
        <v>328</v>
      </c>
      <c r="M468" s="228" t="s">
        <v>328</v>
      </c>
      <c r="N468" s="228" t="s">
        <v>328</v>
      </c>
      <c r="O468" s="229" t="s">
        <v>17</v>
      </c>
      <c r="P468" s="229" t="s">
        <v>17</v>
      </c>
      <c r="Q468" s="229" t="s">
        <v>15</v>
      </c>
      <c r="R468" s="229" t="s">
        <v>15</v>
      </c>
      <c r="S468" s="229" t="s">
        <v>328</v>
      </c>
      <c r="T468" s="229" t="s">
        <v>328</v>
      </c>
      <c r="U468" s="229" t="s">
        <v>328</v>
      </c>
      <c r="V468" s="229" t="s">
        <v>328</v>
      </c>
      <c r="W468" s="230" t="s">
        <v>328</v>
      </c>
      <c r="X468" s="230" t="s">
        <v>328</v>
      </c>
      <c r="Y468" s="231" t="s">
        <v>328</v>
      </c>
    </row>
    <row r="469" spans="1:25">
      <c r="A469" s="223">
        <v>12</v>
      </c>
      <c r="B469" s="224" t="str">
        <f>VLOOKUP(Tabel10[[#This Row],[Locatiecode]],Ruimtegroepen[[#All],[Code]:[Ruimte omschrijving]],2,FALSE)</f>
        <v>Kantine</v>
      </c>
      <c r="C469" s="225" t="s">
        <v>865</v>
      </c>
      <c r="D469" s="224" t="s">
        <v>31</v>
      </c>
      <c r="E469" s="226" t="s">
        <v>122</v>
      </c>
      <c r="F469" s="225" t="s">
        <v>868</v>
      </c>
      <c r="G469" s="228" t="s">
        <v>328</v>
      </c>
      <c r="H469" s="228" t="s">
        <v>328</v>
      </c>
      <c r="I469" s="228" t="s">
        <v>17</v>
      </c>
      <c r="J469" s="227" t="s">
        <v>328</v>
      </c>
      <c r="K469" s="227" t="s">
        <v>17</v>
      </c>
      <c r="L469" s="228" t="s">
        <v>328</v>
      </c>
      <c r="M469" s="228" t="s">
        <v>328</v>
      </c>
      <c r="N469" s="228" t="s">
        <v>328</v>
      </c>
      <c r="O469" s="229" t="s">
        <v>17</v>
      </c>
      <c r="P469" s="229" t="s">
        <v>17</v>
      </c>
      <c r="Q469" s="229" t="s">
        <v>15</v>
      </c>
      <c r="R469" s="229" t="s">
        <v>15</v>
      </c>
      <c r="S469" s="229" t="s">
        <v>328</v>
      </c>
      <c r="T469" s="229" t="s">
        <v>328</v>
      </c>
      <c r="U469" s="229" t="s">
        <v>328</v>
      </c>
      <c r="V469" s="229" t="s">
        <v>328</v>
      </c>
      <c r="W469" s="230" t="s">
        <v>328</v>
      </c>
      <c r="X469" s="230" t="s">
        <v>328</v>
      </c>
      <c r="Y469" s="231" t="s">
        <v>328</v>
      </c>
    </row>
    <row r="470" spans="1:25">
      <c r="A470" s="223">
        <v>12</v>
      </c>
      <c r="B470" s="224" t="str">
        <f>VLOOKUP(Tabel10[[#This Row],[Locatiecode]],Ruimtegroepen[[#All],[Code]:[Ruimte omschrijving]],2,FALSE)</f>
        <v>Kantine</v>
      </c>
      <c r="C470" s="225" t="s">
        <v>865</v>
      </c>
      <c r="D470" s="224" t="s">
        <v>31</v>
      </c>
      <c r="E470" s="226" t="s">
        <v>123</v>
      </c>
      <c r="F470" s="225" t="s">
        <v>869</v>
      </c>
      <c r="G470" s="228" t="s">
        <v>328</v>
      </c>
      <c r="H470" s="228" t="s">
        <v>328</v>
      </c>
      <c r="I470" s="228" t="s">
        <v>17</v>
      </c>
      <c r="J470" s="227" t="s">
        <v>328</v>
      </c>
      <c r="K470" s="227" t="s">
        <v>17</v>
      </c>
      <c r="L470" s="228" t="s">
        <v>328</v>
      </c>
      <c r="M470" s="228" t="s">
        <v>328</v>
      </c>
      <c r="N470" s="228" t="s">
        <v>328</v>
      </c>
      <c r="O470" s="229" t="s">
        <v>17</v>
      </c>
      <c r="P470" s="229" t="s">
        <v>17</v>
      </c>
      <c r="Q470" s="229" t="s">
        <v>15</v>
      </c>
      <c r="R470" s="229" t="s">
        <v>15</v>
      </c>
      <c r="S470" s="229" t="s">
        <v>328</v>
      </c>
      <c r="T470" s="229" t="s">
        <v>328</v>
      </c>
      <c r="U470" s="229" t="s">
        <v>328</v>
      </c>
      <c r="V470" s="229" t="s">
        <v>328</v>
      </c>
      <c r="W470" s="230" t="s">
        <v>328</v>
      </c>
      <c r="X470" s="230" t="s">
        <v>328</v>
      </c>
      <c r="Y470" s="231" t="s">
        <v>328</v>
      </c>
    </row>
    <row r="471" spans="1:25">
      <c r="A471" s="223">
        <v>13</v>
      </c>
      <c r="B471" s="224" t="str">
        <f>VLOOKUP(Tabel10[[#This Row],[Locatiecode]],Ruimtegroepen[[#All],[Code]:[Ruimte omschrijving]],2,FALSE)</f>
        <v>Personeelskamer</v>
      </c>
      <c r="C471" s="225" t="s">
        <v>870</v>
      </c>
      <c r="D471" s="224" t="s">
        <v>32</v>
      </c>
      <c r="E471" s="226" t="s">
        <v>121</v>
      </c>
      <c r="F471" s="225" t="s">
        <v>871</v>
      </c>
      <c r="G471" s="228" t="s">
        <v>328</v>
      </c>
      <c r="H471" s="228" t="s">
        <v>328</v>
      </c>
      <c r="I471" s="228" t="s">
        <v>2</v>
      </c>
      <c r="J471" s="228" t="s">
        <v>15</v>
      </c>
      <c r="K471" s="228" t="s">
        <v>16</v>
      </c>
      <c r="L471" s="228" t="s">
        <v>328</v>
      </c>
      <c r="M471" s="228" t="s">
        <v>328</v>
      </c>
      <c r="N471" s="228" t="s">
        <v>2</v>
      </c>
      <c r="O471" s="229" t="s">
        <v>2</v>
      </c>
      <c r="P471" s="229" t="s">
        <v>2</v>
      </c>
      <c r="Q471" s="229" t="s">
        <v>15</v>
      </c>
      <c r="R471" s="229" t="s">
        <v>15</v>
      </c>
      <c r="S471" s="229" t="s">
        <v>16</v>
      </c>
      <c r="T471" s="229" t="s">
        <v>375</v>
      </c>
      <c r="U471" s="229" t="s">
        <v>331</v>
      </c>
      <c r="V471" s="229" t="s">
        <v>2</v>
      </c>
      <c r="W471" s="230" t="s">
        <v>328</v>
      </c>
      <c r="X471" s="230" t="s">
        <v>328</v>
      </c>
      <c r="Y471" s="231" t="s">
        <v>328</v>
      </c>
    </row>
    <row r="472" spans="1:25">
      <c r="A472" s="223">
        <v>13</v>
      </c>
      <c r="B472" s="224" t="str">
        <f>VLOOKUP(Tabel10[[#This Row],[Locatiecode]],Ruimtegroepen[[#All],[Code]:[Ruimte omschrijving]],2,FALSE)</f>
        <v>Personeelskamer</v>
      </c>
      <c r="C472" s="225" t="s">
        <v>870</v>
      </c>
      <c r="D472" s="224" t="s">
        <v>32</v>
      </c>
      <c r="E472" s="226" t="s">
        <v>120</v>
      </c>
      <c r="F472" s="225" t="s">
        <v>872</v>
      </c>
      <c r="G472" s="228" t="s">
        <v>20</v>
      </c>
      <c r="H472" s="228" t="s">
        <v>15</v>
      </c>
      <c r="I472" s="228" t="s">
        <v>328</v>
      </c>
      <c r="J472" s="228" t="s">
        <v>328</v>
      </c>
      <c r="K472" s="228" t="s">
        <v>328</v>
      </c>
      <c r="L472" s="228" t="s">
        <v>328</v>
      </c>
      <c r="M472" s="228" t="s">
        <v>328</v>
      </c>
      <c r="N472" s="228" t="s">
        <v>2</v>
      </c>
      <c r="O472" s="229" t="s">
        <v>2</v>
      </c>
      <c r="P472" s="229" t="s">
        <v>2</v>
      </c>
      <c r="Q472" s="229" t="s">
        <v>15</v>
      </c>
      <c r="R472" s="229" t="s">
        <v>15</v>
      </c>
      <c r="S472" s="229" t="s">
        <v>16</v>
      </c>
      <c r="T472" s="229" t="s">
        <v>375</v>
      </c>
      <c r="U472" s="229" t="s">
        <v>331</v>
      </c>
      <c r="V472" s="229" t="s">
        <v>2</v>
      </c>
      <c r="W472" s="230" t="s">
        <v>328</v>
      </c>
      <c r="X472" s="230" t="s">
        <v>328</v>
      </c>
      <c r="Y472" s="231" t="s">
        <v>328</v>
      </c>
    </row>
    <row r="473" spans="1:25">
      <c r="A473" s="223">
        <v>13</v>
      </c>
      <c r="B473" s="224" t="str">
        <f>VLOOKUP(Tabel10[[#This Row],[Locatiecode]],Ruimtegroepen[[#All],[Code]:[Ruimte omschrijving]],2,FALSE)</f>
        <v>Personeelskamer</v>
      </c>
      <c r="C473" s="225" t="s">
        <v>870</v>
      </c>
      <c r="D473" s="224" t="s">
        <v>32</v>
      </c>
      <c r="E473" s="226" t="s">
        <v>122</v>
      </c>
      <c r="F473" s="225" t="s">
        <v>873</v>
      </c>
      <c r="G473" s="228" t="s">
        <v>328</v>
      </c>
      <c r="H473" s="228" t="s">
        <v>328</v>
      </c>
      <c r="I473" s="228" t="s">
        <v>2</v>
      </c>
      <c r="J473" s="228" t="s">
        <v>15</v>
      </c>
      <c r="K473" s="228" t="s">
        <v>16</v>
      </c>
      <c r="L473" s="228" t="s">
        <v>328</v>
      </c>
      <c r="M473" s="228" t="s">
        <v>328</v>
      </c>
      <c r="N473" s="228" t="s">
        <v>2</v>
      </c>
      <c r="O473" s="229" t="s">
        <v>2</v>
      </c>
      <c r="P473" s="229" t="s">
        <v>2</v>
      </c>
      <c r="Q473" s="229" t="s">
        <v>15</v>
      </c>
      <c r="R473" s="229" t="s">
        <v>15</v>
      </c>
      <c r="S473" s="229" t="s">
        <v>16</v>
      </c>
      <c r="T473" s="229" t="s">
        <v>375</v>
      </c>
      <c r="U473" s="229" t="s">
        <v>331</v>
      </c>
      <c r="V473" s="229" t="s">
        <v>2</v>
      </c>
      <c r="W473" s="230" t="s">
        <v>328</v>
      </c>
      <c r="X473" s="230" t="s">
        <v>328</v>
      </c>
      <c r="Y473" s="231" t="s">
        <v>328</v>
      </c>
    </row>
    <row r="474" spans="1:25">
      <c r="A474" s="223">
        <v>13</v>
      </c>
      <c r="B474" s="224" t="str">
        <f>VLOOKUP(Tabel10[[#This Row],[Locatiecode]],Ruimtegroepen[[#All],[Code]:[Ruimte omschrijving]],2,FALSE)</f>
        <v>Personeelskamer</v>
      </c>
      <c r="C474" s="225" t="s">
        <v>870</v>
      </c>
      <c r="D474" s="224" t="s">
        <v>32</v>
      </c>
      <c r="E474" s="226" t="s">
        <v>123</v>
      </c>
      <c r="F474" s="225" t="s">
        <v>874</v>
      </c>
      <c r="G474" s="228" t="s">
        <v>328</v>
      </c>
      <c r="H474" s="228" t="s">
        <v>328</v>
      </c>
      <c r="I474" s="228" t="s">
        <v>2</v>
      </c>
      <c r="J474" s="228" t="s">
        <v>15</v>
      </c>
      <c r="K474" s="228" t="s">
        <v>16</v>
      </c>
      <c r="L474" s="228" t="s">
        <v>328</v>
      </c>
      <c r="M474" s="228" t="s">
        <v>328</v>
      </c>
      <c r="N474" s="228" t="s">
        <v>2</v>
      </c>
      <c r="O474" s="229" t="s">
        <v>2</v>
      </c>
      <c r="P474" s="229" t="s">
        <v>2</v>
      </c>
      <c r="Q474" s="229" t="s">
        <v>15</v>
      </c>
      <c r="R474" s="229" t="s">
        <v>15</v>
      </c>
      <c r="S474" s="229" t="s">
        <v>16</v>
      </c>
      <c r="T474" s="229" t="s">
        <v>375</v>
      </c>
      <c r="U474" s="229" t="s">
        <v>331</v>
      </c>
      <c r="V474" s="229" t="s">
        <v>2</v>
      </c>
      <c r="W474" s="230" t="s">
        <v>328</v>
      </c>
      <c r="X474" s="230" t="s">
        <v>328</v>
      </c>
      <c r="Y474" s="231" t="s">
        <v>328</v>
      </c>
    </row>
    <row r="475" spans="1:25">
      <c r="A475" s="223">
        <v>13</v>
      </c>
      <c r="B475" s="224" t="str">
        <f>VLOOKUP(Tabel10[[#This Row],[Locatiecode]],Ruimtegroepen[[#All],[Code]:[Ruimte omschrijving]],2,FALSE)</f>
        <v>Personeelskamer</v>
      </c>
      <c r="C475" s="225" t="s">
        <v>875</v>
      </c>
      <c r="D475" s="224" t="s">
        <v>1</v>
      </c>
      <c r="E475" s="226" t="s">
        <v>121</v>
      </c>
      <c r="F475" s="225" t="s">
        <v>876</v>
      </c>
      <c r="G475" s="228" t="s">
        <v>328</v>
      </c>
      <c r="H475" s="228" t="s">
        <v>328</v>
      </c>
      <c r="I475" s="228" t="s">
        <v>2</v>
      </c>
      <c r="J475" s="228" t="s">
        <v>15</v>
      </c>
      <c r="K475" s="228" t="s">
        <v>16</v>
      </c>
      <c r="L475" s="228" t="s">
        <v>328</v>
      </c>
      <c r="M475" s="228" t="s">
        <v>328</v>
      </c>
      <c r="N475" s="228" t="s">
        <v>328</v>
      </c>
      <c r="O475" s="229" t="s">
        <v>2</v>
      </c>
      <c r="P475" s="229" t="s">
        <v>2</v>
      </c>
      <c r="Q475" s="229" t="s">
        <v>15</v>
      </c>
      <c r="R475" s="229" t="s">
        <v>15</v>
      </c>
      <c r="S475" s="229" t="s">
        <v>16</v>
      </c>
      <c r="T475" s="229" t="s">
        <v>375</v>
      </c>
      <c r="U475" s="229" t="s">
        <v>331</v>
      </c>
      <c r="V475" s="229" t="s">
        <v>328</v>
      </c>
      <c r="W475" s="230" t="s">
        <v>328</v>
      </c>
      <c r="X475" s="230" t="s">
        <v>328</v>
      </c>
      <c r="Y475" s="231" t="s">
        <v>328</v>
      </c>
    </row>
    <row r="476" spans="1:25">
      <c r="A476" s="223">
        <v>13</v>
      </c>
      <c r="B476" s="224" t="str">
        <f>VLOOKUP(Tabel10[[#This Row],[Locatiecode]],Ruimtegroepen[[#All],[Code]:[Ruimte omschrijving]],2,FALSE)</f>
        <v>Personeelskamer</v>
      </c>
      <c r="C476" s="225" t="s">
        <v>875</v>
      </c>
      <c r="D476" s="224" t="s">
        <v>1</v>
      </c>
      <c r="E476" s="226" t="s">
        <v>120</v>
      </c>
      <c r="F476" s="225" t="s">
        <v>877</v>
      </c>
      <c r="G476" s="228" t="s">
        <v>20</v>
      </c>
      <c r="H476" s="228" t="s">
        <v>15</v>
      </c>
      <c r="I476" s="228" t="s">
        <v>328</v>
      </c>
      <c r="J476" s="228" t="s">
        <v>328</v>
      </c>
      <c r="K476" s="228" t="s">
        <v>328</v>
      </c>
      <c r="L476" s="228" t="s">
        <v>328</v>
      </c>
      <c r="M476" s="228" t="s">
        <v>328</v>
      </c>
      <c r="N476" s="228" t="s">
        <v>328</v>
      </c>
      <c r="O476" s="229" t="s">
        <v>2</v>
      </c>
      <c r="P476" s="229" t="s">
        <v>2</v>
      </c>
      <c r="Q476" s="229" t="s">
        <v>15</v>
      </c>
      <c r="R476" s="229" t="s">
        <v>15</v>
      </c>
      <c r="S476" s="229" t="s">
        <v>16</v>
      </c>
      <c r="T476" s="229" t="s">
        <v>375</v>
      </c>
      <c r="U476" s="229" t="s">
        <v>331</v>
      </c>
      <c r="V476" s="229" t="s">
        <v>328</v>
      </c>
      <c r="W476" s="230" t="s">
        <v>328</v>
      </c>
      <c r="X476" s="230" t="s">
        <v>328</v>
      </c>
      <c r="Y476" s="231" t="s">
        <v>328</v>
      </c>
    </row>
    <row r="477" spans="1:25">
      <c r="A477" s="223">
        <v>13</v>
      </c>
      <c r="B477" s="224" t="str">
        <f>VLOOKUP(Tabel10[[#This Row],[Locatiecode]],Ruimtegroepen[[#All],[Code]:[Ruimte omschrijving]],2,FALSE)</f>
        <v>Personeelskamer</v>
      </c>
      <c r="C477" s="225" t="s">
        <v>875</v>
      </c>
      <c r="D477" s="224" t="s">
        <v>1</v>
      </c>
      <c r="E477" s="226" t="s">
        <v>122</v>
      </c>
      <c r="F477" s="225" t="s">
        <v>878</v>
      </c>
      <c r="G477" s="228" t="s">
        <v>328</v>
      </c>
      <c r="H477" s="228" t="s">
        <v>328</v>
      </c>
      <c r="I477" s="228" t="s">
        <v>2</v>
      </c>
      <c r="J477" s="228" t="s">
        <v>15</v>
      </c>
      <c r="K477" s="228" t="s">
        <v>16</v>
      </c>
      <c r="L477" s="228" t="s">
        <v>328</v>
      </c>
      <c r="M477" s="228" t="s">
        <v>328</v>
      </c>
      <c r="N477" s="228" t="s">
        <v>328</v>
      </c>
      <c r="O477" s="229" t="s">
        <v>2</v>
      </c>
      <c r="P477" s="229" t="s">
        <v>2</v>
      </c>
      <c r="Q477" s="229" t="s">
        <v>15</v>
      </c>
      <c r="R477" s="229" t="s">
        <v>15</v>
      </c>
      <c r="S477" s="229" t="s">
        <v>16</v>
      </c>
      <c r="T477" s="229" t="s">
        <v>375</v>
      </c>
      <c r="U477" s="229" t="s">
        <v>331</v>
      </c>
      <c r="V477" s="229" t="s">
        <v>328</v>
      </c>
      <c r="W477" s="230" t="s">
        <v>328</v>
      </c>
      <c r="X477" s="230" t="s">
        <v>328</v>
      </c>
      <c r="Y477" s="231" t="s">
        <v>328</v>
      </c>
    </row>
    <row r="478" spans="1:25">
      <c r="A478" s="223">
        <v>13</v>
      </c>
      <c r="B478" s="224" t="str">
        <f>VLOOKUP(Tabel10[[#This Row],[Locatiecode]],Ruimtegroepen[[#All],[Code]:[Ruimte omschrijving]],2,FALSE)</f>
        <v>Personeelskamer</v>
      </c>
      <c r="C478" s="225" t="s">
        <v>875</v>
      </c>
      <c r="D478" s="224" t="s">
        <v>1</v>
      </c>
      <c r="E478" s="226" t="s">
        <v>123</v>
      </c>
      <c r="F478" s="225" t="s">
        <v>879</v>
      </c>
      <c r="G478" s="228" t="s">
        <v>328</v>
      </c>
      <c r="H478" s="228" t="s">
        <v>328</v>
      </c>
      <c r="I478" s="228" t="s">
        <v>2</v>
      </c>
      <c r="J478" s="228" t="s">
        <v>15</v>
      </c>
      <c r="K478" s="228" t="s">
        <v>16</v>
      </c>
      <c r="L478" s="228" t="s">
        <v>328</v>
      </c>
      <c r="M478" s="228" t="s">
        <v>328</v>
      </c>
      <c r="N478" s="228" t="s">
        <v>328</v>
      </c>
      <c r="O478" s="229" t="s">
        <v>2</v>
      </c>
      <c r="P478" s="229" t="s">
        <v>2</v>
      </c>
      <c r="Q478" s="229" t="s">
        <v>15</v>
      </c>
      <c r="R478" s="229" t="s">
        <v>15</v>
      </c>
      <c r="S478" s="229" t="s">
        <v>16</v>
      </c>
      <c r="T478" s="229" t="s">
        <v>375</v>
      </c>
      <c r="U478" s="229" t="s">
        <v>331</v>
      </c>
      <c r="V478" s="229" t="s">
        <v>328</v>
      </c>
      <c r="W478" s="230" t="s">
        <v>328</v>
      </c>
      <c r="X478" s="230" t="s">
        <v>328</v>
      </c>
      <c r="Y478" s="231" t="s">
        <v>328</v>
      </c>
    </row>
    <row r="479" spans="1:25">
      <c r="A479" s="223">
        <v>13</v>
      </c>
      <c r="B479" s="224" t="str">
        <f>VLOOKUP(Tabel10[[#This Row],[Locatiecode]],Ruimtegroepen[[#All],[Code]:[Ruimte omschrijving]],2,FALSE)</f>
        <v>Personeelskamer</v>
      </c>
      <c r="C479" s="225" t="s">
        <v>880</v>
      </c>
      <c r="D479" s="224" t="s">
        <v>21</v>
      </c>
      <c r="E479" s="226" t="s">
        <v>121</v>
      </c>
      <c r="F479" s="225" t="s">
        <v>881</v>
      </c>
      <c r="G479" s="228" t="s">
        <v>328</v>
      </c>
      <c r="H479" s="228" t="s">
        <v>328</v>
      </c>
      <c r="I479" s="228" t="s">
        <v>20</v>
      </c>
      <c r="J479" s="228" t="s">
        <v>15</v>
      </c>
      <c r="K479" s="228" t="s">
        <v>16</v>
      </c>
      <c r="L479" s="228" t="s">
        <v>328</v>
      </c>
      <c r="M479" s="228" t="s">
        <v>328</v>
      </c>
      <c r="N479" s="228" t="s">
        <v>328</v>
      </c>
      <c r="O479" s="229" t="s">
        <v>20</v>
      </c>
      <c r="P479" s="229" t="s">
        <v>20</v>
      </c>
      <c r="Q479" s="229" t="s">
        <v>15</v>
      </c>
      <c r="R479" s="229" t="s">
        <v>15</v>
      </c>
      <c r="S479" s="229" t="s">
        <v>16</v>
      </c>
      <c r="T479" s="229" t="s">
        <v>375</v>
      </c>
      <c r="U479" s="229" t="s">
        <v>331</v>
      </c>
      <c r="V479" s="229" t="s">
        <v>328</v>
      </c>
      <c r="W479" s="230" t="s">
        <v>328</v>
      </c>
      <c r="X479" s="230" t="s">
        <v>328</v>
      </c>
      <c r="Y479" s="231" t="s">
        <v>328</v>
      </c>
    </row>
    <row r="480" spans="1:25">
      <c r="A480" s="223">
        <v>13</v>
      </c>
      <c r="B480" s="224" t="str">
        <f>VLOOKUP(Tabel10[[#This Row],[Locatiecode]],Ruimtegroepen[[#All],[Code]:[Ruimte omschrijving]],2,FALSE)</f>
        <v>Personeelskamer</v>
      </c>
      <c r="C480" s="225" t="s">
        <v>880</v>
      </c>
      <c r="D480" s="224" t="s">
        <v>21</v>
      </c>
      <c r="E480" s="226" t="s">
        <v>120</v>
      </c>
      <c r="F480" s="225" t="s">
        <v>882</v>
      </c>
      <c r="G480" s="228" t="s">
        <v>18</v>
      </c>
      <c r="H480" s="228" t="s">
        <v>15</v>
      </c>
      <c r="I480" s="228" t="s">
        <v>328</v>
      </c>
      <c r="J480" s="228" t="s">
        <v>328</v>
      </c>
      <c r="K480" s="228" t="s">
        <v>328</v>
      </c>
      <c r="L480" s="228" t="s">
        <v>328</v>
      </c>
      <c r="M480" s="228" t="s">
        <v>328</v>
      </c>
      <c r="N480" s="228" t="s">
        <v>328</v>
      </c>
      <c r="O480" s="229" t="s">
        <v>20</v>
      </c>
      <c r="P480" s="229" t="s">
        <v>20</v>
      </c>
      <c r="Q480" s="229" t="s">
        <v>15</v>
      </c>
      <c r="R480" s="229" t="s">
        <v>15</v>
      </c>
      <c r="S480" s="229" t="s">
        <v>16</v>
      </c>
      <c r="T480" s="229" t="s">
        <v>375</v>
      </c>
      <c r="U480" s="229" t="s">
        <v>331</v>
      </c>
      <c r="V480" s="229" t="s">
        <v>328</v>
      </c>
      <c r="W480" s="230" t="s">
        <v>328</v>
      </c>
      <c r="X480" s="230" t="s">
        <v>328</v>
      </c>
      <c r="Y480" s="231" t="s">
        <v>328</v>
      </c>
    </row>
    <row r="481" spans="1:25">
      <c r="A481" s="223">
        <v>13</v>
      </c>
      <c r="B481" s="224" t="str">
        <f>VLOOKUP(Tabel10[[#This Row],[Locatiecode]],Ruimtegroepen[[#All],[Code]:[Ruimte omschrijving]],2,FALSE)</f>
        <v>Personeelskamer</v>
      </c>
      <c r="C481" s="225" t="s">
        <v>880</v>
      </c>
      <c r="D481" s="224" t="s">
        <v>21</v>
      </c>
      <c r="E481" s="226" t="s">
        <v>122</v>
      </c>
      <c r="F481" s="225" t="s">
        <v>883</v>
      </c>
      <c r="G481" s="228" t="s">
        <v>328</v>
      </c>
      <c r="H481" s="228" t="s">
        <v>328</v>
      </c>
      <c r="I481" s="228" t="s">
        <v>20</v>
      </c>
      <c r="J481" s="228" t="s">
        <v>15</v>
      </c>
      <c r="K481" s="228" t="s">
        <v>16</v>
      </c>
      <c r="L481" s="228" t="s">
        <v>328</v>
      </c>
      <c r="M481" s="228" t="s">
        <v>328</v>
      </c>
      <c r="N481" s="228" t="s">
        <v>328</v>
      </c>
      <c r="O481" s="229" t="s">
        <v>20</v>
      </c>
      <c r="P481" s="229" t="s">
        <v>20</v>
      </c>
      <c r="Q481" s="229" t="s">
        <v>15</v>
      </c>
      <c r="R481" s="229" t="s">
        <v>15</v>
      </c>
      <c r="S481" s="229" t="s">
        <v>16</v>
      </c>
      <c r="T481" s="229" t="s">
        <v>375</v>
      </c>
      <c r="U481" s="229" t="s">
        <v>331</v>
      </c>
      <c r="V481" s="229" t="s">
        <v>328</v>
      </c>
      <c r="W481" s="230" t="s">
        <v>328</v>
      </c>
      <c r="X481" s="230" t="s">
        <v>328</v>
      </c>
      <c r="Y481" s="231" t="s">
        <v>328</v>
      </c>
    </row>
    <row r="482" spans="1:25">
      <c r="A482" s="223">
        <v>13</v>
      </c>
      <c r="B482" s="224" t="str">
        <f>VLOOKUP(Tabel10[[#This Row],[Locatiecode]],Ruimtegroepen[[#All],[Code]:[Ruimte omschrijving]],2,FALSE)</f>
        <v>Personeelskamer</v>
      </c>
      <c r="C482" s="225" t="s">
        <v>880</v>
      </c>
      <c r="D482" s="224" t="s">
        <v>21</v>
      </c>
      <c r="E482" s="226" t="s">
        <v>123</v>
      </c>
      <c r="F482" s="225" t="s">
        <v>884</v>
      </c>
      <c r="G482" s="228" t="s">
        <v>328</v>
      </c>
      <c r="H482" s="228" t="s">
        <v>328</v>
      </c>
      <c r="I482" s="228" t="s">
        <v>20</v>
      </c>
      <c r="J482" s="228" t="s">
        <v>15</v>
      </c>
      <c r="K482" s="228" t="s">
        <v>16</v>
      </c>
      <c r="L482" s="228" t="s">
        <v>328</v>
      </c>
      <c r="M482" s="228" t="s">
        <v>328</v>
      </c>
      <c r="N482" s="228" t="s">
        <v>328</v>
      </c>
      <c r="O482" s="229" t="s">
        <v>20</v>
      </c>
      <c r="P482" s="229" t="s">
        <v>20</v>
      </c>
      <c r="Q482" s="229" t="s">
        <v>15</v>
      </c>
      <c r="R482" s="229" t="s">
        <v>15</v>
      </c>
      <c r="S482" s="229" t="s">
        <v>16</v>
      </c>
      <c r="T482" s="229" t="s">
        <v>375</v>
      </c>
      <c r="U482" s="229" t="s">
        <v>331</v>
      </c>
      <c r="V482" s="229" t="s">
        <v>328</v>
      </c>
      <c r="W482" s="230" t="s">
        <v>328</v>
      </c>
      <c r="X482" s="230" t="s">
        <v>328</v>
      </c>
      <c r="Y482" s="231" t="s">
        <v>328</v>
      </c>
    </row>
    <row r="483" spans="1:25">
      <c r="A483" s="223">
        <v>13</v>
      </c>
      <c r="B483" s="224" t="str">
        <f>VLOOKUP(Tabel10[[#This Row],[Locatiecode]],Ruimtegroepen[[#All],[Code]:[Ruimte omschrijving]],2,FALSE)</f>
        <v>Personeelskamer</v>
      </c>
      <c r="C483" s="225" t="s">
        <v>885</v>
      </c>
      <c r="D483" s="224" t="s">
        <v>12</v>
      </c>
      <c r="E483" s="226" t="s">
        <v>121</v>
      </c>
      <c r="F483" s="225" t="s">
        <v>886</v>
      </c>
      <c r="G483" s="228" t="s">
        <v>328</v>
      </c>
      <c r="H483" s="228" t="s">
        <v>328</v>
      </c>
      <c r="I483" s="228" t="s">
        <v>18</v>
      </c>
      <c r="J483" s="228" t="s">
        <v>15</v>
      </c>
      <c r="K483" s="228" t="s">
        <v>16</v>
      </c>
      <c r="L483" s="228" t="s">
        <v>328</v>
      </c>
      <c r="M483" s="228" t="s">
        <v>328</v>
      </c>
      <c r="N483" s="228" t="s">
        <v>328</v>
      </c>
      <c r="O483" s="229" t="s">
        <v>18</v>
      </c>
      <c r="P483" s="229" t="s">
        <v>18</v>
      </c>
      <c r="Q483" s="229" t="s">
        <v>15</v>
      </c>
      <c r="R483" s="229" t="s">
        <v>15</v>
      </c>
      <c r="S483" s="229" t="s">
        <v>16</v>
      </c>
      <c r="T483" s="229" t="s">
        <v>375</v>
      </c>
      <c r="U483" s="229" t="s">
        <v>331</v>
      </c>
      <c r="V483" s="229" t="s">
        <v>328</v>
      </c>
      <c r="W483" s="230" t="s">
        <v>328</v>
      </c>
      <c r="X483" s="230" t="s">
        <v>328</v>
      </c>
      <c r="Y483" s="231" t="s">
        <v>328</v>
      </c>
    </row>
    <row r="484" spans="1:25">
      <c r="A484" s="223">
        <v>13</v>
      </c>
      <c r="B484" s="224" t="str">
        <f>VLOOKUP(Tabel10[[#This Row],[Locatiecode]],Ruimtegroepen[[#All],[Code]:[Ruimte omschrijving]],2,FALSE)</f>
        <v>Personeelskamer</v>
      </c>
      <c r="C484" s="225" t="s">
        <v>885</v>
      </c>
      <c r="D484" s="224" t="s">
        <v>12</v>
      </c>
      <c r="E484" s="226" t="s">
        <v>120</v>
      </c>
      <c r="F484" s="225" t="s">
        <v>887</v>
      </c>
      <c r="G484" s="228" t="s">
        <v>17</v>
      </c>
      <c r="H484" s="228" t="s">
        <v>15</v>
      </c>
      <c r="I484" s="228" t="s">
        <v>328</v>
      </c>
      <c r="J484" s="228" t="s">
        <v>328</v>
      </c>
      <c r="K484" s="228" t="s">
        <v>328</v>
      </c>
      <c r="L484" s="228" t="s">
        <v>328</v>
      </c>
      <c r="M484" s="228" t="s">
        <v>328</v>
      </c>
      <c r="N484" s="228" t="s">
        <v>328</v>
      </c>
      <c r="O484" s="229" t="s">
        <v>18</v>
      </c>
      <c r="P484" s="229" t="s">
        <v>18</v>
      </c>
      <c r="Q484" s="229" t="s">
        <v>15</v>
      </c>
      <c r="R484" s="229" t="s">
        <v>15</v>
      </c>
      <c r="S484" s="229" t="s">
        <v>16</v>
      </c>
      <c r="T484" s="229" t="s">
        <v>375</v>
      </c>
      <c r="U484" s="229" t="s">
        <v>331</v>
      </c>
      <c r="V484" s="229" t="s">
        <v>328</v>
      </c>
      <c r="W484" s="230" t="s">
        <v>328</v>
      </c>
      <c r="X484" s="230" t="s">
        <v>328</v>
      </c>
      <c r="Y484" s="231" t="s">
        <v>328</v>
      </c>
    </row>
    <row r="485" spans="1:25">
      <c r="A485" s="223">
        <v>13</v>
      </c>
      <c r="B485" s="224" t="str">
        <f>VLOOKUP(Tabel10[[#This Row],[Locatiecode]],Ruimtegroepen[[#All],[Code]:[Ruimte omschrijving]],2,FALSE)</f>
        <v>Personeelskamer</v>
      </c>
      <c r="C485" s="225" t="s">
        <v>885</v>
      </c>
      <c r="D485" s="224" t="s">
        <v>12</v>
      </c>
      <c r="E485" s="226" t="s">
        <v>122</v>
      </c>
      <c r="F485" s="225" t="s">
        <v>888</v>
      </c>
      <c r="G485" s="228" t="s">
        <v>328</v>
      </c>
      <c r="H485" s="228" t="s">
        <v>328</v>
      </c>
      <c r="I485" s="228" t="s">
        <v>18</v>
      </c>
      <c r="J485" s="228" t="s">
        <v>15</v>
      </c>
      <c r="K485" s="228" t="s">
        <v>16</v>
      </c>
      <c r="L485" s="228" t="s">
        <v>328</v>
      </c>
      <c r="M485" s="228" t="s">
        <v>328</v>
      </c>
      <c r="N485" s="228" t="s">
        <v>328</v>
      </c>
      <c r="O485" s="229" t="s">
        <v>18</v>
      </c>
      <c r="P485" s="229" t="s">
        <v>18</v>
      </c>
      <c r="Q485" s="229" t="s">
        <v>15</v>
      </c>
      <c r="R485" s="229" t="s">
        <v>15</v>
      </c>
      <c r="S485" s="229" t="s">
        <v>16</v>
      </c>
      <c r="T485" s="229" t="s">
        <v>375</v>
      </c>
      <c r="U485" s="229" t="s">
        <v>331</v>
      </c>
      <c r="V485" s="229" t="s">
        <v>328</v>
      </c>
      <c r="W485" s="230" t="s">
        <v>328</v>
      </c>
      <c r="X485" s="230" t="s">
        <v>328</v>
      </c>
      <c r="Y485" s="231" t="s">
        <v>328</v>
      </c>
    </row>
    <row r="486" spans="1:25">
      <c r="A486" s="223">
        <v>13</v>
      </c>
      <c r="B486" s="224" t="str">
        <f>VLOOKUP(Tabel10[[#This Row],[Locatiecode]],Ruimtegroepen[[#All],[Code]:[Ruimte omschrijving]],2,FALSE)</f>
        <v>Personeelskamer</v>
      </c>
      <c r="C486" s="225" t="s">
        <v>885</v>
      </c>
      <c r="D486" s="224" t="s">
        <v>12</v>
      </c>
      <c r="E486" s="226" t="s">
        <v>123</v>
      </c>
      <c r="F486" s="225" t="s">
        <v>889</v>
      </c>
      <c r="G486" s="228" t="s">
        <v>328</v>
      </c>
      <c r="H486" s="228" t="s">
        <v>328</v>
      </c>
      <c r="I486" s="228" t="s">
        <v>18</v>
      </c>
      <c r="J486" s="228" t="s">
        <v>15</v>
      </c>
      <c r="K486" s="228" t="s">
        <v>16</v>
      </c>
      <c r="L486" s="228" t="s">
        <v>328</v>
      </c>
      <c r="M486" s="228" t="s">
        <v>328</v>
      </c>
      <c r="N486" s="228" t="s">
        <v>328</v>
      </c>
      <c r="O486" s="229" t="s">
        <v>18</v>
      </c>
      <c r="P486" s="229" t="s">
        <v>18</v>
      </c>
      <c r="Q486" s="229" t="s">
        <v>15</v>
      </c>
      <c r="R486" s="229" t="s">
        <v>15</v>
      </c>
      <c r="S486" s="229" t="s">
        <v>16</v>
      </c>
      <c r="T486" s="229" t="s">
        <v>375</v>
      </c>
      <c r="U486" s="229" t="s">
        <v>331</v>
      </c>
      <c r="V486" s="229" t="s">
        <v>328</v>
      </c>
      <c r="W486" s="230" t="s">
        <v>328</v>
      </c>
      <c r="X486" s="230" t="s">
        <v>328</v>
      </c>
      <c r="Y486" s="231" t="s">
        <v>328</v>
      </c>
    </row>
    <row r="487" spans="1:25">
      <c r="A487" s="223">
        <v>13</v>
      </c>
      <c r="B487" s="224" t="str">
        <f>VLOOKUP(Tabel10[[#This Row],[Locatiecode]],Ruimtegroepen[[#All],[Code]:[Ruimte omschrijving]],2,FALSE)</f>
        <v>Personeelskamer</v>
      </c>
      <c r="C487" s="225" t="s">
        <v>890</v>
      </c>
      <c r="D487" s="224" t="s">
        <v>14</v>
      </c>
      <c r="E487" s="226" t="s">
        <v>121</v>
      </c>
      <c r="F487" s="225" t="s">
        <v>891</v>
      </c>
      <c r="G487" s="228" t="s">
        <v>328</v>
      </c>
      <c r="H487" s="228" t="s">
        <v>328</v>
      </c>
      <c r="I487" s="228" t="s">
        <v>17</v>
      </c>
      <c r="J487" s="228" t="s">
        <v>15</v>
      </c>
      <c r="K487" s="228" t="s">
        <v>16</v>
      </c>
      <c r="L487" s="228" t="s">
        <v>328</v>
      </c>
      <c r="M487" s="228" t="s">
        <v>328</v>
      </c>
      <c r="N487" s="228" t="s">
        <v>328</v>
      </c>
      <c r="O487" s="229" t="s">
        <v>17</v>
      </c>
      <c r="P487" s="229" t="s">
        <v>17</v>
      </c>
      <c r="Q487" s="229" t="s">
        <v>15</v>
      </c>
      <c r="R487" s="229" t="s">
        <v>15</v>
      </c>
      <c r="S487" s="229" t="s">
        <v>16</v>
      </c>
      <c r="T487" s="229" t="s">
        <v>375</v>
      </c>
      <c r="U487" s="229" t="s">
        <v>331</v>
      </c>
      <c r="V487" s="229" t="s">
        <v>328</v>
      </c>
      <c r="W487" s="230" t="s">
        <v>328</v>
      </c>
      <c r="X487" s="230" t="s">
        <v>328</v>
      </c>
      <c r="Y487" s="231" t="s">
        <v>328</v>
      </c>
    </row>
    <row r="488" spans="1:25">
      <c r="A488" s="223">
        <v>13</v>
      </c>
      <c r="B488" s="224" t="str">
        <f>VLOOKUP(Tabel10[[#This Row],[Locatiecode]],Ruimtegroepen[[#All],[Code]:[Ruimte omschrijving]],2,FALSE)</f>
        <v>Personeelskamer</v>
      </c>
      <c r="C488" s="225" t="s">
        <v>890</v>
      </c>
      <c r="D488" s="224" t="s">
        <v>14</v>
      </c>
      <c r="E488" s="226" t="s">
        <v>120</v>
      </c>
      <c r="F488" s="225" t="s">
        <v>892</v>
      </c>
      <c r="G488" s="228" t="s">
        <v>15</v>
      </c>
      <c r="H488" s="228" t="s">
        <v>15</v>
      </c>
      <c r="I488" s="228" t="s">
        <v>328</v>
      </c>
      <c r="J488" s="228" t="s">
        <v>328</v>
      </c>
      <c r="K488" s="228" t="s">
        <v>328</v>
      </c>
      <c r="L488" s="228" t="s">
        <v>328</v>
      </c>
      <c r="M488" s="228" t="s">
        <v>328</v>
      </c>
      <c r="N488" s="228" t="s">
        <v>328</v>
      </c>
      <c r="O488" s="229" t="s">
        <v>17</v>
      </c>
      <c r="P488" s="229" t="s">
        <v>17</v>
      </c>
      <c r="Q488" s="229" t="s">
        <v>15</v>
      </c>
      <c r="R488" s="229" t="s">
        <v>15</v>
      </c>
      <c r="S488" s="229" t="s">
        <v>16</v>
      </c>
      <c r="T488" s="229" t="s">
        <v>375</v>
      </c>
      <c r="U488" s="229" t="s">
        <v>331</v>
      </c>
      <c r="V488" s="229" t="s">
        <v>328</v>
      </c>
      <c r="W488" s="230" t="s">
        <v>328</v>
      </c>
      <c r="X488" s="230" t="s">
        <v>328</v>
      </c>
      <c r="Y488" s="231" t="s">
        <v>328</v>
      </c>
    </row>
    <row r="489" spans="1:25">
      <c r="A489" s="223">
        <v>13</v>
      </c>
      <c r="B489" s="224" t="str">
        <f>VLOOKUP(Tabel10[[#This Row],[Locatiecode]],Ruimtegroepen[[#All],[Code]:[Ruimte omschrijving]],2,FALSE)</f>
        <v>Personeelskamer</v>
      </c>
      <c r="C489" s="225" t="s">
        <v>890</v>
      </c>
      <c r="D489" s="224" t="s">
        <v>14</v>
      </c>
      <c r="E489" s="226" t="s">
        <v>122</v>
      </c>
      <c r="F489" s="225" t="s">
        <v>893</v>
      </c>
      <c r="G489" s="228" t="s">
        <v>328</v>
      </c>
      <c r="H489" s="228" t="s">
        <v>328</v>
      </c>
      <c r="I489" s="228" t="s">
        <v>17</v>
      </c>
      <c r="J489" s="228" t="s">
        <v>15</v>
      </c>
      <c r="K489" s="228" t="s">
        <v>16</v>
      </c>
      <c r="L489" s="228" t="s">
        <v>328</v>
      </c>
      <c r="M489" s="228" t="s">
        <v>328</v>
      </c>
      <c r="N489" s="228" t="s">
        <v>328</v>
      </c>
      <c r="O489" s="229" t="s">
        <v>17</v>
      </c>
      <c r="P489" s="229" t="s">
        <v>17</v>
      </c>
      <c r="Q489" s="229" t="s">
        <v>15</v>
      </c>
      <c r="R489" s="229" t="s">
        <v>15</v>
      </c>
      <c r="S489" s="229" t="s">
        <v>16</v>
      </c>
      <c r="T489" s="229" t="s">
        <v>375</v>
      </c>
      <c r="U489" s="229" t="s">
        <v>331</v>
      </c>
      <c r="V489" s="229" t="s">
        <v>328</v>
      </c>
      <c r="W489" s="230" t="s">
        <v>328</v>
      </c>
      <c r="X489" s="230" t="s">
        <v>328</v>
      </c>
      <c r="Y489" s="231" t="s">
        <v>328</v>
      </c>
    </row>
    <row r="490" spans="1:25">
      <c r="A490" s="223">
        <v>13</v>
      </c>
      <c r="B490" s="224" t="str">
        <f>VLOOKUP(Tabel10[[#This Row],[Locatiecode]],Ruimtegroepen[[#All],[Code]:[Ruimte omschrijving]],2,FALSE)</f>
        <v>Personeelskamer</v>
      </c>
      <c r="C490" s="225" t="s">
        <v>890</v>
      </c>
      <c r="D490" s="224" t="s">
        <v>14</v>
      </c>
      <c r="E490" s="226" t="s">
        <v>123</v>
      </c>
      <c r="F490" s="225" t="s">
        <v>894</v>
      </c>
      <c r="G490" s="228" t="s">
        <v>328</v>
      </c>
      <c r="H490" s="228" t="s">
        <v>328</v>
      </c>
      <c r="I490" s="228" t="s">
        <v>17</v>
      </c>
      <c r="J490" s="228" t="s">
        <v>15</v>
      </c>
      <c r="K490" s="228" t="s">
        <v>16</v>
      </c>
      <c r="L490" s="228" t="s">
        <v>328</v>
      </c>
      <c r="M490" s="228" t="s">
        <v>328</v>
      </c>
      <c r="N490" s="228" t="s">
        <v>328</v>
      </c>
      <c r="O490" s="229" t="s">
        <v>17</v>
      </c>
      <c r="P490" s="229" t="s">
        <v>17</v>
      </c>
      <c r="Q490" s="229" t="s">
        <v>15</v>
      </c>
      <c r="R490" s="229" t="s">
        <v>15</v>
      </c>
      <c r="S490" s="229" t="s">
        <v>16</v>
      </c>
      <c r="T490" s="229" t="s">
        <v>375</v>
      </c>
      <c r="U490" s="229" t="s">
        <v>331</v>
      </c>
      <c r="V490" s="229" t="s">
        <v>328</v>
      </c>
      <c r="W490" s="230" t="s">
        <v>328</v>
      </c>
      <c r="X490" s="230" t="s">
        <v>328</v>
      </c>
      <c r="Y490" s="231" t="s">
        <v>328</v>
      </c>
    </row>
    <row r="491" spans="1:25">
      <c r="A491" s="223">
        <v>13</v>
      </c>
      <c r="B491" s="224" t="str">
        <f>VLOOKUP(Tabel10[[#This Row],[Locatiecode]],Ruimtegroepen[[#All],[Code]:[Ruimte omschrijving]],2,FALSE)</f>
        <v>Personeelskamer</v>
      </c>
      <c r="C491" s="225" t="s">
        <v>895</v>
      </c>
      <c r="D491" s="224" t="s">
        <v>13</v>
      </c>
      <c r="E491" s="226" t="s">
        <v>121</v>
      </c>
      <c r="F491" s="225" t="s">
        <v>896</v>
      </c>
      <c r="G491" s="228" t="s">
        <v>328</v>
      </c>
      <c r="H491" s="228" t="s">
        <v>328</v>
      </c>
      <c r="I491" s="228" t="s">
        <v>15</v>
      </c>
      <c r="J491" s="228" t="s">
        <v>15</v>
      </c>
      <c r="K491" s="228" t="s">
        <v>16</v>
      </c>
      <c r="L491" s="228" t="s">
        <v>328</v>
      </c>
      <c r="M491" s="228" t="s">
        <v>328</v>
      </c>
      <c r="N491" s="228" t="s">
        <v>328</v>
      </c>
      <c r="O491" s="229" t="s">
        <v>15</v>
      </c>
      <c r="P491" s="229" t="s">
        <v>15</v>
      </c>
      <c r="Q491" s="229" t="s">
        <v>15</v>
      </c>
      <c r="R491" s="229" t="s">
        <v>15</v>
      </c>
      <c r="S491" s="229" t="s">
        <v>16</v>
      </c>
      <c r="T491" s="229" t="s">
        <v>375</v>
      </c>
      <c r="U491" s="229" t="s">
        <v>331</v>
      </c>
      <c r="V491" s="229" t="s">
        <v>328</v>
      </c>
      <c r="W491" s="230" t="s">
        <v>328</v>
      </c>
      <c r="X491" s="230" t="s">
        <v>328</v>
      </c>
      <c r="Y491" s="231" t="s">
        <v>328</v>
      </c>
    </row>
    <row r="492" spans="1:25">
      <c r="A492" s="223">
        <v>13</v>
      </c>
      <c r="B492" s="224" t="str">
        <f>VLOOKUP(Tabel10[[#This Row],[Locatiecode]],Ruimtegroepen[[#All],[Code]:[Ruimte omschrijving]],2,FALSE)</f>
        <v>Personeelskamer</v>
      </c>
      <c r="C492" s="225" t="s">
        <v>895</v>
      </c>
      <c r="D492" s="224" t="s">
        <v>13</v>
      </c>
      <c r="E492" s="226" t="s">
        <v>120</v>
      </c>
      <c r="F492" s="225" t="s">
        <v>897</v>
      </c>
      <c r="G492" s="228" t="s">
        <v>407</v>
      </c>
      <c r="H492" s="228" t="s">
        <v>15</v>
      </c>
      <c r="I492" s="228" t="s">
        <v>328</v>
      </c>
      <c r="J492" s="228" t="s">
        <v>328</v>
      </c>
      <c r="K492" s="228" t="s">
        <v>328</v>
      </c>
      <c r="L492" s="228" t="s">
        <v>328</v>
      </c>
      <c r="M492" s="228" t="s">
        <v>328</v>
      </c>
      <c r="N492" s="228" t="s">
        <v>328</v>
      </c>
      <c r="O492" s="229" t="s">
        <v>15</v>
      </c>
      <c r="P492" s="229" t="s">
        <v>15</v>
      </c>
      <c r="Q492" s="229" t="s">
        <v>15</v>
      </c>
      <c r="R492" s="229" t="s">
        <v>15</v>
      </c>
      <c r="S492" s="229" t="s">
        <v>16</v>
      </c>
      <c r="T492" s="229" t="s">
        <v>375</v>
      </c>
      <c r="U492" s="229" t="s">
        <v>331</v>
      </c>
      <c r="V492" s="229" t="s">
        <v>328</v>
      </c>
      <c r="W492" s="230" t="s">
        <v>328</v>
      </c>
      <c r="X492" s="230" t="s">
        <v>328</v>
      </c>
      <c r="Y492" s="231" t="s">
        <v>328</v>
      </c>
    </row>
    <row r="493" spans="1:25">
      <c r="A493" s="223">
        <v>13</v>
      </c>
      <c r="B493" s="224" t="str">
        <f>VLOOKUP(Tabel10[[#This Row],[Locatiecode]],Ruimtegroepen[[#All],[Code]:[Ruimte omschrijving]],2,FALSE)</f>
        <v>Personeelskamer</v>
      </c>
      <c r="C493" s="225" t="s">
        <v>895</v>
      </c>
      <c r="D493" s="224" t="s">
        <v>13</v>
      </c>
      <c r="E493" s="226" t="s">
        <v>122</v>
      </c>
      <c r="F493" s="225" t="s">
        <v>898</v>
      </c>
      <c r="G493" s="228" t="s">
        <v>328</v>
      </c>
      <c r="H493" s="228" t="s">
        <v>328</v>
      </c>
      <c r="I493" s="228" t="s">
        <v>15</v>
      </c>
      <c r="J493" s="228" t="s">
        <v>15</v>
      </c>
      <c r="K493" s="228" t="s">
        <v>16</v>
      </c>
      <c r="L493" s="228" t="s">
        <v>328</v>
      </c>
      <c r="M493" s="228" t="s">
        <v>328</v>
      </c>
      <c r="N493" s="228" t="s">
        <v>328</v>
      </c>
      <c r="O493" s="229" t="s">
        <v>15</v>
      </c>
      <c r="P493" s="229" t="s">
        <v>15</v>
      </c>
      <c r="Q493" s="229" t="s">
        <v>15</v>
      </c>
      <c r="R493" s="229" t="s">
        <v>15</v>
      </c>
      <c r="S493" s="229" t="s">
        <v>16</v>
      </c>
      <c r="T493" s="229" t="s">
        <v>375</v>
      </c>
      <c r="U493" s="229" t="s">
        <v>331</v>
      </c>
      <c r="V493" s="229" t="s">
        <v>328</v>
      </c>
      <c r="W493" s="230" t="s">
        <v>328</v>
      </c>
      <c r="X493" s="230" t="s">
        <v>328</v>
      </c>
      <c r="Y493" s="231" t="s">
        <v>328</v>
      </c>
    </row>
    <row r="494" spans="1:25">
      <c r="A494" s="223">
        <v>13</v>
      </c>
      <c r="B494" s="224" t="str">
        <f>VLOOKUP(Tabel10[[#This Row],[Locatiecode]],Ruimtegroepen[[#All],[Code]:[Ruimte omschrijving]],2,FALSE)</f>
        <v>Personeelskamer</v>
      </c>
      <c r="C494" s="225" t="s">
        <v>895</v>
      </c>
      <c r="D494" s="224" t="s">
        <v>13</v>
      </c>
      <c r="E494" s="226" t="s">
        <v>123</v>
      </c>
      <c r="F494" s="225" t="s">
        <v>899</v>
      </c>
      <c r="G494" s="228" t="s">
        <v>328</v>
      </c>
      <c r="H494" s="228" t="s">
        <v>328</v>
      </c>
      <c r="I494" s="228" t="s">
        <v>15</v>
      </c>
      <c r="J494" s="228" t="s">
        <v>15</v>
      </c>
      <c r="K494" s="228" t="s">
        <v>16</v>
      </c>
      <c r="L494" s="228" t="s">
        <v>328</v>
      </c>
      <c r="M494" s="228" t="s">
        <v>328</v>
      </c>
      <c r="N494" s="228" t="s">
        <v>328</v>
      </c>
      <c r="O494" s="229" t="s">
        <v>15</v>
      </c>
      <c r="P494" s="229" t="s">
        <v>15</v>
      </c>
      <c r="Q494" s="229" t="s">
        <v>15</v>
      </c>
      <c r="R494" s="229" t="s">
        <v>15</v>
      </c>
      <c r="S494" s="229" t="s">
        <v>16</v>
      </c>
      <c r="T494" s="229" t="s">
        <v>375</v>
      </c>
      <c r="U494" s="229" t="s">
        <v>331</v>
      </c>
      <c r="V494" s="229" t="s">
        <v>328</v>
      </c>
      <c r="W494" s="230" t="s">
        <v>328</v>
      </c>
      <c r="X494" s="230" t="s">
        <v>328</v>
      </c>
      <c r="Y494" s="231" t="s">
        <v>328</v>
      </c>
    </row>
    <row r="495" spans="1:25">
      <c r="A495" s="223">
        <v>13</v>
      </c>
      <c r="B495" s="224" t="str">
        <f>VLOOKUP(Tabel10[[#This Row],[Locatiecode]],Ruimtegroepen[[#All],[Code]:[Ruimte omschrijving]],2,FALSE)</f>
        <v>Personeelskamer</v>
      </c>
      <c r="C495" s="225" t="s">
        <v>900</v>
      </c>
      <c r="D495" s="224" t="s">
        <v>0</v>
      </c>
      <c r="E495" s="226" t="s">
        <v>121</v>
      </c>
      <c r="F495" s="225" t="s">
        <v>901</v>
      </c>
      <c r="G495" s="228" t="s">
        <v>328</v>
      </c>
      <c r="H495" s="228" t="s">
        <v>328</v>
      </c>
      <c r="I495" s="228" t="s">
        <v>16</v>
      </c>
      <c r="J495" s="228" t="s">
        <v>328</v>
      </c>
      <c r="K495" s="228" t="s">
        <v>16</v>
      </c>
      <c r="L495" s="228" t="s">
        <v>328</v>
      </c>
      <c r="M495" s="228" t="s">
        <v>328</v>
      </c>
      <c r="N495" s="228" t="s">
        <v>328</v>
      </c>
      <c r="O495" s="229" t="s">
        <v>16</v>
      </c>
      <c r="P495" s="229" t="s">
        <v>16</v>
      </c>
      <c r="Q495" s="229" t="s">
        <v>16</v>
      </c>
      <c r="R495" s="229" t="s">
        <v>16</v>
      </c>
      <c r="S495" s="229" t="s">
        <v>16</v>
      </c>
      <c r="T495" s="229" t="s">
        <v>375</v>
      </c>
      <c r="U495" s="229" t="s">
        <v>331</v>
      </c>
      <c r="V495" s="229" t="s">
        <v>328</v>
      </c>
      <c r="W495" s="230" t="s">
        <v>328</v>
      </c>
      <c r="X495" s="230" t="s">
        <v>328</v>
      </c>
      <c r="Y495" s="231" t="s">
        <v>328</v>
      </c>
    </row>
    <row r="496" spans="1:25">
      <c r="A496" s="223">
        <v>13</v>
      </c>
      <c r="B496" s="224" t="str">
        <f>VLOOKUP(Tabel10[[#This Row],[Locatiecode]],Ruimtegroepen[[#All],[Code]:[Ruimte omschrijving]],2,FALSE)</f>
        <v>Personeelskamer</v>
      </c>
      <c r="C496" s="225" t="s">
        <v>900</v>
      </c>
      <c r="D496" s="224" t="s">
        <v>0</v>
      </c>
      <c r="E496" s="226" t="s">
        <v>120</v>
      </c>
      <c r="F496" s="225" t="s">
        <v>902</v>
      </c>
      <c r="G496" s="228" t="s">
        <v>407</v>
      </c>
      <c r="H496" s="228" t="s">
        <v>16</v>
      </c>
      <c r="I496" s="228" t="s">
        <v>328</v>
      </c>
      <c r="J496" s="228" t="s">
        <v>328</v>
      </c>
      <c r="K496" s="228" t="s">
        <v>328</v>
      </c>
      <c r="L496" s="228" t="s">
        <v>328</v>
      </c>
      <c r="M496" s="228" t="s">
        <v>328</v>
      </c>
      <c r="N496" s="228" t="s">
        <v>328</v>
      </c>
      <c r="O496" s="229" t="s">
        <v>16</v>
      </c>
      <c r="P496" s="229" t="s">
        <v>16</v>
      </c>
      <c r="Q496" s="229" t="s">
        <v>16</v>
      </c>
      <c r="R496" s="229" t="s">
        <v>16</v>
      </c>
      <c r="S496" s="229" t="s">
        <v>16</v>
      </c>
      <c r="T496" s="229" t="s">
        <v>375</v>
      </c>
      <c r="U496" s="229" t="s">
        <v>331</v>
      </c>
      <c r="V496" s="229" t="s">
        <v>328</v>
      </c>
      <c r="W496" s="230" t="s">
        <v>328</v>
      </c>
      <c r="X496" s="230" t="s">
        <v>328</v>
      </c>
      <c r="Y496" s="231" t="s">
        <v>328</v>
      </c>
    </row>
    <row r="497" spans="1:25">
      <c r="A497" s="223">
        <v>13</v>
      </c>
      <c r="B497" s="224" t="str">
        <f>VLOOKUP(Tabel10[[#This Row],[Locatiecode]],Ruimtegroepen[[#All],[Code]:[Ruimte omschrijving]],2,FALSE)</f>
        <v>Personeelskamer</v>
      </c>
      <c r="C497" s="225" t="s">
        <v>900</v>
      </c>
      <c r="D497" s="224" t="s">
        <v>0</v>
      </c>
      <c r="E497" s="226" t="s">
        <v>122</v>
      </c>
      <c r="F497" s="225" t="s">
        <v>903</v>
      </c>
      <c r="G497" s="228" t="s">
        <v>328</v>
      </c>
      <c r="H497" s="228" t="s">
        <v>328</v>
      </c>
      <c r="I497" s="228" t="s">
        <v>16</v>
      </c>
      <c r="J497" s="228" t="s">
        <v>407</v>
      </c>
      <c r="K497" s="228" t="s">
        <v>16</v>
      </c>
      <c r="L497" s="228" t="s">
        <v>328</v>
      </c>
      <c r="M497" s="228" t="s">
        <v>328</v>
      </c>
      <c r="N497" s="228" t="s">
        <v>328</v>
      </c>
      <c r="O497" s="229" t="s">
        <v>16</v>
      </c>
      <c r="P497" s="229" t="s">
        <v>16</v>
      </c>
      <c r="Q497" s="229" t="s">
        <v>16</v>
      </c>
      <c r="R497" s="229" t="s">
        <v>16</v>
      </c>
      <c r="S497" s="229" t="s">
        <v>16</v>
      </c>
      <c r="T497" s="229" t="s">
        <v>375</v>
      </c>
      <c r="U497" s="229" t="s">
        <v>331</v>
      </c>
      <c r="V497" s="229" t="s">
        <v>328</v>
      </c>
      <c r="W497" s="230" t="s">
        <v>328</v>
      </c>
      <c r="X497" s="230" t="s">
        <v>328</v>
      </c>
      <c r="Y497" s="231" t="s">
        <v>328</v>
      </c>
    </row>
    <row r="498" spans="1:25">
      <c r="A498" s="223">
        <v>13</v>
      </c>
      <c r="B498" s="224" t="str">
        <f>VLOOKUP(Tabel10[[#This Row],[Locatiecode]],Ruimtegroepen[[#All],[Code]:[Ruimte omschrijving]],2,FALSE)</f>
        <v>Personeelskamer</v>
      </c>
      <c r="C498" s="225" t="s">
        <v>900</v>
      </c>
      <c r="D498" s="224" t="s">
        <v>0</v>
      </c>
      <c r="E498" s="226" t="s">
        <v>123</v>
      </c>
      <c r="F498" s="225" t="s">
        <v>904</v>
      </c>
      <c r="G498" s="228" t="s">
        <v>328</v>
      </c>
      <c r="H498" s="228" t="s">
        <v>328</v>
      </c>
      <c r="I498" s="228" t="s">
        <v>16</v>
      </c>
      <c r="J498" s="228" t="s">
        <v>328</v>
      </c>
      <c r="K498" s="228" t="s">
        <v>16</v>
      </c>
      <c r="L498" s="228" t="s">
        <v>328</v>
      </c>
      <c r="M498" s="228" t="s">
        <v>328</v>
      </c>
      <c r="N498" s="228" t="s">
        <v>328</v>
      </c>
      <c r="O498" s="229" t="s">
        <v>16</v>
      </c>
      <c r="P498" s="229" t="s">
        <v>16</v>
      </c>
      <c r="Q498" s="229" t="s">
        <v>16</v>
      </c>
      <c r="R498" s="229" t="s">
        <v>16</v>
      </c>
      <c r="S498" s="229" t="s">
        <v>16</v>
      </c>
      <c r="T498" s="229" t="s">
        <v>375</v>
      </c>
      <c r="U498" s="229" t="s">
        <v>331</v>
      </c>
      <c r="V498" s="229" t="s">
        <v>328</v>
      </c>
      <c r="W498" s="230" t="s">
        <v>328</v>
      </c>
      <c r="X498" s="230" t="s">
        <v>328</v>
      </c>
      <c r="Y498" s="231" t="s">
        <v>328</v>
      </c>
    </row>
    <row r="499" spans="1:25">
      <c r="A499" s="223">
        <v>13</v>
      </c>
      <c r="B499" s="224" t="str">
        <f>VLOOKUP(Tabel10[[#This Row],[Locatiecode]],Ruimtegroepen[[#All],[Code]:[Ruimte omschrijving]],2,FALSE)</f>
        <v>Personeelskamer</v>
      </c>
      <c r="C499" s="225" t="s">
        <v>905</v>
      </c>
      <c r="D499" s="224" t="s">
        <v>30</v>
      </c>
      <c r="E499" s="226" t="s">
        <v>121</v>
      </c>
      <c r="F499" s="225" t="s">
        <v>906</v>
      </c>
      <c r="G499" s="228" t="s">
        <v>328</v>
      </c>
      <c r="H499" s="228" t="s">
        <v>328</v>
      </c>
      <c r="I499" s="228" t="s">
        <v>15</v>
      </c>
      <c r="J499" s="228" t="s">
        <v>15</v>
      </c>
      <c r="K499" s="228" t="s">
        <v>15</v>
      </c>
      <c r="L499" s="228" t="s">
        <v>328</v>
      </c>
      <c r="M499" s="228" t="s">
        <v>328</v>
      </c>
      <c r="N499" s="228" t="s">
        <v>328</v>
      </c>
      <c r="O499" s="229" t="s">
        <v>15</v>
      </c>
      <c r="P499" s="229" t="s">
        <v>15</v>
      </c>
      <c r="Q499" s="229" t="s">
        <v>15</v>
      </c>
      <c r="R499" s="229" t="s">
        <v>15</v>
      </c>
      <c r="S499" s="229" t="s">
        <v>328</v>
      </c>
      <c r="T499" s="229" t="s">
        <v>328</v>
      </c>
      <c r="U499" s="229" t="s">
        <v>328</v>
      </c>
      <c r="V499" s="229" t="s">
        <v>328</v>
      </c>
      <c r="W499" s="230" t="s">
        <v>328</v>
      </c>
      <c r="X499" s="230" t="s">
        <v>328</v>
      </c>
      <c r="Y499" s="231" t="s">
        <v>328</v>
      </c>
    </row>
    <row r="500" spans="1:25">
      <c r="A500" s="223">
        <v>13</v>
      </c>
      <c r="B500" s="224" t="str">
        <f>VLOOKUP(Tabel10[[#This Row],[Locatiecode]],Ruimtegroepen[[#All],[Code]:[Ruimte omschrijving]],2,FALSE)</f>
        <v>Personeelskamer</v>
      </c>
      <c r="C500" s="225" t="s">
        <v>905</v>
      </c>
      <c r="D500" s="224" t="s">
        <v>30</v>
      </c>
      <c r="E500" s="226" t="s">
        <v>120</v>
      </c>
      <c r="F500" s="225" t="s">
        <v>907</v>
      </c>
      <c r="G500" s="228" t="s">
        <v>407</v>
      </c>
      <c r="H500" s="228" t="s">
        <v>15</v>
      </c>
      <c r="I500" s="228" t="s">
        <v>328</v>
      </c>
      <c r="J500" s="228" t="s">
        <v>328</v>
      </c>
      <c r="K500" s="228" t="s">
        <v>328</v>
      </c>
      <c r="L500" s="228" t="s">
        <v>328</v>
      </c>
      <c r="M500" s="228" t="s">
        <v>328</v>
      </c>
      <c r="N500" s="228" t="s">
        <v>328</v>
      </c>
      <c r="O500" s="229" t="s">
        <v>15</v>
      </c>
      <c r="P500" s="229" t="s">
        <v>15</v>
      </c>
      <c r="Q500" s="229" t="s">
        <v>15</v>
      </c>
      <c r="R500" s="229" t="s">
        <v>15</v>
      </c>
      <c r="S500" s="229" t="s">
        <v>328</v>
      </c>
      <c r="T500" s="229" t="s">
        <v>328</v>
      </c>
      <c r="U500" s="229" t="s">
        <v>328</v>
      </c>
      <c r="V500" s="229" t="s">
        <v>328</v>
      </c>
      <c r="W500" s="230" t="s">
        <v>328</v>
      </c>
      <c r="X500" s="230" t="s">
        <v>328</v>
      </c>
      <c r="Y500" s="231" t="s">
        <v>328</v>
      </c>
    </row>
    <row r="501" spans="1:25">
      <c r="A501" s="223">
        <v>13</v>
      </c>
      <c r="B501" s="224" t="str">
        <f>VLOOKUP(Tabel10[[#This Row],[Locatiecode]],Ruimtegroepen[[#All],[Code]:[Ruimte omschrijving]],2,FALSE)</f>
        <v>Personeelskamer</v>
      </c>
      <c r="C501" s="225" t="s">
        <v>905</v>
      </c>
      <c r="D501" s="224" t="s">
        <v>30</v>
      </c>
      <c r="E501" s="226" t="s">
        <v>122</v>
      </c>
      <c r="F501" s="225" t="s">
        <v>908</v>
      </c>
      <c r="G501" s="228" t="s">
        <v>328</v>
      </c>
      <c r="H501" s="228" t="s">
        <v>328</v>
      </c>
      <c r="I501" s="228" t="s">
        <v>15</v>
      </c>
      <c r="J501" s="228" t="s">
        <v>15</v>
      </c>
      <c r="K501" s="228" t="s">
        <v>15</v>
      </c>
      <c r="L501" s="228" t="s">
        <v>328</v>
      </c>
      <c r="M501" s="228" t="s">
        <v>328</v>
      </c>
      <c r="N501" s="228" t="s">
        <v>328</v>
      </c>
      <c r="O501" s="229" t="s">
        <v>15</v>
      </c>
      <c r="P501" s="229" t="s">
        <v>15</v>
      </c>
      <c r="Q501" s="229" t="s">
        <v>15</v>
      </c>
      <c r="R501" s="229" t="s">
        <v>15</v>
      </c>
      <c r="S501" s="229" t="s">
        <v>328</v>
      </c>
      <c r="T501" s="229" t="s">
        <v>328</v>
      </c>
      <c r="U501" s="229" t="s">
        <v>328</v>
      </c>
      <c r="V501" s="229" t="s">
        <v>328</v>
      </c>
      <c r="W501" s="230" t="s">
        <v>328</v>
      </c>
      <c r="X501" s="230" t="s">
        <v>328</v>
      </c>
      <c r="Y501" s="231" t="s">
        <v>328</v>
      </c>
    </row>
    <row r="502" spans="1:25">
      <c r="A502" s="223">
        <v>13</v>
      </c>
      <c r="B502" s="224" t="str">
        <f>VLOOKUP(Tabel10[[#This Row],[Locatiecode]],Ruimtegroepen[[#All],[Code]:[Ruimte omschrijving]],2,FALSE)</f>
        <v>Personeelskamer</v>
      </c>
      <c r="C502" s="225" t="s">
        <v>905</v>
      </c>
      <c r="D502" s="224" t="s">
        <v>30</v>
      </c>
      <c r="E502" s="226" t="s">
        <v>123</v>
      </c>
      <c r="F502" s="225" t="s">
        <v>909</v>
      </c>
      <c r="G502" s="228" t="s">
        <v>328</v>
      </c>
      <c r="H502" s="228" t="s">
        <v>328</v>
      </c>
      <c r="I502" s="228" t="s">
        <v>15</v>
      </c>
      <c r="J502" s="228" t="s">
        <v>15</v>
      </c>
      <c r="K502" s="228" t="s">
        <v>15</v>
      </c>
      <c r="L502" s="228" t="s">
        <v>328</v>
      </c>
      <c r="M502" s="228" t="s">
        <v>328</v>
      </c>
      <c r="N502" s="228" t="s">
        <v>328</v>
      </c>
      <c r="O502" s="229" t="s">
        <v>15</v>
      </c>
      <c r="P502" s="229" t="s">
        <v>15</v>
      </c>
      <c r="Q502" s="229" t="s">
        <v>15</v>
      </c>
      <c r="R502" s="229" t="s">
        <v>15</v>
      </c>
      <c r="S502" s="229" t="s">
        <v>328</v>
      </c>
      <c r="T502" s="229" t="s">
        <v>328</v>
      </c>
      <c r="U502" s="229" t="s">
        <v>328</v>
      </c>
      <c r="V502" s="229" t="s">
        <v>328</v>
      </c>
      <c r="W502" s="230" t="s">
        <v>328</v>
      </c>
      <c r="X502" s="230" t="s">
        <v>328</v>
      </c>
      <c r="Y502" s="231" t="s">
        <v>328</v>
      </c>
    </row>
    <row r="503" spans="1:25">
      <c r="A503" s="223">
        <v>13</v>
      </c>
      <c r="B503" s="224" t="str">
        <f>VLOOKUP(Tabel10[[#This Row],[Locatiecode]],Ruimtegroepen[[#All],[Code]:[Ruimte omschrijving]],2,FALSE)</f>
        <v>Personeelskamer</v>
      </c>
      <c r="C503" s="225" t="s">
        <v>910</v>
      </c>
      <c r="D503" s="224" t="s">
        <v>31</v>
      </c>
      <c r="E503" s="226" t="s">
        <v>121</v>
      </c>
      <c r="F503" s="225" t="s">
        <v>911</v>
      </c>
      <c r="G503" s="228" t="s">
        <v>328</v>
      </c>
      <c r="H503" s="228" t="s">
        <v>328</v>
      </c>
      <c r="I503" s="228" t="s">
        <v>17</v>
      </c>
      <c r="J503" s="228" t="s">
        <v>15</v>
      </c>
      <c r="K503" s="228" t="s">
        <v>16</v>
      </c>
      <c r="L503" s="228" t="s">
        <v>328</v>
      </c>
      <c r="M503" s="228" t="s">
        <v>328</v>
      </c>
      <c r="N503" s="228" t="s">
        <v>328</v>
      </c>
      <c r="O503" s="229" t="s">
        <v>17</v>
      </c>
      <c r="P503" s="229" t="s">
        <v>17</v>
      </c>
      <c r="Q503" s="229" t="s">
        <v>15</v>
      </c>
      <c r="R503" s="229" t="s">
        <v>15</v>
      </c>
      <c r="S503" s="229" t="s">
        <v>328</v>
      </c>
      <c r="T503" s="229" t="s">
        <v>328</v>
      </c>
      <c r="U503" s="229" t="s">
        <v>328</v>
      </c>
      <c r="V503" s="229" t="s">
        <v>328</v>
      </c>
      <c r="W503" s="230" t="s">
        <v>328</v>
      </c>
      <c r="X503" s="230" t="s">
        <v>328</v>
      </c>
      <c r="Y503" s="231" t="s">
        <v>328</v>
      </c>
    </row>
    <row r="504" spans="1:25">
      <c r="A504" s="223">
        <v>13</v>
      </c>
      <c r="B504" s="224" t="str">
        <f>VLOOKUP(Tabel10[[#This Row],[Locatiecode]],Ruimtegroepen[[#All],[Code]:[Ruimte omschrijving]],2,FALSE)</f>
        <v>Personeelskamer</v>
      </c>
      <c r="C504" s="225" t="s">
        <v>910</v>
      </c>
      <c r="D504" s="224" t="s">
        <v>31</v>
      </c>
      <c r="E504" s="226" t="s">
        <v>120</v>
      </c>
      <c r="F504" s="225" t="s">
        <v>912</v>
      </c>
      <c r="G504" s="228" t="s">
        <v>15</v>
      </c>
      <c r="H504" s="228" t="s">
        <v>15</v>
      </c>
      <c r="I504" s="228" t="s">
        <v>328</v>
      </c>
      <c r="J504" s="228" t="s">
        <v>328</v>
      </c>
      <c r="K504" s="228" t="s">
        <v>328</v>
      </c>
      <c r="L504" s="228" t="s">
        <v>328</v>
      </c>
      <c r="M504" s="228" t="s">
        <v>328</v>
      </c>
      <c r="N504" s="228" t="s">
        <v>328</v>
      </c>
      <c r="O504" s="229" t="s">
        <v>17</v>
      </c>
      <c r="P504" s="229" t="s">
        <v>17</v>
      </c>
      <c r="Q504" s="229" t="s">
        <v>15</v>
      </c>
      <c r="R504" s="229" t="s">
        <v>15</v>
      </c>
      <c r="S504" s="229" t="s">
        <v>328</v>
      </c>
      <c r="T504" s="229" t="s">
        <v>328</v>
      </c>
      <c r="U504" s="229" t="s">
        <v>328</v>
      </c>
      <c r="V504" s="229" t="s">
        <v>328</v>
      </c>
      <c r="W504" s="230" t="s">
        <v>328</v>
      </c>
      <c r="X504" s="230" t="s">
        <v>328</v>
      </c>
      <c r="Y504" s="231" t="s">
        <v>328</v>
      </c>
    </row>
    <row r="505" spans="1:25">
      <c r="A505" s="223">
        <v>13</v>
      </c>
      <c r="B505" s="224" t="str">
        <f>VLOOKUP(Tabel10[[#This Row],[Locatiecode]],Ruimtegroepen[[#All],[Code]:[Ruimte omschrijving]],2,FALSE)</f>
        <v>Personeelskamer</v>
      </c>
      <c r="C505" s="225" t="s">
        <v>910</v>
      </c>
      <c r="D505" s="224" t="s">
        <v>31</v>
      </c>
      <c r="E505" s="226" t="s">
        <v>122</v>
      </c>
      <c r="F505" s="225" t="s">
        <v>913</v>
      </c>
      <c r="G505" s="228" t="s">
        <v>328</v>
      </c>
      <c r="H505" s="228" t="s">
        <v>328</v>
      </c>
      <c r="I505" s="228" t="s">
        <v>17</v>
      </c>
      <c r="J505" s="228" t="s">
        <v>15</v>
      </c>
      <c r="K505" s="228" t="s">
        <v>16</v>
      </c>
      <c r="L505" s="228" t="s">
        <v>328</v>
      </c>
      <c r="M505" s="228" t="s">
        <v>328</v>
      </c>
      <c r="N505" s="228" t="s">
        <v>328</v>
      </c>
      <c r="O505" s="229" t="s">
        <v>17</v>
      </c>
      <c r="P505" s="229" t="s">
        <v>17</v>
      </c>
      <c r="Q505" s="229" t="s">
        <v>15</v>
      </c>
      <c r="R505" s="229" t="s">
        <v>15</v>
      </c>
      <c r="S505" s="229" t="s">
        <v>328</v>
      </c>
      <c r="T505" s="229" t="s">
        <v>328</v>
      </c>
      <c r="U505" s="229" t="s">
        <v>328</v>
      </c>
      <c r="V505" s="229" t="s">
        <v>328</v>
      </c>
      <c r="W505" s="230" t="s">
        <v>328</v>
      </c>
      <c r="X505" s="230" t="s">
        <v>328</v>
      </c>
      <c r="Y505" s="231" t="s">
        <v>328</v>
      </c>
    </row>
    <row r="506" spans="1:25">
      <c r="A506" s="223">
        <v>13</v>
      </c>
      <c r="B506" s="224" t="str">
        <f>VLOOKUP(Tabel10[[#This Row],[Locatiecode]],Ruimtegroepen[[#All],[Code]:[Ruimte omschrijving]],2,FALSE)</f>
        <v>Personeelskamer</v>
      </c>
      <c r="C506" s="225" t="s">
        <v>910</v>
      </c>
      <c r="D506" s="224" t="s">
        <v>31</v>
      </c>
      <c r="E506" s="226" t="s">
        <v>123</v>
      </c>
      <c r="F506" s="225" t="s">
        <v>914</v>
      </c>
      <c r="G506" s="228" t="s">
        <v>328</v>
      </c>
      <c r="H506" s="228" t="s">
        <v>328</v>
      </c>
      <c r="I506" s="228" t="s">
        <v>17</v>
      </c>
      <c r="J506" s="228" t="s">
        <v>15</v>
      </c>
      <c r="K506" s="228" t="s">
        <v>16</v>
      </c>
      <c r="L506" s="228" t="s">
        <v>328</v>
      </c>
      <c r="M506" s="228" t="s">
        <v>328</v>
      </c>
      <c r="N506" s="228" t="s">
        <v>328</v>
      </c>
      <c r="O506" s="229" t="s">
        <v>17</v>
      </c>
      <c r="P506" s="229" t="s">
        <v>17</v>
      </c>
      <c r="Q506" s="229" t="s">
        <v>15</v>
      </c>
      <c r="R506" s="229" t="s">
        <v>15</v>
      </c>
      <c r="S506" s="229" t="s">
        <v>328</v>
      </c>
      <c r="T506" s="229" t="s">
        <v>328</v>
      </c>
      <c r="U506" s="229" t="s">
        <v>328</v>
      </c>
      <c r="V506" s="229" t="s">
        <v>328</v>
      </c>
      <c r="W506" s="230" t="s">
        <v>328</v>
      </c>
      <c r="X506" s="230" t="s">
        <v>328</v>
      </c>
      <c r="Y506" s="231" t="s">
        <v>328</v>
      </c>
    </row>
    <row r="507" spans="1:25">
      <c r="A507" s="223">
        <v>14</v>
      </c>
      <c r="B507" s="224" t="str">
        <f>VLOOKUP(Tabel10[[#This Row],[Locatiecode]],Ruimtegroepen[[#All],[Code]:[Ruimte omschrijving]],2,FALSE)</f>
        <v>TOA ruimte</v>
      </c>
      <c r="C507" s="225" t="s">
        <v>915</v>
      </c>
      <c r="D507" s="224" t="s">
        <v>32</v>
      </c>
      <c r="E507" s="226" t="s">
        <v>121</v>
      </c>
      <c r="F507" s="225" t="s">
        <v>916</v>
      </c>
      <c r="G507" s="228" t="s">
        <v>328</v>
      </c>
      <c r="H507" s="228" t="s">
        <v>328</v>
      </c>
      <c r="I507" s="228" t="s">
        <v>2</v>
      </c>
      <c r="J507" s="228" t="s">
        <v>20</v>
      </c>
      <c r="K507" s="228" t="s">
        <v>15</v>
      </c>
      <c r="L507" s="228" t="s">
        <v>328</v>
      </c>
      <c r="M507" s="228" t="s">
        <v>328</v>
      </c>
      <c r="N507" s="228" t="s">
        <v>2</v>
      </c>
      <c r="O507" s="229" t="s">
        <v>2</v>
      </c>
      <c r="P507" s="229" t="s">
        <v>2</v>
      </c>
      <c r="Q507" s="229" t="s">
        <v>15</v>
      </c>
      <c r="R507" s="229" t="s">
        <v>15</v>
      </c>
      <c r="S507" s="229" t="s">
        <v>16</v>
      </c>
      <c r="T507" s="229" t="s">
        <v>375</v>
      </c>
      <c r="U507" s="229" t="s">
        <v>331</v>
      </c>
      <c r="V507" s="229" t="s">
        <v>2</v>
      </c>
      <c r="W507" s="230" t="s">
        <v>328</v>
      </c>
      <c r="X507" s="230" t="s">
        <v>328</v>
      </c>
      <c r="Y507" s="231" t="s">
        <v>328</v>
      </c>
    </row>
    <row r="508" spans="1:25">
      <c r="A508" s="223">
        <v>14</v>
      </c>
      <c r="B508" s="224" t="str">
        <f>VLOOKUP(Tabel10[[#This Row],[Locatiecode]],Ruimtegroepen[[#All],[Code]:[Ruimte omschrijving]],2,FALSE)</f>
        <v>TOA ruimte</v>
      </c>
      <c r="C508" s="225" t="s">
        <v>915</v>
      </c>
      <c r="D508" s="224" t="s">
        <v>32</v>
      </c>
      <c r="E508" s="226" t="s">
        <v>120</v>
      </c>
      <c r="F508" s="225" t="s">
        <v>917</v>
      </c>
      <c r="G508" s="228" t="s">
        <v>20</v>
      </c>
      <c r="H508" s="228" t="s">
        <v>15</v>
      </c>
      <c r="I508" s="228" t="s">
        <v>328</v>
      </c>
      <c r="J508" s="228" t="s">
        <v>328</v>
      </c>
      <c r="K508" s="228" t="s">
        <v>328</v>
      </c>
      <c r="L508" s="228" t="s">
        <v>328</v>
      </c>
      <c r="M508" s="228" t="s">
        <v>328</v>
      </c>
      <c r="N508" s="228" t="s">
        <v>2</v>
      </c>
      <c r="O508" s="229" t="s">
        <v>2</v>
      </c>
      <c r="P508" s="229" t="s">
        <v>2</v>
      </c>
      <c r="Q508" s="229" t="s">
        <v>15</v>
      </c>
      <c r="R508" s="229" t="s">
        <v>15</v>
      </c>
      <c r="S508" s="229" t="s">
        <v>16</v>
      </c>
      <c r="T508" s="229" t="s">
        <v>375</v>
      </c>
      <c r="U508" s="229" t="s">
        <v>331</v>
      </c>
      <c r="V508" s="229" t="s">
        <v>2</v>
      </c>
      <c r="W508" s="230" t="s">
        <v>328</v>
      </c>
      <c r="X508" s="230" t="s">
        <v>328</v>
      </c>
      <c r="Y508" s="231" t="s">
        <v>328</v>
      </c>
    </row>
    <row r="509" spans="1:25">
      <c r="A509" s="223">
        <v>14</v>
      </c>
      <c r="B509" s="224" t="str">
        <f>VLOOKUP(Tabel10[[#This Row],[Locatiecode]],Ruimtegroepen[[#All],[Code]:[Ruimte omschrijving]],2,FALSE)</f>
        <v>TOA ruimte</v>
      </c>
      <c r="C509" s="225" t="s">
        <v>915</v>
      </c>
      <c r="D509" s="224" t="s">
        <v>32</v>
      </c>
      <c r="E509" s="226" t="s">
        <v>122</v>
      </c>
      <c r="F509" s="225" t="s">
        <v>918</v>
      </c>
      <c r="G509" s="228" t="s">
        <v>328</v>
      </c>
      <c r="H509" s="228" t="s">
        <v>328</v>
      </c>
      <c r="I509" s="228" t="s">
        <v>2</v>
      </c>
      <c r="J509" s="228" t="s">
        <v>20</v>
      </c>
      <c r="K509" s="228" t="s">
        <v>15</v>
      </c>
      <c r="L509" s="228" t="s">
        <v>328</v>
      </c>
      <c r="M509" s="228" t="s">
        <v>328</v>
      </c>
      <c r="N509" s="228" t="s">
        <v>2</v>
      </c>
      <c r="O509" s="229" t="s">
        <v>2</v>
      </c>
      <c r="P509" s="229" t="s">
        <v>2</v>
      </c>
      <c r="Q509" s="229" t="s">
        <v>15</v>
      </c>
      <c r="R509" s="229" t="s">
        <v>15</v>
      </c>
      <c r="S509" s="229" t="s">
        <v>16</v>
      </c>
      <c r="T509" s="229" t="s">
        <v>375</v>
      </c>
      <c r="U509" s="229" t="s">
        <v>331</v>
      </c>
      <c r="V509" s="229" t="s">
        <v>2</v>
      </c>
      <c r="W509" s="230" t="s">
        <v>328</v>
      </c>
      <c r="X509" s="230" t="s">
        <v>328</v>
      </c>
      <c r="Y509" s="231" t="s">
        <v>328</v>
      </c>
    </row>
    <row r="510" spans="1:25">
      <c r="A510" s="223">
        <v>14</v>
      </c>
      <c r="B510" s="224" t="str">
        <f>VLOOKUP(Tabel10[[#This Row],[Locatiecode]],Ruimtegroepen[[#All],[Code]:[Ruimte omschrijving]],2,FALSE)</f>
        <v>TOA ruimte</v>
      </c>
      <c r="C510" s="225" t="s">
        <v>915</v>
      </c>
      <c r="D510" s="224" t="s">
        <v>32</v>
      </c>
      <c r="E510" s="226" t="s">
        <v>123</v>
      </c>
      <c r="F510" s="225" t="s">
        <v>919</v>
      </c>
      <c r="G510" s="228" t="s">
        <v>328</v>
      </c>
      <c r="H510" s="228" t="s">
        <v>328</v>
      </c>
      <c r="I510" s="228" t="s">
        <v>2</v>
      </c>
      <c r="J510" s="228" t="s">
        <v>20</v>
      </c>
      <c r="K510" s="228" t="s">
        <v>15</v>
      </c>
      <c r="L510" s="228" t="s">
        <v>328</v>
      </c>
      <c r="M510" s="228" t="s">
        <v>328</v>
      </c>
      <c r="N510" s="228" t="s">
        <v>2</v>
      </c>
      <c r="O510" s="229" t="s">
        <v>2</v>
      </c>
      <c r="P510" s="229" t="s">
        <v>2</v>
      </c>
      <c r="Q510" s="229" t="s">
        <v>15</v>
      </c>
      <c r="R510" s="229" t="s">
        <v>15</v>
      </c>
      <c r="S510" s="229" t="s">
        <v>16</v>
      </c>
      <c r="T510" s="229" t="s">
        <v>375</v>
      </c>
      <c r="U510" s="229" t="s">
        <v>331</v>
      </c>
      <c r="V510" s="229" t="s">
        <v>2</v>
      </c>
      <c r="W510" s="230" t="s">
        <v>328</v>
      </c>
      <c r="X510" s="230" t="s">
        <v>328</v>
      </c>
      <c r="Y510" s="231" t="s">
        <v>328</v>
      </c>
    </row>
    <row r="511" spans="1:25">
      <c r="A511" s="223">
        <v>14</v>
      </c>
      <c r="B511" s="224" t="str">
        <f>VLOOKUP(Tabel10[[#This Row],[Locatiecode]],Ruimtegroepen[[#All],[Code]:[Ruimte omschrijving]],2,FALSE)</f>
        <v>TOA ruimte</v>
      </c>
      <c r="C511" s="225" t="s">
        <v>920</v>
      </c>
      <c r="D511" s="224" t="s">
        <v>1</v>
      </c>
      <c r="E511" s="226" t="s">
        <v>121</v>
      </c>
      <c r="F511" s="225" t="s">
        <v>921</v>
      </c>
      <c r="G511" s="228" t="s">
        <v>328</v>
      </c>
      <c r="H511" s="228" t="s">
        <v>328</v>
      </c>
      <c r="I511" s="228" t="s">
        <v>2</v>
      </c>
      <c r="J511" s="228" t="s">
        <v>20</v>
      </c>
      <c r="K511" s="228" t="s">
        <v>15</v>
      </c>
      <c r="L511" s="228" t="s">
        <v>328</v>
      </c>
      <c r="M511" s="228" t="s">
        <v>328</v>
      </c>
      <c r="N511" s="228" t="s">
        <v>328</v>
      </c>
      <c r="O511" s="229" t="s">
        <v>2</v>
      </c>
      <c r="P511" s="229" t="s">
        <v>2</v>
      </c>
      <c r="Q511" s="229" t="s">
        <v>15</v>
      </c>
      <c r="R511" s="229" t="s">
        <v>15</v>
      </c>
      <c r="S511" s="229" t="s">
        <v>16</v>
      </c>
      <c r="T511" s="229" t="s">
        <v>375</v>
      </c>
      <c r="U511" s="229" t="s">
        <v>331</v>
      </c>
      <c r="V511" s="229" t="s">
        <v>328</v>
      </c>
      <c r="W511" s="230" t="s">
        <v>328</v>
      </c>
      <c r="X511" s="230" t="s">
        <v>328</v>
      </c>
      <c r="Y511" s="231" t="s">
        <v>328</v>
      </c>
    </row>
    <row r="512" spans="1:25">
      <c r="A512" s="223">
        <v>14</v>
      </c>
      <c r="B512" s="224" t="str">
        <f>VLOOKUP(Tabel10[[#This Row],[Locatiecode]],Ruimtegroepen[[#All],[Code]:[Ruimte omschrijving]],2,FALSE)</f>
        <v>TOA ruimte</v>
      </c>
      <c r="C512" s="225" t="s">
        <v>920</v>
      </c>
      <c r="D512" s="224" t="s">
        <v>1</v>
      </c>
      <c r="E512" s="226" t="s">
        <v>120</v>
      </c>
      <c r="F512" s="225" t="s">
        <v>922</v>
      </c>
      <c r="G512" s="228" t="s">
        <v>20</v>
      </c>
      <c r="H512" s="228" t="s">
        <v>15</v>
      </c>
      <c r="I512" s="228" t="s">
        <v>328</v>
      </c>
      <c r="J512" s="228" t="s">
        <v>328</v>
      </c>
      <c r="K512" s="228" t="s">
        <v>328</v>
      </c>
      <c r="L512" s="228" t="s">
        <v>328</v>
      </c>
      <c r="M512" s="228" t="s">
        <v>328</v>
      </c>
      <c r="N512" s="228" t="s">
        <v>328</v>
      </c>
      <c r="O512" s="229" t="s">
        <v>2</v>
      </c>
      <c r="P512" s="229" t="s">
        <v>2</v>
      </c>
      <c r="Q512" s="229" t="s">
        <v>15</v>
      </c>
      <c r="R512" s="229" t="s">
        <v>15</v>
      </c>
      <c r="S512" s="229" t="s">
        <v>16</v>
      </c>
      <c r="T512" s="229" t="s">
        <v>375</v>
      </c>
      <c r="U512" s="229" t="s">
        <v>331</v>
      </c>
      <c r="V512" s="229" t="s">
        <v>328</v>
      </c>
      <c r="W512" s="230" t="s">
        <v>328</v>
      </c>
      <c r="X512" s="230" t="s">
        <v>328</v>
      </c>
      <c r="Y512" s="231" t="s">
        <v>328</v>
      </c>
    </row>
    <row r="513" spans="1:25">
      <c r="A513" s="223">
        <v>14</v>
      </c>
      <c r="B513" s="224" t="str">
        <f>VLOOKUP(Tabel10[[#This Row],[Locatiecode]],Ruimtegroepen[[#All],[Code]:[Ruimte omschrijving]],2,FALSE)</f>
        <v>TOA ruimte</v>
      </c>
      <c r="C513" s="225" t="s">
        <v>920</v>
      </c>
      <c r="D513" s="224" t="s">
        <v>1</v>
      </c>
      <c r="E513" s="226" t="s">
        <v>122</v>
      </c>
      <c r="F513" s="225" t="s">
        <v>923</v>
      </c>
      <c r="G513" s="228" t="s">
        <v>328</v>
      </c>
      <c r="H513" s="228" t="s">
        <v>328</v>
      </c>
      <c r="I513" s="228" t="s">
        <v>2</v>
      </c>
      <c r="J513" s="228" t="s">
        <v>20</v>
      </c>
      <c r="K513" s="228" t="s">
        <v>15</v>
      </c>
      <c r="L513" s="228" t="s">
        <v>328</v>
      </c>
      <c r="M513" s="228" t="s">
        <v>328</v>
      </c>
      <c r="N513" s="228" t="s">
        <v>328</v>
      </c>
      <c r="O513" s="229" t="s">
        <v>2</v>
      </c>
      <c r="P513" s="229" t="s">
        <v>2</v>
      </c>
      <c r="Q513" s="229" t="s">
        <v>15</v>
      </c>
      <c r="R513" s="229" t="s">
        <v>15</v>
      </c>
      <c r="S513" s="229" t="s">
        <v>16</v>
      </c>
      <c r="T513" s="229" t="s">
        <v>375</v>
      </c>
      <c r="U513" s="229" t="s">
        <v>331</v>
      </c>
      <c r="V513" s="229" t="s">
        <v>328</v>
      </c>
      <c r="W513" s="230" t="s">
        <v>328</v>
      </c>
      <c r="X513" s="230" t="s">
        <v>328</v>
      </c>
      <c r="Y513" s="231" t="s">
        <v>328</v>
      </c>
    </row>
    <row r="514" spans="1:25">
      <c r="A514" s="223">
        <v>14</v>
      </c>
      <c r="B514" s="224" t="str">
        <f>VLOOKUP(Tabel10[[#This Row],[Locatiecode]],Ruimtegroepen[[#All],[Code]:[Ruimte omschrijving]],2,FALSE)</f>
        <v>TOA ruimte</v>
      </c>
      <c r="C514" s="225" t="s">
        <v>920</v>
      </c>
      <c r="D514" s="224" t="s">
        <v>1</v>
      </c>
      <c r="E514" s="226" t="s">
        <v>123</v>
      </c>
      <c r="F514" s="225" t="s">
        <v>924</v>
      </c>
      <c r="G514" s="228" t="s">
        <v>328</v>
      </c>
      <c r="H514" s="228" t="s">
        <v>328</v>
      </c>
      <c r="I514" s="228" t="s">
        <v>2</v>
      </c>
      <c r="J514" s="228" t="s">
        <v>20</v>
      </c>
      <c r="K514" s="228" t="s">
        <v>15</v>
      </c>
      <c r="L514" s="228" t="s">
        <v>328</v>
      </c>
      <c r="M514" s="228" t="s">
        <v>328</v>
      </c>
      <c r="N514" s="228" t="s">
        <v>328</v>
      </c>
      <c r="O514" s="229" t="s">
        <v>2</v>
      </c>
      <c r="P514" s="229" t="s">
        <v>2</v>
      </c>
      <c r="Q514" s="229" t="s">
        <v>15</v>
      </c>
      <c r="R514" s="229" t="s">
        <v>15</v>
      </c>
      <c r="S514" s="229" t="s">
        <v>16</v>
      </c>
      <c r="T514" s="229" t="s">
        <v>375</v>
      </c>
      <c r="U514" s="229" t="s">
        <v>331</v>
      </c>
      <c r="V514" s="229" t="s">
        <v>328</v>
      </c>
      <c r="W514" s="230" t="s">
        <v>328</v>
      </c>
      <c r="X514" s="230" t="s">
        <v>328</v>
      </c>
      <c r="Y514" s="231" t="s">
        <v>328</v>
      </c>
    </row>
    <row r="515" spans="1:25">
      <c r="A515" s="223">
        <v>14</v>
      </c>
      <c r="B515" s="224" t="str">
        <f>VLOOKUP(Tabel10[[#This Row],[Locatiecode]],Ruimtegroepen[[#All],[Code]:[Ruimte omschrijving]],2,FALSE)</f>
        <v>TOA ruimte</v>
      </c>
      <c r="C515" s="225" t="s">
        <v>925</v>
      </c>
      <c r="D515" s="224" t="s">
        <v>21</v>
      </c>
      <c r="E515" s="226" t="s">
        <v>121</v>
      </c>
      <c r="F515" s="225" t="s">
        <v>926</v>
      </c>
      <c r="G515" s="228" t="s">
        <v>328</v>
      </c>
      <c r="H515" s="228" t="s">
        <v>328</v>
      </c>
      <c r="I515" s="228" t="s">
        <v>20</v>
      </c>
      <c r="J515" s="228" t="s">
        <v>18</v>
      </c>
      <c r="K515" s="228" t="s">
        <v>15</v>
      </c>
      <c r="L515" s="228" t="s">
        <v>328</v>
      </c>
      <c r="M515" s="228" t="s">
        <v>328</v>
      </c>
      <c r="N515" s="228" t="s">
        <v>328</v>
      </c>
      <c r="O515" s="229" t="s">
        <v>20</v>
      </c>
      <c r="P515" s="229" t="s">
        <v>20</v>
      </c>
      <c r="Q515" s="229" t="s">
        <v>15</v>
      </c>
      <c r="R515" s="229" t="s">
        <v>15</v>
      </c>
      <c r="S515" s="229" t="s">
        <v>16</v>
      </c>
      <c r="T515" s="229" t="s">
        <v>375</v>
      </c>
      <c r="U515" s="229" t="s">
        <v>331</v>
      </c>
      <c r="V515" s="229" t="s">
        <v>328</v>
      </c>
      <c r="W515" s="230" t="s">
        <v>328</v>
      </c>
      <c r="X515" s="230" t="s">
        <v>328</v>
      </c>
      <c r="Y515" s="231" t="s">
        <v>328</v>
      </c>
    </row>
    <row r="516" spans="1:25">
      <c r="A516" s="223">
        <v>14</v>
      </c>
      <c r="B516" s="224" t="str">
        <f>VLOOKUP(Tabel10[[#This Row],[Locatiecode]],Ruimtegroepen[[#All],[Code]:[Ruimte omschrijving]],2,FALSE)</f>
        <v>TOA ruimte</v>
      </c>
      <c r="C516" s="225" t="s">
        <v>925</v>
      </c>
      <c r="D516" s="224" t="s">
        <v>21</v>
      </c>
      <c r="E516" s="226" t="s">
        <v>120</v>
      </c>
      <c r="F516" s="225" t="s">
        <v>927</v>
      </c>
      <c r="G516" s="228" t="s">
        <v>18</v>
      </c>
      <c r="H516" s="228" t="s">
        <v>15</v>
      </c>
      <c r="I516" s="228" t="s">
        <v>328</v>
      </c>
      <c r="J516" s="228" t="s">
        <v>328</v>
      </c>
      <c r="K516" s="228" t="s">
        <v>328</v>
      </c>
      <c r="L516" s="228" t="s">
        <v>328</v>
      </c>
      <c r="M516" s="228" t="s">
        <v>328</v>
      </c>
      <c r="N516" s="228" t="s">
        <v>328</v>
      </c>
      <c r="O516" s="229" t="s">
        <v>20</v>
      </c>
      <c r="P516" s="229" t="s">
        <v>20</v>
      </c>
      <c r="Q516" s="229" t="s">
        <v>15</v>
      </c>
      <c r="R516" s="229" t="s">
        <v>15</v>
      </c>
      <c r="S516" s="229" t="s">
        <v>16</v>
      </c>
      <c r="T516" s="229" t="s">
        <v>375</v>
      </c>
      <c r="U516" s="229" t="s">
        <v>331</v>
      </c>
      <c r="V516" s="229" t="s">
        <v>328</v>
      </c>
      <c r="W516" s="230" t="s">
        <v>328</v>
      </c>
      <c r="X516" s="230" t="s">
        <v>328</v>
      </c>
      <c r="Y516" s="231" t="s">
        <v>328</v>
      </c>
    </row>
    <row r="517" spans="1:25">
      <c r="A517" s="223">
        <v>14</v>
      </c>
      <c r="B517" s="224" t="str">
        <f>VLOOKUP(Tabel10[[#This Row],[Locatiecode]],Ruimtegroepen[[#All],[Code]:[Ruimte omschrijving]],2,FALSE)</f>
        <v>TOA ruimte</v>
      </c>
      <c r="C517" s="225" t="s">
        <v>925</v>
      </c>
      <c r="D517" s="224" t="s">
        <v>21</v>
      </c>
      <c r="E517" s="226" t="s">
        <v>122</v>
      </c>
      <c r="F517" s="225" t="s">
        <v>928</v>
      </c>
      <c r="G517" s="228" t="s">
        <v>328</v>
      </c>
      <c r="H517" s="228" t="s">
        <v>328</v>
      </c>
      <c r="I517" s="228" t="s">
        <v>20</v>
      </c>
      <c r="J517" s="228" t="s">
        <v>18</v>
      </c>
      <c r="K517" s="228" t="s">
        <v>15</v>
      </c>
      <c r="L517" s="228" t="s">
        <v>328</v>
      </c>
      <c r="M517" s="228" t="s">
        <v>328</v>
      </c>
      <c r="N517" s="228" t="s">
        <v>328</v>
      </c>
      <c r="O517" s="229" t="s">
        <v>20</v>
      </c>
      <c r="P517" s="229" t="s">
        <v>20</v>
      </c>
      <c r="Q517" s="229" t="s">
        <v>15</v>
      </c>
      <c r="R517" s="229" t="s">
        <v>15</v>
      </c>
      <c r="S517" s="229" t="s">
        <v>16</v>
      </c>
      <c r="T517" s="229" t="s">
        <v>375</v>
      </c>
      <c r="U517" s="229" t="s">
        <v>331</v>
      </c>
      <c r="V517" s="229" t="s">
        <v>328</v>
      </c>
      <c r="W517" s="230" t="s">
        <v>328</v>
      </c>
      <c r="X517" s="230" t="s">
        <v>328</v>
      </c>
      <c r="Y517" s="231" t="s">
        <v>328</v>
      </c>
    </row>
    <row r="518" spans="1:25">
      <c r="A518" s="223">
        <v>14</v>
      </c>
      <c r="B518" s="224" t="str">
        <f>VLOOKUP(Tabel10[[#This Row],[Locatiecode]],Ruimtegroepen[[#All],[Code]:[Ruimte omschrijving]],2,FALSE)</f>
        <v>TOA ruimte</v>
      </c>
      <c r="C518" s="225" t="s">
        <v>925</v>
      </c>
      <c r="D518" s="224" t="s">
        <v>21</v>
      </c>
      <c r="E518" s="226" t="s">
        <v>123</v>
      </c>
      <c r="F518" s="225" t="s">
        <v>929</v>
      </c>
      <c r="G518" s="228" t="s">
        <v>328</v>
      </c>
      <c r="H518" s="228" t="s">
        <v>328</v>
      </c>
      <c r="I518" s="228" t="s">
        <v>20</v>
      </c>
      <c r="J518" s="228" t="s">
        <v>18</v>
      </c>
      <c r="K518" s="228" t="s">
        <v>15</v>
      </c>
      <c r="L518" s="228" t="s">
        <v>328</v>
      </c>
      <c r="M518" s="228" t="s">
        <v>328</v>
      </c>
      <c r="N518" s="228" t="s">
        <v>328</v>
      </c>
      <c r="O518" s="229" t="s">
        <v>20</v>
      </c>
      <c r="P518" s="229" t="s">
        <v>20</v>
      </c>
      <c r="Q518" s="229" t="s">
        <v>15</v>
      </c>
      <c r="R518" s="229" t="s">
        <v>15</v>
      </c>
      <c r="S518" s="229" t="s">
        <v>16</v>
      </c>
      <c r="T518" s="229" t="s">
        <v>375</v>
      </c>
      <c r="U518" s="229" t="s">
        <v>331</v>
      </c>
      <c r="V518" s="229" t="s">
        <v>328</v>
      </c>
      <c r="W518" s="230" t="s">
        <v>328</v>
      </c>
      <c r="X518" s="230" t="s">
        <v>328</v>
      </c>
      <c r="Y518" s="231" t="s">
        <v>328</v>
      </c>
    </row>
    <row r="519" spans="1:25">
      <c r="A519" s="223">
        <v>14</v>
      </c>
      <c r="B519" s="224" t="str">
        <f>VLOOKUP(Tabel10[[#This Row],[Locatiecode]],Ruimtegroepen[[#All],[Code]:[Ruimte omschrijving]],2,FALSE)</f>
        <v>TOA ruimte</v>
      </c>
      <c r="C519" s="225" t="s">
        <v>930</v>
      </c>
      <c r="D519" s="224" t="s">
        <v>12</v>
      </c>
      <c r="E519" s="226" t="s">
        <v>121</v>
      </c>
      <c r="F519" s="225" t="s">
        <v>931</v>
      </c>
      <c r="G519" s="228" t="s">
        <v>328</v>
      </c>
      <c r="H519" s="228" t="s">
        <v>328</v>
      </c>
      <c r="I519" s="228" t="s">
        <v>18</v>
      </c>
      <c r="J519" s="228" t="s">
        <v>17</v>
      </c>
      <c r="K519" s="228" t="s">
        <v>15</v>
      </c>
      <c r="L519" s="228" t="s">
        <v>328</v>
      </c>
      <c r="M519" s="228" t="s">
        <v>328</v>
      </c>
      <c r="N519" s="228" t="s">
        <v>328</v>
      </c>
      <c r="O519" s="229" t="s">
        <v>18</v>
      </c>
      <c r="P519" s="229" t="s">
        <v>18</v>
      </c>
      <c r="Q519" s="229" t="s">
        <v>15</v>
      </c>
      <c r="R519" s="229" t="s">
        <v>15</v>
      </c>
      <c r="S519" s="229" t="s">
        <v>16</v>
      </c>
      <c r="T519" s="229" t="s">
        <v>375</v>
      </c>
      <c r="U519" s="229" t="s">
        <v>331</v>
      </c>
      <c r="V519" s="229" t="s">
        <v>328</v>
      </c>
      <c r="W519" s="230" t="s">
        <v>328</v>
      </c>
      <c r="X519" s="230" t="s">
        <v>328</v>
      </c>
      <c r="Y519" s="231" t="s">
        <v>328</v>
      </c>
    </row>
    <row r="520" spans="1:25">
      <c r="A520" s="223">
        <v>14</v>
      </c>
      <c r="B520" s="224" t="str">
        <f>VLOOKUP(Tabel10[[#This Row],[Locatiecode]],Ruimtegroepen[[#All],[Code]:[Ruimte omschrijving]],2,FALSE)</f>
        <v>TOA ruimte</v>
      </c>
      <c r="C520" s="225" t="s">
        <v>930</v>
      </c>
      <c r="D520" s="224" t="s">
        <v>12</v>
      </c>
      <c r="E520" s="226" t="s">
        <v>120</v>
      </c>
      <c r="F520" s="225" t="s">
        <v>932</v>
      </c>
      <c r="G520" s="228" t="s">
        <v>17</v>
      </c>
      <c r="H520" s="228" t="s">
        <v>15</v>
      </c>
      <c r="I520" s="228" t="s">
        <v>328</v>
      </c>
      <c r="J520" s="228" t="s">
        <v>328</v>
      </c>
      <c r="K520" s="228" t="s">
        <v>328</v>
      </c>
      <c r="L520" s="228" t="s">
        <v>328</v>
      </c>
      <c r="M520" s="228" t="s">
        <v>328</v>
      </c>
      <c r="N520" s="228" t="s">
        <v>328</v>
      </c>
      <c r="O520" s="229" t="s">
        <v>18</v>
      </c>
      <c r="P520" s="229" t="s">
        <v>18</v>
      </c>
      <c r="Q520" s="229" t="s">
        <v>15</v>
      </c>
      <c r="R520" s="229" t="s">
        <v>15</v>
      </c>
      <c r="S520" s="229" t="s">
        <v>16</v>
      </c>
      <c r="T520" s="229" t="s">
        <v>375</v>
      </c>
      <c r="U520" s="229" t="s">
        <v>331</v>
      </c>
      <c r="V520" s="229" t="s">
        <v>328</v>
      </c>
      <c r="W520" s="230" t="s">
        <v>328</v>
      </c>
      <c r="X520" s="230" t="s">
        <v>328</v>
      </c>
      <c r="Y520" s="231" t="s">
        <v>328</v>
      </c>
    </row>
    <row r="521" spans="1:25">
      <c r="A521" s="223">
        <v>14</v>
      </c>
      <c r="B521" s="224" t="str">
        <f>VLOOKUP(Tabel10[[#This Row],[Locatiecode]],Ruimtegroepen[[#All],[Code]:[Ruimte omschrijving]],2,FALSE)</f>
        <v>TOA ruimte</v>
      </c>
      <c r="C521" s="225" t="s">
        <v>930</v>
      </c>
      <c r="D521" s="224" t="s">
        <v>12</v>
      </c>
      <c r="E521" s="226" t="s">
        <v>122</v>
      </c>
      <c r="F521" s="225" t="s">
        <v>933</v>
      </c>
      <c r="G521" s="228" t="s">
        <v>328</v>
      </c>
      <c r="H521" s="228" t="s">
        <v>328</v>
      </c>
      <c r="I521" s="228" t="s">
        <v>18</v>
      </c>
      <c r="J521" s="228" t="s">
        <v>17</v>
      </c>
      <c r="K521" s="228" t="s">
        <v>15</v>
      </c>
      <c r="L521" s="228" t="s">
        <v>328</v>
      </c>
      <c r="M521" s="228" t="s">
        <v>328</v>
      </c>
      <c r="N521" s="228" t="s">
        <v>328</v>
      </c>
      <c r="O521" s="229" t="s">
        <v>18</v>
      </c>
      <c r="P521" s="229" t="s">
        <v>18</v>
      </c>
      <c r="Q521" s="229" t="s">
        <v>15</v>
      </c>
      <c r="R521" s="229" t="s">
        <v>15</v>
      </c>
      <c r="S521" s="229" t="s">
        <v>16</v>
      </c>
      <c r="T521" s="229" t="s">
        <v>375</v>
      </c>
      <c r="U521" s="229" t="s">
        <v>331</v>
      </c>
      <c r="V521" s="229" t="s">
        <v>328</v>
      </c>
      <c r="W521" s="230" t="s">
        <v>328</v>
      </c>
      <c r="X521" s="230" t="s">
        <v>328</v>
      </c>
      <c r="Y521" s="231" t="s">
        <v>328</v>
      </c>
    </row>
    <row r="522" spans="1:25">
      <c r="A522" s="223">
        <v>14</v>
      </c>
      <c r="B522" s="224" t="str">
        <f>VLOOKUP(Tabel10[[#This Row],[Locatiecode]],Ruimtegroepen[[#All],[Code]:[Ruimte omschrijving]],2,FALSE)</f>
        <v>TOA ruimte</v>
      </c>
      <c r="C522" s="225" t="s">
        <v>930</v>
      </c>
      <c r="D522" s="224" t="s">
        <v>12</v>
      </c>
      <c r="E522" s="226" t="s">
        <v>123</v>
      </c>
      <c r="F522" s="225" t="s">
        <v>934</v>
      </c>
      <c r="G522" s="228" t="s">
        <v>328</v>
      </c>
      <c r="H522" s="228" t="s">
        <v>328</v>
      </c>
      <c r="I522" s="228" t="s">
        <v>18</v>
      </c>
      <c r="J522" s="228" t="s">
        <v>17</v>
      </c>
      <c r="K522" s="228" t="s">
        <v>15</v>
      </c>
      <c r="L522" s="228" t="s">
        <v>328</v>
      </c>
      <c r="M522" s="228" t="s">
        <v>328</v>
      </c>
      <c r="N522" s="228" t="s">
        <v>328</v>
      </c>
      <c r="O522" s="229" t="s">
        <v>18</v>
      </c>
      <c r="P522" s="229" t="s">
        <v>18</v>
      </c>
      <c r="Q522" s="229" t="s">
        <v>15</v>
      </c>
      <c r="R522" s="229" t="s">
        <v>15</v>
      </c>
      <c r="S522" s="229" t="s">
        <v>16</v>
      </c>
      <c r="T522" s="229" t="s">
        <v>375</v>
      </c>
      <c r="U522" s="229" t="s">
        <v>331</v>
      </c>
      <c r="V522" s="229" t="s">
        <v>328</v>
      </c>
      <c r="W522" s="230" t="s">
        <v>328</v>
      </c>
      <c r="X522" s="230" t="s">
        <v>328</v>
      </c>
      <c r="Y522" s="231" t="s">
        <v>328</v>
      </c>
    </row>
    <row r="523" spans="1:25">
      <c r="A523" s="223">
        <v>14</v>
      </c>
      <c r="B523" s="224" t="str">
        <f>VLOOKUP(Tabel10[[#This Row],[Locatiecode]],Ruimtegroepen[[#All],[Code]:[Ruimte omschrijving]],2,FALSE)</f>
        <v>TOA ruimte</v>
      </c>
      <c r="C523" s="225" t="s">
        <v>935</v>
      </c>
      <c r="D523" s="224" t="s">
        <v>14</v>
      </c>
      <c r="E523" s="226" t="s">
        <v>121</v>
      </c>
      <c r="F523" s="225" t="s">
        <v>936</v>
      </c>
      <c r="G523" s="228" t="s">
        <v>328</v>
      </c>
      <c r="H523" s="228" t="s">
        <v>328</v>
      </c>
      <c r="I523" s="228" t="s">
        <v>17</v>
      </c>
      <c r="J523" s="228" t="s">
        <v>15</v>
      </c>
      <c r="K523" s="228" t="s">
        <v>15</v>
      </c>
      <c r="L523" s="228" t="s">
        <v>328</v>
      </c>
      <c r="M523" s="228" t="s">
        <v>328</v>
      </c>
      <c r="N523" s="228" t="s">
        <v>328</v>
      </c>
      <c r="O523" s="229" t="s">
        <v>17</v>
      </c>
      <c r="P523" s="229" t="s">
        <v>17</v>
      </c>
      <c r="Q523" s="229" t="s">
        <v>15</v>
      </c>
      <c r="R523" s="229" t="s">
        <v>15</v>
      </c>
      <c r="S523" s="229" t="s">
        <v>16</v>
      </c>
      <c r="T523" s="229" t="s">
        <v>375</v>
      </c>
      <c r="U523" s="229" t="s">
        <v>331</v>
      </c>
      <c r="V523" s="229" t="s">
        <v>328</v>
      </c>
      <c r="W523" s="230" t="s">
        <v>328</v>
      </c>
      <c r="X523" s="230" t="s">
        <v>328</v>
      </c>
      <c r="Y523" s="231" t="s">
        <v>328</v>
      </c>
    </row>
    <row r="524" spans="1:25">
      <c r="A524" s="223">
        <v>14</v>
      </c>
      <c r="B524" s="224" t="str">
        <f>VLOOKUP(Tabel10[[#This Row],[Locatiecode]],Ruimtegroepen[[#All],[Code]:[Ruimte omschrijving]],2,FALSE)</f>
        <v>TOA ruimte</v>
      </c>
      <c r="C524" s="225" t="s">
        <v>935</v>
      </c>
      <c r="D524" s="224" t="s">
        <v>14</v>
      </c>
      <c r="E524" s="226" t="s">
        <v>120</v>
      </c>
      <c r="F524" s="225" t="s">
        <v>937</v>
      </c>
      <c r="G524" s="228" t="s">
        <v>15</v>
      </c>
      <c r="H524" s="228" t="s">
        <v>15</v>
      </c>
      <c r="I524" s="228" t="s">
        <v>328</v>
      </c>
      <c r="J524" s="228" t="s">
        <v>328</v>
      </c>
      <c r="K524" s="228" t="s">
        <v>328</v>
      </c>
      <c r="L524" s="228" t="s">
        <v>328</v>
      </c>
      <c r="M524" s="228" t="s">
        <v>328</v>
      </c>
      <c r="N524" s="228" t="s">
        <v>328</v>
      </c>
      <c r="O524" s="229" t="s">
        <v>17</v>
      </c>
      <c r="P524" s="229" t="s">
        <v>17</v>
      </c>
      <c r="Q524" s="229" t="s">
        <v>15</v>
      </c>
      <c r="R524" s="229" t="s">
        <v>15</v>
      </c>
      <c r="S524" s="229" t="s">
        <v>16</v>
      </c>
      <c r="T524" s="229" t="s">
        <v>375</v>
      </c>
      <c r="U524" s="229" t="s">
        <v>331</v>
      </c>
      <c r="V524" s="229" t="s">
        <v>328</v>
      </c>
      <c r="W524" s="230" t="s">
        <v>328</v>
      </c>
      <c r="X524" s="230" t="s">
        <v>328</v>
      </c>
      <c r="Y524" s="231" t="s">
        <v>328</v>
      </c>
    </row>
    <row r="525" spans="1:25">
      <c r="A525" s="223">
        <v>14</v>
      </c>
      <c r="B525" s="224" t="str">
        <f>VLOOKUP(Tabel10[[#This Row],[Locatiecode]],Ruimtegroepen[[#All],[Code]:[Ruimte omschrijving]],2,FALSE)</f>
        <v>TOA ruimte</v>
      </c>
      <c r="C525" s="225" t="s">
        <v>935</v>
      </c>
      <c r="D525" s="224" t="s">
        <v>14</v>
      </c>
      <c r="E525" s="226" t="s">
        <v>122</v>
      </c>
      <c r="F525" s="225" t="s">
        <v>938</v>
      </c>
      <c r="G525" s="228" t="s">
        <v>328</v>
      </c>
      <c r="H525" s="228" t="s">
        <v>328</v>
      </c>
      <c r="I525" s="228" t="s">
        <v>17</v>
      </c>
      <c r="J525" s="228" t="s">
        <v>15</v>
      </c>
      <c r="K525" s="228" t="s">
        <v>15</v>
      </c>
      <c r="L525" s="228" t="s">
        <v>328</v>
      </c>
      <c r="M525" s="228" t="s">
        <v>328</v>
      </c>
      <c r="N525" s="228" t="s">
        <v>328</v>
      </c>
      <c r="O525" s="229" t="s">
        <v>17</v>
      </c>
      <c r="P525" s="229" t="s">
        <v>17</v>
      </c>
      <c r="Q525" s="229" t="s">
        <v>15</v>
      </c>
      <c r="R525" s="229" t="s">
        <v>15</v>
      </c>
      <c r="S525" s="229" t="s">
        <v>16</v>
      </c>
      <c r="T525" s="229" t="s">
        <v>375</v>
      </c>
      <c r="U525" s="229" t="s">
        <v>331</v>
      </c>
      <c r="V525" s="229" t="s">
        <v>328</v>
      </c>
      <c r="W525" s="230" t="s">
        <v>328</v>
      </c>
      <c r="X525" s="230" t="s">
        <v>328</v>
      </c>
      <c r="Y525" s="231" t="s">
        <v>328</v>
      </c>
    </row>
    <row r="526" spans="1:25">
      <c r="A526" s="223">
        <v>14</v>
      </c>
      <c r="B526" s="224" t="str">
        <f>VLOOKUP(Tabel10[[#This Row],[Locatiecode]],Ruimtegroepen[[#All],[Code]:[Ruimte omschrijving]],2,FALSE)</f>
        <v>TOA ruimte</v>
      </c>
      <c r="C526" s="225" t="s">
        <v>935</v>
      </c>
      <c r="D526" s="224" t="s">
        <v>14</v>
      </c>
      <c r="E526" s="226" t="s">
        <v>123</v>
      </c>
      <c r="F526" s="225" t="s">
        <v>939</v>
      </c>
      <c r="G526" s="228" t="s">
        <v>328</v>
      </c>
      <c r="H526" s="228" t="s">
        <v>328</v>
      </c>
      <c r="I526" s="228" t="s">
        <v>17</v>
      </c>
      <c r="J526" s="228" t="s">
        <v>15</v>
      </c>
      <c r="K526" s="228" t="s">
        <v>15</v>
      </c>
      <c r="L526" s="228" t="s">
        <v>328</v>
      </c>
      <c r="M526" s="228" t="s">
        <v>328</v>
      </c>
      <c r="N526" s="228" t="s">
        <v>328</v>
      </c>
      <c r="O526" s="229" t="s">
        <v>17</v>
      </c>
      <c r="P526" s="229" t="s">
        <v>17</v>
      </c>
      <c r="Q526" s="229" t="s">
        <v>15</v>
      </c>
      <c r="R526" s="229" t="s">
        <v>15</v>
      </c>
      <c r="S526" s="229" t="s">
        <v>16</v>
      </c>
      <c r="T526" s="229" t="s">
        <v>375</v>
      </c>
      <c r="U526" s="229" t="s">
        <v>331</v>
      </c>
      <c r="V526" s="229" t="s">
        <v>328</v>
      </c>
      <c r="W526" s="230" t="s">
        <v>328</v>
      </c>
      <c r="X526" s="230" t="s">
        <v>328</v>
      </c>
      <c r="Y526" s="231" t="s">
        <v>328</v>
      </c>
    </row>
    <row r="527" spans="1:25">
      <c r="A527" s="223">
        <v>14</v>
      </c>
      <c r="B527" s="224" t="str">
        <f>VLOOKUP(Tabel10[[#This Row],[Locatiecode]],Ruimtegroepen[[#All],[Code]:[Ruimte omschrijving]],2,FALSE)</f>
        <v>TOA ruimte</v>
      </c>
      <c r="C527" s="225" t="s">
        <v>940</v>
      </c>
      <c r="D527" s="224" t="s">
        <v>13</v>
      </c>
      <c r="E527" s="226" t="s">
        <v>121</v>
      </c>
      <c r="F527" s="225" t="s">
        <v>941</v>
      </c>
      <c r="G527" s="228" t="s">
        <v>328</v>
      </c>
      <c r="H527" s="228" t="s">
        <v>328</v>
      </c>
      <c r="I527" s="228" t="s">
        <v>15</v>
      </c>
      <c r="J527" s="228" t="s">
        <v>15</v>
      </c>
      <c r="K527" s="228" t="s">
        <v>16</v>
      </c>
      <c r="L527" s="228" t="s">
        <v>328</v>
      </c>
      <c r="M527" s="228" t="s">
        <v>328</v>
      </c>
      <c r="N527" s="228" t="s">
        <v>328</v>
      </c>
      <c r="O527" s="229" t="s">
        <v>15</v>
      </c>
      <c r="P527" s="229" t="s">
        <v>15</v>
      </c>
      <c r="Q527" s="229" t="s">
        <v>15</v>
      </c>
      <c r="R527" s="229" t="s">
        <v>15</v>
      </c>
      <c r="S527" s="229" t="s">
        <v>16</v>
      </c>
      <c r="T527" s="229" t="s">
        <v>375</v>
      </c>
      <c r="U527" s="229" t="s">
        <v>331</v>
      </c>
      <c r="V527" s="229" t="s">
        <v>328</v>
      </c>
      <c r="W527" s="230" t="s">
        <v>328</v>
      </c>
      <c r="X527" s="230" t="s">
        <v>328</v>
      </c>
      <c r="Y527" s="231" t="s">
        <v>328</v>
      </c>
    </row>
    <row r="528" spans="1:25">
      <c r="A528" s="223">
        <v>14</v>
      </c>
      <c r="B528" s="224" t="str">
        <f>VLOOKUP(Tabel10[[#This Row],[Locatiecode]],Ruimtegroepen[[#All],[Code]:[Ruimte omschrijving]],2,FALSE)</f>
        <v>TOA ruimte</v>
      </c>
      <c r="C528" s="225" t="s">
        <v>940</v>
      </c>
      <c r="D528" s="224" t="s">
        <v>13</v>
      </c>
      <c r="E528" s="226" t="s">
        <v>120</v>
      </c>
      <c r="F528" s="225" t="s">
        <v>942</v>
      </c>
      <c r="G528" s="228" t="s">
        <v>407</v>
      </c>
      <c r="H528" s="228" t="s">
        <v>15</v>
      </c>
      <c r="I528" s="228" t="s">
        <v>328</v>
      </c>
      <c r="J528" s="228" t="s">
        <v>328</v>
      </c>
      <c r="K528" s="228" t="s">
        <v>328</v>
      </c>
      <c r="L528" s="228" t="s">
        <v>328</v>
      </c>
      <c r="M528" s="228" t="s">
        <v>328</v>
      </c>
      <c r="N528" s="228" t="s">
        <v>328</v>
      </c>
      <c r="O528" s="229" t="s">
        <v>15</v>
      </c>
      <c r="P528" s="229" t="s">
        <v>15</v>
      </c>
      <c r="Q528" s="229" t="s">
        <v>15</v>
      </c>
      <c r="R528" s="229" t="s">
        <v>15</v>
      </c>
      <c r="S528" s="229" t="s">
        <v>16</v>
      </c>
      <c r="T528" s="229" t="s">
        <v>375</v>
      </c>
      <c r="U528" s="229" t="s">
        <v>331</v>
      </c>
      <c r="V528" s="229" t="s">
        <v>328</v>
      </c>
      <c r="W528" s="230" t="s">
        <v>328</v>
      </c>
      <c r="X528" s="230" t="s">
        <v>328</v>
      </c>
      <c r="Y528" s="231" t="s">
        <v>328</v>
      </c>
    </row>
    <row r="529" spans="1:25">
      <c r="A529" s="223">
        <v>14</v>
      </c>
      <c r="B529" s="224" t="str">
        <f>VLOOKUP(Tabel10[[#This Row],[Locatiecode]],Ruimtegroepen[[#All],[Code]:[Ruimte omschrijving]],2,FALSE)</f>
        <v>TOA ruimte</v>
      </c>
      <c r="C529" s="225" t="s">
        <v>940</v>
      </c>
      <c r="D529" s="224" t="s">
        <v>13</v>
      </c>
      <c r="E529" s="226" t="s">
        <v>122</v>
      </c>
      <c r="F529" s="225" t="s">
        <v>943</v>
      </c>
      <c r="G529" s="228" t="s">
        <v>328</v>
      </c>
      <c r="H529" s="228" t="s">
        <v>328</v>
      </c>
      <c r="I529" s="228" t="s">
        <v>15</v>
      </c>
      <c r="J529" s="228" t="s">
        <v>15</v>
      </c>
      <c r="K529" s="228" t="s">
        <v>16</v>
      </c>
      <c r="L529" s="228" t="s">
        <v>328</v>
      </c>
      <c r="M529" s="228" t="s">
        <v>328</v>
      </c>
      <c r="N529" s="228" t="s">
        <v>328</v>
      </c>
      <c r="O529" s="229" t="s">
        <v>15</v>
      </c>
      <c r="P529" s="229" t="s">
        <v>15</v>
      </c>
      <c r="Q529" s="229" t="s">
        <v>15</v>
      </c>
      <c r="R529" s="229" t="s">
        <v>15</v>
      </c>
      <c r="S529" s="229" t="s">
        <v>16</v>
      </c>
      <c r="T529" s="229" t="s">
        <v>375</v>
      </c>
      <c r="U529" s="229" t="s">
        <v>331</v>
      </c>
      <c r="V529" s="229" t="s">
        <v>328</v>
      </c>
      <c r="W529" s="230" t="s">
        <v>328</v>
      </c>
      <c r="X529" s="230" t="s">
        <v>328</v>
      </c>
      <c r="Y529" s="231" t="s">
        <v>328</v>
      </c>
    </row>
    <row r="530" spans="1:25">
      <c r="A530" s="223">
        <v>14</v>
      </c>
      <c r="B530" s="224" t="str">
        <f>VLOOKUP(Tabel10[[#This Row],[Locatiecode]],Ruimtegroepen[[#All],[Code]:[Ruimte omschrijving]],2,FALSE)</f>
        <v>TOA ruimte</v>
      </c>
      <c r="C530" s="225" t="s">
        <v>940</v>
      </c>
      <c r="D530" s="224" t="s">
        <v>13</v>
      </c>
      <c r="E530" s="226" t="s">
        <v>123</v>
      </c>
      <c r="F530" s="225" t="s">
        <v>944</v>
      </c>
      <c r="G530" s="228" t="s">
        <v>328</v>
      </c>
      <c r="H530" s="228" t="s">
        <v>328</v>
      </c>
      <c r="I530" s="228" t="s">
        <v>15</v>
      </c>
      <c r="J530" s="228" t="s">
        <v>15</v>
      </c>
      <c r="K530" s="228" t="s">
        <v>16</v>
      </c>
      <c r="L530" s="228" t="s">
        <v>328</v>
      </c>
      <c r="M530" s="228" t="s">
        <v>328</v>
      </c>
      <c r="N530" s="228" t="s">
        <v>328</v>
      </c>
      <c r="O530" s="229" t="s">
        <v>15</v>
      </c>
      <c r="P530" s="229" t="s">
        <v>15</v>
      </c>
      <c r="Q530" s="229" t="s">
        <v>15</v>
      </c>
      <c r="R530" s="229" t="s">
        <v>15</v>
      </c>
      <c r="S530" s="229" t="s">
        <v>16</v>
      </c>
      <c r="T530" s="229" t="s">
        <v>375</v>
      </c>
      <c r="U530" s="229" t="s">
        <v>331</v>
      </c>
      <c r="V530" s="229" t="s">
        <v>328</v>
      </c>
      <c r="W530" s="230" t="s">
        <v>328</v>
      </c>
      <c r="X530" s="230" t="s">
        <v>328</v>
      </c>
      <c r="Y530" s="231" t="s">
        <v>328</v>
      </c>
    </row>
    <row r="531" spans="1:25">
      <c r="A531" s="223">
        <v>14</v>
      </c>
      <c r="B531" s="224" t="str">
        <f>VLOOKUP(Tabel10[[#This Row],[Locatiecode]],Ruimtegroepen[[#All],[Code]:[Ruimte omschrijving]],2,FALSE)</f>
        <v>TOA ruimte</v>
      </c>
      <c r="C531" s="225" t="s">
        <v>945</v>
      </c>
      <c r="D531" s="224" t="s">
        <v>0</v>
      </c>
      <c r="E531" s="226" t="s">
        <v>121</v>
      </c>
      <c r="F531" s="225" t="s">
        <v>946</v>
      </c>
      <c r="G531" s="228" t="s">
        <v>328</v>
      </c>
      <c r="H531" s="228" t="s">
        <v>328</v>
      </c>
      <c r="I531" s="228" t="s">
        <v>16</v>
      </c>
      <c r="J531" s="228" t="s">
        <v>328</v>
      </c>
      <c r="K531" s="228" t="s">
        <v>16</v>
      </c>
      <c r="L531" s="228" t="s">
        <v>328</v>
      </c>
      <c r="M531" s="228" t="s">
        <v>328</v>
      </c>
      <c r="N531" s="228" t="s">
        <v>328</v>
      </c>
      <c r="O531" s="229" t="s">
        <v>16</v>
      </c>
      <c r="P531" s="229" t="s">
        <v>16</v>
      </c>
      <c r="Q531" s="229" t="s">
        <v>16</v>
      </c>
      <c r="R531" s="229" t="s">
        <v>16</v>
      </c>
      <c r="S531" s="229" t="s">
        <v>16</v>
      </c>
      <c r="T531" s="229" t="s">
        <v>375</v>
      </c>
      <c r="U531" s="229" t="s">
        <v>331</v>
      </c>
      <c r="V531" s="229" t="s">
        <v>328</v>
      </c>
      <c r="W531" s="230" t="s">
        <v>328</v>
      </c>
      <c r="X531" s="230" t="s">
        <v>328</v>
      </c>
      <c r="Y531" s="231" t="s">
        <v>328</v>
      </c>
    </row>
    <row r="532" spans="1:25">
      <c r="A532" s="223">
        <v>14</v>
      </c>
      <c r="B532" s="224" t="str">
        <f>VLOOKUP(Tabel10[[#This Row],[Locatiecode]],Ruimtegroepen[[#All],[Code]:[Ruimte omschrijving]],2,FALSE)</f>
        <v>TOA ruimte</v>
      </c>
      <c r="C532" s="225" t="s">
        <v>945</v>
      </c>
      <c r="D532" s="224" t="s">
        <v>0</v>
      </c>
      <c r="E532" s="226" t="s">
        <v>120</v>
      </c>
      <c r="F532" s="225" t="s">
        <v>947</v>
      </c>
      <c r="G532" s="228" t="s">
        <v>407</v>
      </c>
      <c r="H532" s="228" t="s">
        <v>16</v>
      </c>
      <c r="I532" s="228" t="s">
        <v>328</v>
      </c>
      <c r="J532" s="228" t="s">
        <v>328</v>
      </c>
      <c r="K532" s="228" t="s">
        <v>328</v>
      </c>
      <c r="L532" s="228" t="s">
        <v>328</v>
      </c>
      <c r="M532" s="228" t="s">
        <v>328</v>
      </c>
      <c r="N532" s="228" t="s">
        <v>328</v>
      </c>
      <c r="O532" s="229" t="s">
        <v>16</v>
      </c>
      <c r="P532" s="229" t="s">
        <v>16</v>
      </c>
      <c r="Q532" s="229" t="s">
        <v>16</v>
      </c>
      <c r="R532" s="229" t="s">
        <v>16</v>
      </c>
      <c r="S532" s="229" t="s">
        <v>16</v>
      </c>
      <c r="T532" s="229" t="s">
        <v>375</v>
      </c>
      <c r="U532" s="229" t="s">
        <v>331</v>
      </c>
      <c r="V532" s="229" t="s">
        <v>328</v>
      </c>
      <c r="W532" s="230" t="s">
        <v>328</v>
      </c>
      <c r="X532" s="230" t="s">
        <v>328</v>
      </c>
      <c r="Y532" s="231" t="s">
        <v>328</v>
      </c>
    </row>
    <row r="533" spans="1:25">
      <c r="A533" s="223">
        <v>14</v>
      </c>
      <c r="B533" s="224" t="str">
        <f>VLOOKUP(Tabel10[[#This Row],[Locatiecode]],Ruimtegroepen[[#All],[Code]:[Ruimte omschrijving]],2,FALSE)</f>
        <v>TOA ruimte</v>
      </c>
      <c r="C533" s="225" t="s">
        <v>945</v>
      </c>
      <c r="D533" s="224" t="s">
        <v>0</v>
      </c>
      <c r="E533" s="226" t="s">
        <v>122</v>
      </c>
      <c r="F533" s="225" t="s">
        <v>948</v>
      </c>
      <c r="G533" s="228" t="s">
        <v>328</v>
      </c>
      <c r="H533" s="228" t="s">
        <v>328</v>
      </c>
      <c r="I533" s="228" t="s">
        <v>16</v>
      </c>
      <c r="J533" s="228" t="s">
        <v>407</v>
      </c>
      <c r="K533" s="228" t="s">
        <v>16</v>
      </c>
      <c r="L533" s="228" t="s">
        <v>328</v>
      </c>
      <c r="M533" s="228" t="s">
        <v>328</v>
      </c>
      <c r="N533" s="228" t="s">
        <v>328</v>
      </c>
      <c r="O533" s="229" t="s">
        <v>16</v>
      </c>
      <c r="P533" s="229" t="s">
        <v>16</v>
      </c>
      <c r="Q533" s="229" t="s">
        <v>16</v>
      </c>
      <c r="R533" s="229" t="s">
        <v>16</v>
      </c>
      <c r="S533" s="229" t="s">
        <v>16</v>
      </c>
      <c r="T533" s="229" t="s">
        <v>375</v>
      </c>
      <c r="U533" s="229" t="s">
        <v>331</v>
      </c>
      <c r="V533" s="229" t="s">
        <v>328</v>
      </c>
      <c r="W533" s="230" t="s">
        <v>328</v>
      </c>
      <c r="X533" s="230" t="s">
        <v>328</v>
      </c>
      <c r="Y533" s="231" t="s">
        <v>328</v>
      </c>
    </row>
    <row r="534" spans="1:25">
      <c r="A534" s="223">
        <v>14</v>
      </c>
      <c r="B534" s="224" t="str">
        <f>VLOOKUP(Tabel10[[#This Row],[Locatiecode]],Ruimtegroepen[[#All],[Code]:[Ruimte omschrijving]],2,FALSE)</f>
        <v>TOA ruimte</v>
      </c>
      <c r="C534" s="225" t="s">
        <v>945</v>
      </c>
      <c r="D534" s="224" t="s">
        <v>0</v>
      </c>
      <c r="E534" s="226" t="s">
        <v>123</v>
      </c>
      <c r="F534" s="225" t="s">
        <v>949</v>
      </c>
      <c r="G534" s="228" t="s">
        <v>328</v>
      </c>
      <c r="H534" s="228" t="s">
        <v>328</v>
      </c>
      <c r="I534" s="228" t="s">
        <v>16</v>
      </c>
      <c r="J534" s="228" t="s">
        <v>328</v>
      </c>
      <c r="K534" s="228" t="s">
        <v>16</v>
      </c>
      <c r="L534" s="228" t="s">
        <v>328</v>
      </c>
      <c r="M534" s="228" t="s">
        <v>328</v>
      </c>
      <c r="N534" s="228" t="s">
        <v>328</v>
      </c>
      <c r="O534" s="229" t="s">
        <v>16</v>
      </c>
      <c r="P534" s="229" t="s">
        <v>16</v>
      </c>
      <c r="Q534" s="229" t="s">
        <v>16</v>
      </c>
      <c r="R534" s="229" t="s">
        <v>16</v>
      </c>
      <c r="S534" s="229" t="s">
        <v>16</v>
      </c>
      <c r="T534" s="229" t="s">
        <v>375</v>
      </c>
      <c r="U534" s="229" t="s">
        <v>331</v>
      </c>
      <c r="V534" s="229" t="s">
        <v>328</v>
      </c>
      <c r="W534" s="230" t="s">
        <v>328</v>
      </c>
      <c r="X534" s="230" t="s">
        <v>328</v>
      </c>
      <c r="Y534" s="231" t="s">
        <v>328</v>
      </c>
    </row>
    <row r="535" spans="1:25">
      <c r="A535" s="223">
        <v>14</v>
      </c>
      <c r="B535" s="224" t="str">
        <f>VLOOKUP(Tabel10[[#This Row],[Locatiecode]],Ruimtegroepen[[#All],[Code]:[Ruimte omschrijving]],2,FALSE)</f>
        <v>TOA ruimte</v>
      </c>
      <c r="C535" s="225" t="s">
        <v>950</v>
      </c>
      <c r="D535" s="224" t="s">
        <v>30</v>
      </c>
      <c r="E535" s="226" t="s">
        <v>121</v>
      </c>
      <c r="F535" s="225" t="s">
        <v>951</v>
      </c>
      <c r="G535" s="228" t="s">
        <v>328</v>
      </c>
      <c r="H535" s="228" t="s">
        <v>328</v>
      </c>
      <c r="I535" s="228" t="s">
        <v>15</v>
      </c>
      <c r="J535" s="228" t="s">
        <v>328</v>
      </c>
      <c r="K535" s="228" t="s">
        <v>15</v>
      </c>
      <c r="L535" s="228" t="s">
        <v>328</v>
      </c>
      <c r="M535" s="228" t="s">
        <v>328</v>
      </c>
      <c r="N535" s="228" t="s">
        <v>328</v>
      </c>
      <c r="O535" s="229" t="s">
        <v>15</v>
      </c>
      <c r="P535" s="229" t="s">
        <v>15</v>
      </c>
      <c r="Q535" s="229" t="s">
        <v>15</v>
      </c>
      <c r="R535" s="229" t="s">
        <v>15</v>
      </c>
      <c r="S535" s="229" t="s">
        <v>328</v>
      </c>
      <c r="T535" s="229" t="s">
        <v>328</v>
      </c>
      <c r="U535" s="229" t="s">
        <v>328</v>
      </c>
      <c r="V535" s="229" t="s">
        <v>328</v>
      </c>
      <c r="W535" s="230" t="s">
        <v>328</v>
      </c>
      <c r="X535" s="230" t="s">
        <v>328</v>
      </c>
      <c r="Y535" s="231" t="s">
        <v>328</v>
      </c>
    </row>
    <row r="536" spans="1:25">
      <c r="A536" s="223">
        <v>14</v>
      </c>
      <c r="B536" s="224" t="str">
        <f>VLOOKUP(Tabel10[[#This Row],[Locatiecode]],Ruimtegroepen[[#All],[Code]:[Ruimte omschrijving]],2,FALSE)</f>
        <v>TOA ruimte</v>
      </c>
      <c r="C536" s="225" t="s">
        <v>950</v>
      </c>
      <c r="D536" s="224" t="s">
        <v>30</v>
      </c>
      <c r="E536" s="226" t="s">
        <v>120</v>
      </c>
      <c r="F536" s="225" t="s">
        <v>952</v>
      </c>
      <c r="G536" s="228" t="s">
        <v>407</v>
      </c>
      <c r="H536" s="228" t="s">
        <v>15</v>
      </c>
      <c r="I536" s="228" t="s">
        <v>328</v>
      </c>
      <c r="J536" s="228" t="s">
        <v>328</v>
      </c>
      <c r="K536" s="228" t="s">
        <v>328</v>
      </c>
      <c r="L536" s="228" t="s">
        <v>328</v>
      </c>
      <c r="M536" s="228" t="s">
        <v>328</v>
      </c>
      <c r="N536" s="228" t="s">
        <v>328</v>
      </c>
      <c r="O536" s="229" t="s">
        <v>15</v>
      </c>
      <c r="P536" s="229" t="s">
        <v>15</v>
      </c>
      <c r="Q536" s="229" t="s">
        <v>15</v>
      </c>
      <c r="R536" s="229" t="s">
        <v>15</v>
      </c>
      <c r="S536" s="229" t="s">
        <v>328</v>
      </c>
      <c r="T536" s="229" t="s">
        <v>328</v>
      </c>
      <c r="U536" s="229" t="s">
        <v>328</v>
      </c>
      <c r="V536" s="229" t="s">
        <v>328</v>
      </c>
      <c r="W536" s="230" t="s">
        <v>328</v>
      </c>
      <c r="X536" s="230" t="s">
        <v>328</v>
      </c>
      <c r="Y536" s="231" t="s">
        <v>328</v>
      </c>
    </row>
    <row r="537" spans="1:25">
      <c r="A537" s="223">
        <v>14</v>
      </c>
      <c r="B537" s="224" t="str">
        <f>VLOOKUP(Tabel10[[#This Row],[Locatiecode]],Ruimtegroepen[[#All],[Code]:[Ruimte omschrijving]],2,FALSE)</f>
        <v>TOA ruimte</v>
      </c>
      <c r="C537" s="225" t="s">
        <v>950</v>
      </c>
      <c r="D537" s="224" t="s">
        <v>30</v>
      </c>
      <c r="E537" s="226" t="s">
        <v>122</v>
      </c>
      <c r="F537" s="225" t="s">
        <v>953</v>
      </c>
      <c r="G537" s="228" t="s">
        <v>328</v>
      </c>
      <c r="H537" s="228" t="s">
        <v>328</v>
      </c>
      <c r="I537" s="228" t="s">
        <v>15</v>
      </c>
      <c r="J537" s="228" t="s">
        <v>328</v>
      </c>
      <c r="K537" s="228" t="s">
        <v>15</v>
      </c>
      <c r="L537" s="228" t="s">
        <v>328</v>
      </c>
      <c r="M537" s="228" t="s">
        <v>328</v>
      </c>
      <c r="N537" s="228" t="s">
        <v>328</v>
      </c>
      <c r="O537" s="229" t="s">
        <v>15</v>
      </c>
      <c r="P537" s="229" t="s">
        <v>15</v>
      </c>
      <c r="Q537" s="229" t="s">
        <v>15</v>
      </c>
      <c r="R537" s="229" t="s">
        <v>15</v>
      </c>
      <c r="S537" s="229" t="s">
        <v>328</v>
      </c>
      <c r="T537" s="229" t="s">
        <v>328</v>
      </c>
      <c r="U537" s="229" t="s">
        <v>328</v>
      </c>
      <c r="V537" s="229" t="s">
        <v>328</v>
      </c>
      <c r="W537" s="230" t="s">
        <v>328</v>
      </c>
      <c r="X537" s="230" t="s">
        <v>328</v>
      </c>
      <c r="Y537" s="231" t="s">
        <v>328</v>
      </c>
    </row>
    <row r="538" spans="1:25">
      <c r="A538" s="223">
        <v>14</v>
      </c>
      <c r="B538" s="224" t="str">
        <f>VLOOKUP(Tabel10[[#This Row],[Locatiecode]],Ruimtegroepen[[#All],[Code]:[Ruimte omschrijving]],2,FALSE)</f>
        <v>TOA ruimte</v>
      </c>
      <c r="C538" s="225" t="s">
        <v>950</v>
      </c>
      <c r="D538" s="224" t="s">
        <v>30</v>
      </c>
      <c r="E538" s="226" t="s">
        <v>123</v>
      </c>
      <c r="F538" s="225" t="s">
        <v>954</v>
      </c>
      <c r="G538" s="228" t="s">
        <v>328</v>
      </c>
      <c r="H538" s="228" t="s">
        <v>328</v>
      </c>
      <c r="I538" s="228" t="s">
        <v>15</v>
      </c>
      <c r="J538" s="228" t="s">
        <v>328</v>
      </c>
      <c r="K538" s="228" t="s">
        <v>15</v>
      </c>
      <c r="L538" s="228" t="s">
        <v>328</v>
      </c>
      <c r="M538" s="228" t="s">
        <v>328</v>
      </c>
      <c r="N538" s="228" t="s">
        <v>328</v>
      </c>
      <c r="O538" s="229" t="s">
        <v>15</v>
      </c>
      <c r="P538" s="229" t="s">
        <v>15</v>
      </c>
      <c r="Q538" s="229" t="s">
        <v>15</v>
      </c>
      <c r="R538" s="229" t="s">
        <v>15</v>
      </c>
      <c r="S538" s="229" t="s">
        <v>328</v>
      </c>
      <c r="T538" s="229" t="s">
        <v>328</v>
      </c>
      <c r="U538" s="229" t="s">
        <v>328</v>
      </c>
      <c r="V538" s="229" t="s">
        <v>328</v>
      </c>
      <c r="W538" s="230" t="s">
        <v>328</v>
      </c>
      <c r="X538" s="230" t="s">
        <v>328</v>
      </c>
      <c r="Y538" s="231" t="s">
        <v>328</v>
      </c>
    </row>
    <row r="539" spans="1:25">
      <c r="A539" s="223">
        <v>14</v>
      </c>
      <c r="B539" s="224" t="str">
        <f>VLOOKUP(Tabel10[[#This Row],[Locatiecode]],Ruimtegroepen[[#All],[Code]:[Ruimte omschrijving]],2,FALSE)</f>
        <v>TOA ruimte</v>
      </c>
      <c r="C539" s="225" t="s">
        <v>955</v>
      </c>
      <c r="D539" s="224" t="s">
        <v>31</v>
      </c>
      <c r="E539" s="226" t="s">
        <v>121</v>
      </c>
      <c r="F539" s="225" t="s">
        <v>956</v>
      </c>
      <c r="G539" s="228" t="s">
        <v>328</v>
      </c>
      <c r="H539" s="228" t="s">
        <v>328</v>
      </c>
      <c r="I539" s="228" t="s">
        <v>17</v>
      </c>
      <c r="J539" s="228" t="s">
        <v>328</v>
      </c>
      <c r="K539" s="228" t="s">
        <v>15</v>
      </c>
      <c r="L539" s="228" t="s">
        <v>328</v>
      </c>
      <c r="M539" s="228" t="s">
        <v>328</v>
      </c>
      <c r="N539" s="228" t="s">
        <v>328</v>
      </c>
      <c r="O539" s="229" t="s">
        <v>17</v>
      </c>
      <c r="P539" s="229" t="s">
        <v>17</v>
      </c>
      <c r="Q539" s="229" t="s">
        <v>15</v>
      </c>
      <c r="R539" s="229" t="s">
        <v>15</v>
      </c>
      <c r="S539" s="229" t="s">
        <v>328</v>
      </c>
      <c r="T539" s="229" t="s">
        <v>328</v>
      </c>
      <c r="U539" s="229" t="s">
        <v>328</v>
      </c>
      <c r="V539" s="229" t="s">
        <v>328</v>
      </c>
      <c r="W539" s="230" t="s">
        <v>328</v>
      </c>
      <c r="X539" s="230" t="s">
        <v>328</v>
      </c>
      <c r="Y539" s="231" t="s">
        <v>328</v>
      </c>
    </row>
    <row r="540" spans="1:25">
      <c r="A540" s="223">
        <v>14</v>
      </c>
      <c r="B540" s="224" t="str">
        <f>VLOOKUP(Tabel10[[#This Row],[Locatiecode]],Ruimtegroepen[[#All],[Code]:[Ruimte omschrijving]],2,FALSE)</f>
        <v>TOA ruimte</v>
      </c>
      <c r="C540" s="225" t="s">
        <v>955</v>
      </c>
      <c r="D540" s="224" t="s">
        <v>31</v>
      </c>
      <c r="E540" s="226" t="s">
        <v>120</v>
      </c>
      <c r="F540" s="225" t="s">
        <v>957</v>
      </c>
      <c r="G540" s="228" t="s">
        <v>15</v>
      </c>
      <c r="H540" s="228" t="s">
        <v>15</v>
      </c>
      <c r="I540" s="228" t="s">
        <v>328</v>
      </c>
      <c r="J540" s="228" t="s">
        <v>328</v>
      </c>
      <c r="K540" s="228" t="s">
        <v>328</v>
      </c>
      <c r="L540" s="228" t="s">
        <v>328</v>
      </c>
      <c r="M540" s="228" t="s">
        <v>328</v>
      </c>
      <c r="N540" s="228" t="s">
        <v>328</v>
      </c>
      <c r="O540" s="229" t="s">
        <v>17</v>
      </c>
      <c r="P540" s="229" t="s">
        <v>17</v>
      </c>
      <c r="Q540" s="229" t="s">
        <v>15</v>
      </c>
      <c r="R540" s="229" t="s">
        <v>15</v>
      </c>
      <c r="S540" s="229" t="s">
        <v>328</v>
      </c>
      <c r="T540" s="229" t="s">
        <v>328</v>
      </c>
      <c r="U540" s="229" t="s">
        <v>328</v>
      </c>
      <c r="V540" s="229" t="s">
        <v>328</v>
      </c>
      <c r="W540" s="230" t="s">
        <v>328</v>
      </c>
      <c r="X540" s="230" t="s">
        <v>328</v>
      </c>
      <c r="Y540" s="231" t="s">
        <v>328</v>
      </c>
    </row>
    <row r="541" spans="1:25">
      <c r="A541" s="223">
        <v>14</v>
      </c>
      <c r="B541" s="224" t="str">
        <f>VLOOKUP(Tabel10[[#This Row],[Locatiecode]],Ruimtegroepen[[#All],[Code]:[Ruimte omschrijving]],2,FALSE)</f>
        <v>TOA ruimte</v>
      </c>
      <c r="C541" s="225" t="s">
        <v>955</v>
      </c>
      <c r="D541" s="224" t="s">
        <v>31</v>
      </c>
      <c r="E541" s="226" t="s">
        <v>122</v>
      </c>
      <c r="F541" s="225" t="s">
        <v>958</v>
      </c>
      <c r="G541" s="228" t="s">
        <v>328</v>
      </c>
      <c r="H541" s="228" t="s">
        <v>328</v>
      </c>
      <c r="I541" s="228" t="s">
        <v>17</v>
      </c>
      <c r="J541" s="228" t="s">
        <v>328</v>
      </c>
      <c r="K541" s="228" t="s">
        <v>15</v>
      </c>
      <c r="L541" s="228" t="s">
        <v>328</v>
      </c>
      <c r="M541" s="228" t="s">
        <v>328</v>
      </c>
      <c r="N541" s="228" t="s">
        <v>328</v>
      </c>
      <c r="O541" s="229" t="s">
        <v>17</v>
      </c>
      <c r="P541" s="229" t="s">
        <v>17</v>
      </c>
      <c r="Q541" s="229" t="s">
        <v>15</v>
      </c>
      <c r="R541" s="229" t="s">
        <v>15</v>
      </c>
      <c r="S541" s="229" t="s">
        <v>328</v>
      </c>
      <c r="T541" s="229" t="s">
        <v>328</v>
      </c>
      <c r="U541" s="229" t="s">
        <v>328</v>
      </c>
      <c r="V541" s="229" t="s">
        <v>328</v>
      </c>
      <c r="W541" s="230" t="s">
        <v>328</v>
      </c>
      <c r="X541" s="230" t="s">
        <v>328</v>
      </c>
      <c r="Y541" s="231" t="s">
        <v>328</v>
      </c>
    </row>
    <row r="542" spans="1:25">
      <c r="A542" s="223">
        <v>14</v>
      </c>
      <c r="B542" s="224" t="str">
        <f>VLOOKUP(Tabel10[[#This Row],[Locatiecode]],Ruimtegroepen[[#All],[Code]:[Ruimte omschrijving]],2,FALSE)</f>
        <v>TOA ruimte</v>
      </c>
      <c r="C542" s="225" t="s">
        <v>955</v>
      </c>
      <c r="D542" s="224" t="s">
        <v>31</v>
      </c>
      <c r="E542" s="226" t="s">
        <v>123</v>
      </c>
      <c r="F542" s="225" t="s">
        <v>959</v>
      </c>
      <c r="G542" s="228" t="s">
        <v>328</v>
      </c>
      <c r="H542" s="228" t="s">
        <v>328</v>
      </c>
      <c r="I542" s="228" t="s">
        <v>17</v>
      </c>
      <c r="J542" s="228" t="s">
        <v>328</v>
      </c>
      <c r="K542" s="228" t="s">
        <v>15</v>
      </c>
      <c r="L542" s="228" t="s">
        <v>328</v>
      </c>
      <c r="M542" s="228" t="s">
        <v>328</v>
      </c>
      <c r="N542" s="228" t="s">
        <v>328</v>
      </c>
      <c r="O542" s="229" t="s">
        <v>17</v>
      </c>
      <c r="P542" s="229" t="s">
        <v>17</v>
      </c>
      <c r="Q542" s="229" t="s">
        <v>15</v>
      </c>
      <c r="R542" s="229" t="s">
        <v>15</v>
      </c>
      <c r="S542" s="229" t="s">
        <v>328</v>
      </c>
      <c r="T542" s="229" t="s">
        <v>328</v>
      </c>
      <c r="U542" s="229" t="s">
        <v>328</v>
      </c>
      <c r="V542" s="229" t="s">
        <v>328</v>
      </c>
      <c r="W542" s="230" t="s">
        <v>328</v>
      </c>
      <c r="X542" s="230" t="s">
        <v>328</v>
      </c>
      <c r="Y542" s="231" t="s">
        <v>328</v>
      </c>
    </row>
    <row r="543" spans="1:25">
      <c r="A543" s="223">
        <v>15</v>
      </c>
      <c r="B543" s="224" t="str">
        <f>VLOOKUP(Tabel10[[#This Row],[Locatiecode]],Ruimtegroepen[[#All],[Code]:[Ruimte omschrijving]],2,FALSE)</f>
        <v>Keuken/pantry</v>
      </c>
      <c r="C543" s="225" t="s">
        <v>960</v>
      </c>
      <c r="D543" s="224" t="s">
        <v>32</v>
      </c>
      <c r="E543" s="226" t="s">
        <v>121</v>
      </c>
      <c r="F543" s="225" t="s">
        <v>961</v>
      </c>
      <c r="G543" s="228" t="s">
        <v>328</v>
      </c>
      <c r="H543" s="228" t="s">
        <v>328</v>
      </c>
      <c r="I543" s="228" t="s">
        <v>2</v>
      </c>
      <c r="J543" s="228" t="s">
        <v>20</v>
      </c>
      <c r="K543" s="228" t="s">
        <v>15</v>
      </c>
      <c r="L543" s="228" t="s">
        <v>328</v>
      </c>
      <c r="M543" s="228" t="s">
        <v>328</v>
      </c>
      <c r="N543" s="228" t="s">
        <v>2</v>
      </c>
      <c r="O543" s="229" t="s">
        <v>2</v>
      </c>
      <c r="P543" s="229" t="s">
        <v>2</v>
      </c>
      <c r="Q543" s="229" t="s">
        <v>15</v>
      </c>
      <c r="R543" s="229" t="s">
        <v>15</v>
      </c>
      <c r="S543" s="229" t="s">
        <v>16</v>
      </c>
      <c r="T543" s="229" t="s">
        <v>375</v>
      </c>
      <c r="U543" s="229" t="s">
        <v>331</v>
      </c>
      <c r="V543" s="229" t="s">
        <v>2</v>
      </c>
      <c r="W543" s="230" t="s">
        <v>328</v>
      </c>
      <c r="X543" s="230" t="s">
        <v>328</v>
      </c>
      <c r="Y543" s="231" t="s">
        <v>328</v>
      </c>
    </row>
    <row r="544" spans="1:25">
      <c r="A544" s="223">
        <v>15</v>
      </c>
      <c r="B544" s="224" t="str">
        <f>VLOOKUP(Tabel10[[#This Row],[Locatiecode]],Ruimtegroepen[[#All],[Code]:[Ruimte omschrijving]],2,FALSE)</f>
        <v>Keuken/pantry</v>
      </c>
      <c r="C544" s="225" t="s">
        <v>960</v>
      </c>
      <c r="D544" s="224" t="s">
        <v>32</v>
      </c>
      <c r="E544" s="226" t="s">
        <v>120</v>
      </c>
      <c r="F544" s="225" t="s">
        <v>962</v>
      </c>
      <c r="G544" s="228" t="s">
        <v>328</v>
      </c>
      <c r="H544" s="228" t="s">
        <v>2</v>
      </c>
      <c r="I544" s="228" t="s">
        <v>328</v>
      </c>
      <c r="J544" s="228" t="s">
        <v>328</v>
      </c>
      <c r="K544" s="228" t="s">
        <v>328</v>
      </c>
      <c r="L544" s="228" t="s">
        <v>328</v>
      </c>
      <c r="M544" s="228" t="s">
        <v>328</v>
      </c>
      <c r="N544" s="228" t="s">
        <v>2</v>
      </c>
      <c r="O544" s="229" t="s">
        <v>2</v>
      </c>
      <c r="P544" s="229" t="s">
        <v>2</v>
      </c>
      <c r="Q544" s="229" t="s">
        <v>15</v>
      </c>
      <c r="R544" s="229" t="s">
        <v>15</v>
      </c>
      <c r="S544" s="229" t="s">
        <v>16</v>
      </c>
      <c r="T544" s="229" t="s">
        <v>375</v>
      </c>
      <c r="U544" s="229" t="s">
        <v>331</v>
      </c>
      <c r="V544" s="229" t="s">
        <v>2</v>
      </c>
      <c r="W544" s="230" t="s">
        <v>328</v>
      </c>
      <c r="X544" s="230" t="s">
        <v>328</v>
      </c>
      <c r="Y544" s="231" t="s">
        <v>328</v>
      </c>
    </row>
    <row r="545" spans="1:25">
      <c r="A545" s="223">
        <v>15</v>
      </c>
      <c r="B545" s="224" t="str">
        <f>VLOOKUP(Tabel10[[#This Row],[Locatiecode]],Ruimtegroepen[[#All],[Code]:[Ruimte omschrijving]],2,FALSE)</f>
        <v>Keuken/pantry</v>
      </c>
      <c r="C545" s="225" t="s">
        <v>960</v>
      </c>
      <c r="D545" s="224" t="s">
        <v>32</v>
      </c>
      <c r="E545" s="226" t="s">
        <v>122</v>
      </c>
      <c r="F545" s="225" t="s">
        <v>963</v>
      </c>
      <c r="G545" s="228" t="s">
        <v>328</v>
      </c>
      <c r="H545" s="228" t="s">
        <v>328</v>
      </c>
      <c r="I545" s="228" t="s">
        <v>2</v>
      </c>
      <c r="J545" s="228" t="s">
        <v>20</v>
      </c>
      <c r="K545" s="228" t="s">
        <v>15</v>
      </c>
      <c r="L545" s="228" t="s">
        <v>328</v>
      </c>
      <c r="M545" s="228" t="s">
        <v>328</v>
      </c>
      <c r="N545" s="228" t="s">
        <v>2</v>
      </c>
      <c r="O545" s="229" t="s">
        <v>2</v>
      </c>
      <c r="P545" s="229" t="s">
        <v>2</v>
      </c>
      <c r="Q545" s="229" t="s">
        <v>15</v>
      </c>
      <c r="R545" s="229" t="s">
        <v>15</v>
      </c>
      <c r="S545" s="229" t="s">
        <v>16</v>
      </c>
      <c r="T545" s="229" t="s">
        <v>375</v>
      </c>
      <c r="U545" s="229" t="s">
        <v>331</v>
      </c>
      <c r="V545" s="229" t="s">
        <v>2</v>
      </c>
      <c r="W545" s="230" t="s">
        <v>328</v>
      </c>
      <c r="X545" s="230" t="s">
        <v>328</v>
      </c>
      <c r="Y545" s="231" t="s">
        <v>328</v>
      </c>
    </row>
    <row r="546" spans="1:25">
      <c r="A546" s="223">
        <v>15</v>
      </c>
      <c r="B546" s="224" t="str">
        <f>VLOOKUP(Tabel10[[#This Row],[Locatiecode]],Ruimtegroepen[[#All],[Code]:[Ruimte omschrijving]],2,FALSE)</f>
        <v>Keuken/pantry</v>
      </c>
      <c r="C546" s="225" t="s">
        <v>960</v>
      </c>
      <c r="D546" s="224" t="s">
        <v>32</v>
      </c>
      <c r="E546" s="226" t="s">
        <v>123</v>
      </c>
      <c r="F546" s="225" t="s">
        <v>964</v>
      </c>
      <c r="G546" s="228" t="s">
        <v>328</v>
      </c>
      <c r="H546" s="228" t="s">
        <v>328</v>
      </c>
      <c r="I546" s="228" t="s">
        <v>2</v>
      </c>
      <c r="J546" s="228" t="s">
        <v>20</v>
      </c>
      <c r="K546" s="228" t="s">
        <v>15</v>
      </c>
      <c r="L546" s="228" t="s">
        <v>328</v>
      </c>
      <c r="M546" s="228" t="s">
        <v>328</v>
      </c>
      <c r="N546" s="228" t="s">
        <v>2</v>
      </c>
      <c r="O546" s="229" t="s">
        <v>2</v>
      </c>
      <c r="P546" s="229" t="s">
        <v>2</v>
      </c>
      <c r="Q546" s="229" t="s">
        <v>15</v>
      </c>
      <c r="R546" s="229" t="s">
        <v>15</v>
      </c>
      <c r="S546" s="229" t="s">
        <v>16</v>
      </c>
      <c r="T546" s="229" t="s">
        <v>375</v>
      </c>
      <c r="U546" s="229" t="s">
        <v>331</v>
      </c>
      <c r="V546" s="229" t="s">
        <v>2</v>
      </c>
      <c r="W546" s="230" t="s">
        <v>328</v>
      </c>
      <c r="X546" s="230" t="s">
        <v>328</v>
      </c>
      <c r="Y546" s="231" t="s">
        <v>328</v>
      </c>
    </row>
    <row r="547" spans="1:25">
      <c r="A547" s="223">
        <v>15</v>
      </c>
      <c r="B547" s="224" t="str">
        <f>VLOOKUP(Tabel10[[#This Row],[Locatiecode]],Ruimtegroepen[[#All],[Code]:[Ruimte omschrijving]],2,FALSE)</f>
        <v>Keuken/pantry</v>
      </c>
      <c r="C547" s="225" t="s">
        <v>965</v>
      </c>
      <c r="D547" s="224" t="s">
        <v>1</v>
      </c>
      <c r="E547" s="226" t="s">
        <v>121</v>
      </c>
      <c r="F547" s="225" t="s">
        <v>966</v>
      </c>
      <c r="G547" s="228" t="s">
        <v>328</v>
      </c>
      <c r="H547" s="228" t="s">
        <v>328</v>
      </c>
      <c r="I547" s="228" t="s">
        <v>2</v>
      </c>
      <c r="J547" s="228" t="s">
        <v>20</v>
      </c>
      <c r="K547" s="228" t="s">
        <v>15</v>
      </c>
      <c r="L547" s="228" t="s">
        <v>328</v>
      </c>
      <c r="M547" s="228" t="s">
        <v>328</v>
      </c>
      <c r="N547" s="228" t="s">
        <v>328</v>
      </c>
      <c r="O547" s="229" t="s">
        <v>2</v>
      </c>
      <c r="P547" s="229" t="s">
        <v>2</v>
      </c>
      <c r="Q547" s="229" t="s">
        <v>15</v>
      </c>
      <c r="R547" s="229" t="s">
        <v>15</v>
      </c>
      <c r="S547" s="229" t="s">
        <v>16</v>
      </c>
      <c r="T547" s="229" t="s">
        <v>375</v>
      </c>
      <c r="U547" s="229" t="s">
        <v>331</v>
      </c>
      <c r="V547" s="229" t="s">
        <v>328</v>
      </c>
      <c r="W547" s="230" t="s">
        <v>328</v>
      </c>
      <c r="X547" s="230" t="s">
        <v>328</v>
      </c>
      <c r="Y547" s="231" t="s">
        <v>328</v>
      </c>
    </row>
    <row r="548" spans="1:25">
      <c r="A548" s="223">
        <v>15</v>
      </c>
      <c r="B548" s="224" t="str">
        <f>VLOOKUP(Tabel10[[#This Row],[Locatiecode]],Ruimtegroepen[[#All],[Code]:[Ruimte omschrijving]],2,FALSE)</f>
        <v>Keuken/pantry</v>
      </c>
      <c r="C548" s="225" t="s">
        <v>965</v>
      </c>
      <c r="D548" s="224" t="s">
        <v>1</v>
      </c>
      <c r="E548" s="226" t="s">
        <v>120</v>
      </c>
      <c r="F548" s="225" t="s">
        <v>967</v>
      </c>
      <c r="G548" s="228" t="s">
        <v>328</v>
      </c>
      <c r="H548" s="228" t="s">
        <v>2</v>
      </c>
      <c r="I548" s="228" t="s">
        <v>328</v>
      </c>
      <c r="J548" s="228" t="s">
        <v>328</v>
      </c>
      <c r="K548" s="228" t="s">
        <v>328</v>
      </c>
      <c r="L548" s="228" t="s">
        <v>328</v>
      </c>
      <c r="M548" s="228" t="s">
        <v>328</v>
      </c>
      <c r="N548" s="228" t="s">
        <v>328</v>
      </c>
      <c r="O548" s="229" t="s">
        <v>2</v>
      </c>
      <c r="P548" s="229" t="s">
        <v>2</v>
      </c>
      <c r="Q548" s="229" t="s">
        <v>15</v>
      </c>
      <c r="R548" s="229" t="s">
        <v>15</v>
      </c>
      <c r="S548" s="229" t="s">
        <v>16</v>
      </c>
      <c r="T548" s="229" t="s">
        <v>375</v>
      </c>
      <c r="U548" s="229" t="s">
        <v>331</v>
      </c>
      <c r="V548" s="229" t="s">
        <v>328</v>
      </c>
      <c r="W548" s="230" t="s">
        <v>328</v>
      </c>
      <c r="X548" s="230" t="s">
        <v>328</v>
      </c>
      <c r="Y548" s="231" t="s">
        <v>328</v>
      </c>
    </row>
    <row r="549" spans="1:25">
      <c r="A549" s="223">
        <v>15</v>
      </c>
      <c r="B549" s="224" t="str">
        <f>VLOOKUP(Tabel10[[#This Row],[Locatiecode]],Ruimtegroepen[[#All],[Code]:[Ruimte omschrijving]],2,FALSE)</f>
        <v>Keuken/pantry</v>
      </c>
      <c r="C549" s="225" t="s">
        <v>965</v>
      </c>
      <c r="D549" s="224" t="s">
        <v>1</v>
      </c>
      <c r="E549" s="226" t="s">
        <v>122</v>
      </c>
      <c r="F549" s="225" t="s">
        <v>968</v>
      </c>
      <c r="G549" s="228" t="s">
        <v>328</v>
      </c>
      <c r="H549" s="228" t="s">
        <v>328</v>
      </c>
      <c r="I549" s="228" t="s">
        <v>2</v>
      </c>
      <c r="J549" s="228" t="s">
        <v>20</v>
      </c>
      <c r="K549" s="228" t="s">
        <v>15</v>
      </c>
      <c r="L549" s="228" t="s">
        <v>328</v>
      </c>
      <c r="M549" s="228" t="s">
        <v>328</v>
      </c>
      <c r="N549" s="228" t="s">
        <v>328</v>
      </c>
      <c r="O549" s="229" t="s">
        <v>2</v>
      </c>
      <c r="P549" s="229" t="s">
        <v>2</v>
      </c>
      <c r="Q549" s="229" t="s">
        <v>15</v>
      </c>
      <c r="R549" s="229" t="s">
        <v>15</v>
      </c>
      <c r="S549" s="229" t="s">
        <v>16</v>
      </c>
      <c r="T549" s="229" t="s">
        <v>375</v>
      </c>
      <c r="U549" s="229" t="s">
        <v>331</v>
      </c>
      <c r="V549" s="229" t="s">
        <v>328</v>
      </c>
      <c r="W549" s="230" t="s">
        <v>328</v>
      </c>
      <c r="X549" s="230" t="s">
        <v>328</v>
      </c>
      <c r="Y549" s="231" t="s">
        <v>328</v>
      </c>
    </row>
    <row r="550" spans="1:25">
      <c r="A550" s="223">
        <v>15</v>
      </c>
      <c r="B550" s="224" t="str">
        <f>VLOOKUP(Tabel10[[#This Row],[Locatiecode]],Ruimtegroepen[[#All],[Code]:[Ruimte omschrijving]],2,FALSE)</f>
        <v>Keuken/pantry</v>
      </c>
      <c r="C550" s="225" t="s">
        <v>965</v>
      </c>
      <c r="D550" s="224" t="s">
        <v>1</v>
      </c>
      <c r="E550" s="226" t="s">
        <v>123</v>
      </c>
      <c r="F550" s="225" t="s">
        <v>969</v>
      </c>
      <c r="G550" s="228" t="s">
        <v>328</v>
      </c>
      <c r="H550" s="228" t="s">
        <v>328</v>
      </c>
      <c r="I550" s="228" t="s">
        <v>2</v>
      </c>
      <c r="J550" s="228" t="s">
        <v>20</v>
      </c>
      <c r="K550" s="228" t="s">
        <v>15</v>
      </c>
      <c r="L550" s="228" t="s">
        <v>328</v>
      </c>
      <c r="M550" s="228" t="s">
        <v>328</v>
      </c>
      <c r="N550" s="228" t="s">
        <v>328</v>
      </c>
      <c r="O550" s="229" t="s">
        <v>2</v>
      </c>
      <c r="P550" s="229" t="s">
        <v>2</v>
      </c>
      <c r="Q550" s="229" t="s">
        <v>15</v>
      </c>
      <c r="R550" s="229" t="s">
        <v>15</v>
      </c>
      <c r="S550" s="229" t="s">
        <v>16</v>
      </c>
      <c r="T550" s="229" t="s">
        <v>375</v>
      </c>
      <c r="U550" s="229" t="s">
        <v>331</v>
      </c>
      <c r="V550" s="229" t="s">
        <v>328</v>
      </c>
      <c r="W550" s="230" t="s">
        <v>328</v>
      </c>
      <c r="X550" s="230" t="s">
        <v>328</v>
      </c>
      <c r="Y550" s="231" t="s">
        <v>328</v>
      </c>
    </row>
    <row r="551" spans="1:25">
      <c r="A551" s="223">
        <v>15</v>
      </c>
      <c r="B551" s="224" t="str">
        <f>VLOOKUP(Tabel10[[#This Row],[Locatiecode]],Ruimtegroepen[[#All],[Code]:[Ruimte omschrijving]],2,FALSE)</f>
        <v>Keuken/pantry</v>
      </c>
      <c r="C551" s="225" t="s">
        <v>970</v>
      </c>
      <c r="D551" s="224" t="s">
        <v>21</v>
      </c>
      <c r="E551" s="226" t="s">
        <v>121</v>
      </c>
      <c r="F551" s="225" t="s">
        <v>971</v>
      </c>
      <c r="G551" s="228" t="s">
        <v>328</v>
      </c>
      <c r="H551" s="228" t="s">
        <v>328</v>
      </c>
      <c r="I551" s="228" t="s">
        <v>20</v>
      </c>
      <c r="J551" s="228" t="s">
        <v>20</v>
      </c>
      <c r="K551" s="228" t="s">
        <v>15</v>
      </c>
      <c r="L551" s="228" t="s">
        <v>328</v>
      </c>
      <c r="M551" s="228" t="s">
        <v>328</v>
      </c>
      <c r="N551" s="228" t="s">
        <v>328</v>
      </c>
      <c r="O551" s="229" t="s">
        <v>20</v>
      </c>
      <c r="P551" s="229" t="s">
        <v>20</v>
      </c>
      <c r="Q551" s="229" t="s">
        <v>15</v>
      </c>
      <c r="R551" s="229" t="s">
        <v>15</v>
      </c>
      <c r="S551" s="229" t="s">
        <v>16</v>
      </c>
      <c r="T551" s="229" t="s">
        <v>375</v>
      </c>
      <c r="U551" s="229" t="s">
        <v>331</v>
      </c>
      <c r="V551" s="229" t="s">
        <v>328</v>
      </c>
      <c r="W551" s="230" t="s">
        <v>328</v>
      </c>
      <c r="X551" s="230" t="s">
        <v>328</v>
      </c>
      <c r="Y551" s="231" t="s">
        <v>328</v>
      </c>
    </row>
    <row r="552" spans="1:25">
      <c r="A552" s="223">
        <v>15</v>
      </c>
      <c r="B552" s="224" t="str">
        <f>VLOOKUP(Tabel10[[#This Row],[Locatiecode]],Ruimtegroepen[[#All],[Code]:[Ruimte omschrijving]],2,FALSE)</f>
        <v>Keuken/pantry</v>
      </c>
      <c r="C552" s="225" t="s">
        <v>970</v>
      </c>
      <c r="D552" s="224" t="s">
        <v>21</v>
      </c>
      <c r="E552" s="226" t="s">
        <v>120</v>
      </c>
      <c r="F552" s="225" t="s">
        <v>972</v>
      </c>
      <c r="G552" s="228" t="s">
        <v>328</v>
      </c>
      <c r="H552" s="228" t="s">
        <v>20</v>
      </c>
      <c r="I552" s="228" t="s">
        <v>328</v>
      </c>
      <c r="J552" s="228" t="s">
        <v>328</v>
      </c>
      <c r="K552" s="228" t="s">
        <v>328</v>
      </c>
      <c r="L552" s="228" t="s">
        <v>328</v>
      </c>
      <c r="M552" s="228" t="s">
        <v>328</v>
      </c>
      <c r="N552" s="228" t="s">
        <v>328</v>
      </c>
      <c r="O552" s="229" t="s">
        <v>20</v>
      </c>
      <c r="P552" s="229" t="s">
        <v>20</v>
      </c>
      <c r="Q552" s="229" t="s">
        <v>15</v>
      </c>
      <c r="R552" s="229" t="s">
        <v>15</v>
      </c>
      <c r="S552" s="229" t="s">
        <v>16</v>
      </c>
      <c r="T552" s="229" t="s">
        <v>375</v>
      </c>
      <c r="U552" s="229" t="s">
        <v>331</v>
      </c>
      <c r="V552" s="229" t="s">
        <v>328</v>
      </c>
      <c r="W552" s="230" t="s">
        <v>328</v>
      </c>
      <c r="X552" s="230" t="s">
        <v>328</v>
      </c>
      <c r="Y552" s="231" t="s">
        <v>328</v>
      </c>
    </row>
    <row r="553" spans="1:25">
      <c r="A553" s="223">
        <v>15</v>
      </c>
      <c r="B553" s="224" t="str">
        <f>VLOOKUP(Tabel10[[#This Row],[Locatiecode]],Ruimtegroepen[[#All],[Code]:[Ruimte omschrijving]],2,FALSE)</f>
        <v>Keuken/pantry</v>
      </c>
      <c r="C553" s="225" t="s">
        <v>970</v>
      </c>
      <c r="D553" s="224" t="s">
        <v>21</v>
      </c>
      <c r="E553" s="226" t="s">
        <v>122</v>
      </c>
      <c r="F553" s="225" t="s">
        <v>973</v>
      </c>
      <c r="G553" s="228" t="s">
        <v>328</v>
      </c>
      <c r="H553" s="228" t="s">
        <v>328</v>
      </c>
      <c r="I553" s="228" t="s">
        <v>20</v>
      </c>
      <c r="J553" s="228" t="s">
        <v>18</v>
      </c>
      <c r="K553" s="228" t="s">
        <v>15</v>
      </c>
      <c r="L553" s="228" t="s">
        <v>328</v>
      </c>
      <c r="M553" s="228" t="s">
        <v>328</v>
      </c>
      <c r="N553" s="228" t="s">
        <v>328</v>
      </c>
      <c r="O553" s="229" t="s">
        <v>20</v>
      </c>
      <c r="P553" s="229" t="s">
        <v>20</v>
      </c>
      <c r="Q553" s="229" t="s">
        <v>15</v>
      </c>
      <c r="R553" s="229" t="s">
        <v>15</v>
      </c>
      <c r="S553" s="229" t="s">
        <v>16</v>
      </c>
      <c r="T553" s="229" t="s">
        <v>375</v>
      </c>
      <c r="U553" s="229" t="s">
        <v>331</v>
      </c>
      <c r="V553" s="229" t="s">
        <v>328</v>
      </c>
      <c r="W553" s="230" t="s">
        <v>328</v>
      </c>
      <c r="X553" s="230" t="s">
        <v>328</v>
      </c>
      <c r="Y553" s="231" t="s">
        <v>328</v>
      </c>
    </row>
    <row r="554" spans="1:25">
      <c r="A554" s="223">
        <v>15</v>
      </c>
      <c r="B554" s="224" t="str">
        <f>VLOOKUP(Tabel10[[#This Row],[Locatiecode]],Ruimtegroepen[[#All],[Code]:[Ruimte omschrijving]],2,FALSE)</f>
        <v>Keuken/pantry</v>
      </c>
      <c r="C554" s="225" t="s">
        <v>970</v>
      </c>
      <c r="D554" s="224" t="s">
        <v>21</v>
      </c>
      <c r="E554" s="226" t="s">
        <v>123</v>
      </c>
      <c r="F554" s="225" t="s">
        <v>974</v>
      </c>
      <c r="G554" s="228" t="s">
        <v>328</v>
      </c>
      <c r="H554" s="228" t="s">
        <v>328</v>
      </c>
      <c r="I554" s="228" t="s">
        <v>20</v>
      </c>
      <c r="J554" s="228" t="s">
        <v>18</v>
      </c>
      <c r="K554" s="228" t="s">
        <v>15</v>
      </c>
      <c r="L554" s="228" t="s">
        <v>328</v>
      </c>
      <c r="M554" s="228" t="s">
        <v>328</v>
      </c>
      <c r="N554" s="228" t="s">
        <v>328</v>
      </c>
      <c r="O554" s="229" t="s">
        <v>20</v>
      </c>
      <c r="P554" s="229" t="s">
        <v>20</v>
      </c>
      <c r="Q554" s="229" t="s">
        <v>15</v>
      </c>
      <c r="R554" s="229" t="s">
        <v>15</v>
      </c>
      <c r="S554" s="229" t="s">
        <v>16</v>
      </c>
      <c r="T554" s="229" t="s">
        <v>375</v>
      </c>
      <c r="U554" s="229" t="s">
        <v>331</v>
      </c>
      <c r="V554" s="229" t="s">
        <v>328</v>
      </c>
      <c r="W554" s="230" t="s">
        <v>328</v>
      </c>
      <c r="X554" s="230" t="s">
        <v>328</v>
      </c>
      <c r="Y554" s="231" t="s">
        <v>328</v>
      </c>
    </row>
    <row r="555" spans="1:25">
      <c r="A555" s="223">
        <v>15</v>
      </c>
      <c r="B555" s="224" t="str">
        <f>VLOOKUP(Tabel10[[#This Row],[Locatiecode]],Ruimtegroepen[[#All],[Code]:[Ruimte omschrijving]],2,FALSE)</f>
        <v>Keuken/pantry</v>
      </c>
      <c r="C555" s="225" t="s">
        <v>975</v>
      </c>
      <c r="D555" s="224" t="s">
        <v>12</v>
      </c>
      <c r="E555" s="226" t="s">
        <v>121</v>
      </c>
      <c r="F555" s="225" t="s">
        <v>976</v>
      </c>
      <c r="G555" s="228" t="s">
        <v>328</v>
      </c>
      <c r="H555" s="228" t="s">
        <v>328</v>
      </c>
      <c r="I555" s="228" t="s">
        <v>18</v>
      </c>
      <c r="J555" s="228" t="s">
        <v>17</v>
      </c>
      <c r="K555" s="228" t="s">
        <v>15</v>
      </c>
      <c r="L555" s="228" t="s">
        <v>328</v>
      </c>
      <c r="M555" s="228" t="s">
        <v>328</v>
      </c>
      <c r="N555" s="228" t="s">
        <v>328</v>
      </c>
      <c r="O555" s="229" t="s">
        <v>18</v>
      </c>
      <c r="P555" s="229" t="s">
        <v>18</v>
      </c>
      <c r="Q555" s="229" t="s">
        <v>15</v>
      </c>
      <c r="R555" s="229" t="s">
        <v>15</v>
      </c>
      <c r="S555" s="229" t="s">
        <v>16</v>
      </c>
      <c r="T555" s="229" t="s">
        <v>375</v>
      </c>
      <c r="U555" s="229" t="s">
        <v>331</v>
      </c>
      <c r="V555" s="229" t="s">
        <v>328</v>
      </c>
      <c r="W555" s="230" t="s">
        <v>328</v>
      </c>
      <c r="X555" s="230" t="s">
        <v>328</v>
      </c>
      <c r="Y555" s="231" t="s">
        <v>328</v>
      </c>
    </row>
    <row r="556" spans="1:25">
      <c r="A556" s="223">
        <v>15</v>
      </c>
      <c r="B556" s="224" t="str">
        <f>VLOOKUP(Tabel10[[#This Row],[Locatiecode]],Ruimtegroepen[[#All],[Code]:[Ruimte omschrijving]],2,FALSE)</f>
        <v>Keuken/pantry</v>
      </c>
      <c r="C556" s="225" t="s">
        <v>975</v>
      </c>
      <c r="D556" s="224" t="s">
        <v>12</v>
      </c>
      <c r="E556" s="226" t="s">
        <v>120</v>
      </c>
      <c r="F556" s="225" t="s">
        <v>977</v>
      </c>
      <c r="G556" s="228" t="s">
        <v>328</v>
      </c>
      <c r="H556" s="228" t="s">
        <v>18</v>
      </c>
      <c r="I556" s="228" t="s">
        <v>328</v>
      </c>
      <c r="J556" s="228" t="s">
        <v>328</v>
      </c>
      <c r="K556" s="228" t="s">
        <v>328</v>
      </c>
      <c r="L556" s="228" t="s">
        <v>328</v>
      </c>
      <c r="M556" s="228" t="s">
        <v>328</v>
      </c>
      <c r="N556" s="228" t="s">
        <v>328</v>
      </c>
      <c r="O556" s="229" t="s">
        <v>18</v>
      </c>
      <c r="P556" s="229" t="s">
        <v>18</v>
      </c>
      <c r="Q556" s="229" t="s">
        <v>15</v>
      </c>
      <c r="R556" s="229" t="s">
        <v>15</v>
      </c>
      <c r="S556" s="229" t="s">
        <v>16</v>
      </c>
      <c r="T556" s="229" t="s">
        <v>375</v>
      </c>
      <c r="U556" s="229" t="s">
        <v>331</v>
      </c>
      <c r="V556" s="229" t="s">
        <v>328</v>
      </c>
      <c r="W556" s="230" t="s">
        <v>328</v>
      </c>
      <c r="X556" s="230" t="s">
        <v>328</v>
      </c>
      <c r="Y556" s="231" t="s">
        <v>328</v>
      </c>
    </row>
    <row r="557" spans="1:25">
      <c r="A557" s="223">
        <v>15</v>
      </c>
      <c r="B557" s="224" t="str">
        <f>VLOOKUP(Tabel10[[#This Row],[Locatiecode]],Ruimtegroepen[[#All],[Code]:[Ruimte omschrijving]],2,FALSE)</f>
        <v>Keuken/pantry</v>
      </c>
      <c r="C557" s="225" t="s">
        <v>975</v>
      </c>
      <c r="D557" s="224" t="s">
        <v>12</v>
      </c>
      <c r="E557" s="226" t="s">
        <v>122</v>
      </c>
      <c r="F557" s="225" t="s">
        <v>978</v>
      </c>
      <c r="G557" s="228" t="s">
        <v>328</v>
      </c>
      <c r="H557" s="228" t="s">
        <v>328</v>
      </c>
      <c r="I557" s="228" t="s">
        <v>18</v>
      </c>
      <c r="J557" s="228" t="s">
        <v>17</v>
      </c>
      <c r="K557" s="228" t="s">
        <v>15</v>
      </c>
      <c r="L557" s="228" t="s">
        <v>328</v>
      </c>
      <c r="M557" s="228" t="s">
        <v>328</v>
      </c>
      <c r="N557" s="228" t="s">
        <v>328</v>
      </c>
      <c r="O557" s="229" t="s">
        <v>18</v>
      </c>
      <c r="P557" s="229" t="s">
        <v>18</v>
      </c>
      <c r="Q557" s="229" t="s">
        <v>15</v>
      </c>
      <c r="R557" s="229" t="s">
        <v>15</v>
      </c>
      <c r="S557" s="229" t="s">
        <v>16</v>
      </c>
      <c r="T557" s="229" t="s">
        <v>375</v>
      </c>
      <c r="U557" s="229" t="s">
        <v>331</v>
      </c>
      <c r="V557" s="229" t="s">
        <v>328</v>
      </c>
      <c r="W557" s="230" t="s">
        <v>328</v>
      </c>
      <c r="X557" s="230" t="s">
        <v>328</v>
      </c>
      <c r="Y557" s="231" t="s">
        <v>328</v>
      </c>
    </row>
    <row r="558" spans="1:25">
      <c r="A558" s="223">
        <v>15</v>
      </c>
      <c r="B558" s="224" t="str">
        <f>VLOOKUP(Tabel10[[#This Row],[Locatiecode]],Ruimtegroepen[[#All],[Code]:[Ruimte omschrijving]],2,FALSE)</f>
        <v>Keuken/pantry</v>
      </c>
      <c r="C558" s="225" t="s">
        <v>975</v>
      </c>
      <c r="D558" s="224" t="s">
        <v>12</v>
      </c>
      <c r="E558" s="226" t="s">
        <v>123</v>
      </c>
      <c r="F558" s="225" t="s">
        <v>979</v>
      </c>
      <c r="G558" s="228" t="s">
        <v>328</v>
      </c>
      <c r="H558" s="228" t="s">
        <v>328</v>
      </c>
      <c r="I558" s="228" t="s">
        <v>18</v>
      </c>
      <c r="J558" s="228" t="s">
        <v>17</v>
      </c>
      <c r="K558" s="228" t="s">
        <v>15</v>
      </c>
      <c r="L558" s="228" t="s">
        <v>328</v>
      </c>
      <c r="M558" s="228" t="s">
        <v>328</v>
      </c>
      <c r="N558" s="228" t="s">
        <v>328</v>
      </c>
      <c r="O558" s="229" t="s">
        <v>18</v>
      </c>
      <c r="P558" s="229" t="s">
        <v>18</v>
      </c>
      <c r="Q558" s="229" t="s">
        <v>15</v>
      </c>
      <c r="R558" s="229" t="s">
        <v>15</v>
      </c>
      <c r="S558" s="229" t="s">
        <v>16</v>
      </c>
      <c r="T558" s="229" t="s">
        <v>375</v>
      </c>
      <c r="U558" s="229" t="s">
        <v>331</v>
      </c>
      <c r="V558" s="229" t="s">
        <v>328</v>
      </c>
      <c r="W558" s="230" t="s">
        <v>328</v>
      </c>
      <c r="X558" s="230" t="s">
        <v>328</v>
      </c>
      <c r="Y558" s="231" t="s">
        <v>328</v>
      </c>
    </row>
    <row r="559" spans="1:25">
      <c r="A559" s="223">
        <v>15</v>
      </c>
      <c r="B559" s="224" t="str">
        <f>VLOOKUP(Tabel10[[#This Row],[Locatiecode]],Ruimtegroepen[[#All],[Code]:[Ruimte omschrijving]],2,FALSE)</f>
        <v>Keuken/pantry</v>
      </c>
      <c r="C559" s="225" t="s">
        <v>980</v>
      </c>
      <c r="D559" s="224" t="s">
        <v>14</v>
      </c>
      <c r="E559" s="226" t="s">
        <v>121</v>
      </c>
      <c r="F559" s="225" t="s">
        <v>981</v>
      </c>
      <c r="G559" s="228" t="s">
        <v>328</v>
      </c>
      <c r="H559" s="228" t="s">
        <v>328</v>
      </c>
      <c r="I559" s="228" t="s">
        <v>17</v>
      </c>
      <c r="J559" s="228" t="s">
        <v>15</v>
      </c>
      <c r="K559" s="228" t="s">
        <v>15</v>
      </c>
      <c r="L559" s="228" t="s">
        <v>328</v>
      </c>
      <c r="M559" s="228" t="s">
        <v>328</v>
      </c>
      <c r="N559" s="228" t="s">
        <v>328</v>
      </c>
      <c r="O559" s="229" t="s">
        <v>17</v>
      </c>
      <c r="P559" s="229" t="s">
        <v>17</v>
      </c>
      <c r="Q559" s="229" t="s">
        <v>15</v>
      </c>
      <c r="R559" s="229" t="s">
        <v>15</v>
      </c>
      <c r="S559" s="229" t="s">
        <v>16</v>
      </c>
      <c r="T559" s="229" t="s">
        <v>375</v>
      </c>
      <c r="U559" s="229" t="s">
        <v>331</v>
      </c>
      <c r="V559" s="229" t="s">
        <v>328</v>
      </c>
      <c r="W559" s="230" t="s">
        <v>328</v>
      </c>
      <c r="X559" s="230" t="s">
        <v>328</v>
      </c>
      <c r="Y559" s="231" t="s">
        <v>328</v>
      </c>
    </row>
    <row r="560" spans="1:25">
      <c r="A560" s="223">
        <v>15</v>
      </c>
      <c r="B560" s="224" t="str">
        <f>VLOOKUP(Tabel10[[#This Row],[Locatiecode]],Ruimtegroepen[[#All],[Code]:[Ruimte omschrijving]],2,FALSE)</f>
        <v>Keuken/pantry</v>
      </c>
      <c r="C560" s="225" t="s">
        <v>980</v>
      </c>
      <c r="D560" s="224" t="s">
        <v>14</v>
      </c>
      <c r="E560" s="226" t="s">
        <v>120</v>
      </c>
      <c r="F560" s="225" t="s">
        <v>982</v>
      </c>
      <c r="G560" s="228" t="s">
        <v>328</v>
      </c>
      <c r="H560" s="228" t="s">
        <v>17</v>
      </c>
      <c r="I560" s="228" t="s">
        <v>328</v>
      </c>
      <c r="J560" s="228" t="s">
        <v>328</v>
      </c>
      <c r="K560" s="228" t="s">
        <v>328</v>
      </c>
      <c r="L560" s="228" t="s">
        <v>328</v>
      </c>
      <c r="M560" s="228" t="s">
        <v>328</v>
      </c>
      <c r="N560" s="228" t="s">
        <v>328</v>
      </c>
      <c r="O560" s="229" t="s">
        <v>17</v>
      </c>
      <c r="P560" s="229" t="s">
        <v>17</v>
      </c>
      <c r="Q560" s="229" t="s">
        <v>15</v>
      </c>
      <c r="R560" s="229" t="s">
        <v>15</v>
      </c>
      <c r="S560" s="229" t="s">
        <v>16</v>
      </c>
      <c r="T560" s="229" t="s">
        <v>375</v>
      </c>
      <c r="U560" s="229" t="s">
        <v>331</v>
      </c>
      <c r="V560" s="229" t="s">
        <v>328</v>
      </c>
      <c r="W560" s="230" t="s">
        <v>328</v>
      </c>
      <c r="X560" s="230" t="s">
        <v>328</v>
      </c>
      <c r="Y560" s="231" t="s">
        <v>328</v>
      </c>
    </row>
    <row r="561" spans="1:25">
      <c r="A561" s="223">
        <v>15</v>
      </c>
      <c r="B561" s="224" t="str">
        <f>VLOOKUP(Tabel10[[#This Row],[Locatiecode]],Ruimtegroepen[[#All],[Code]:[Ruimte omschrijving]],2,FALSE)</f>
        <v>Keuken/pantry</v>
      </c>
      <c r="C561" s="225" t="s">
        <v>980</v>
      </c>
      <c r="D561" s="224" t="s">
        <v>14</v>
      </c>
      <c r="E561" s="226" t="s">
        <v>122</v>
      </c>
      <c r="F561" s="225" t="s">
        <v>983</v>
      </c>
      <c r="G561" s="228" t="s">
        <v>328</v>
      </c>
      <c r="H561" s="228" t="s">
        <v>328</v>
      </c>
      <c r="I561" s="228" t="s">
        <v>17</v>
      </c>
      <c r="J561" s="228" t="s">
        <v>15</v>
      </c>
      <c r="K561" s="228" t="s">
        <v>15</v>
      </c>
      <c r="L561" s="228" t="s">
        <v>328</v>
      </c>
      <c r="M561" s="228" t="s">
        <v>328</v>
      </c>
      <c r="N561" s="228" t="s">
        <v>328</v>
      </c>
      <c r="O561" s="229" t="s">
        <v>17</v>
      </c>
      <c r="P561" s="229" t="s">
        <v>17</v>
      </c>
      <c r="Q561" s="229" t="s">
        <v>15</v>
      </c>
      <c r="R561" s="229" t="s">
        <v>15</v>
      </c>
      <c r="S561" s="229" t="s">
        <v>16</v>
      </c>
      <c r="T561" s="229" t="s">
        <v>375</v>
      </c>
      <c r="U561" s="229" t="s">
        <v>331</v>
      </c>
      <c r="V561" s="229" t="s">
        <v>328</v>
      </c>
      <c r="W561" s="230" t="s">
        <v>328</v>
      </c>
      <c r="X561" s="230" t="s">
        <v>328</v>
      </c>
      <c r="Y561" s="231" t="s">
        <v>328</v>
      </c>
    </row>
    <row r="562" spans="1:25">
      <c r="A562" s="223">
        <v>15</v>
      </c>
      <c r="B562" s="224" t="str">
        <f>VLOOKUP(Tabel10[[#This Row],[Locatiecode]],Ruimtegroepen[[#All],[Code]:[Ruimte omschrijving]],2,FALSE)</f>
        <v>Keuken/pantry</v>
      </c>
      <c r="C562" s="225" t="s">
        <v>980</v>
      </c>
      <c r="D562" s="224" t="s">
        <v>14</v>
      </c>
      <c r="E562" s="226" t="s">
        <v>123</v>
      </c>
      <c r="F562" s="225" t="s">
        <v>984</v>
      </c>
      <c r="G562" s="228" t="s">
        <v>328</v>
      </c>
      <c r="H562" s="228" t="s">
        <v>328</v>
      </c>
      <c r="I562" s="228" t="s">
        <v>17</v>
      </c>
      <c r="J562" s="228" t="s">
        <v>15</v>
      </c>
      <c r="K562" s="228" t="s">
        <v>15</v>
      </c>
      <c r="L562" s="228" t="s">
        <v>328</v>
      </c>
      <c r="M562" s="228" t="s">
        <v>328</v>
      </c>
      <c r="N562" s="228" t="s">
        <v>328</v>
      </c>
      <c r="O562" s="229" t="s">
        <v>17</v>
      </c>
      <c r="P562" s="229" t="s">
        <v>17</v>
      </c>
      <c r="Q562" s="229" t="s">
        <v>15</v>
      </c>
      <c r="R562" s="229" t="s">
        <v>15</v>
      </c>
      <c r="S562" s="229" t="s">
        <v>16</v>
      </c>
      <c r="T562" s="229" t="s">
        <v>375</v>
      </c>
      <c r="U562" s="229" t="s">
        <v>331</v>
      </c>
      <c r="V562" s="229" t="s">
        <v>328</v>
      </c>
      <c r="W562" s="230" t="s">
        <v>328</v>
      </c>
      <c r="X562" s="230" t="s">
        <v>328</v>
      </c>
      <c r="Y562" s="231" t="s">
        <v>328</v>
      </c>
    </row>
    <row r="563" spans="1:25">
      <c r="A563" s="223">
        <v>15</v>
      </c>
      <c r="B563" s="224" t="str">
        <f>VLOOKUP(Tabel10[[#This Row],[Locatiecode]],Ruimtegroepen[[#All],[Code]:[Ruimte omschrijving]],2,FALSE)</f>
        <v>Keuken/pantry</v>
      </c>
      <c r="C563" s="225" t="s">
        <v>985</v>
      </c>
      <c r="D563" s="224" t="s">
        <v>13</v>
      </c>
      <c r="E563" s="226" t="s">
        <v>121</v>
      </c>
      <c r="F563" s="225" t="s">
        <v>986</v>
      </c>
      <c r="G563" s="228" t="s">
        <v>328</v>
      </c>
      <c r="H563" s="228" t="s">
        <v>328</v>
      </c>
      <c r="I563" s="228" t="s">
        <v>15</v>
      </c>
      <c r="J563" s="228" t="s">
        <v>328</v>
      </c>
      <c r="K563" s="228" t="s">
        <v>15</v>
      </c>
      <c r="L563" s="228" t="s">
        <v>328</v>
      </c>
      <c r="M563" s="228" t="s">
        <v>328</v>
      </c>
      <c r="N563" s="228" t="s">
        <v>328</v>
      </c>
      <c r="O563" s="229" t="s">
        <v>15</v>
      </c>
      <c r="P563" s="229" t="s">
        <v>15</v>
      </c>
      <c r="Q563" s="229" t="s">
        <v>15</v>
      </c>
      <c r="R563" s="229" t="s">
        <v>15</v>
      </c>
      <c r="S563" s="229" t="s">
        <v>16</v>
      </c>
      <c r="T563" s="229" t="s">
        <v>375</v>
      </c>
      <c r="U563" s="229" t="s">
        <v>331</v>
      </c>
      <c r="V563" s="229" t="s">
        <v>328</v>
      </c>
      <c r="W563" s="230" t="s">
        <v>328</v>
      </c>
      <c r="X563" s="230" t="s">
        <v>328</v>
      </c>
      <c r="Y563" s="231" t="s">
        <v>328</v>
      </c>
    </row>
    <row r="564" spans="1:25">
      <c r="A564" s="223">
        <v>15</v>
      </c>
      <c r="B564" s="224" t="str">
        <f>VLOOKUP(Tabel10[[#This Row],[Locatiecode]],Ruimtegroepen[[#All],[Code]:[Ruimte omschrijving]],2,FALSE)</f>
        <v>Keuken/pantry</v>
      </c>
      <c r="C564" s="225" t="s">
        <v>985</v>
      </c>
      <c r="D564" s="224" t="s">
        <v>13</v>
      </c>
      <c r="E564" s="226" t="s">
        <v>120</v>
      </c>
      <c r="F564" s="225" t="s">
        <v>987</v>
      </c>
      <c r="G564" s="228" t="s">
        <v>328</v>
      </c>
      <c r="H564" s="228" t="s">
        <v>15</v>
      </c>
      <c r="I564" s="228" t="s">
        <v>328</v>
      </c>
      <c r="J564" s="228" t="s">
        <v>328</v>
      </c>
      <c r="K564" s="228" t="s">
        <v>328</v>
      </c>
      <c r="L564" s="228" t="s">
        <v>328</v>
      </c>
      <c r="M564" s="228" t="s">
        <v>328</v>
      </c>
      <c r="N564" s="228" t="s">
        <v>328</v>
      </c>
      <c r="O564" s="229" t="s">
        <v>15</v>
      </c>
      <c r="P564" s="229" t="s">
        <v>15</v>
      </c>
      <c r="Q564" s="229" t="s">
        <v>15</v>
      </c>
      <c r="R564" s="229" t="s">
        <v>15</v>
      </c>
      <c r="S564" s="229" t="s">
        <v>16</v>
      </c>
      <c r="T564" s="229" t="s">
        <v>375</v>
      </c>
      <c r="U564" s="229" t="s">
        <v>331</v>
      </c>
      <c r="V564" s="229" t="s">
        <v>328</v>
      </c>
      <c r="W564" s="230" t="s">
        <v>328</v>
      </c>
      <c r="X564" s="230" t="s">
        <v>328</v>
      </c>
      <c r="Y564" s="231" t="s">
        <v>328</v>
      </c>
    </row>
    <row r="565" spans="1:25">
      <c r="A565" s="223">
        <v>15</v>
      </c>
      <c r="B565" s="224" t="str">
        <f>VLOOKUP(Tabel10[[#This Row],[Locatiecode]],Ruimtegroepen[[#All],[Code]:[Ruimte omschrijving]],2,FALSE)</f>
        <v>Keuken/pantry</v>
      </c>
      <c r="C565" s="225" t="s">
        <v>985</v>
      </c>
      <c r="D565" s="224" t="s">
        <v>13</v>
      </c>
      <c r="E565" s="226" t="s">
        <v>122</v>
      </c>
      <c r="F565" s="225" t="s">
        <v>988</v>
      </c>
      <c r="G565" s="228" t="s">
        <v>328</v>
      </c>
      <c r="H565" s="228" t="s">
        <v>328</v>
      </c>
      <c r="I565" s="228" t="s">
        <v>15</v>
      </c>
      <c r="J565" s="228" t="s">
        <v>328</v>
      </c>
      <c r="K565" s="228" t="s">
        <v>15</v>
      </c>
      <c r="L565" s="228" t="s">
        <v>328</v>
      </c>
      <c r="M565" s="228" t="s">
        <v>328</v>
      </c>
      <c r="N565" s="228" t="s">
        <v>328</v>
      </c>
      <c r="O565" s="229" t="s">
        <v>15</v>
      </c>
      <c r="P565" s="229" t="s">
        <v>15</v>
      </c>
      <c r="Q565" s="229" t="s">
        <v>15</v>
      </c>
      <c r="R565" s="229" t="s">
        <v>15</v>
      </c>
      <c r="S565" s="229" t="s">
        <v>16</v>
      </c>
      <c r="T565" s="229" t="s">
        <v>375</v>
      </c>
      <c r="U565" s="229" t="s">
        <v>331</v>
      </c>
      <c r="V565" s="229" t="s">
        <v>328</v>
      </c>
      <c r="W565" s="230" t="s">
        <v>328</v>
      </c>
      <c r="X565" s="230" t="s">
        <v>328</v>
      </c>
      <c r="Y565" s="231" t="s">
        <v>328</v>
      </c>
    </row>
    <row r="566" spans="1:25">
      <c r="A566" s="223">
        <v>15</v>
      </c>
      <c r="B566" s="224" t="str">
        <f>VLOOKUP(Tabel10[[#This Row],[Locatiecode]],Ruimtegroepen[[#All],[Code]:[Ruimte omschrijving]],2,FALSE)</f>
        <v>Keuken/pantry</v>
      </c>
      <c r="C566" s="225" t="s">
        <v>985</v>
      </c>
      <c r="D566" s="224" t="s">
        <v>13</v>
      </c>
      <c r="E566" s="226" t="s">
        <v>123</v>
      </c>
      <c r="F566" s="225" t="s">
        <v>989</v>
      </c>
      <c r="G566" s="228" t="s">
        <v>328</v>
      </c>
      <c r="H566" s="228" t="s">
        <v>328</v>
      </c>
      <c r="I566" s="228" t="s">
        <v>15</v>
      </c>
      <c r="J566" s="228" t="s">
        <v>328</v>
      </c>
      <c r="K566" s="228" t="s">
        <v>15</v>
      </c>
      <c r="L566" s="228" t="s">
        <v>328</v>
      </c>
      <c r="M566" s="228" t="s">
        <v>328</v>
      </c>
      <c r="N566" s="228" t="s">
        <v>328</v>
      </c>
      <c r="O566" s="229" t="s">
        <v>15</v>
      </c>
      <c r="P566" s="229" t="s">
        <v>15</v>
      </c>
      <c r="Q566" s="229" t="s">
        <v>15</v>
      </c>
      <c r="R566" s="229" t="s">
        <v>15</v>
      </c>
      <c r="S566" s="229" t="s">
        <v>16</v>
      </c>
      <c r="T566" s="229" t="s">
        <v>375</v>
      </c>
      <c r="U566" s="229" t="s">
        <v>331</v>
      </c>
      <c r="V566" s="229" t="s">
        <v>328</v>
      </c>
      <c r="W566" s="230" t="s">
        <v>328</v>
      </c>
      <c r="X566" s="230" t="s">
        <v>328</v>
      </c>
      <c r="Y566" s="231" t="s">
        <v>328</v>
      </c>
    </row>
    <row r="567" spans="1:25">
      <c r="A567" s="223">
        <v>15</v>
      </c>
      <c r="B567" s="224" t="str">
        <f>VLOOKUP(Tabel10[[#This Row],[Locatiecode]],Ruimtegroepen[[#All],[Code]:[Ruimte omschrijving]],2,FALSE)</f>
        <v>Keuken/pantry</v>
      </c>
      <c r="C567" s="225" t="s">
        <v>990</v>
      </c>
      <c r="D567" s="224" t="s">
        <v>0</v>
      </c>
      <c r="E567" s="226" t="s">
        <v>121</v>
      </c>
      <c r="F567" s="225" t="s">
        <v>991</v>
      </c>
      <c r="G567" s="228" t="s">
        <v>328</v>
      </c>
      <c r="H567" s="228" t="s">
        <v>328</v>
      </c>
      <c r="I567" s="228" t="s">
        <v>16</v>
      </c>
      <c r="J567" s="228" t="s">
        <v>328</v>
      </c>
      <c r="K567" s="228" t="s">
        <v>16</v>
      </c>
      <c r="L567" s="228" t="s">
        <v>328</v>
      </c>
      <c r="M567" s="228" t="s">
        <v>328</v>
      </c>
      <c r="N567" s="228" t="s">
        <v>328</v>
      </c>
      <c r="O567" s="229" t="s">
        <v>16</v>
      </c>
      <c r="P567" s="229" t="s">
        <v>16</v>
      </c>
      <c r="Q567" s="229" t="s">
        <v>16</v>
      </c>
      <c r="R567" s="229" t="s">
        <v>16</v>
      </c>
      <c r="S567" s="229" t="s">
        <v>16</v>
      </c>
      <c r="T567" s="229" t="s">
        <v>375</v>
      </c>
      <c r="U567" s="229" t="s">
        <v>331</v>
      </c>
      <c r="V567" s="229" t="s">
        <v>328</v>
      </c>
      <c r="W567" s="230" t="s">
        <v>328</v>
      </c>
      <c r="X567" s="230" t="s">
        <v>328</v>
      </c>
      <c r="Y567" s="231" t="s">
        <v>328</v>
      </c>
    </row>
    <row r="568" spans="1:25">
      <c r="A568" s="223">
        <v>15</v>
      </c>
      <c r="B568" s="224" t="str">
        <f>VLOOKUP(Tabel10[[#This Row],[Locatiecode]],Ruimtegroepen[[#All],[Code]:[Ruimte omschrijving]],2,FALSE)</f>
        <v>Keuken/pantry</v>
      </c>
      <c r="C568" s="225" t="s">
        <v>990</v>
      </c>
      <c r="D568" s="224" t="s">
        <v>0</v>
      </c>
      <c r="E568" s="226" t="s">
        <v>120</v>
      </c>
      <c r="F568" s="225" t="s">
        <v>992</v>
      </c>
      <c r="G568" s="228" t="s">
        <v>328</v>
      </c>
      <c r="H568" s="228" t="s">
        <v>16</v>
      </c>
      <c r="I568" s="228" t="s">
        <v>328</v>
      </c>
      <c r="J568" s="228" t="s">
        <v>328</v>
      </c>
      <c r="K568" s="228" t="s">
        <v>328</v>
      </c>
      <c r="L568" s="228" t="s">
        <v>328</v>
      </c>
      <c r="M568" s="228" t="s">
        <v>328</v>
      </c>
      <c r="N568" s="228" t="s">
        <v>328</v>
      </c>
      <c r="O568" s="229" t="s">
        <v>16</v>
      </c>
      <c r="P568" s="229" t="s">
        <v>16</v>
      </c>
      <c r="Q568" s="229" t="s">
        <v>16</v>
      </c>
      <c r="R568" s="229" t="s">
        <v>16</v>
      </c>
      <c r="S568" s="229" t="s">
        <v>16</v>
      </c>
      <c r="T568" s="229" t="s">
        <v>375</v>
      </c>
      <c r="U568" s="229" t="s">
        <v>331</v>
      </c>
      <c r="V568" s="229" t="s">
        <v>328</v>
      </c>
      <c r="W568" s="230" t="s">
        <v>328</v>
      </c>
      <c r="X568" s="230" t="s">
        <v>328</v>
      </c>
      <c r="Y568" s="231" t="s">
        <v>328</v>
      </c>
    </row>
    <row r="569" spans="1:25">
      <c r="A569" s="223">
        <v>15</v>
      </c>
      <c r="B569" s="224" t="str">
        <f>VLOOKUP(Tabel10[[#This Row],[Locatiecode]],Ruimtegroepen[[#All],[Code]:[Ruimte omschrijving]],2,FALSE)</f>
        <v>Keuken/pantry</v>
      </c>
      <c r="C569" s="225" t="s">
        <v>990</v>
      </c>
      <c r="D569" s="224" t="s">
        <v>0</v>
      </c>
      <c r="E569" s="226" t="s">
        <v>122</v>
      </c>
      <c r="F569" s="225" t="s">
        <v>993</v>
      </c>
      <c r="G569" s="228" t="s">
        <v>328</v>
      </c>
      <c r="H569" s="228" t="s">
        <v>328</v>
      </c>
      <c r="I569" s="228" t="s">
        <v>16</v>
      </c>
      <c r="J569" s="228"/>
      <c r="K569" s="228" t="s">
        <v>16</v>
      </c>
      <c r="L569" s="228" t="s">
        <v>328</v>
      </c>
      <c r="M569" s="228" t="s">
        <v>328</v>
      </c>
      <c r="N569" s="228" t="s">
        <v>328</v>
      </c>
      <c r="O569" s="229" t="s">
        <v>16</v>
      </c>
      <c r="P569" s="229" t="s">
        <v>16</v>
      </c>
      <c r="Q569" s="229" t="s">
        <v>16</v>
      </c>
      <c r="R569" s="229" t="s">
        <v>16</v>
      </c>
      <c r="S569" s="229" t="s">
        <v>16</v>
      </c>
      <c r="T569" s="229" t="s">
        <v>375</v>
      </c>
      <c r="U569" s="229" t="s">
        <v>331</v>
      </c>
      <c r="V569" s="229" t="s">
        <v>328</v>
      </c>
      <c r="W569" s="230" t="s">
        <v>328</v>
      </c>
      <c r="X569" s="230" t="s">
        <v>328</v>
      </c>
      <c r="Y569" s="231" t="s">
        <v>328</v>
      </c>
    </row>
    <row r="570" spans="1:25">
      <c r="A570" s="223">
        <v>15</v>
      </c>
      <c r="B570" s="224" t="str">
        <f>VLOOKUP(Tabel10[[#This Row],[Locatiecode]],Ruimtegroepen[[#All],[Code]:[Ruimte omschrijving]],2,FALSE)</f>
        <v>Keuken/pantry</v>
      </c>
      <c r="C570" s="225" t="s">
        <v>990</v>
      </c>
      <c r="D570" s="224" t="s">
        <v>0</v>
      </c>
      <c r="E570" s="226" t="s">
        <v>123</v>
      </c>
      <c r="F570" s="225" t="s">
        <v>994</v>
      </c>
      <c r="G570" s="228" t="s">
        <v>328</v>
      </c>
      <c r="H570" s="228" t="s">
        <v>328</v>
      </c>
      <c r="I570" s="228" t="s">
        <v>16</v>
      </c>
      <c r="J570" s="228" t="s">
        <v>328</v>
      </c>
      <c r="K570" s="228" t="s">
        <v>16</v>
      </c>
      <c r="L570" s="228" t="s">
        <v>328</v>
      </c>
      <c r="M570" s="228" t="s">
        <v>328</v>
      </c>
      <c r="N570" s="228" t="s">
        <v>328</v>
      </c>
      <c r="O570" s="229" t="s">
        <v>16</v>
      </c>
      <c r="P570" s="229" t="s">
        <v>16</v>
      </c>
      <c r="Q570" s="229" t="s">
        <v>16</v>
      </c>
      <c r="R570" s="229" t="s">
        <v>16</v>
      </c>
      <c r="S570" s="229" t="s">
        <v>16</v>
      </c>
      <c r="T570" s="229" t="s">
        <v>375</v>
      </c>
      <c r="U570" s="229" t="s">
        <v>331</v>
      </c>
      <c r="V570" s="229" t="s">
        <v>328</v>
      </c>
      <c r="W570" s="230" t="s">
        <v>328</v>
      </c>
      <c r="X570" s="230" t="s">
        <v>328</v>
      </c>
      <c r="Y570" s="231" t="s">
        <v>328</v>
      </c>
    </row>
    <row r="571" spans="1:25">
      <c r="A571" s="223">
        <v>15</v>
      </c>
      <c r="B571" s="224" t="str">
        <f>VLOOKUP(Tabel10[[#This Row],[Locatiecode]],Ruimtegroepen[[#All],[Code]:[Ruimte omschrijving]],2,FALSE)</f>
        <v>Keuken/pantry</v>
      </c>
      <c r="C571" s="225" t="s">
        <v>995</v>
      </c>
      <c r="D571" s="224" t="s">
        <v>30</v>
      </c>
      <c r="E571" s="226" t="s">
        <v>121</v>
      </c>
      <c r="F571" s="225" t="s">
        <v>996</v>
      </c>
      <c r="G571" s="228" t="s">
        <v>328</v>
      </c>
      <c r="H571" s="228" t="s">
        <v>328</v>
      </c>
      <c r="I571" s="228" t="s">
        <v>15</v>
      </c>
      <c r="J571" s="228" t="s">
        <v>15</v>
      </c>
      <c r="K571" s="228" t="s">
        <v>328</v>
      </c>
      <c r="L571" s="228" t="s">
        <v>328</v>
      </c>
      <c r="M571" s="228" t="s">
        <v>328</v>
      </c>
      <c r="N571" s="228" t="s">
        <v>328</v>
      </c>
      <c r="O571" s="229" t="s">
        <v>15</v>
      </c>
      <c r="P571" s="229" t="s">
        <v>15</v>
      </c>
      <c r="Q571" s="229" t="s">
        <v>15</v>
      </c>
      <c r="R571" s="229" t="s">
        <v>15</v>
      </c>
      <c r="S571" s="229" t="s">
        <v>328</v>
      </c>
      <c r="T571" s="229" t="s">
        <v>328</v>
      </c>
      <c r="U571" s="229" t="s">
        <v>328</v>
      </c>
      <c r="V571" s="229" t="s">
        <v>328</v>
      </c>
      <c r="W571" s="230" t="s">
        <v>328</v>
      </c>
      <c r="X571" s="230" t="s">
        <v>328</v>
      </c>
      <c r="Y571" s="231" t="s">
        <v>328</v>
      </c>
    </row>
    <row r="572" spans="1:25">
      <c r="A572" s="223">
        <v>15</v>
      </c>
      <c r="B572" s="224" t="str">
        <f>VLOOKUP(Tabel10[[#This Row],[Locatiecode]],Ruimtegroepen[[#All],[Code]:[Ruimte omschrijving]],2,FALSE)</f>
        <v>Keuken/pantry</v>
      </c>
      <c r="C572" s="225" t="s">
        <v>995</v>
      </c>
      <c r="D572" s="224" t="s">
        <v>30</v>
      </c>
      <c r="E572" s="226" t="s">
        <v>120</v>
      </c>
      <c r="F572" s="225" t="s">
        <v>997</v>
      </c>
      <c r="G572" s="228" t="s">
        <v>328</v>
      </c>
      <c r="H572" s="228" t="s">
        <v>15</v>
      </c>
      <c r="I572" s="228" t="s">
        <v>328</v>
      </c>
      <c r="J572" s="228" t="s">
        <v>328</v>
      </c>
      <c r="K572" s="228" t="s">
        <v>328</v>
      </c>
      <c r="L572" s="228" t="s">
        <v>328</v>
      </c>
      <c r="M572" s="228" t="s">
        <v>328</v>
      </c>
      <c r="N572" s="228" t="s">
        <v>328</v>
      </c>
      <c r="O572" s="229" t="s">
        <v>15</v>
      </c>
      <c r="P572" s="229" t="s">
        <v>15</v>
      </c>
      <c r="Q572" s="229" t="s">
        <v>15</v>
      </c>
      <c r="R572" s="229" t="s">
        <v>15</v>
      </c>
      <c r="S572" s="229" t="s">
        <v>328</v>
      </c>
      <c r="T572" s="229" t="s">
        <v>328</v>
      </c>
      <c r="U572" s="229" t="s">
        <v>328</v>
      </c>
      <c r="V572" s="229" t="s">
        <v>328</v>
      </c>
      <c r="W572" s="230" t="s">
        <v>328</v>
      </c>
      <c r="X572" s="230" t="s">
        <v>328</v>
      </c>
      <c r="Y572" s="231" t="s">
        <v>328</v>
      </c>
    </row>
    <row r="573" spans="1:25">
      <c r="A573" s="223">
        <v>15</v>
      </c>
      <c r="B573" s="224" t="str">
        <f>VLOOKUP(Tabel10[[#This Row],[Locatiecode]],Ruimtegroepen[[#All],[Code]:[Ruimte omschrijving]],2,FALSE)</f>
        <v>Keuken/pantry</v>
      </c>
      <c r="C573" s="225" t="s">
        <v>995</v>
      </c>
      <c r="D573" s="224" t="s">
        <v>30</v>
      </c>
      <c r="E573" s="226" t="s">
        <v>122</v>
      </c>
      <c r="F573" s="225" t="s">
        <v>998</v>
      </c>
      <c r="G573" s="228" t="s">
        <v>328</v>
      </c>
      <c r="H573" s="228" t="s">
        <v>328</v>
      </c>
      <c r="I573" s="228" t="s">
        <v>15</v>
      </c>
      <c r="J573" s="228" t="s">
        <v>328</v>
      </c>
      <c r="K573" s="228" t="s">
        <v>15</v>
      </c>
      <c r="L573" s="228" t="s">
        <v>328</v>
      </c>
      <c r="M573" s="228" t="s">
        <v>328</v>
      </c>
      <c r="N573" s="228" t="s">
        <v>328</v>
      </c>
      <c r="O573" s="229" t="s">
        <v>15</v>
      </c>
      <c r="P573" s="229" t="s">
        <v>15</v>
      </c>
      <c r="Q573" s="229" t="s">
        <v>15</v>
      </c>
      <c r="R573" s="229" t="s">
        <v>15</v>
      </c>
      <c r="S573" s="229" t="s">
        <v>328</v>
      </c>
      <c r="T573" s="229" t="s">
        <v>328</v>
      </c>
      <c r="U573" s="229" t="s">
        <v>328</v>
      </c>
      <c r="V573" s="229" t="s">
        <v>328</v>
      </c>
      <c r="W573" s="230" t="s">
        <v>328</v>
      </c>
      <c r="X573" s="230" t="s">
        <v>328</v>
      </c>
      <c r="Y573" s="231" t="s">
        <v>328</v>
      </c>
    </row>
    <row r="574" spans="1:25">
      <c r="A574" s="223">
        <v>15</v>
      </c>
      <c r="B574" s="224" t="str">
        <f>VLOOKUP(Tabel10[[#This Row],[Locatiecode]],Ruimtegroepen[[#All],[Code]:[Ruimte omschrijving]],2,FALSE)</f>
        <v>Keuken/pantry</v>
      </c>
      <c r="C574" s="225" t="s">
        <v>995</v>
      </c>
      <c r="D574" s="224" t="s">
        <v>30</v>
      </c>
      <c r="E574" s="226" t="s">
        <v>123</v>
      </c>
      <c r="F574" s="225" t="s">
        <v>999</v>
      </c>
      <c r="G574" s="228" t="s">
        <v>328</v>
      </c>
      <c r="H574" s="228" t="s">
        <v>328</v>
      </c>
      <c r="I574" s="228" t="s">
        <v>15</v>
      </c>
      <c r="J574" s="228" t="s">
        <v>328</v>
      </c>
      <c r="K574" s="228" t="s">
        <v>15</v>
      </c>
      <c r="L574" s="228" t="s">
        <v>328</v>
      </c>
      <c r="M574" s="228" t="s">
        <v>328</v>
      </c>
      <c r="N574" s="228" t="s">
        <v>328</v>
      </c>
      <c r="O574" s="229" t="s">
        <v>15</v>
      </c>
      <c r="P574" s="229" t="s">
        <v>15</v>
      </c>
      <c r="Q574" s="229" t="s">
        <v>15</v>
      </c>
      <c r="R574" s="229" t="s">
        <v>15</v>
      </c>
      <c r="S574" s="229" t="s">
        <v>328</v>
      </c>
      <c r="T574" s="229" t="s">
        <v>328</v>
      </c>
      <c r="U574" s="229" t="s">
        <v>328</v>
      </c>
      <c r="V574" s="229" t="s">
        <v>328</v>
      </c>
      <c r="W574" s="230" t="s">
        <v>328</v>
      </c>
      <c r="X574" s="230" t="s">
        <v>328</v>
      </c>
      <c r="Y574" s="231" t="s">
        <v>328</v>
      </c>
    </row>
    <row r="575" spans="1:25">
      <c r="A575" s="223">
        <v>15</v>
      </c>
      <c r="B575" s="224" t="str">
        <f>VLOOKUP(Tabel10[[#This Row],[Locatiecode]],Ruimtegroepen[[#All],[Code]:[Ruimte omschrijving]],2,FALSE)</f>
        <v>Keuken/pantry</v>
      </c>
      <c r="C575" s="225" t="s">
        <v>1000</v>
      </c>
      <c r="D575" s="224" t="s">
        <v>31</v>
      </c>
      <c r="E575" s="226" t="s">
        <v>121</v>
      </c>
      <c r="F575" s="225" t="s">
        <v>1001</v>
      </c>
      <c r="G575" s="228" t="s">
        <v>328</v>
      </c>
      <c r="H575" s="228" t="s">
        <v>328</v>
      </c>
      <c r="I575" s="228" t="s">
        <v>17</v>
      </c>
      <c r="J575" s="228" t="s">
        <v>17</v>
      </c>
      <c r="K575" s="228" t="s">
        <v>328</v>
      </c>
      <c r="L575" s="228" t="s">
        <v>328</v>
      </c>
      <c r="M575" s="228" t="s">
        <v>328</v>
      </c>
      <c r="N575" s="228" t="s">
        <v>328</v>
      </c>
      <c r="O575" s="229" t="s">
        <v>17</v>
      </c>
      <c r="P575" s="229" t="s">
        <v>17</v>
      </c>
      <c r="Q575" s="229" t="s">
        <v>15</v>
      </c>
      <c r="R575" s="229" t="s">
        <v>15</v>
      </c>
      <c r="S575" s="229" t="s">
        <v>328</v>
      </c>
      <c r="T575" s="229" t="s">
        <v>328</v>
      </c>
      <c r="U575" s="229" t="s">
        <v>328</v>
      </c>
      <c r="V575" s="229" t="s">
        <v>328</v>
      </c>
      <c r="W575" s="230" t="s">
        <v>328</v>
      </c>
      <c r="X575" s="230" t="s">
        <v>328</v>
      </c>
      <c r="Y575" s="231" t="s">
        <v>328</v>
      </c>
    </row>
    <row r="576" spans="1:25">
      <c r="A576" s="223">
        <v>15</v>
      </c>
      <c r="B576" s="224" t="str">
        <f>VLOOKUP(Tabel10[[#This Row],[Locatiecode]],Ruimtegroepen[[#All],[Code]:[Ruimte omschrijving]],2,FALSE)</f>
        <v>Keuken/pantry</v>
      </c>
      <c r="C576" s="225" t="s">
        <v>1000</v>
      </c>
      <c r="D576" s="224" t="s">
        <v>31</v>
      </c>
      <c r="E576" s="226" t="s">
        <v>120</v>
      </c>
      <c r="F576" s="225" t="s">
        <v>1002</v>
      </c>
      <c r="G576" s="228" t="s">
        <v>328</v>
      </c>
      <c r="H576" s="228" t="s">
        <v>17</v>
      </c>
      <c r="I576" s="228" t="s">
        <v>328</v>
      </c>
      <c r="J576" s="228" t="s">
        <v>328</v>
      </c>
      <c r="K576" s="228" t="s">
        <v>328</v>
      </c>
      <c r="L576" s="228" t="s">
        <v>328</v>
      </c>
      <c r="M576" s="228" t="s">
        <v>328</v>
      </c>
      <c r="N576" s="228" t="s">
        <v>328</v>
      </c>
      <c r="O576" s="229" t="s">
        <v>17</v>
      </c>
      <c r="P576" s="229" t="s">
        <v>17</v>
      </c>
      <c r="Q576" s="229" t="s">
        <v>15</v>
      </c>
      <c r="R576" s="229" t="s">
        <v>15</v>
      </c>
      <c r="S576" s="229" t="s">
        <v>328</v>
      </c>
      <c r="T576" s="229" t="s">
        <v>328</v>
      </c>
      <c r="U576" s="229" t="s">
        <v>328</v>
      </c>
      <c r="V576" s="229" t="s">
        <v>328</v>
      </c>
      <c r="W576" s="230" t="s">
        <v>328</v>
      </c>
      <c r="X576" s="230" t="s">
        <v>328</v>
      </c>
      <c r="Y576" s="231" t="s">
        <v>328</v>
      </c>
    </row>
    <row r="577" spans="1:25">
      <c r="A577" s="223">
        <v>15</v>
      </c>
      <c r="B577" s="224" t="str">
        <f>VLOOKUP(Tabel10[[#This Row],[Locatiecode]],Ruimtegroepen[[#All],[Code]:[Ruimte omschrijving]],2,FALSE)</f>
        <v>Keuken/pantry</v>
      </c>
      <c r="C577" s="225" t="s">
        <v>1000</v>
      </c>
      <c r="D577" s="224" t="s">
        <v>31</v>
      </c>
      <c r="E577" s="226" t="s">
        <v>122</v>
      </c>
      <c r="F577" s="225" t="s">
        <v>1003</v>
      </c>
      <c r="G577" s="228" t="s">
        <v>328</v>
      </c>
      <c r="H577" s="228" t="s">
        <v>328</v>
      </c>
      <c r="I577" s="228" t="s">
        <v>17</v>
      </c>
      <c r="J577" s="228" t="s">
        <v>15</v>
      </c>
      <c r="K577" s="228" t="s">
        <v>15</v>
      </c>
      <c r="L577" s="228" t="s">
        <v>328</v>
      </c>
      <c r="M577" s="228" t="s">
        <v>328</v>
      </c>
      <c r="N577" s="228" t="s">
        <v>328</v>
      </c>
      <c r="O577" s="229" t="s">
        <v>17</v>
      </c>
      <c r="P577" s="229" t="s">
        <v>17</v>
      </c>
      <c r="Q577" s="229" t="s">
        <v>15</v>
      </c>
      <c r="R577" s="229" t="s">
        <v>15</v>
      </c>
      <c r="S577" s="229" t="s">
        <v>328</v>
      </c>
      <c r="T577" s="229" t="s">
        <v>328</v>
      </c>
      <c r="U577" s="229" t="s">
        <v>328</v>
      </c>
      <c r="V577" s="229" t="s">
        <v>328</v>
      </c>
      <c r="W577" s="230" t="s">
        <v>328</v>
      </c>
      <c r="X577" s="230" t="s">
        <v>328</v>
      </c>
      <c r="Y577" s="231" t="s">
        <v>328</v>
      </c>
    </row>
    <row r="578" spans="1:25">
      <c r="A578" s="223">
        <v>15</v>
      </c>
      <c r="B578" s="224" t="str">
        <f>VLOOKUP(Tabel10[[#This Row],[Locatiecode]],Ruimtegroepen[[#All],[Code]:[Ruimte omschrijving]],2,FALSE)</f>
        <v>Keuken/pantry</v>
      </c>
      <c r="C578" s="225" t="s">
        <v>1000</v>
      </c>
      <c r="D578" s="224" t="s">
        <v>31</v>
      </c>
      <c r="E578" s="226" t="s">
        <v>123</v>
      </c>
      <c r="F578" s="225" t="s">
        <v>1004</v>
      </c>
      <c r="G578" s="228" t="s">
        <v>328</v>
      </c>
      <c r="H578" s="228" t="s">
        <v>328</v>
      </c>
      <c r="I578" s="228" t="s">
        <v>17</v>
      </c>
      <c r="J578" s="228" t="s">
        <v>15</v>
      </c>
      <c r="K578" s="228" t="s">
        <v>15</v>
      </c>
      <c r="L578" s="228" t="s">
        <v>328</v>
      </c>
      <c r="M578" s="228" t="s">
        <v>328</v>
      </c>
      <c r="N578" s="228" t="s">
        <v>328</v>
      </c>
      <c r="O578" s="229" t="s">
        <v>17</v>
      </c>
      <c r="P578" s="229" t="s">
        <v>17</v>
      </c>
      <c r="Q578" s="229" t="s">
        <v>15</v>
      </c>
      <c r="R578" s="229" t="s">
        <v>15</v>
      </c>
      <c r="S578" s="229" t="s">
        <v>328</v>
      </c>
      <c r="T578" s="229" t="s">
        <v>328</v>
      </c>
      <c r="U578" s="229" t="s">
        <v>328</v>
      </c>
      <c r="V578" s="229" t="s">
        <v>328</v>
      </c>
      <c r="W578" s="230" t="s">
        <v>328</v>
      </c>
      <c r="X578" s="230" t="s">
        <v>328</v>
      </c>
      <c r="Y578" s="231" t="s">
        <v>328</v>
      </c>
    </row>
    <row r="579" spans="1:25">
      <c r="A579" s="223">
        <v>16</v>
      </c>
      <c r="B579" s="224" t="str">
        <f>VLOOKUP(Tabel10[[#This Row],[Locatiecode]],Ruimtegroepen[[#All],[Code]:[Ruimte omschrijving]],2,FALSE)</f>
        <v>Leslokalen</v>
      </c>
      <c r="C579" s="225" t="s">
        <v>1005</v>
      </c>
      <c r="D579" s="224" t="s">
        <v>32</v>
      </c>
      <c r="E579" s="226" t="s">
        <v>121</v>
      </c>
      <c r="F579" s="225" t="s">
        <v>1006</v>
      </c>
      <c r="G579" s="228" t="s">
        <v>328</v>
      </c>
      <c r="H579" s="228" t="s">
        <v>328</v>
      </c>
      <c r="I579" s="228" t="s">
        <v>2</v>
      </c>
      <c r="J579" s="228" t="s">
        <v>15</v>
      </c>
      <c r="K579" s="228" t="s">
        <v>16</v>
      </c>
      <c r="L579" s="228" t="s">
        <v>328</v>
      </c>
      <c r="M579" s="228" t="s">
        <v>328</v>
      </c>
      <c r="N579" s="228" t="s">
        <v>2</v>
      </c>
      <c r="O579" s="229" t="s">
        <v>2</v>
      </c>
      <c r="P579" s="229" t="s">
        <v>2</v>
      </c>
      <c r="Q579" s="229" t="s">
        <v>15</v>
      </c>
      <c r="R579" s="229" t="s">
        <v>15</v>
      </c>
      <c r="S579" s="229" t="s">
        <v>16</v>
      </c>
      <c r="T579" s="229" t="s">
        <v>375</v>
      </c>
      <c r="U579" s="229" t="s">
        <v>331</v>
      </c>
      <c r="V579" s="229" t="s">
        <v>2</v>
      </c>
      <c r="W579" s="230" t="s">
        <v>328</v>
      </c>
      <c r="X579" s="230" t="s">
        <v>328</v>
      </c>
      <c r="Y579" s="231" t="s">
        <v>328</v>
      </c>
    </row>
    <row r="580" spans="1:25">
      <c r="A580" s="223">
        <v>16</v>
      </c>
      <c r="B580" s="224" t="str">
        <f>VLOOKUP(Tabel10[[#This Row],[Locatiecode]],Ruimtegroepen[[#All],[Code]:[Ruimte omschrijving]],2,FALSE)</f>
        <v>Leslokalen</v>
      </c>
      <c r="C580" s="225" t="s">
        <v>1005</v>
      </c>
      <c r="D580" s="224" t="s">
        <v>32</v>
      </c>
      <c r="E580" s="226" t="s">
        <v>120</v>
      </c>
      <c r="F580" s="225" t="s">
        <v>1007</v>
      </c>
      <c r="G580" s="228" t="s">
        <v>20</v>
      </c>
      <c r="H580" s="228" t="s">
        <v>15</v>
      </c>
      <c r="I580" s="228" t="s">
        <v>328</v>
      </c>
      <c r="J580" s="228" t="s">
        <v>328</v>
      </c>
      <c r="K580" s="228" t="s">
        <v>328</v>
      </c>
      <c r="L580" s="228" t="s">
        <v>328</v>
      </c>
      <c r="M580" s="228" t="s">
        <v>328</v>
      </c>
      <c r="N580" s="228" t="s">
        <v>2</v>
      </c>
      <c r="O580" s="229" t="s">
        <v>2</v>
      </c>
      <c r="P580" s="229" t="s">
        <v>2</v>
      </c>
      <c r="Q580" s="229" t="s">
        <v>15</v>
      </c>
      <c r="R580" s="229" t="s">
        <v>15</v>
      </c>
      <c r="S580" s="229" t="s">
        <v>16</v>
      </c>
      <c r="T580" s="229" t="s">
        <v>375</v>
      </c>
      <c r="U580" s="229" t="s">
        <v>331</v>
      </c>
      <c r="V580" s="229" t="s">
        <v>2</v>
      </c>
      <c r="W580" s="230" t="s">
        <v>328</v>
      </c>
      <c r="X580" s="230" t="s">
        <v>328</v>
      </c>
      <c r="Y580" s="231" t="s">
        <v>328</v>
      </c>
    </row>
    <row r="581" spans="1:25">
      <c r="A581" s="223">
        <v>16</v>
      </c>
      <c r="B581" s="224" t="str">
        <f>VLOOKUP(Tabel10[[#This Row],[Locatiecode]],Ruimtegroepen[[#All],[Code]:[Ruimte omschrijving]],2,FALSE)</f>
        <v>Leslokalen</v>
      </c>
      <c r="C581" s="225" t="s">
        <v>1005</v>
      </c>
      <c r="D581" s="224" t="s">
        <v>32</v>
      </c>
      <c r="E581" s="226" t="s">
        <v>122</v>
      </c>
      <c r="F581" s="225" t="s">
        <v>1008</v>
      </c>
      <c r="G581" s="228" t="s">
        <v>328</v>
      </c>
      <c r="H581" s="228" t="s">
        <v>328</v>
      </c>
      <c r="I581" s="228" t="s">
        <v>2</v>
      </c>
      <c r="J581" s="228" t="s">
        <v>15</v>
      </c>
      <c r="K581" s="228" t="s">
        <v>16</v>
      </c>
      <c r="L581" s="228" t="s">
        <v>328</v>
      </c>
      <c r="M581" s="228" t="s">
        <v>328</v>
      </c>
      <c r="N581" s="228" t="s">
        <v>2</v>
      </c>
      <c r="O581" s="229" t="s">
        <v>2</v>
      </c>
      <c r="P581" s="229" t="s">
        <v>2</v>
      </c>
      <c r="Q581" s="229" t="s">
        <v>15</v>
      </c>
      <c r="R581" s="229" t="s">
        <v>15</v>
      </c>
      <c r="S581" s="229" t="s">
        <v>16</v>
      </c>
      <c r="T581" s="229" t="s">
        <v>375</v>
      </c>
      <c r="U581" s="229" t="s">
        <v>331</v>
      </c>
      <c r="V581" s="229" t="s">
        <v>2</v>
      </c>
      <c r="W581" s="230" t="s">
        <v>328</v>
      </c>
      <c r="X581" s="230" t="s">
        <v>328</v>
      </c>
      <c r="Y581" s="231" t="s">
        <v>328</v>
      </c>
    </row>
    <row r="582" spans="1:25">
      <c r="A582" s="223">
        <v>16</v>
      </c>
      <c r="B582" s="224" t="str">
        <f>VLOOKUP(Tabel10[[#This Row],[Locatiecode]],Ruimtegroepen[[#All],[Code]:[Ruimte omschrijving]],2,FALSE)</f>
        <v>Leslokalen</v>
      </c>
      <c r="C582" s="225" t="s">
        <v>1005</v>
      </c>
      <c r="D582" s="224" t="s">
        <v>32</v>
      </c>
      <c r="E582" s="226" t="s">
        <v>123</v>
      </c>
      <c r="F582" s="225" t="s">
        <v>1009</v>
      </c>
      <c r="G582" s="228" t="s">
        <v>328</v>
      </c>
      <c r="H582" s="228" t="s">
        <v>328</v>
      </c>
      <c r="I582" s="228" t="s">
        <v>2</v>
      </c>
      <c r="J582" s="228" t="s">
        <v>15</v>
      </c>
      <c r="K582" s="228" t="s">
        <v>16</v>
      </c>
      <c r="L582" s="228" t="s">
        <v>328</v>
      </c>
      <c r="M582" s="228" t="s">
        <v>328</v>
      </c>
      <c r="N582" s="228" t="s">
        <v>2</v>
      </c>
      <c r="O582" s="229" t="s">
        <v>2</v>
      </c>
      <c r="P582" s="229" t="s">
        <v>2</v>
      </c>
      <c r="Q582" s="229" t="s">
        <v>15</v>
      </c>
      <c r="R582" s="229" t="s">
        <v>15</v>
      </c>
      <c r="S582" s="229" t="s">
        <v>16</v>
      </c>
      <c r="T582" s="229" t="s">
        <v>375</v>
      </c>
      <c r="U582" s="229" t="s">
        <v>331</v>
      </c>
      <c r="V582" s="229" t="s">
        <v>2</v>
      </c>
      <c r="W582" s="230" t="s">
        <v>328</v>
      </c>
      <c r="X582" s="230" t="s">
        <v>328</v>
      </c>
      <c r="Y582" s="231" t="s">
        <v>328</v>
      </c>
    </row>
    <row r="583" spans="1:25">
      <c r="A583" s="223">
        <v>16</v>
      </c>
      <c r="B583" s="224" t="str">
        <f>VLOOKUP(Tabel10[[#This Row],[Locatiecode]],Ruimtegroepen[[#All],[Code]:[Ruimte omschrijving]],2,FALSE)</f>
        <v>Leslokalen</v>
      </c>
      <c r="C583" s="225" t="s">
        <v>1010</v>
      </c>
      <c r="D583" s="224" t="s">
        <v>1</v>
      </c>
      <c r="E583" s="226" t="s">
        <v>121</v>
      </c>
      <c r="F583" s="225" t="s">
        <v>1011</v>
      </c>
      <c r="G583" s="228" t="s">
        <v>328</v>
      </c>
      <c r="H583" s="228" t="s">
        <v>328</v>
      </c>
      <c r="I583" s="228" t="s">
        <v>2</v>
      </c>
      <c r="J583" s="228" t="s">
        <v>15</v>
      </c>
      <c r="K583" s="228" t="s">
        <v>328</v>
      </c>
      <c r="L583" s="228" t="s">
        <v>328</v>
      </c>
      <c r="M583" s="228" t="s">
        <v>328</v>
      </c>
      <c r="N583" s="228" t="s">
        <v>328</v>
      </c>
      <c r="O583" s="229" t="s">
        <v>2</v>
      </c>
      <c r="P583" s="229" t="s">
        <v>2</v>
      </c>
      <c r="Q583" s="229" t="s">
        <v>15</v>
      </c>
      <c r="R583" s="229" t="s">
        <v>15</v>
      </c>
      <c r="S583" s="229" t="s">
        <v>16</v>
      </c>
      <c r="T583" s="229" t="s">
        <v>375</v>
      </c>
      <c r="U583" s="229" t="s">
        <v>331</v>
      </c>
      <c r="V583" s="229" t="s">
        <v>328</v>
      </c>
      <c r="W583" s="230" t="s">
        <v>328</v>
      </c>
      <c r="X583" s="230" t="s">
        <v>328</v>
      </c>
      <c r="Y583" s="231" t="s">
        <v>328</v>
      </c>
    </row>
    <row r="584" spans="1:25">
      <c r="A584" s="223">
        <v>16</v>
      </c>
      <c r="B584" s="224" t="str">
        <f>VLOOKUP(Tabel10[[#This Row],[Locatiecode]],Ruimtegroepen[[#All],[Code]:[Ruimte omschrijving]],2,FALSE)</f>
        <v>Leslokalen</v>
      </c>
      <c r="C584" s="225" t="s">
        <v>1010</v>
      </c>
      <c r="D584" s="224" t="s">
        <v>1</v>
      </c>
      <c r="E584" s="226" t="s">
        <v>120</v>
      </c>
      <c r="F584" s="225" t="s">
        <v>1012</v>
      </c>
      <c r="G584" s="228" t="s">
        <v>20</v>
      </c>
      <c r="H584" s="228" t="s">
        <v>15</v>
      </c>
      <c r="I584" s="228" t="s">
        <v>328</v>
      </c>
      <c r="J584" s="228" t="s">
        <v>328</v>
      </c>
      <c r="K584" s="228" t="s">
        <v>328</v>
      </c>
      <c r="L584" s="228" t="s">
        <v>328</v>
      </c>
      <c r="M584" s="228" t="s">
        <v>328</v>
      </c>
      <c r="N584" s="228" t="s">
        <v>328</v>
      </c>
      <c r="O584" s="229" t="s">
        <v>2</v>
      </c>
      <c r="P584" s="229" t="s">
        <v>2</v>
      </c>
      <c r="Q584" s="229" t="s">
        <v>15</v>
      </c>
      <c r="R584" s="229" t="s">
        <v>15</v>
      </c>
      <c r="S584" s="229" t="s">
        <v>16</v>
      </c>
      <c r="T584" s="229" t="s">
        <v>375</v>
      </c>
      <c r="U584" s="229" t="s">
        <v>331</v>
      </c>
      <c r="V584" s="229" t="s">
        <v>328</v>
      </c>
      <c r="W584" s="230" t="s">
        <v>328</v>
      </c>
      <c r="X584" s="230" t="s">
        <v>328</v>
      </c>
      <c r="Y584" s="231" t="s">
        <v>328</v>
      </c>
    </row>
    <row r="585" spans="1:25">
      <c r="A585" s="223">
        <v>16</v>
      </c>
      <c r="B585" s="224" t="str">
        <f>VLOOKUP(Tabel10[[#This Row],[Locatiecode]],Ruimtegroepen[[#All],[Code]:[Ruimte omschrijving]],2,FALSE)</f>
        <v>Leslokalen</v>
      </c>
      <c r="C585" s="225" t="s">
        <v>1010</v>
      </c>
      <c r="D585" s="224" t="s">
        <v>1</v>
      </c>
      <c r="E585" s="226" t="s">
        <v>122</v>
      </c>
      <c r="F585" s="225" t="s">
        <v>1013</v>
      </c>
      <c r="G585" s="228" t="s">
        <v>328</v>
      </c>
      <c r="H585" s="228" t="s">
        <v>328</v>
      </c>
      <c r="I585" s="228" t="s">
        <v>2</v>
      </c>
      <c r="J585" s="228" t="s">
        <v>15</v>
      </c>
      <c r="K585" s="228" t="s">
        <v>16</v>
      </c>
      <c r="L585" s="228" t="s">
        <v>328</v>
      </c>
      <c r="M585" s="228" t="s">
        <v>328</v>
      </c>
      <c r="N585" s="228" t="s">
        <v>328</v>
      </c>
      <c r="O585" s="229" t="s">
        <v>2</v>
      </c>
      <c r="P585" s="229" t="s">
        <v>2</v>
      </c>
      <c r="Q585" s="229" t="s">
        <v>15</v>
      </c>
      <c r="R585" s="229" t="s">
        <v>15</v>
      </c>
      <c r="S585" s="229" t="s">
        <v>16</v>
      </c>
      <c r="T585" s="229" t="s">
        <v>375</v>
      </c>
      <c r="U585" s="229" t="s">
        <v>331</v>
      </c>
      <c r="V585" s="229" t="s">
        <v>328</v>
      </c>
      <c r="W585" s="230" t="s">
        <v>328</v>
      </c>
      <c r="X585" s="230" t="s">
        <v>328</v>
      </c>
      <c r="Y585" s="231" t="s">
        <v>328</v>
      </c>
    </row>
    <row r="586" spans="1:25">
      <c r="A586" s="223">
        <v>16</v>
      </c>
      <c r="B586" s="224" t="str">
        <f>VLOOKUP(Tabel10[[#This Row],[Locatiecode]],Ruimtegroepen[[#All],[Code]:[Ruimte omschrijving]],2,FALSE)</f>
        <v>Leslokalen</v>
      </c>
      <c r="C586" s="225" t="s">
        <v>1010</v>
      </c>
      <c r="D586" s="224" t="s">
        <v>1</v>
      </c>
      <c r="E586" s="226" t="s">
        <v>123</v>
      </c>
      <c r="F586" s="225" t="s">
        <v>1014</v>
      </c>
      <c r="G586" s="228" t="s">
        <v>328</v>
      </c>
      <c r="H586" s="228" t="s">
        <v>328</v>
      </c>
      <c r="I586" s="228" t="s">
        <v>2</v>
      </c>
      <c r="J586" s="228" t="s">
        <v>15</v>
      </c>
      <c r="K586" s="228" t="s">
        <v>16</v>
      </c>
      <c r="L586" s="228" t="s">
        <v>328</v>
      </c>
      <c r="M586" s="228" t="s">
        <v>328</v>
      </c>
      <c r="N586" s="228" t="s">
        <v>328</v>
      </c>
      <c r="O586" s="229" t="s">
        <v>2</v>
      </c>
      <c r="P586" s="229" t="s">
        <v>2</v>
      </c>
      <c r="Q586" s="229" t="s">
        <v>15</v>
      </c>
      <c r="R586" s="229" t="s">
        <v>15</v>
      </c>
      <c r="S586" s="229" t="s">
        <v>16</v>
      </c>
      <c r="T586" s="229" t="s">
        <v>375</v>
      </c>
      <c r="U586" s="229" t="s">
        <v>331</v>
      </c>
      <c r="V586" s="229" t="s">
        <v>328</v>
      </c>
      <c r="W586" s="230" t="s">
        <v>328</v>
      </c>
      <c r="X586" s="230" t="s">
        <v>328</v>
      </c>
      <c r="Y586" s="231" t="s">
        <v>328</v>
      </c>
    </row>
    <row r="587" spans="1:25">
      <c r="A587" s="223">
        <v>16</v>
      </c>
      <c r="B587" s="224" t="str">
        <f>VLOOKUP(Tabel10[[#This Row],[Locatiecode]],Ruimtegroepen[[#All],[Code]:[Ruimte omschrijving]],2,FALSE)</f>
        <v>Leslokalen</v>
      </c>
      <c r="C587" s="225" t="s">
        <v>1015</v>
      </c>
      <c r="D587" s="224" t="s">
        <v>21</v>
      </c>
      <c r="E587" s="226" t="s">
        <v>121</v>
      </c>
      <c r="F587" s="225" t="s">
        <v>1016</v>
      </c>
      <c r="G587" s="228" t="s">
        <v>328</v>
      </c>
      <c r="H587" s="228" t="s">
        <v>328</v>
      </c>
      <c r="I587" s="228" t="s">
        <v>20</v>
      </c>
      <c r="J587" s="228" t="s">
        <v>15</v>
      </c>
      <c r="K587" s="228" t="s">
        <v>328</v>
      </c>
      <c r="L587" s="228" t="s">
        <v>328</v>
      </c>
      <c r="M587" s="228" t="s">
        <v>328</v>
      </c>
      <c r="N587" s="228" t="s">
        <v>328</v>
      </c>
      <c r="O587" s="229" t="s">
        <v>20</v>
      </c>
      <c r="P587" s="229" t="s">
        <v>20</v>
      </c>
      <c r="Q587" s="229" t="s">
        <v>15</v>
      </c>
      <c r="R587" s="229" t="s">
        <v>15</v>
      </c>
      <c r="S587" s="229" t="s">
        <v>16</v>
      </c>
      <c r="T587" s="229" t="s">
        <v>375</v>
      </c>
      <c r="U587" s="229" t="s">
        <v>331</v>
      </c>
      <c r="V587" s="229" t="s">
        <v>328</v>
      </c>
      <c r="W587" s="230" t="s">
        <v>328</v>
      </c>
      <c r="X587" s="230" t="s">
        <v>328</v>
      </c>
      <c r="Y587" s="231" t="s">
        <v>328</v>
      </c>
    </row>
    <row r="588" spans="1:25">
      <c r="A588" s="223">
        <v>16</v>
      </c>
      <c r="B588" s="224" t="str">
        <f>VLOOKUP(Tabel10[[#This Row],[Locatiecode]],Ruimtegroepen[[#All],[Code]:[Ruimte omschrijving]],2,FALSE)</f>
        <v>Leslokalen</v>
      </c>
      <c r="C588" s="225" t="s">
        <v>1015</v>
      </c>
      <c r="D588" s="224" t="s">
        <v>21</v>
      </c>
      <c r="E588" s="226" t="s">
        <v>120</v>
      </c>
      <c r="F588" s="225" t="s">
        <v>1017</v>
      </c>
      <c r="G588" s="228" t="s">
        <v>18</v>
      </c>
      <c r="H588" s="228" t="s">
        <v>15</v>
      </c>
      <c r="I588" s="228" t="s">
        <v>328</v>
      </c>
      <c r="J588" s="228" t="s">
        <v>328</v>
      </c>
      <c r="K588" s="228" t="s">
        <v>328</v>
      </c>
      <c r="L588" s="228" t="s">
        <v>328</v>
      </c>
      <c r="M588" s="228" t="s">
        <v>328</v>
      </c>
      <c r="N588" s="228" t="s">
        <v>328</v>
      </c>
      <c r="O588" s="229" t="s">
        <v>20</v>
      </c>
      <c r="P588" s="229" t="s">
        <v>20</v>
      </c>
      <c r="Q588" s="229" t="s">
        <v>15</v>
      </c>
      <c r="R588" s="229" t="s">
        <v>15</v>
      </c>
      <c r="S588" s="229" t="s">
        <v>16</v>
      </c>
      <c r="T588" s="229" t="s">
        <v>375</v>
      </c>
      <c r="U588" s="229" t="s">
        <v>331</v>
      </c>
      <c r="V588" s="229" t="s">
        <v>328</v>
      </c>
      <c r="W588" s="230" t="s">
        <v>328</v>
      </c>
      <c r="X588" s="230" t="s">
        <v>328</v>
      </c>
      <c r="Y588" s="231" t="s">
        <v>328</v>
      </c>
    </row>
    <row r="589" spans="1:25">
      <c r="A589" s="223">
        <v>16</v>
      </c>
      <c r="B589" s="224" t="str">
        <f>VLOOKUP(Tabel10[[#This Row],[Locatiecode]],Ruimtegroepen[[#All],[Code]:[Ruimte omschrijving]],2,FALSE)</f>
        <v>Leslokalen</v>
      </c>
      <c r="C589" s="225" t="s">
        <v>1015</v>
      </c>
      <c r="D589" s="224" t="s">
        <v>21</v>
      </c>
      <c r="E589" s="226" t="s">
        <v>122</v>
      </c>
      <c r="F589" s="225" t="s">
        <v>1018</v>
      </c>
      <c r="G589" s="228" t="s">
        <v>328</v>
      </c>
      <c r="H589" s="228" t="s">
        <v>328</v>
      </c>
      <c r="I589" s="228" t="s">
        <v>20</v>
      </c>
      <c r="J589" s="228" t="s">
        <v>15</v>
      </c>
      <c r="K589" s="228" t="s">
        <v>16</v>
      </c>
      <c r="L589" s="228" t="s">
        <v>328</v>
      </c>
      <c r="M589" s="228" t="s">
        <v>328</v>
      </c>
      <c r="N589" s="228" t="s">
        <v>328</v>
      </c>
      <c r="O589" s="229" t="s">
        <v>20</v>
      </c>
      <c r="P589" s="229" t="s">
        <v>20</v>
      </c>
      <c r="Q589" s="229" t="s">
        <v>15</v>
      </c>
      <c r="R589" s="229" t="s">
        <v>15</v>
      </c>
      <c r="S589" s="229" t="s">
        <v>16</v>
      </c>
      <c r="T589" s="229" t="s">
        <v>375</v>
      </c>
      <c r="U589" s="229" t="s">
        <v>331</v>
      </c>
      <c r="V589" s="229" t="s">
        <v>328</v>
      </c>
      <c r="W589" s="230" t="s">
        <v>328</v>
      </c>
      <c r="X589" s="230" t="s">
        <v>328</v>
      </c>
      <c r="Y589" s="231" t="s">
        <v>328</v>
      </c>
    </row>
    <row r="590" spans="1:25">
      <c r="A590" s="223">
        <v>16</v>
      </c>
      <c r="B590" s="224" t="str">
        <f>VLOOKUP(Tabel10[[#This Row],[Locatiecode]],Ruimtegroepen[[#All],[Code]:[Ruimte omschrijving]],2,FALSE)</f>
        <v>Leslokalen</v>
      </c>
      <c r="C590" s="225" t="s">
        <v>1015</v>
      </c>
      <c r="D590" s="224" t="s">
        <v>21</v>
      </c>
      <c r="E590" s="226" t="s">
        <v>123</v>
      </c>
      <c r="F590" s="225" t="s">
        <v>1019</v>
      </c>
      <c r="G590" s="228" t="s">
        <v>328</v>
      </c>
      <c r="H590" s="228" t="s">
        <v>328</v>
      </c>
      <c r="I590" s="228" t="s">
        <v>20</v>
      </c>
      <c r="J590" s="228" t="s">
        <v>15</v>
      </c>
      <c r="K590" s="228" t="s">
        <v>16</v>
      </c>
      <c r="L590" s="228" t="s">
        <v>328</v>
      </c>
      <c r="M590" s="228" t="s">
        <v>328</v>
      </c>
      <c r="N590" s="228" t="s">
        <v>328</v>
      </c>
      <c r="O590" s="229" t="s">
        <v>20</v>
      </c>
      <c r="P590" s="229" t="s">
        <v>20</v>
      </c>
      <c r="Q590" s="229" t="s">
        <v>15</v>
      </c>
      <c r="R590" s="229" t="s">
        <v>15</v>
      </c>
      <c r="S590" s="229" t="s">
        <v>16</v>
      </c>
      <c r="T590" s="229" t="s">
        <v>375</v>
      </c>
      <c r="U590" s="229" t="s">
        <v>331</v>
      </c>
      <c r="V590" s="229" t="s">
        <v>328</v>
      </c>
      <c r="W590" s="230" t="s">
        <v>328</v>
      </c>
      <c r="X590" s="230" t="s">
        <v>328</v>
      </c>
      <c r="Y590" s="231" t="s">
        <v>328</v>
      </c>
    </row>
    <row r="591" spans="1:25">
      <c r="A591" s="223">
        <v>16</v>
      </c>
      <c r="B591" s="224" t="str">
        <f>VLOOKUP(Tabel10[[#This Row],[Locatiecode]],Ruimtegroepen[[#All],[Code]:[Ruimte omschrijving]],2,FALSE)</f>
        <v>Leslokalen</v>
      </c>
      <c r="C591" s="225" t="s">
        <v>1020</v>
      </c>
      <c r="D591" s="224" t="s">
        <v>12</v>
      </c>
      <c r="E591" s="226" t="s">
        <v>121</v>
      </c>
      <c r="F591" s="225" t="s">
        <v>1021</v>
      </c>
      <c r="G591" s="228" t="s">
        <v>328</v>
      </c>
      <c r="H591" s="228" t="s">
        <v>328</v>
      </c>
      <c r="I591" s="228" t="s">
        <v>18</v>
      </c>
      <c r="J591" s="228" t="s">
        <v>15</v>
      </c>
      <c r="K591" s="228" t="s">
        <v>328</v>
      </c>
      <c r="L591" s="228" t="s">
        <v>328</v>
      </c>
      <c r="M591" s="228" t="s">
        <v>328</v>
      </c>
      <c r="N591" s="228" t="s">
        <v>328</v>
      </c>
      <c r="O591" s="229" t="s">
        <v>18</v>
      </c>
      <c r="P591" s="229" t="s">
        <v>18</v>
      </c>
      <c r="Q591" s="229" t="s">
        <v>15</v>
      </c>
      <c r="R591" s="229" t="s">
        <v>15</v>
      </c>
      <c r="S591" s="229" t="s">
        <v>16</v>
      </c>
      <c r="T591" s="229" t="s">
        <v>375</v>
      </c>
      <c r="U591" s="229" t="s">
        <v>331</v>
      </c>
      <c r="V591" s="229" t="s">
        <v>328</v>
      </c>
      <c r="W591" s="230" t="s">
        <v>328</v>
      </c>
      <c r="X591" s="230" t="s">
        <v>328</v>
      </c>
      <c r="Y591" s="231" t="s">
        <v>328</v>
      </c>
    </row>
    <row r="592" spans="1:25">
      <c r="A592" s="223">
        <v>16</v>
      </c>
      <c r="B592" s="224" t="str">
        <f>VLOOKUP(Tabel10[[#This Row],[Locatiecode]],Ruimtegroepen[[#All],[Code]:[Ruimte omschrijving]],2,FALSE)</f>
        <v>Leslokalen</v>
      </c>
      <c r="C592" s="225" t="s">
        <v>1020</v>
      </c>
      <c r="D592" s="224" t="s">
        <v>12</v>
      </c>
      <c r="E592" s="226" t="s">
        <v>120</v>
      </c>
      <c r="F592" s="225" t="s">
        <v>1022</v>
      </c>
      <c r="G592" s="228" t="s">
        <v>17</v>
      </c>
      <c r="H592" s="228" t="s">
        <v>15</v>
      </c>
      <c r="I592" s="228" t="s">
        <v>328</v>
      </c>
      <c r="J592" s="228" t="s">
        <v>328</v>
      </c>
      <c r="K592" s="228" t="s">
        <v>328</v>
      </c>
      <c r="L592" s="228" t="s">
        <v>328</v>
      </c>
      <c r="M592" s="228" t="s">
        <v>328</v>
      </c>
      <c r="N592" s="228" t="s">
        <v>328</v>
      </c>
      <c r="O592" s="229" t="s">
        <v>18</v>
      </c>
      <c r="P592" s="229" t="s">
        <v>18</v>
      </c>
      <c r="Q592" s="229" t="s">
        <v>15</v>
      </c>
      <c r="R592" s="229" t="s">
        <v>15</v>
      </c>
      <c r="S592" s="229" t="s">
        <v>16</v>
      </c>
      <c r="T592" s="229" t="s">
        <v>375</v>
      </c>
      <c r="U592" s="229" t="s">
        <v>331</v>
      </c>
      <c r="V592" s="229" t="s">
        <v>328</v>
      </c>
      <c r="W592" s="230" t="s">
        <v>328</v>
      </c>
      <c r="X592" s="230" t="s">
        <v>328</v>
      </c>
      <c r="Y592" s="231" t="s">
        <v>328</v>
      </c>
    </row>
    <row r="593" spans="1:25">
      <c r="A593" s="223">
        <v>16</v>
      </c>
      <c r="B593" s="224" t="str">
        <f>VLOOKUP(Tabel10[[#This Row],[Locatiecode]],Ruimtegroepen[[#All],[Code]:[Ruimte omschrijving]],2,FALSE)</f>
        <v>Leslokalen</v>
      </c>
      <c r="C593" s="225" t="s">
        <v>1020</v>
      </c>
      <c r="D593" s="224" t="s">
        <v>12</v>
      </c>
      <c r="E593" s="226" t="s">
        <v>122</v>
      </c>
      <c r="F593" s="225" t="s">
        <v>1023</v>
      </c>
      <c r="G593" s="228" t="s">
        <v>328</v>
      </c>
      <c r="H593" s="228" t="s">
        <v>328</v>
      </c>
      <c r="I593" s="228" t="s">
        <v>18</v>
      </c>
      <c r="J593" s="228" t="s">
        <v>15</v>
      </c>
      <c r="K593" s="228" t="s">
        <v>16</v>
      </c>
      <c r="L593" s="228" t="s">
        <v>328</v>
      </c>
      <c r="M593" s="228" t="s">
        <v>328</v>
      </c>
      <c r="N593" s="228" t="s">
        <v>328</v>
      </c>
      <c r="O593" s="229" t="s">
        <v>18</v>
      </c>
      <c r="P593" s="229" t="s">
        <v>18</v>
      </c>
      <c r="Q593" s="229" t="s">
        <v>15</v>
      </c>
      <c r="R593" s="229" t="s">
        <v>15</v>
      </c>
      <c r="S593" s="229" t="s">
        <v>16</v>
      </c>
      <c r="T593" s="229" t="s">
        <v>375</v>
      </c>
      <c r="U593" s="229" t="s">
        <v>331</v>
      </c>
      <c r="V593" s="229" t="s">
        <v>328</v>
      </c>
      <c r="W593" s="230" t="s">
        <v>328</v>
      </c>
      <c r="X593" s="230" t="s">
        <v>328</v>
      </c>
      <c r="Y593" s="231" t="s">
        <v>328</v>
      </c>
    </row>
    <row r="594" spans="1:25">
      <c r="A594" s="223">
        <v>16</v>
      </c>
      <c r="B594" s="224" t="str">
        <f>VLOOKUP(Tabel10[[#This Row],[Locatiecode]],Ruimtegroepen[[#All],[Code]:[Ruimte omschrijving]],2,FALSE)</f>
        <v>Leslokalen</v>
      </c>
      <c r="C594" s="225" t="s">
        <v>1020</v>
      </c>
      <c r="D594" s="224" t="s">
        <v>12</v>
      </c>
      <c r="E594" s="226" t="s">
        <v>123</v>
      </c>
      <c r="F594" s="225" t="s">
        <v>1024</v>
      </c>
      <c r="G594" s="228" t="s">
        <v>328</v>
      </c>
      <c r="H594" s="228" t="s">
        <v>328</v>
      </c>
      <c r="I594" s="228" t="s">
        <v>18</v>
      </c>
      <c r="J594" s="228" t="s">
        <v>15</v>
      </c>
      <c r="K594" s="228" t="s">
        <v>16</v>
      </c>
      <c r="L594" s="228" t="s">
        <v>328</v>
      </c>
      <c r="M594" s="228" t="s">
        <v>328</v>
      </c>
      <c r="N594" s="228" t="s">
        <v>328</v>
      </c>
      <c r="O594" s="229" t="s">
        <v>18</v>
      </c>
      <c r="P594" s="229" t="s">
        <v>18</v>
      </c>
      <c r="Q594" s="229" t="s">
        <v>15</v>
      </c>
      <c r="R594" s="229" t="s">
        <v>15</v>
      </c>
      <c r="S594" s="229" t="s">
        <v>16</v>
      </c>
      <c r="T594" s="229" t="s">
        <v>375</v>
      </c>
      <c r="U594" s="229" t="s">
        <v>331</v>
      </c>
      <c r="V594" s="229" t="s">
        <v>328</v>
      </c>
      <c r="W594" s="230" t="s">
        <v>328</v>
      </c>
      <c r="X594" s="230" t="s">
        <v>328</v>
      </c>
      <c r="Y594" s="231" t="s">
        <v>328</v>
      </c>
    </row>
    <row r="595" spans="1:25">
      <c r="A595" s="223">
        <v>16</v>
      </c>
      <c r="B595" s="224" t="str">
        <f>VLOOKUP(Tabel10[[#This Row],[Locatiecode]],Ruimtegroepen[[#All],[Code]:[Ruimte omschrijving]],2,FALSE)</f>
        <v>Leslokalen</v>
      </c>
      <c r="C595" s="225" t="s">
        <v>1025</v>
      </c>
      <c r="D595" s="224" t="s">
        <v>14</v>
      </c>
      <c r="E595" s="226" t="s">
        <v>121</v>
      </c>
      <c r="F595" s="225" t="s">
        <v>1026</v>
      </c>
      <c r="G595" s="228" t="s">
        <v>328</v>
      </c>
      <c r="H595" s="228" t="s">
        <v>328</v>
      </c>
      <c r="I595" s="228" t="s">
        <v>17</v>
      </c>
      <c r="J595" s="228" t="s">
        <v>15</v>
      </c>
      <c r="K595" s="228" t="s">
        <v>328</v>
      </c>
      <c r="L595" s="228" t="s">
        <v>328</v>
      </c>
      <c r="M595" s="228" t="s">
        <v>328</v>
      </c>
      <c r="N595" s="228" t="s">
        <v>328</v>
      </c>
      <c r="O595" s="229" t="s">
        <v>17</v>
      </c>
      <c r="P595" s="229" t="s">
        <v>17</v>
      </c>
      <c r="Q595" s="229" t="s">
        <v>15</v>
      </c>
      <c r="R595" s="229" t="s">
        <v>15</v>
      </c>
      <c r="S595" s="229" t="s">
        <v>16</v>
      </c>
      <c r="T595" s="229" t="s">
        <v>375</v>
      </c>
      <c r="U595" s="229" t="s">
        <v>331</v>
      </c>
      <c r="V595" s="229" t="s">
        <v>328</v>
      </c>
      <c r="W595" s="230" t="s">
        <v>328</v>
      </c>
      <c r="X595" s="230" t="s">
        <v>328</v>
      </c>
      <c r="Y595" s="231" t="s">
        <v>328</v>
      </c>
    </row>
    <row r="596" spans="1:25">
      <c r="A596" s="223">
        <v>16</v>
      </c>
      <c r="B596" s="224" t="str">
        <f>VLOOKUP(Tabel10[[#This Row],[Locatiecode]],Ruimtegroepen[[#All],[Code]:[Ruimte omschrijving]],2,FALSE)</f>
        <v>Leslokalen</v>
      </c>
      <c r="C596" s="225" t="s">
        <v>1025</v>
      </c>
      <c r="D596" s="224" t="s">
        <v>14</v>
      </c>
      <c r="E596" s="226" t="s">
        <v>120</v>
      </c>
      <c r="F596" s="225" t="s">
        <v>1027</v>
      </c>
      <c r="G596" s="228" t="s">
        <v>15</v>
      </c>
      <c r="H596" s="228" t="s">
        <v>15</v>
      </c>
      <c r="I596" s="228" t="s">
        <v>328</v>
      </c>
      <c r="J596" s="228" t="s">
        <v>328</v>
      </c>
      <c r="K596" s="228" t="s">
        <v>328</v>
      </c>
      <c r="L596" s="228" t="s">
        <v>328</v>
      </c>
      <c r="M596" s="228" t="s">
        <v>328</v>
      </c>
      <c r="N596" s="228" t="s">
        <v>328</v>
      </c>
      <c r="O596" s="229" t="s">
        <v>17</v>
      </c>
      <c r="P596" s="229" t="s">
        <v>17</v>
      </c>
      <c r="Q596" s="229" t="s">
        <v>15</v>
      </c>
      <c r="R596" s="229" t="s">
        <v>15</v>
      </c>
      <c r="S596" s="229" t="s">
        <v>16</v>
      </c>
      <c r="T596" s="229" t="s">
        <v>375</v>
      </c>
      <c r="U596" s="229" t="s">
        <v>331</v>
      </c>
      <c r="V596" s="229" t="s">
        <v>328</v>
      </c>
      <c r="W596" s="230" t="s">
        <v>328</v>
      </c>
      <c r="X596" s="230" t="s">
        <v>328</v>
      </c>
      <c r="Y596" s="231" t="s">
        <v>328</v>
      </c>
    </row>
    <row r="597" spans="1:25">
      <c r="A597" s="223">
        <v>16</v>
      </c>
      <c r="B597" s="224" t="str">
        <f>VLOOKUP(Tabel10[[#This Row],[Locatiecode]],Ruimtegroepen[[#All],[Code]:[Ruimte omschrijving]],2,FALSE)</f>
        <v>Leslokalen</v>
      </c>
      <c r="C597" s="225" t="s">
        <v>1025</v>
      </c>
      <c r="D597" s="224" t="s">
        <v>14</v>
      </c>
      <c r="E597" s="226" t="s">
        <v>122</v>
      </c>
      <c r="F597" s="225" t="s">
        <v>1028</v>
      </c>
      <c r="G597" s="228" t="s">
        <v>328</v>
      </c>
      <c r="H597" s="228" t="s">
        <v>328</v>
      </c>
      <c r="I597" s="228" t="s">
        <v>17</v>
      </c>
      <c r="J597" s="228" t="s">
        <v>15</v>
      </c>
      <c r="K597" s="228" t="s">
        <v>16</v>
      </c>
      <c r="L597" s="228" t="s">
        <v>328</v>
      </c>
      <c r="M597" s="228" t="s">
        <v>328</v>
      </c>
      <c r="N597" s="228" t="s">
        <v>328</v>
      </c>
      <c r="O597" s="229" t="s">
        <v>17</v>
      </c>
      <c r="P597" s="229" t="s">
        <v>17</v>
      </c>
      <c r="Q597" s="229" t="s">
        <v>15</v>
      </c>
      <c r="R597" s="229" t="s">
        <v>15</v>
      </c>
      <c r="S597" s="229" t="s">
        <v>16</v>
      </c>
      <c r="T597" s="229" t="s">
        <v>375</v>
      </c>
      <c r="U597" s="229" t="s">
        <v>331</v>
      </c>
      <c r="V597" s="229" t="s">
        <v>328</v>
      </c>
      <c r="W597" s="230" t="s">
        <v>328</v>
      </c>
      <c r="X597" s="230" t="s">
        <v>328</v>
      </c>
      <c r="Y597" s="231" t="s">
        <v>328</v>
      </c>
    </row>
    <row r="598" spans="1:25">
      <c r="A598" s="223">
        <v>16</v>
      </c>
      <c r="B598" s="224" t="str">
        <f>VLOOKUP(Tabel10[[#This Row],[Locatiecode]],Ruimtegroepen[[#All],[Code]:[Ruimte omschrijving]],2,FALSE)</f>
        <v>Leslokalen</v>
      </c>
      <c r="C598" s="225" t="s">
        <v>1025</v>
      </c>
      <c r="D598" s="224" t="s">
        <v>14</v>
      </c>
      <c r="E598" s="226" t="s">
        <v>123</v>
      </c>
      <c r="F598" s="225" t="s">
        <v>1029</v>
      </c>
      <c r="G598" s="228" t="s">
        <v>328</v>
      </c>
      <c r="H598" s="228" t="s">
        <v>328</v>
      </c>
      <c r="I598" s="228" t="s">
        <v>17</v>
      </c>
      <c r="J598" s="228" t="s">
        <v>15</v>
      </c>
      <c r="K598" s="228" t="s">
        <v>16</v>
      </c>
      <c r="L598" s="228" t="s">
        <v>328</v>
      </c>
      <c r="M598" s="228" t="s">
        <v>328</v>
      </c>
      <c r="N598" s="228" t="s">
        <v>328</v>
      </c>
      <c r="O598" s="229" t="s">
        <v>17</v>
      </c>
      <c r="P598" s="229" t="s">
        <v>17</v>
      </c>
      <c r="Q598" s="229" t="s">
        <v>15</v>
      </c>
      <c r="R598" s="229" t="s">
        <v>15</v>
      </c>
      <c r="S598" s="229" t="s">
        <v>16</v>
      </c>
      <c r="T598" s="229" t="s">
        <v>375</v>
      </c>
      <c r="U598" s="229" t="s">
        <v>331</v>
      </c>
      <c r="V598" s="229" t="s">
        <v>328</v>
      </c>
      <c r="W598" s="230" t="s">
        <v>328</v>
      </c>
      <c r="X598" s="230" t="s">
        <v>328</v>
      </c>
      <c r="Y598" s="231" t="s">
        <v>328</v>
      </c>
    </row>
    <row r="599" spans="1:25">
      <c r="A599" s="223">
        <v>16</v>
      </c>
      <c r="B599" s="224" t="str">
        <f>VLOOKUP(Tabel10[[#This Row],[Locatiecode]],Ruimtegroepen[[#All],[Code]:[Ruimte omschrijving]],2,FALSE)</f>
        <v>Leslokalen</v>
      </c>
      <c r="C599" s="225" t="s">
        <v>1030</v>
      </c>
      <c r="D599" s="224" t="s">
        <v>13</v>
      </c>
      <c r="E599" s="226" t="s">
        <v>121</v>
      </c>
      <c r="F599" s="225" t="s">
        <v>1031</v>
      </c>
      <c r="G599" s="228" t="s">
        <v>328</v>
      </c>
      <c r="H599" s="228" t="s">
        <v>328</v>
      </c>
      <c r="I599" s="228" t="s">
        <v>15</v>
      </c>
      <c r="J599" s="228" t="s">
        <v>15</v>
      </c>
      <c r="K599" s="228" t="s">
        <v>328</v>
      </c>
      <c r="L599" s="228" t="s">
        <v>328</v>
      </c>
      <c r="M599" s="228" t="s">
        <v>328</v>
      </c>
      <c r="N599" s="228" t="s">
        <v>328</v>
      </c>
      <c r="O599" s="229" t="s">
        <v>15</v>
      </c>
      <c r="P599" s="229" t="s">
        <v>15</v>
      </c>
      <c r="Q599" s="229" t="s">
        <v>15</v>
      </c>
      <c r="R599" s="229" t="s">
        <v>15</v>
      </c>
      <c r="S599" s="229" t="s">
        <v>16</v>
      </c>
      <c r="T599" s="229" t="s">
        <v>375</v>
      </c>
      <c r="U599" s="229" t="s">
        <v>331</v>
      </c>
      <c r="V599" s="229" t="s">
        <v>328</v>
      </c>
      <c r="W599" s="230" t="s">
        <v>328</v>
      </c>
      <c r="X599" s="230" t="s">
        <v>328</v>
      </c>
      <c r="Y599" s="231" t="s">
        <v>328</v>
      </c>
    </row>
    <row r="600" spans="1:25">
      <c r="A600" s="223">
        <v>16</v>
      </c>
      <c r="B600" s="224" t="str">
        <f>VLOOKUP(Tabel10[[#This Row],[Locatiecode]],Ruimtegroepen[[#All],[Code]:[Ruimte omschrijving]],2,FALSE)</f>
        <v>Leslokalen</v>
      </c>
      <c r="C600" s="225" t="s">
        <v>1030</v>
      </c>
      <c r="D600" s="224" t="s">
        <v>13</v>
      </c>
      <c r="E600" s="226" t="s">
        <v>120</v>
      </c>
      <c r="F600" s="225" t="s">
        <v>1032</v>
      </c>
      <c r="G600" s="228" t="s">
        <v>407</v>
      </c>
      <c r="H600" s="228" t="s">
        <v>15</v>
      </c>
      <c r="I600" s="228" t="s">
        <v>328</v>
      </c>
      <c r="J600" s="228" t="s">
        <v>328</v>
      </c>
      <c r="K600" s="228" t="s">
        <v>328</v>
      </c>
      <c r="L600" s="228" t="s">
        <v>328</v>
      </c>
      <c r="M600" s="228" t="s">
        <v>328</v>
      </c>
      <c r="N600" s="228" t="s">
        <v>328</v>
      </c>
      <c r="O600" s="229" t="s">
        <v>15</v>
      </c>
      <c r="P600" s="229" t="s">
        <v>15</v>
      </c>
      <c r="Q600" s="229" t="s">
        <v>15</v>
      </c>
      <c r="R600" s="229" t="s">
        <v>15</v>
      </c>
      <c r="S600" s="229" t="s">
        <v>16</v>
      </c>
      <c r="T600" s="229" t="s">
        <v>375</v>
      </c>
      <c r="U600" s="229" t="s">
        <v>331</v>
      </c>
      <c r="V600" s="229" t="s">
        <v>328</v>
      </c>
      <c r="W600" s="230" t="s">
        <v>328</v>
      </c>
      <c r="X600" s="230" t="s">
        <v>328</v>
      </c>
      <c r="Y600" s="231" t="s">
        <v>328</v>
      </c>
    </row>
    <row r="601" spans="1:25">
      <c r="A601" s="223">
        <v>16</v>
      </c>
      <c r="B601" s="224" t="str">
        <f>VLOOKUP(Tabel10[[#This Row],[Locatiecode]],Ruimtegroepen[[#All],[Code]:[Ruimte omschrijving]],2,FALSE)</f>
        <v>Leslokalen</v>
      </c>
      <c r="C601" s="225" t="s">
        <v>1030</v>
      </c>
      <c r="D601" s="224" t="s">
        <v>13</v>
      </c>
      <c r="E601" s="226" t="s">
        <v>122</v>
      </c>
      <c r="F601" s="225" t="s">
        <v>1033</v>
      </c>
      <c r="G601" s="228" t="s">
        <v>328</v>
      </c>
      <c r="H601" s="228" t="s">
        <v>328</v>
      </c>
      <c r="I601" s="228" t="s">
        <v>15</v>
      </c>
      <c r="J601" s="228" t="s">
        <v>15</v>
      </c>
      <c r="K601" s="228" t="s">
        <v>16</v>
      </c>
      <c r="L601" s="228" t="s">
        <v>328</v>
      </c>
      <c r="M601" s="228" t="s">
        <v>328</v>
      </c>
      <c r="N601" s="228" t="s">
        <v>328</v>
      </c>
      <c r="O601" s="229" t="s">
        <v>15</v>
      </c>
      <c r="P601" s="229" t="s">
        <v>15</v>
      </c>
      <c r="Q601" s="229" t="s">
        <v>15</v>
      </c>
      <c r="R601" s="229" t="s">
        <v>15</v>
      </c>
      <c r="S601" s="229" t="s">
        <v>16</v>
      </c>
      <c r="T601" s="229" t="s">
        <v>375</v>
      </c>
      <c r="U601" s="229" t="s">
        <v>331</v>
      </c>
      <c r="V601" s="229" t="s">
        <v>328</v>
      </c>
      <c r="W601" s="230" t="s">
        <v>328</v>
      </c>
      <c r="X601" s="230" t="s">
        <v>328</v>
      </c>
      <c r="Y601" s="231" t="s">
        <v>328</v>
      </c>
    </row>
    <row r="602" spans="1:25">
      <c r="A602" s="223">
        <v>16</v>
      </c>
      <c r="B602" s="224" t="str">
        <f>VLOOKUP(Tabel10[[#This Row],[Locatiecode]],Ruimtegroepen[[#All],[Code]:[Ruimte omschrijving]],2,FALSE)</f>
        <v>Leslokalen</v>
      </c>
      <c r="C602" s="225" t="s">
        <v>1030</v>
      </c>
      <c r="D602" s="224" t="s">
        <v>13</v>
      </c>
      <c r="E602" s="226" t="s">
        <v>123</v>
      </c>
      <c r="F602" s="225" t="s">
        <v>1034</v>
      </c>
      <c r="G602" s="228" t="s">
        <v>328</v>
      </c>
      <c r="H602" s="228" t="s">
        <v>328</v>
      </c>
      <c r="I602" s="228" t="s">
        <v>15</v>
      </c>
      <c r="J602" s="228" t="s">
        <v>15</v>
      </c>
      <c r="K602" s="228" t="s">
        <v>16</v>
      </c>
      <c r="L602" s="228" t="s">
        <v>328</v>
      </c>
      <c r="M602" s="228" t="s">
        <v>328</v>
      </c>
      <c r="N602" s="228" t="s">
        <v>328</v>
      </c>
      <c r="O602" s="229" t="s">
        <v>15</v>
      </c>
      <c r="P602" s="229" t="s">
        <v>15</v>
      </c>
      <c r="Q602" s="229" t="s">
        <v>15</v>
      </c>
      <c r="R602" s="229" t="s">
        <v>15</v>
      </c>
      <c r="S602" s="229" t="s">
        <v>16</v>
      </c>
      <c r="T602" s="229" t="s">
        <v>375</v>
      </c>
      <c r="U602" s="229" t="s">
        <v>331</v>
      </c>
      <c r="V602" s="229" t="s">
        <v>328</v>
      </c>
      <c r="W602" s="230" t="s">
        <v>328</v>
      </c>
      <c r="X602" s="230" t="s">
        <v>328</v>
      </c>
      <c r="Y602" s="231" t="s">
        <v>328</v>
      </c>
    </row>
    <row r="603" spans="1:25">
      <c r="A603" s="223">
        <v>16</v>
      </c>
      <c r="B603" s="224" t="str">
        <f>VLOOKUP(Tabel10[[#This Row],[Locatiecode]],Ruimtegroepen[[#All],[Code]:[Ruimte omschrijving]],2,FALSE)</f>
        <v>Leslokalen</v>
      </c>
      <c r="C603" s="225" t="s">
        <v>1035</v>
      </c>
      <c r="D603" s="224" t="s">
        <v>0</v>
      </c>
      <c r="E603" s="226" t="s">
        <v>121</v>
      </c>
      <c r="F603" s="225" t="s">
        <v>1036</v>
      </c>
      <c r="G603" s="228" t="s">
        <v>328</v>
      </c>
      <c r="H603" s="228" t="s">
        <v>328</v>
      </c>
      <c r="I603" s="228" t="s">
        <v>16</v>
      </c>
      <c r="J603" s="228" t="s">
        <v>328</v>
      </c>
      <c r="K603" s="228" t="s">
        <v>328</v>
      </c>
      <c r="L603" s="228" t="s">
        <v>328</v>
      </c>
      <c r="M603" s="228" t="s">
        <v>328</v>
      </c>
      <c r="N603" s="228" t="s">
        <v>328</v>
      </c>
      <c r="O603" s="229" t="s">
        <v>16</v>
      </c>
      <c r="P603" s="229" t="s">
        <v>16</v>
      </c>
      <c r="Q603" s="229" t="s">
        <v>16</v>
      </c>
      <c r="R603" s="229" t="s">
        <v>16</v>
      </c>
      <c r="S603" s="229" t="s">
        <v>16</v>
      </c>
      <c r="T603" s="229" t="s">
        <v>375</v>
      </c>
      <c r="U603" s="229" t="s">
        <v>331</v>
      </c>
      <c r="V603" s="229" t="s">
        <v>328</v>
      </c>
      <c r="W603" s="230" t="s">
        <v>328</v>
      </c>
      <c r="X603" s="230" t="s">
        <v>328</v>
      </c>
      <c r="Y603" s="231" t="s">
        <v>328</v>
      </c>
    </row>
    <row r="604" spans="1:25">
      <c r="A604" s="223">
        <v>16</v>
      </c>
      <c r="B604" s="224" t="str">
        <f>VLOOKUP(Tabel10[[#This Row],[Locatiecode]],Ruimtegroepen[[#All],[Code]:[Ruimte omschrijving]],2,FALSE)</f>
        <v>Leslokalen</v>
      </c>
      <c r="C604" s="225" t="s">
        <v>1035</v>
      </c>
      <c r="D604" s="224" t="s">
        <v>0</v>
      </c>
      <c r="E604" s="226" t="s">
        <v>120</v>
      </c>
      <c r="F604" s="225" t="s">
        <v>1037</v>
      </c>
      <c r="G604" s="228" t="s">
        <v>407</v>
      </c>
      <c r="H604" s="228" t="s">
        <v>16</v>
      </c>
      <c r="I604" s="228" t="s">
        <v>328</v>
      </c>
      <c r="J604" s="228" t="s">
        <v>328</v>
      </c>
      <c r="K604" s="228" t="s">
        <v>328</v>
      </c>
      <c r="L604" s="228" t="s">
        <v>328</v>
      </c>
      <c r="M604" s="228" t="s">
        <v>328</v>
      </c>
      <c r="N604" s="228" t="s">
        <v>328</v>
      </c>
      <c r="O604" s="229" t="s">
        <v>16</v>
      </c>
      <c r="P604" s="229" t="s">
        <v>16</v>
      </c>
      <c r="Q604" s="229" t="s">
        <v>16</v>
      </c>
      <c r="R604" s="229" t="s">
        <v>16</v>
      </c>
      <c r="S604" s="229" t="s">
        <v>16</v>
      </c>
      <c r="T604" s="229" t="s">
        <v>375</v>
      </c>
      <c r="U604" s="229" t="s">
        <v>331</v>
      </c>
      <c r="V604" s="229" t="s">
        <v>328</v>
      </c>
      <c r="W604" s="230" t="s">
        <v>328</v>
      </c>
      <c r="X604" s="230" t="s">
        <v>328</v>
      </c>
      <c r="Y604" s="231" t="s">
        <v>328</v>
      </c>
    </row>
    <row r="605" spans="1:25">
      <c r="A605" s="223">
        <v>16</v>
      </c>
      <c r="B605" s="224" t="str">
        <f>VLOOKUP(Tabel10[[#This Row],[Locatiecode]],Ruimtegroepen[[#All],[Code]:[Ruimte omschrijving]],2,FALSE)</f>
        <v>Leslokalen</v>
      </c>
      <c r="C605" s="225" t="s">
        <v>1035</v>
      </c>
      <c r="D605" s="224" t="s">
        <v>0</v>
      </c>
      <c r="E605" s="226" t="s">
        <v>122</v>
      </c>
      <c r="F605" s="225" t="s">
        <v>1038</v>
      </c>
      <c r="G605" s="228" t="s">
        <v>328</v>
      </c>
      <c r="H605" s="228" t="s">
        <v>328</v>
      </c>
      <c r="I605" s="228" t="s">
        <v>16</v>
      </c>
      <c r="J605" s="228" t="s">
        <v>407</v>
      </c>
      <c r="K605" s="228" t="s">
        <v>16</v>
      </c>
      <c r="L605" s="228" t="s">
        <v>328</v>
      </c>
      <c r="M605" s="228" t="s">
        <v>328</v>
      </c>
      <c r="N605" s="228" t="s">
        <v>328</v>
      </c>
      <c r="O605" s="229" t="s">
        <v>16</v>
      </c>
      <c r="P605" s="229" t="s">
        <v>16</v>
      </c>
      <c r="Q605" s="229" t="s">
        <v>16</v>
      </c>
      <c r="R605" s="229" t="s">
        <v>16</v>
      </c>
      <c r="S605" s="229" t="s">
        <v>16</v>
      </c>
      <c r="T605" s="229" t="s">
        <v>375</v>
      </c>
      <c r="U605" s="229" t="s">
        <v>331</v>
      </c>
      <c r="V605" s="229" t="s">
        <v>328</v>
      </c>
      <c r="W605" s="230" t="s">
        <v>328</v>
      </c>
      <c r="X605" s="230" t="s">
        <v>328</v>
      </c>
      <c r="Y605" s="231" t="s">
        <v>328</v>
      </c>
    </row>
    <row r="606" spans="1:25">
      <c r="A606" s="223">
        <v>16</v>
      </c>
      <c r="B606" s="224" t="str">
        <f>VLOOKUP(Tabel10[[#This Row],[Locatiecode]],Ruimtegroepen[[#All],[Code]:[Ruimte omschrijving]],2,FALSE)</f>
        <v>Leslokalen</v>
      </c>
      <c r="C606" s="225" t="s">
        <v>1035</v>
      </c>
      <c r="D606" s="224" t="s">
        <v>0</v>
      </c>
      <c r="E606" s="226" t="s">
        <v>123</v>
      </c>
      <c r="F606" s="225" t="s">
        <v>1039</v>
      </c>
      <c r="G606" s="228" t="s">
        <v>328</v>
      </c>
      <c r="H606" s="228" t="s">
        <v>328</v>
      </c>
      <c r="I606" s="228" t="s">
        <v>16</v>
      </c>
      <c r="J606" s="228" t="s">
        <v>328</v>
      </c>
      <c r="K606" s="228" t="s">
        <v>16</v>
      </c>
      <c r="L606" s="228" t="s">
        <v>328</v>
      </c>
      <c r="M606" s="228" t="s">
        <v>328</v>
      </c>
      <c r="N606" s="228" t="s">
        <v>328</v>
      </c>
      <c r="O606" s="229" t="s">
        <v>16</v>
      </c>
      <c r="P606" s="229" t="s">
        <v>16</v>
      </c>
      <c r="Q606" s="229" t="s">
        <v>16</v>
      </c>
      <c r="R606" s="229" t="s">
        <v>16</v>
      </c>
      <c r="S606" s="229" t="s">
        <v>16</v>
      </c>
      <c r="T606" s="229" t="s">
        <v>375</v>
      </c>
      <c r="U606" s="229" t="s">
        <v>331</v>
      </c>
      <c r="V606" s="229" t="s">
        <v>328</v>
      </c>
      <c r="W606" s="230" t="s">
        <v>328</v>
      </c>
      <c r="X606" s="230" t="s">
        <v>328</v>
      </c>
      <c r="Y606" s="231" t="s">
        <v>328</v>
      </c>
    </row>
    <row r="607" spans="1:25">
      <c r="A607" s="223">
        <v>16</v>
      </c>
      <c r="B607" s="224" t="str">
        <f>VLOOKUP(Tabel10[[#This Row],[Locatiecode]],Ruimtegroepen[[#All],[Code]:[Ruimte omschrijving]],2,FALSE)</f>
        <v>Leslokalen</v>
      </c>
      <c r="C607" s="225" t="s">
        <v>1040</v>
      </c>
      <c r="D607" s="224" t="s">
        <v>30</v>
      </c>
      <c r="E607" s="226" t="s">
        <v>121</v>
      </c>
      <c r="F607" s="225" t="s">
        <v>1041</v>
      </c>
      <c r="G607" s="228" t="s">
        <v>328</v>
      </c>
      <c r="H607" s="228" t="s">
        <v>328</v>
      </c>
      <c r="I607" s="228" t="s">
        <v>15</v>
      </c>
      <c r="J607" s="228" t="s">
        <v>15</v>
      </c>
      <c r="K607" s="228" t="s">
        <v>328</v>
      </c>
      <c r="L607" s="228" t="s">
        <v>328</v>
      </c>
      <c r="M607" s="228" t="s">
        <v>328</v>
      </c>
      <c r="N607" s="228" t="s">
        <v>328</v>
      </c>
      <c r="O607" s="229" t="s">
        <v>15</v>
      </c>
      <c r="P607" s="229" t="s">
        <v>15</v>
      </c>
      <c r="Q607" s="229" t="s">
        <v>15</v>
      </c>
      <c r="R607" s="229" t="s">
        <v>15</v>
      </c>
      <c r="S607" s="229" t="s">
        <v>328</v>
      </c>
      <c r="T607" s="229" t="s">
        <v>328</v>
      </c>
      <c r="U607" s="229" t="s">
        <v>328</v>
      </c>
      <c r="V607" s="229" t="s">
        <v>328</v>
      </c>
      <c r="W607" s="230" t="s">
        <v>328</v>
      </c>
      <c r="X607" s="230" t="s">
        <v>328</v>
      </c>
      <c r="Y607" s="231" t="s">
        <v>328</v>
      </c>
    </row>
    <row r="608" spans="1:25">
      <c r="A608" s="223">
        <v>16</v>
      </c>
      <c r="B608" s="224" t="str">
        <f>VLOOKUP(Tabel10[[#This Row],[Locatiecode]],Ruimtegroepen[[#All],[Code]:[Ruimte omschrijving]],2,FALSE)</f>
        <v>Leslokalen</v>
      </c>
      <c r="C608" s="225" t="s">
        <v>1040</v>
      </c>
      <c r="D608" s="224" t="s">
        <v>30</v>
      </c>
      <c r="E608" s="226" t="s">
        <v>120</v>
      </c>
      <c r="F608" s="225" t="s">
        <v>1042</v>
      </c>
      <c r="G608" s="228" t="s">
        <v>407</v>
      </c>
      <c r="H608" s="228" t="s">
        <v>15</v>
      </c>
      <c r="I608" s="228" t="s">
        <v>328</v>
      </c>
      <c r="J608" s="228" t="s">
        <v>328</v>
      </c>
      <c r="K608" s="228" t="s">
        <v>328</v>
      </c>
      <c r="L608" s="228" t="s">
        <v>328</v>
      </c>
      <c r="M608" s="228" t="s">
        <v>328</v>
      </c>
      <c r="N608" s="228" t="s">
        <v>328</v>
      </c>
      <c r="O608" s="229" t="s">
        <v>15</v>
      </c>
      <c r="P608" s="229" t="s">
        <v>15</v>
      </c>
      <c r="Q608" s="229" t="s">
        <v>15</v>
      </c>
      <c r="R608" s="229" t="s">
        <v>15</v>
      </c>
      <c r="S608" s="229" t="s">
        <v>328</v>
      </c>
      <c r="T608" s="229" t="s">
        <v>328</v>
      </c>
      <c r="U608" s="229" t="s">
        <v>328</v>
      </c>
      <c r="V608" s="229" t="s">
        <v>328</v>
      </c>
      <c r="W608" s="230" t="s">
        <v>328</v>
      </c>
      <c r="X608" s="230" t="s">
        <v>328</v>
      </c>
      <c r="Y608" s="231" t="s">
        <v>328</v>
      </c>
    </row>
    <row r="609" spans="1:25">
      <c r="A609" s="223">
        <v>16</v>
      </c>
      <c r="B609" s="224" t="str">
        <f>VLOOKUP(Tabel10[[#This Row],[Locatiecode]],Ruimtegroepen[[#All],[Code]:[Ruimte omschrijving]],2,FALSE)</f>
        <v>Leslokalen</v>
      </c>
      <c r="C609" s="225" t="s">
        <v>1040</v>
      </c>
      <c r="D609" s="224" t="s">
        <v>30</v>
      </c>
      <c r="E609" s="226" t="s">
        <v>122</v>
      </c>
      <c r="F609" s="225" t="s">
        <v>1043</v>
      </c>
      <c r="G609" s="228" t="s">
        <v>328</v>
      </c>
      <c r="H609" s="228" t="s">
        <v>328</v>
      </c>
      <c r="I609" s="228" t="s">
        <v>15</v>
      </c>
      <c r="J609" s="228" t="s">
        <v>15</v>
      </c>
      <c r="K609" s="228" t="s">
        <v>328</v>
      </c>
      <c r="L609" s="228" t="s">
        <v>328</v>
      </c>
      <c r="M609" s="228" t="s">
        <v>328</v>
      </c>
      <c r="N609" s="228" t="s">
        <v>328</v>
      </c>
      <c r="O609" s="229" t="s">
        <v>15</v>
      </c>
      <c r="P609" s="229" t="s">
        <v>15</v>
      </c>
      <c r="Q609" s="229" t="s">
        <v>15</v>
      </c>
      <c r="R609" s="229" t="s">
        <v>15</v>
      </c>
      <c r="S609" s="229" t="s">
        <v>328</v>
      </c>
      <c r="T609" s="229" t="s">
        <v>328</v>
      </c>
      <c r="U609" s="229" t="s">
        <v>328</v>
      </c>
      <c r="V609" s="229" t="s">
        <v>328</v>
      </c>
      <c r="W609" s="230" t="s">
        <v>328</v>
      </c>
      <c r="X609" s="230" t="s">
        <v>328</v>
      </c>
      <c r="Y609" s="231" t="s">
        <v>328</v>
      </c>
    </row>
    <row r="610" spans="1:25">
      <c r="A610" s="223">
        <v>16</v>
      </c>
      <c r="B610" s="224" t="str">
        <f>VLOOKUP(Tabel10[[#This Row],[Locatiecode]],Ruimtegroepen[[#All],[Code]:[Ruimte omschrijving]],2,FALSE)</f>
        <v>Leslokalen</v>
      </c>
      <c r="C610" s="225" t="s">
        <v>1040</v>
      </c>
      <c r="D610" s="224" t="s">
        <v>30</v>
      </c>
      <c r="E610" s="226" t="s">
        <v>123</v>
      </c>
      <c r="F610" s="225" t="s">
        <v>1044</v>
      </c>
      <c r="G610" s="228" t="s">
        <v>328</v>
      </c>
      <c r="H610" s="228" t="s">
        <v>328</v>
      </c>
      <c r="I610" s="228" t="s">
        <v>15</v>
      </c>
      <c r="J610" s="228" t="s">
        <v>15</v>
      </c>
      <c r="K610" s="228" t="s">
        <v>328</v>
      </c>
      <c r="L610" s="228" t="s">
        <v>328</v>
      </c>
      <c r="M610" s="228" t="s">
        <v>328</v>
      </c>
      <c r="N610" s="228" t="s">
        <v>328</v>
      </c>
      <c r="O610" s="229" t="s">
        <v>15</v>
      </c>
      <c r="P610" s="229" t="s">
        <v>15</v>
      </c>
      <c r="Q610" s="229" t="s">
        <v>15</v>
      </c>
      <c r="R610" s="229" t="s">
        <v>15</v>
      </c>
      <c r="S610" s="229" t="s">
        <v>328</v>
      </c>
      <c r="T610" s="229" t="s">
        <v>328</v>
      </c>
      <c r="U610" s="229" t="s">
        <v>328</v>
      </c>
      <c r="V610" s="229" t="s">
        <v>328</v>
      </c>
      <c r="W610" s="230" t="s">
        <v>328</v>
      </c>
      <c r="X610" s="230" t="s">
        <v>328</v>
      </c>
      <c r="Y610" s="231" t="s">
        <v>328</v>
      </c>
    </row>
    <row r="611" spans="1:25">
      <c r="A611" s="223">
        <v>16</v>
      </c>
      <c r="B611" s="224" t="str">
        <f>VLOOKUP(Tabel10[[#This Row],[Locatiecode]],Ruimtegroepen[[#All],[Code]:[Ruimte omschrijving]],2,FALSE)</f>
        <v>Leslokalen</v>
      </c>
      <c r="C611" s="225" t="s">
        <v>1045</v>
      </c>
      <c r="D611" s="224" t="s">
        <v>31</v>
      </c>
      <c r="E611" s="226" t="s">
        <v>121</v>
      </c>
      <c r="F611" s="225" t="s">
        <v>1046</v>
      </c>
      <c r="G611" s="228" t="s">
        <v>328</v>
      </c>
      <c r="H611" s="228" t="s">
        <v>328</v>
      </c>
      <c r="I611" s="228" t="s">
        <v>17</v>
      </c>
      <c r="J611" s="228" t="s">
        <v>15</v>
      </c>
      <c r="K611" s="228" t="s">
        <v>328</v>
      </c>
      <c r="L611" s="228" t="s">
        <v>328</v>
      </c>
      <c r="M611" s="228" t="s">
        <v>328</v>
      </c>
      <c r="N611" s="228" t="s">
        <v>328</v>
      </c>
      <c r="O611" s="229" t="s">
        <v>17</v>
      </c>
      <c r="P611" s="229" t="s">
        <v>17</v>
      </c>
      <c r="Q611" s="229" t="s">
        <v>15</v>
      </c>
      <c r="R611" s="229" t="s">
        <v>15</v>
      </c>
      <c r="S611" s="229" t="s">
        <v>328</v>
      </c>
      <c r="T611" s="229" t="s">
        <v>328</v>
      </c>
      <c r="U611" s="229" t="s">
        <v>328</v>
      </c>
      <c r="V611" s="229" t="s">
        <v>328</v>
      </c>
      <c r="W611" s="230" t="s">
        <v>328</v>
      </c>
      <c r="X611" s="230" t="s">
        <v>328</v>
      </c>
      <c r="Y611" s="231" t="s">
        <v>328</v>
      </c>
    </row>
    <row r="612" spans="1:25">
      <c r="A612" s="223">
        <v>16</v>
      </c>
      <c r="B612" s="224" t="str">
        <f>VLOOKUP(Tabel10[[#This Row],[Locatiecode]],Ruimtegroepen[[#All],[Code]:[Ruimte omschrijving]],2,FALSE)</f>
        <v>Leslokalen</v>
      </c>
      <c r="C612" s="225" t="s">
        <v>1045</v>
      </c>
      <c r="D612" s="224" t="s">
        <v>31</v>
      </c>
      <c r="E612" s="226" t="s">
        <v>120</v>
      </c>
      <c r="F612" s="225" t="s">
        <v>1047</v>
      </c>
      <c r="G612" s="228" t="s">
        <v>15</v>
      </c>
      <c r="H612" s="228" t="s">
        <v>15</v>
      </c>
      <c r="I612" s="228" t="s">
        <v>328</v>
      </c>
      <c r="J612" s="228" t="s">
        <v>328</v>
      </c>
      <c r="K612" s="228" t="s">
        <v>328</v>
      </c>
      <c r="L612" s="228" t="s">
        <v>328</v>
      </c>
      <c r="M612" s="228" t="s">
        <v>328</v>
      </c>
      <c r="N612" s="228" t="s">
        <v>328</v>
      </c>
      <c r="O612" s="229" t="s">
        <v>17</v>
      </c>
      <c r="P612" s="229" t="s">
        <v>17</v>
      </c>
      <c r="Q612" s="229" t="s">
        <v>15</v>
      </c>
      <c r="R612" s="229" t="s">
        <v>15</v>
      </c>
      <c r="S612" s="229" t="s">
        <v>328</v>
      </c>
      <c r="T612" s="229" t="s">
        <v>328</v>
      </c>
      <c r="U612" s="229" t="s">
        <v>328</v>
      </c>
      <c r="V612" s="229" t="s">
        <v>328</v>
      </c>
      <c r="W612" s="230" t="s">
        <v>328</v>
      </c>
      <c r="X612" s="230" t="s">
        <v>328</v>
      </c>
      <c r="Y612" s="231" t="s">
        <v>328</v>
      </c>
    </row>
    <row r="613" spans="1:25">
      <c r="A613" s="223">
        <v>16</v>
      </c>
      <c r="B613" s="224" t="str">
        <f>VLOOKUP(Tabel10[[#This Row],[Locatiecode]],Ruimtegroepen[[#All],[Code]:[Ruimte omschrijving]],2,FALSE)</f>
        <v>Leslokalen</v>
      </c>
      <c r="C613" s="225" t="s">
        <v>1045</v>
      </c>
      <c r="D613" s="224" t="s">
        <v>31</v>
      </c>
      <c r="E613" s="226" t="s">
        <v>122</v>
      </c>
      <c r="F613" s="225" t="s">
        <v>1048</v>
      </c>
      <c r="G613" s="228" t="s">
        <v>328</v>
      </c>
      <c r="H613" s="228" t="s">
        <v>328</v>
      </c>
      <c r="I613" s="228" t="s">
        <v>17</v>
      </c>
      <c r="J613" s="228" t="s">
        <v>15</v>
      </c>
      <c r="K613" s="228" t="s">
        <v>328</v>
      </c>
      <c r="L613" s="228" t="s">
        <v>328</v>
      </c>
      <c r="M613" s="228" t="s">
        <v>328</v>
      </c>
      <c r="N613" s="228" t="s">
        <v>328</v>
      </c>
      <c r="O613" s="229" t="s">
        <v>17</v>
      </c>
      <c r="P613" s="229" t="s">
        <v>17</v>
      </c>
      <c r="Q613" s="229" t="s">
        <v>15</v>
      </c>
      <c r="R613" s="229" t="s">
        <v>15</v>
      </c>
      <c r="S613" s="229" t="s">
        <v>328</v>
      </c>
      <c r="T613" s="229" t="s">
        <v>328</v>
      </c>
      <c r="U613" s="229" t="s">
        <v>328</v>
      </c>
      <c r="V613" s="229" t="s">
        <v>328</v>
      </c>
      <c r="W613" s="230" t="s">
        <v>328</v>
      </c>
      <c r="X613" s="230" t="s">
        <v>328</v>
      </c>
      <c r="Y613" s="231" t="s">
        <v>328</v>
      </c>
    </row>
    <row r="614" spans="1:25">
      <c r="A614" s="223">
        <v>16</v>
      </c>
      <c r="B614" s="224" t="str">
        <f>VLOOKUP(Tabel10[[#This Row],[Locatiecode]],Ruimtegroepen[[#All],[Code]:[Ruimte omschrijving]],2,FALSE)</f>
        <v>Leslokalen</v>
      </c>
      <c r="C614" s="225" t="s">
        <v>1045</v>
      </c>
      <c r="D614" s="224" t="s">
        <v>31</v>
      </c>
      <c r="E614" s="226" t="s">
        <v>123</v>
      </c>
      <c r="F614" s="225" t="s">
        <v>1049</v>
      </c>
      <c r="G614" s="228" t="s">
        <v>328</v>
      </c>
      <c r="H614" s="228" t="s">
        <v>328</v>
      </c>
      <c r="I614" s="228" t="s">
        <v>17</v>
      </c>
      <c r="J614" s="228" t="s">
        <v>15</v>
      </c>
      <c r="K614" s="228" t="s">
        <v>328</v>
      </c>
      <c r="L614" s="228" t="s">
        <v>328</v>
      </c>
      <c r="M614" s="228" t="s">
        <v>328</v>
      </c>
      <c r="N614" s="228" t="s">
        <v>328</v>
      </c>
      <c r="O614" s="229" t="s">
        <v>17</v>
      </c>
      <c r="P614" s="229" t="s">
        <v>17</v>
      </c>
      <c r="Q614" s="229" t="s">
        <v>15</v>
      </c>
      <c r="R614" s="229" t="s">
        <v>15</v>
      </c>
      <c r="S614" s="229" t="s">
        <v>328</v>
      </c>
      <c r="T614" s="229" t="s">
        <v>328</v>
      </c>
      <c r="U614" s="229" t="s">
        <v>328</v>
      </c>
      <c r="V614" s="229" t="s">
        <v>328</v>
      </c>
      <c r="W614" s="230" t="s">
        <v>328</v>
      </c>
      <c r="X614" s="230" t="s">
        <v>328</v>
      </c>
      <c r="Y614" s="231" t="s">
        <v>328</v>
      </c>
    </row>
    <row r="615" spans="1:25">
      <c r="A615" s="223">
        <v>17</v>
      </c>
      <c r="B615" s="224" t="str">
        <f>VLOOKUP(Tabel10[[#This Row],[Locatiecode]],Ruimtegroepen[[#All],[Code]:[Ruimte omschrijving]],2,FALSE)</f>
        <v>Toestelberging</v>
      </c>
      <c r="C615" s="225" t="s">
        <v>1050</v>
      </c>
      <c r="D615" s="224" t="s">
        <v>32</v>
      </c>
      <c r="E615" s="226" t="s">
        <v>121</v>
      </c>
      <c r="F615" s="225" t="s">
        <v>1051</v>
      </c>
      <c r="G615" s="228" t="s">
        <v>328</v>
      </c>
      <c r="H615" s="228" t="s">
        <v>328</v>
      </c>
      <c r="I615" s="228" t="s">
        <v>15</v>
      </c>
      <c r="J615" s="228" t="s">
        <v>328</v>
      </c>
      <c r="K615" s="228" t="s">
        <v>328</v>
      </c>
      <c r="L615" s="228" t="s">
        <v>328</v>
      </c>
      <c r="M615" s="228" t="s">
        <v>328</v>
      </c>
      <c r="N615" s="228" t="s">
        <v>2</v>
      </c>
      <c r="O615" s="229" t="s">
        <v>2</v>
      </c>
      <c r="P615" s="229" t="s">
        <v>2</v>
      </c>
      <c r="Q615" s="229" t="s">
        <v>15</v>
      </c>
      <c r="R615" s="229" t="s">
        <v>15</v>
      </c>
      <c r="S615" s="229" t="s">
        <v>16</v>
      </c>
      <c r="T615" s="229" t="s">
        <v>375</v>
      </c>
      <c r="U615" s="229" t="s">
        <v>331</v>
      </c>
      <c r="V615" s="229" t="s">
        <v>2</v>
      </c>
      <c r="W615" s="230" t="s">
        <v>328</v>
      </c>
      <c r="X615" s="230" t="s">
        <v>328</v>
      </c>
      <c r="Y615" s="231" t="s">
        <v>328</v>
      </c>
    </row>
    <row r="616" spans="1:25">
      <c r="A616" s="223">
        <v>17</v>
      </c>
      <c r="B616" s="224" t="str">
        <f>VLOOKUP(Tabel10[[#This Row],[Locatiecode]],Ruimtegroepen[[#All],[Code]:[Ruimte omschrijving]],2,FALSE)</f>
        <v>Toestelberging</v>
      </c>
      <c r="C616" s="225" t="s">
        <v>1050</v>
      </c>
      <c r="D616" s="224" t="s">
        <v>32</v>
      </c>
      <c r="E616" s="226" t="s">
        <v>120</v>
      </c>
      <c r="F616" s="225" t="s">
        <v>1052</v>
      </c>
      <c r="G616" s="228" t="s">
        <v>328</v>
      </c>
      <c r="H616" s="228" t="s">
        <v>15</v>
      </c>
      <c r="I616" s="228" t="s">
        <v>328</v>
      </c>
      <c r="J616" s="228" t="s">
        <v>328</v>
      </c>
      <c r="K616" s="228" t="s">
        <v>328</v>
      </c>
      <c r="L616" s="228" t="s">
        <v>328</v>
      </c>
      <c r="M616" s="228" t="s">
        <v>328</v>
      </c>
      <c r="N616" s="228" t="s">
        <v>2</v>
      </c>
      <c r="O616" s="229" t="s">
        <v>2</v>
      </c>
      <c r="P616" s="229" t="s">
        <v>2</v>
      </c>
      <c r="Q616" s="229" t="s">
        <v>15</v>
      </c>
      <c r="R616" s="229" t="s">
        <v>15</v>
      </c>
      <c r="S616" s="229" t="s">
        <v>16</v>
      </c>
      <c r="T616" s="229" t="s">
        <v>375</v>
      </c>
      <c r="U616" s="229" t="s">
        <v>331</v>
      </c>
      <c r="V616" s="229" t="s">
        <v>2</v>
      </c>
      <c r="W616" s="230" t="s">
        <v>328</v>
      </c>
      <c r="X616" s="230" t="s">
        <v>328</v>
      </c>
      <c r="Y616" s="231" t="s">
        <v>328</v>
      </c>
    </row>
    <row r="617" spans="1:25">
      <c r="A617" s="223">
        <v>17</v>
      </c>
      <c r="B617" s="224" t="str">
        <f>VLOOKUP(Tabel10[[#This Row],[Locatiecode]],Ruimtegroepen[[#All],[Code]:[Ruimte omschrijving]],2,FALSE)</f>
        <v>Toestelberging</v>
      </c>
      <c r="C617" s="225" t="s">
        <v>1050</v>
      </c>
      <c r="D617" s="224" t="s">
        <v>32</v>
      </c>
      <c r="E617" s="226" t="s">
        <v>122</v>
      </c>
      <c r="F617" s="225" t="s">
        <v>1053</v>
      </c>
      <c r="G617" s="228" t="s">
        <v>328</v>
      </c>
      <c r="H617" s="228" t="s">
        <v>328</v>
      </c>
      <c r="I617" s="228" t="s">
        <v>15</v>
      </c>
      <c r="J617" s="228" t="s">
        <v>328</v>
      </c>
      <c r="K617" s="228" t="s">
        <v>331</v>
      </c>
      <c r="L617" s="228" t="s">
        <v>328</v>
      </c>
      <c r="M617" s="228" t="s">
        <v>328</v>
      </c>
      <c r="N617" s="228" t="s">
        <v>2</v>
      </c>
      <c r="O617" s="229" t="s">
        <v>2</v>
      </c>
      <c r="P617" s="229" t="s">
        <v>2</v>
      </c>
      <c r="Q617" s="229" t="s">
        <v>15</v>
      </c>
      <c r="R617" s="229" t="s">
        <v>15</v>
      </c>
      <c r="S617" s="229" t="s">
        <v>16</v>
      </c>
      <c r="T617" s="229" t="s">
        <v>375</v>
      </c>
      <c r="U617" s="229" t="s">
        <v>331</v>
      </c>
      <c r="V617" s="229" t="s">
        <v>2</v>
      </c>
      <c r="W617" s="230" t="s">
        <v>328</v>
      </c>
      <c r="X617" s="230" t="s">
        <v>328</v>
      </c>
      <c r="Y617" s="231" t="s">
        <v>328</v>
      </c>
    </row>
    <row r="618" spans="1:25">
      <c r="A618" s="223">
        <v>17</v>
      </c>
      <c r="B618" s="224" t="str">
        <f>VLOOKUP(Tabel10[[#This Row],[Locatiecode]],Ruimtegroepen[[#All],[Code]:[Ruimte omschrijving]],2,FALSE)</f>
        <v>Toestelberging</v>
      </c>
      <c r="C618" s="225" t="s">
        <v>1050</v>
      </c>
      <c r="D618" s="224" t="s">
        <v>32</v>
      </c>
      <c r="E618" s="226" t="s">
        <v>123</v>
      </c>
      <c r="F618" s="225" t="s">
        <v>1054</v>
      </c>
      <c r="G618" s="228" t="s">
        <v>328</v>
      </c>
      <c r="H618" s="228" t="s">
        <v>328</v>
      </c>
      <c r="I618" s="228" t="s">
        <v>15</v>
      </c>
      <c r="J618" s="228" t="s">
        <v>328</v>
      </c>
      <c r="K618" s="228" t="s">
        <v>328</v>
      </c>
      <c r="L618" s="228" t="s">
        <v>328</v>
      </c>
      <c r="M618" s="228" t="s">
        <v>328</v>
      </c>
      <c r="N618" s="228" t="s">
        <v>2</v>
      </c>
      <c r="O618" s="229" t="s">
        <v>2</v>
      </c>
      <c r="P618" s="229" t="s">
        <v>2</v>
      </c>
      <c r="Q618" s="229" t="s">
        <v>15</v>
      </c>
      <c r="R618" s="229" t="s">
        <v>15</v>
      </c>
      <c r="S618" s="229" t="s">
        <v>16</v>
      </c>
      <c r="T618" s="229" t="s">
        <v>375</v>
      </c>
      <c r="U618" s="229" t="s">
        <v>331</v>
      </c>
      <c r="V618" s="229" t="s">
        <v>2</v>
      </c>
      <c r="W618" s="230" t="s">
        <v>328</v>
      </c>
      <c r="X618" s="230" t="s">
        <v>328</v>
      </c>
      <c r="Y618" s="231" t="s">
        <v>328</v>
      </c>
    </row>
    <row r="619" spans="1:25">
      <c r="A619" s="223">
        <v>17</v>
      </c>
      <c r="B619" s="224" t="str">
        <f>VLOOKUP(Tabel10[[#This Row],[Locatiecode]],Ruimtegroepen[[#All],[Code]:[Ruimte omschrijving]],2,FALSE)</f>
        <v>Toestelberging</v>
      </c>
      <c r="C619" s="225" t="s">
        <v>1055</v>
      </c>
      <c r="D619" s="224" t="s">
        <v>1</v>
      </c>
      <c r="E619" s="226" t="s">
        <v>121</v>
      </c>
      <c r="F619" s="225" t="s">
        <v>1056</v>
      </c>
      <c r="G619" s="228" t="s">
        <v>328</v>
      </c>
      <c r="H619" s="228" t="s">
        <v>328</v>
      </c>
      <c r="I619" s="228" t="s">
        <v>15</v>
      </c>
      <c r="J619" s="228" t="s">
        <v>328</v>
      </c>
      <c r="K619" s="228" t="s">
        <v>328</v>
      </c>
      <c r="L619" s="228" t="s">
        <v>328</v>
      </c>
      <c r="M619" s="228" t="s">
        <v>328</v>
      </c>
      <c r="N619" s="228" t="s">
        <v>328</v>
      </c>
      <c r="O619" s="229" t="s">
        <v>2</v>
      </c>
      <c r="P619" s="229" t="s">
        <v>2</v>
      </c>
      <c r="Q619" s="229" t="s">
        <v>15</v>
      </c>
      <c r="R619" s="229" t="s">
        <v>15</v>
      </c>
      <c r="S619" s="229" t="s">
        <v>16</v>
      </c>
      <c r="T619" s="229" t="s">
        <v>375</v>
      </c>
      <c r="U619" s="229" t="s">
        <v>331</v>
      </c>
      <c r="V619" s="229" t="s">
        <v>328</v>
      </c>
      <c r="W619" s="230" t="s">
        <v>328</v>
      </c>
      <c r="X619" s="230" t="s">
        <v>328</v>
      </c>
      <c r="Y619" s="231" t="s">
        <v>328</v>
      </c>
    </row>
    <row r="620" spans="1:25">
      <c r="A620" s="223">
        <v>17</v>
      </c>
      <c r="B620" s="224" t="str">
        <f>VLOOKUP(Tabel10[[#This Row],[Locatiecode]],Ruimtegroepen[[#All],[Code]:[Ruimte omschrijving]],2,FALSE)</f>
        <v>Toestelberging</v>
      </c>
      <c r="C620" s="225" t="s">
        <v>1055</v>
      </c>
      <c r="D620" s="224" t="s">
        <v>1</v>
      </c>
      <c r="E620" s="226" t="s">
        <v>120</v>
      </c>
      <c r="F620" s="225" t="s">
        <v>1057</v>
      </c>
      <c r="G620" s="228" t="s">
        <v>328</v>
      </c>
      <c r="H620" s="228" t="s">
        <v>15</v>
      </c>
      <c r="I620" s="228" t="s">
        <v>328</v>
      </c>
      <c r="J620" s="228" t="s">
        <v>328</v>
      </c>
      <c r="K620" s="228" t="s">
        <v>328</v>
      </c>
      <c r="L620" s="228" t="s">
        <v>328</v>
      </c>
      <c r="M620" s="228" t="s">
        <v>328</v>
      </c>
      <c r="N620" s="228" t="s">
        <v>328</v>
      </c>
      <c r="O620" s="229" t="s">
        <v>2</v>
      </c>
      <c r="P620" s="229" t="s">
        <v>2</v>
      </c>
      <c r="Q620" s="229" t="s">
        <v>15</v>
      </c>
      <c r="R620" s="229" t="s">
        <v>15</v>
      </c>
      <c r="S620" s="229" t="s">
        <v>16</v>
      </c>
      <c r="T620" s="229" t="s">
        <v>375</v>
      </c>
      <c r="U620" s="229" t="s">
        <v>331</v>
      </c>
      <c r="V620" s="229" t="s">
        <v>328</v>
      </c>
      <c r="W620" s="230" t="s">
        <v>328</v>
      </c>
      <c r="X620" s="230" t="s">
        <v>328</v>
      </c>
      <c r="Y620" s="231" t="s">
        <v>328</v>
      </c>
    </row>
    <row r="621" spans="1:25">
      <c r="A621" s="223">
        <v>17</v>
      </c>
      <c r="B621" s="224" t="str">
        <f>VLOOKUP(Tabel10[[#This Row],[Locatiecode]],Ruimtegroepen[[#All],[Code]:[Ruimte omschrijving]],2,FALSE)</f>
        <v>Toestelberging</v>
      </c>
      <c r="C621" s="225" t="s">
        <v>1055</v>
      </c>
      <c r="D621" s="224" t="s">
        <v>1</v>
      </c>
      <c r="E621" s="226" t="s">
        <v>122</v>
      </c>
      <c r="F621" s="225" t="s">
        <v>1058</v>
      </c>
      <c r="G621" s="228" t="s">
        <v>328</v>
      </c>
      <c r="H621" s="228" t="s">
        <v>328</v>
      </c>
      <c r="I621" s="228" t="s">
        <v>15</v>
      </c>
      <c r="J621" s="228" t="s">
        <v>328</v>
      </c>
      <c r="K621" s="228" t="s">
        <v>331</v>
      </c>
      <c r="L621" s="228" t="s">
        <v>328</v>
      </c>
      <c r="M621" s="228" t="s">
        <v>328</v>
      </c>
      <c r="N621" s="228" t="s">
        <v>328</v>
      </c>
      <c r="O621" s="229" t="s">
        <v>2</v>
      </c>
      <c r="P621" s="229" t="s">
        <v>2</v>
      </c>
      <c r="Q621" s="229" t="s">
        <v>15</v>
      </c>
      <c r="R621" s="229" t="s">
        <v>15</v>
      </c>
      <c r="S621" s="229" t="s">
        <v>16</v>
      </c>
      <c r="T621" s="229" t="s">
        <v>375</v>
      </c>
      <c r="U621" s="229" t="s">
        <v>331</v>
      </c>
      <c r="V621" s="229" t="s">
        <v>328</v>
      </c>
      <c r="W621" s="230" t="s">
        <v>328</v>
      </c>
      <c r="X621" s="230" t="s">
        <v>328</v>
      </c>
      <c r="Y621" s="231" t="s">
        <v>328</v>
      </c>
    </row>
    <row r="622" spans="1:25">
      <c r="A622" s="223">
        <v>17</v>
      </c>
      <c r="B622" s="224" t="str">
        <f>VLOOKUP(Tabel10[[#This Row],[Locatiecode]],Ruimtegroepen[[#All],[Code]:[Ruimte omschrijving]],2,FALSE)</f>
        <v>Toestelberging</v>
      </c>
      <c r="C622" s="225" t="s">
        <v>1055</v>
      </c>
      <c r="D622" s="224" t="s">
        <v>1</v>
      </c>
      <c r="E622" s="226" t="s">
        <v>123</v>
      </c>
      <c r="F622" s="225" t="s">
        <v>1059</v>
      </c>
      <c r="G622" s="228" t="s">
        <v>328</v>
      </c>
      <c r="H622" s="228" t="s">
        <v>328</v>
      </c>
      <c r="I622" s="228" t="s">
        <v>15</v>
      </c>
      <c r="J622" s="228" t="s">
        <v>328</v>
      </c>
      <c r="K622" s="228" t="s">
        <v>328</v>
      </c>
      <c r="L622" s="228" t="s">
        <v>328</v>
      </c>
      <c r="M622" s="228" t="s">
        <v>328</v>
      </c>
      <c r="N622" s="228" t="s">
        <v>328</v>
      </c>
      <c r="O622" s="229" t="s">
        <v>2</v>
      </c>
      <c r="P622" s="229" t="s">
        <v>2</v>
      </c>
      <c r="Q622" s="229" t="s">
        <v>15</v>
      </c>
      <c r="R622" s="229" t="s">
        <v>15</v>
      </c>
      <c r="S622" s="229" t="s">
        <v>16</v>
      </c>
      <c r="T622" s="229" t="s">
        <v>375</v>
      </c>
      <c r="U622" s="229" t="s">
        <v>331</v>
      </c>
      <c r="V622" s="229" t="s">
        <v>328</v>
      </c>
      <c r="W622" s="230" t="s">
        <v>328</v>
      </c>
      <c r="X622" s="230" t="s">
        <v>328</v>
      </c>
      <c r="Y622" s="231" t="s">
        <v>328</v>
      </c>
    </row>
    <row r="623" spans="1:25">
      <c r="A623" s="223">
        <v>17</v>
      </c>
      <c r="B623" s="224" t="str">
        <f>VLOOKUP(Tabel10[[#This Row],[Locatiecode]],Ruimtegroepen[[#All],[Code]:[Ruimte omschrijving]],2,FALSE)</f>
        <v>Toestelberging</v>
      </c>
      <c r="C623" s="225" t="s">
        <v>1060</v>
      </c>
      <c r="D623" s="224" t="s">
        <v>21</v>
      </c>
      <c r="E623" s="226" t="s">
        <v>121</v>
      </c>
      <c r="F623" s="225" t="s">
        <v>1061</v>
      </c>
      <c r="G623" s="228" t="s">
        <v>328</v>
      </c>
      <c r="H623" s="228" t="s">
        <v>328</v>
      </c>
      <c r="I623" s="228" t="s">
        <v>15</v>
      </c>
      <c r="J623" s="228" t="s">
        <v>328</v>
      </c>
      <c r="K623" s="228" t="s">
        <v>328</v>
      </c>
      <c r="L623" s="228" t="s">
        <v>328</v>
      </c>
      <c r="M623" s="228" t="s">
        <v>328</v>
      </c>
      <c r="N623" s="228" t="s">
        <v>328</v>
      </c>
      <c r="O623" s="229" t="s">
        <v>20</v>
      </c>
      <c r="P623" s="229" t="s">
        <v>20</v>
      </c>
      <c r="Q623" s="229" t="s">
        <v>15</v>
      </c>
      <c r="R623" s="229" t="s">
        <v>15</v>
      </c>
      <c r="S623" s="229" t="s">
        <v>16</v>
      </c>
      <c r="T623" s="229" t="s">
        <v>375</v>
      </c>
      <c r="U623" s="229" t="s">
        <v>331</v>
      </c>
      <c r="V623" s="229" t="s">
        <v>328</v>
      </c>
      <c r="W623" s="230" t="s">
        <v>328</v>
      </c>
      <c r="X623" s="230" t="s">
        <v>328</v>
      </c>
      <c r="Y623" s="231" t="s">
        <v>328</v>
      </c>
    </row>
    <row r="624" spans="1:25">
      <c r="A624" s="223">
        <v>17</v>
      </c>
      <c r="B624" s="224" t="str">
        <f>VLOOKUP(Tabel10[[#This Row],[Locatiecode]],Ruimtegroepen[[#All],[Code]:[Ruimte omschrijving]],2,FALSE)</f>
        <v>Toestelberging</v>
      </c>
      <c r="C624" s="225" t="s">
        <v>1060</v>
      </c>
      <c r="D624" s="224" t="s">
        <v>21</v>
      </c>
      <c r="E624" s="226" t="s">
        <v>120</v>
      </c>
      <c r="F624" s="225" t="s">
        <v>1062</v>
      </c>
      <c r="G624" s="228" t="s">
        <v>328</v>
      </c>
      <c r="H624" s="228" t="s">
        <v>15</v>
      </c>
      <c r="I624" s="228" t="s">
        <v>328</v>
      </c>
      <c r="J624" s="228" t="s">
        <v>328</v>
      </c>
      <c r="K624" s="228" t="s">
        <v>328</v>
      </c>
      <c r="L624" s="228" t="s">
        <v>328</v>
      </c>
      <c r="M624" s="228" t="s">
        <v>328</v>
      </c>
      <c r="N624" s="228" t="s">
        <v>328</v>
      </c>
      <c r="O624" s="229" t="s">
        <v>20</v>
      </c>
      <c r="P624" s="229" t="s">
        <v>20</v>
      </c>
      <c r="Q624" s="229" t="s">
        <v>15</v>
      </c>
      <c r="R624" s="229" t="s">
        <v>15</v>
      </c>
      <c r="S624" s="229" t="s">
        <v>16</v>
      </c>
      <c r="T624" s="229" t="s">
        <v>375</v>
      </c>
      <c r="U624" s="229" t="s">
        <v>331</v>
      </c>
      <c r="V624" s="229" t="s">
        <v>328</v>
      </c>
      <c r="W624" s="230" t="s">
        <v>328</v>
      </c>
      <c r="X624" s="230" t="s">
        <v>328</v>
      </c>
      <c r="Y624" s="231" t="s">
        <v>328</v>
      </c>
    </row>
    <row r="625" spans="1:25">
      <c r="A625" s="223">
        <v>17</v>
      </c>
      <c r="B625" s="224" t="str">
        <f>VLOOKUP(Tabel10[[#This Row],[Locatiecode]],Ruimtegroepen[[#All],[Code]:[Ruimte omschrijving]],2,FALSE)</f>
        <v>Toestelberging</v>
      </c>
      <c r="C625" s="225" t="s">
        <v>1060</v>
      </c>
      <c r="D625" s="224" t="s">
        <v>21</v>
      </c>
      <c r="E625" s="226" t="s">
        <v>122</v>
      </c>
      <c r="F625" s="225" t="s">
        <v>1063</v>
      </c>
      <c r="G625" s="228" t="s">
        <v>328</v>
      </c>
      <c r="H625" s="228" t="s">
        <v>328</v>
      </c>
      <c r="I625" s="228" t="s">
        <v>15</v>
      </c>
      <c r="J625" s="228" t="s">
        <v>328</v>
      </c>
      <c r="K625" s="228" t="s">
        <v>331</v>
      </c>
      <c r="L625" s="228" t="s">
        <v>328</v>
      </c>
      <c r="M625" s="228" t="s">
        <v>328</v>
      </c>
      <c r="N625" s="228" t="s">
        <v>328</v>
      </c>
      <c r="O625" s="229" t="s">
        <v>20</v>
      </c>
      <c r="P625" s="229" t="s">
        <v>20</v>
      </c>
      <c r="Q625" s="229" t="s">
        <v>15</v>
      </c>
      <c r="R625" s="229" t="s">
        <v>15</v>
      </c>
      <c r="S625" s="229" t="s">
        <v>16</v>
      </c>
      <c r="T625" s="229" t="s">
        <v>375</v>
      </c>
      <c r="U625" s="229" t="s">
        <v>331</v>
      </c>
      <c r="V625" s="229" t="s">
        <v>328</v>
      </c>
      <c r="W625" s="230" t="s">
        <v>328</v>
      </c>
      <c r="X625" s="230" t="s">
        <v>328</v>
      </c>
      <c r="Y625" s="231" t="s">
        <v>328</v>
      </c>
    </row>
    <row r="626" spans="1:25">
      <c r="A626" s="223">
        <v>17</v>
      </c>
      <c r="B626" s="224" t="str">
        <f>VLOOKUP(Tabel10[[#This Row],[Locatiecode]],Ruimtegroepen[[#All],[Code]:[Ruimte omschrijving]],2,FALSE)</f>
        <v>Toestelberging</v>
      </c>
      <c r="C626" s="225" t="s">
        <v>1060</v>
      </c>
      <c r="D626" s="224" t="s">
        <v>21</v>
      </c>
      <c r="E626" s="226" t="s">
        <v>123</v>
      </c>
      <c r="F626" s="225" t="s">
        <v>1064</v>
      </c>
      <c r="G626" s="228" t="s">
        <v>328</v>
      </c>
      <c r="H626" s="228" t="s">
        <v>328</v>
      </c>
      <c r="I626" s="228" t="s">
        <v>15</v>
      </c>
      <c r="J626" s="228" t="s">
        <v>328</v>
      </c>
      <c r="K626" s="228" t="s">
        <v>328</v>
      </c>
      <c r="L626" s="228" t="s">
        <v>328</v>
      </c>
      <c r="M626" s="228" t="s">
        <v>328</v>
      </c>
      <c r="N626" s="228" t="s">
        <v>328</v>
      </c>
      <c r="O626" s="229" t="s">
        <v>20</v>
      </c>
      <c r="P626" s="229" t="s">
        <v>20</v>
      </c>
      <c r="Q626" s="229" t="s">
        <v>15</v>
      </c>
      <c r="R626" s="229" t="s">
        <v>15</v>
      </c>
      <c r="S626" s="229" t="s">
        <v>16</v>
      </c>
      <c r="T626" s="229" t="s">
        <v>375</v>
      </c>
      <c r="U626" s="229" t="s">
        <v>331</v>
      </c>
      <c r="V626" s="229" t="s">
        <v>328</v>
      </c>
      <c r="W626" s="230" t="s">
        <v>328</v>
      </c>
      <c r="X626" s="230" t="s">
        <v>328</v>
      </c>
      <c r="Y626" s="231" t="s">
        <v>328</v>
      </c>
    </row>
    <row r="627" spans="1:25">
      <c r="A627" s="223">
        <v>17</v>
      </c>
      <c r="B627" s="224" t="str">
        <f>VLOOKUP(Tabel10[[#This Row],[Locatiecode]],Ruimtegroepen[[#All],[Code]:[Ruimte omschrijving]],2,FALSE)</f>
        <v>Toestelberging</v>
      </c>
      <c r="C627" s="225" t="s">
        <v>1065</v>
      </c>
      <c r="D627" s="224" t="s">
        <v>12</v>
      </c>
      <c r="E627" s="226" t="s">
        <v>121</v>
      </c>
      <c r="F627" s="225" t="s">
        <v>1066</v>
      </c>
      <c r="G627" s="228" t="s">
        <v>328</v>
      </c>
      <c r="H627" s="228" t="s">
        <v>328</v>
      </c>
      <c r="I627" s="228" t="s">
        <v>15</v>
      </c>
      <c r="J627" s="228" t="s">
        <v>328</v>
      </c>
      <c r="K627" s="228" t="s">
        <v>328</v>
      </c>
      <c r="L627" s="228" t="s">
        <v>328</v>
      </c>
      <c r="M627" s="228" t="s">
        <v>328</v>
      </c>
      <c r="N627" s="228" t="s">
        <v>328</v>
      </c>
      <c r="O627" s="229" t="s">
        <v>18</v>
      </c>
      <c r="P627" s="229" t="s">
        <v>18</v>
      </c>
      <c r="Q627" s="229" t="s">
        <v>15</v>
      </c>
      <c r="R627" s="229" t="s">
        <v>15</v>
      </c>
      <c r="S627" s="229" t="s">
        <v>16</v>
      </c>
      <c r="T627" s="229" t="s">
        <v>375</v>
      </c>
      <c r="U627" s="229" t="s">
        <v>331</v>
      </c>
      <c r="V627" s="229" t="s">
        <v>328</v>
      </c>
      <c r="W627" s="230" t="s">
        <v>328</v>
      </c>
      <c r="X627" s="230" t="s">
        <v>328</v>
      </c>
      <c r="Y627" s="231" t="s">
        <v>328</v>
      </c>
    </row>
    <row r="628" spans="1:25">
      <c r="A628" s="223">
        <v>17</v>
      </c>
      <c r="B628" s="224" t="str">
        <f>VLOOKUP(Tabel10[[#This Row],[Locatiecode]],Ruimtegroepen[[#All],[Code]:[Ruimte omschrijving]],2,FALSE)</f>
        <v>Toestelberging</v>
      </c>
      <c r="C628" s="225" t="s">
        <v>1065</v>
      </c>
      <c r="D628" s="224" t="s">
        <v>12</v>
      </c>
      <c r="E628" s="226" t="s">
        <v>120</v>
      </c>
      <c r="F628" s="225" t="s">
        <v>1067</v>
      </c>
      <c r="G628" s="228" t="s">
        <v>328</v>
      </c>
      <c r="H628" s="228" t="s">
        <v>15</v>
      </c>
      <c r="I628" s="228" t="s">
        <v>328</v>
      </c>
      <c r="J628" s="228" t="s">
        <v>328</v>
      </c>
      <c r="K628" s="228" t="s">
        <v>328</v>
      </c>
      <c r="L628" s="228" t="s">
        <v>328</v>
      </c>
      <c r="M628" s="228" t="s">
        <v>328</v>
      </c>
      <c r="N628" s="228" t="s">
        <v>328</v>
      </c>
      <c r="O628" s="229" t="s">
        <v>18</v>
      </c>
      <c r="P628" s="229" t="s">
        <v>18</v>
      </c>
      <c r="Q628" s="229" t="s">
        <v>15</v>
      </c>
      <c r="R628" s="229" t="s">
        <v>15</v>
      </c>
      <c r="S628" s="229" t="s">
        <v>16</v>
      </c>
      <c r="T628" s="229" t="s">
        <v>375</v>
      </c>
      <c r="U628" s="229" t="s">
        <v>331</v>
      </c>
      <c r="V628" s="229" t="s">
        <v>328</v>
      </c>
      <c r="W628" s="230" t="s">
        <v>328</v>
      </c>
      <c r="X628" s="230" t="s">
        <v>328</v>
      </c>
      <c r="Y628" s="231" t="s">
        <v>328</v>
      </c>
    </row>
    <row r="629" spans="1:25">
      <c r="A629" s="223">
        <v>17</v>
      </c>
      <c r="B629" s="224" t="str">
        <f>VLOOKUP(Tabel10[[#This Row],[Locatiecode]],Ruimtegroepen[[#All],[Code]:[Ruimte omschrijving]],2,FALSE)</f>
        <v>Toestelberging</v>
      </c>
      <c r="C629" s="225" t="s">
        <v>1065</v>
      </c>
      <c r="D629" s="224" t="s">
        <v>12</v>
      </c>
      <c r="E629" s="226" t="s">
        <v>122</v>
      </c>
      <c r="F629" s="225" t="s">
        <v>1068</v>
      </c>
      <c r="G629" s="228" t="s">
        <v>328</v>
      </c>
      <c r="H629" s="228" t="s">
        <v>328</v>
      </c>
      <c r="I629" s="228" t="s">
        <v>15</v>
      </c>
      <c r="J629" s="228" t="s">
        <v>328</v>
      </c>
      <c r="K629" s="228" t="s">
        <v>331</v>
      </c>
      <c r="L629" s="228" t="s">
        <v>328</v>
      </c>
      <c r="M629" s="228" t="s">
        <v>328</v>
      </c>
      <c r="N629" s="228" t="s">
        <v>328</v>
      </c>
      <c r="O629" s="229" t="s">
        <v>18</v>
      </c>
      <c r="P629" s="229" t="s">
        <v>18</v>
      </c>
      <c r="Q629" s="229" t="s">
        <v>15</v>
      </c>
      <c r="R629" s="229" t="s">
        <v>15</v>
      </c>
      <c r="S629" s="229" t="s">
        <v>16</v>
      </c>
      <c r="T629" s="229" t="s">
        <v>375</v>
      </c>
      <c r="U629" s="229" t="s">
        <v>331</v>
      </c>
      <c r="V629" s="229" t="s">
        <v>328</v>
      </c>
      <c r="W629" s="230" t="s">
        <v>328</v>
      </c>
      <c r="X629" s="230" t="s">
        <v>328</v>
      </c>
      <c r="Y629" s="231" t="s">
        <v>328</v>
      </c>
    </row>
    <row r="630" spans="1:25">
      <c r="A630" s="223">
        <v>17</v>
      </c>
      <c r="B630" s="224" t="str">
        <f>VLOOKUP(Tabel10[[#This Row],[Locatiecode]],Ruimtegroepen[[#All],[Code]:[Ruimte omschrijving]],2,FALSE)</f>
        <v>Toestelberging</v>
      </c>
      <c r="C630" s="225" t="s">
        <v>1065</v>
      </c>
      <c r="D630" s="224" t="s">
        <v>12</v>
      </c>
      <c r="E630" s="226" t="s">
        <v>123</v>
      </c>
      <c r="F630" s="225" t="s">
        <v>1069</v>
      </c>
      <c r="G630" s="228" t="s">
        <v>328</v>
      </c>
      <c r="H630" s="228" t="s">
        <v>328</v>
      </c>
      <c r="I630" s="228" t="s">
        <v>15</v>
      </c>
      <c r="J630" s="228" t="s">
        <v>328</v>
      </c>
      <c r="K630" s="228" t="s">
        <v>328</v>
      </c>
      <c r="L630" s="228" t="s">
        <v>328</v>
      </c>
      <c r="M630" s="228" t="s">
        <v>328</v>
      </c>
      <c r="N630" s="228" t="s">
        <v>328</v>
      </c>
      <c r="O630" s="229" t="s">
        <v>18</v>
      </c>
      <c r="P630" s="229" t="s">
        <v>18</v>
      </c>
      <c r="Q630" s="229" t="s">
        <v>15</v>
      </c>
      <c r="R630" s="229" t="s">
        <v>15</v>
      </c>
      <c r="S630" s="229" t="s">
        <v>16</v>
      </c>
      <c r="T630" s="229" t="s">
        <v>375</v>
      </c>
      <c r="U630" s="229" t="s">
        <v>331</v>
      </c>
      <c r="V630" s="229" t="s">
        <v>328</v>
      </c>
      <c r="W630" s="230" t="s">
        <v>328</v>
      </c>
      <c r="X630" s="230" t="s">
        <v>328</v>
      </c>
      <c r="Y630" s="231" t="s">
        <v>328</v>
      </c>
    </row>
    <row r="631" spans="1:25">
      <c r="A631" s="223">
        <v>17</v>
      </c>
      <c r="B631" s="224" t="str">
        <f>VLOOKUP(Tabel10[[#This Row],[Locatiecode]],Ruimtegroepen[[#All],[Code]:[Ruimte omschrijving]],2,FALSE)</f>
        <v>Toestelberging</v>
      </c>
      <c r="C631" s="225" t="s">
        <v>1070</v>
      </c>
      <c r="D631" s="224" t="s">
        <v>14</v>
      </c>
      <c r="E631" s="226" t="s">
        <v>121</v>
      </c>
      <c r="F631" s="225" t="s">
        <v>1071</v>
      </c>
      <c r="G631" s="228" t="s">
        <v>328</v>
      </c>
      <c r="H631" s="228" t="s">
        <v>328</v>
      </c>
      <c r="I631" s="228" t="s">
        <v>15</v>
      </c>
      <c r="J631" s="228" t="s">
        <v>328</v>
      </c>
      <c r="K631" s="228" t="s">
        <v>328</v>
      </c>
      <c r="L631" s="228" t="s">
        <v>328</v>
      </c>
      <c r="M631" s="228" t="s">
        <v>328</v>
      </c>
      <c r="N631" s="228" t="s">
        <v>328</v>
      </c>
      <c r="O631" s="229" t="s">
        <v>17</v>
      </c>
      <c r="P631" s="229" t="s">
        <v>17</v>
      </c>
      <c r="Q631" s="229" t="s">
        <v>15</v>
      </c>
      <c r="R631" s="229" t="s">
        <v>15</v>
      </c>
      <c r="S631" s="229" t="s">
        <v>16</v>
      </c>
      <c r="T631" s="229" t="s">
        <v>375</v>
      </c>
      <c r="U631" s="229" t="s">
        <v>331</v>
      </c>
      <c r="V631" s="229" t="s">
        <v>328</v>
      </c>
      <c r="W631" s="230" t="s">
        <v>328</v>
      </c>
      <c r="X631" s="230" t="s">
        <v>328</v>
      </c>
      <c r="Y631" s="231" t="s">
        <v>328</v>
      </c>
    </row>
    <row r="632" spans="1:25">
      <c r="A632" s="223">
        <v>17</v>
      </c>
      <c r="B632" s="224" t="str">
        <f>VLOOKUP(Tabel10[[#This Row],[Locatiecode]],Ruimtegroepen[[#All],[Code]:[Ruimte omschrijving]],2,FALSE)</f>
        <v>Toestelberging</v>
      </c>
      <c r="C632" s="225" t="s">
        <v>1070</v>
      </c>
      <c r="D632" s="224" t="s">
        <v>14</v>
      </c>
      <c r="E632" s="226" t="s">
        <v>120</v>
      </c>
      <c r="F632" s="225" t="s">
        <v>1072</v>
      </c>
      <c r="G632" s="228" t="s">
        <v>328</v>
      </c>
      <c r="H632" s="228" t="s">
        <v>15</v>
      </c>
      <c r="I632" s="228" t="s">
        <v>328</v>
      </c>
      <c r="J632" s="228" t="s">
        <v>328</v>
      </c>
      <c r="K632" s="228" t="s">
        <v>328</v>
      </c>
      <c r="L632" s="228" t="s">
        <v>328</v>
      </c>
      <c r="M632" s="228" t="s">
        <v>328</v>
      </c>
      <c r="N632" s="228" t="s">
        <v>328</v>
      </c>
      <c r="O632" s="229" t="s">
        <v>17</v>
      </c>
      <c r="P632" s="229" t="s">
        <v>17</v>
      </c>
      <c r="Q632" s="229" t="s">
        <v>15</v>
      </c>
      <c r="R632" s="229" t="s">
        <v>15</v>
      </c>
      <c r="S632" s="229" t="s">
        <v>16</v>
      </c>
      <c r="T632" s="229" t="s">
        <v>375</v>
      </c>
      <c r="U632" s="229" t="s">
        <v>331</v>
      </c>
      <c r="V632" s="229" t="s">
        <v>328</v>
      </c>
      <c r="W632" s="230" t="s">
        <v>328</v>
      </c>
      <c r="X632" s="230" t="s">
        <v>328</v>
      </c>
      <c r="Y632" s="231" t="s">
        <v>328</v>
      </c>
    </row>
    <row r="633" spans="1:25">
      <c r="A633" s="223">
        <v>17</v>
      </c>
      <c r="B633" s="224" t="str">
        <f>VLOOKUP(Tabel10[[#This Row],[Locatiecode]],Ruimtegroepen[[#All],[Code]:[Ruimte omschrijving]],2,FALSE)</f>
        <v>Toestelberging</v>
      </c>
      <c r="C633" s="225" t="s">
        <v>1070</v>
      </c>
      <c r="D633" s="224" t="s">
        <v>14</v>
      </c>
      <c r="E633" s="226" t="s">
        <v>122</v>
      </c>
      <c r="F633" s="225" t="s">
        <v>1073</v>
      </c>
      <c r="G633" s="228" t="s">
        <v>328</v>
      </c>
      <c r="H633" s="228" t="s">
        <v>328</v>
      </c>
      <c r="I633" s="228" t="s">
        <v>15</v>
      </c>
      <c r="J633" s="228" t="s">
        <v>328</v>
      </c>
      <c r="K633" s="228" t="s">
        <v>331</v>
      </c>
      <c r="L633" s="228" t="s">
        <v>328</v>
      </c>
      <c r="M633" s="228" t="s">
        <v>328</v>
      </c>
      <c r="N633" s="228" t="s">
        <v>328</v>
      </c>
      <c r="O633" s="229" t="s">
        <v>17</v>
      </c>
      <c r="P633" s="229" t="s">
        <v>17</v>
      </c>
      <c r="Q633" s="229" t="s">
        <v>15</v>
      </c>
      <c r="R633" s="229" t="s">
        <v>15</v>
      </c>
      <c r="S633" s="229" t="s">
        <v>16</v>
      </c>
      <c r="T633" s="229" t="s">
        <v>375</v>
      </c>
      <c r="U633" s="229" t="s">
        <v>331</v>
      </c>
      <c r="V633" s="229" t="s">
        <v>328</v>
      </c>
      <c r="W633" s="230" t="s">
        <v>328</v>
      </c>
      <c r="X633" s="230" t="s">
        <v>328</v>
      </c>
      <c r="Y633" s="231" t="s">
        <v>328</v>
      </c>
    </row>
    <row r="634" spans="1:25">
      <c r="A634" s="223">
        <v>17</v>
      </c>
      <c r="B634" s="224" t="str">
        <f>VLOOKUP(Tabel10[[#This Row],[Locatiecode]],Ruimtegroepen[[#All],[Code]:[Ruimte omschrijving]],2,FALSE)</f>
        <v>Toestelberging</v>
      </c>
      <c r="C634" s="225" t="s">
        <v>1070</v>
      </c>
      <c r="D634" s="224" t="s">
        <v>14</v>
      </c>
      <c r="E634" s="226" t="s">
        <v>123</v>
      </c>
      <c r="F634" s="225" t="s">
        <v>1074</v>
      </c>
      <c r="G634" s="228" t="s">
        <v>328</v>
      </c>
      <c r="H634" s="228" t="s">
        <v>328</v>
      </c>
      <c r="I634" s="228" t="s">
        <v>15</v>
      </c>
      <c r="J634" s="228" t="s">
        <v>328</v>
      </c>
      <c r="K634" s="228" t="s">
        <v>328</v>
      </c>
      <c r="L634" s="228" t="s">
        <v>328</v>
      </c>
      <c r="M634" s="228" t="s">
        <v>328</v>
      </c>
      <c r="N634" s="228" t="s">
        <v>328</v>
      </c>
      <c r="O634" s="229" t="s">
        <v>17</v>
      </c>
      <c r="P634" s="229" t="s">
        <v>17</v>
      </c>
      <c r="Q634" s="229" t="s">
        <v>15</v>
      </c>
      <c r="R634" s="229" t="s">
        <v>15</v>
      </c>
      <c r="S634" s="229" t="s">
        <v>16</v>
      </c>
      <c r="T634" s="229" t="s">
        <v>375</v>
      </c>
      <c r="U634" s="229" t="s">
        <v>331</v>
      </c>
      <c r="V634" s="229" t="s">
        <v>328</v>
      </c>
      <c r="W634" s="230" t="s">
        <v>328</v>
      </c>
      <c r="X634" s="230" t="s">
        <v>328</v>
      </c>
      <c r="Y634" s="231" t="s">
        <v>328</v>
      </c>
    </row>
    <row r="635" spans="1:25">
      <c r="A635" s="223">
        <v>17</v>
      </c>
      <c r="B635" s="224" t="str">
        <f>VLOOKUP(Tabel10[[#This Row],[Locatiecode]],Ruimtegroepen[[#All],[Code]:[Ruimte omschrijving]],2,FALSE)</f>
        <v>Toestelberging</v>
      </c>
      <c r="C635" s="225" t="s">
        <v>1075</v>
      </c>
      <c r="D635" s="224" t="s">
        <v>13</v>
      </c>
      <c r="E635" s="226" t="s">
        <v>121</v>
      </c>
      <c r="F635" s="225" t="s">
        <v>1076</v>
      </c>
      <c r="G635" s="228" t="s">
        <v>328</v>
      </c>
      <c r="H635" s="228" t="s">
        <v>328</v>
      </c>
      <c r="I635" s="228" t="s">
        <v>15</v>
      </c>
      <c r="J635" s="228" t="s">
        <v>328</v>
      </c>
      <c r="K635" s="228" t="s">
        <v>328</v>
      </c>
      <c r="L635" s="228" t="s">
        <v>328</v>
      </c>
      <c r="M635" s="228" t="s">
        <v>328</v>
      </c>
      <c r="N635" s="228" t="s">
        <v>328</v>
      </c>
      <c r="O635" s="229" t="s">
        <v>15</v>
      </c>
      <c r="P635" s="229" t="s">
        <v>15</v>
      </c>
      <c r="Q635" s="229" t="s">
        <v>15</v>
      </c>
      <c r="R635" s="229" t="s">
        <v>15</v>
      </c>
      <c r="S635" s="229" t="s">
        <v>16</v>
      </c>
      <c r="T635" s="229" t="s">
        <v>375</v>
      </c>
      <c r="U635" s="229" t="s">
        <v>331</v>
      </c>
      <c r="V635" s="229" t="s">
        <v>328</v>
      </c>
      <c r="W635" s="230" t="s">
        <v>328</v>
      </c>
      <c r="X635" s="230" t="s">
        <v>328</v>
      </c>
      <c r="Y635" s="231" t="s">
        <v>328</v>
      </c>
    </row>
    <row r="636" spans="1:25">
      <c r="A636" s="223">
        <v>17</v>
      </c>
      <c r="B636" s="224" t="str">
        <f>VLOOKUP(Tabel10[[#This Row],[Locatiecode]],Ruimtegroepen[[#All],[Code]:[Ruimte omschrijving]],2,FALSE)</f>
        <v>Toestelberging</v>
      </c>
      <c r="C636" s="225" t="s">
        <v>1075</v>
      </c>
      <c r="D636" s="224" t="s">
        <v>13</v>
      </c>
      <c r="E636" s="226" t="s">
        <v>120</v>
      </c>
      <c r="F636" s="225" t="s">
        <v>1077</v>
      </c>
      <c r="G636" s="228" t="s">
        <v>328</v>
      </c>
      <c r="H636" s="228" t="s">
        <v>15</v>
      </c>
      <c r="I636" s="228" t="s">
        <v>328</v>
      </c>
      <c r="J636" s="228" t="s">
        <v>328</v>
      </c>
      <c r="K636" s="228" t="s">
        <v>328</v>
      </c>
      <c r="L636" s="228" t="s">
        <v>328</v>
      </c>
      <c r="M636" s="228" t="s">
        <v>328</v>
      </c>
      <c r="N636" s="228" t="s">
        <v>328</v>
      </c>
      <c r="O636" s="229" t="s">
        <v>15</v>
      </c>
      <c r="P636" s="229" t="s">
        <v>15</v>
      </c>
      <c r="Q636" s="229" t="s">
        <v>15</v>
      </c>
      <c r="R636" s="229" t="s">
        <v>15</v>
      </c>
      <c r="S636" s="229" t="s">
        <v>16</v>
      </c>
      <c r="T636" s="229" t="s">
        <v>375</v>
      </c>
      <c r="U636" s="229" t="s">
        <v>331</v>
      </c>
      <c r="V636" s="229" t="s">
        <v>328</v>
      </c>
      <c r="W636" s="230" t="s">
        <v>328</v>
      </c>
      <c r="X636" s="230" t="s">
        <v>328</v>
      </c>
      <c r="Y636" s="231" t="s">
        <v>328</v>
      </c>
    </row>
    <row r="637" spans="1:25">
      <c r="A637" s="223">
        <v>17</v>
      </c>
      <c r="B637" s="224" t="str">
        <f>VLOOKUP(Tabel10[[#This Row],[Locatiecode]],Ruimtegroepen[[#All],[Code]:[Ruimte omschrijving]],2,FALSE)</f>
        <v>Toestelberging</v>
      </c>
      <c r="C637" s="225" t="s">
        <v>1075</v>
      </c>
      <c r="D637" s="224" t="s">
        <v>13</v>
      </c>
      <c r="E637" s="226" t="s">
        <v>122</v>
      </c>
      <c r="F637" s="225" t="s">
        <v>1078</v>
      </c>
      <c r="G637" s="228" t="s">
        <v>328</v>
      </c>
      <c r="H637" s="228" t="s">
        <v>328</v>
      </c>
      <c r="I637" s="228" t="s">
        <v>15</v>
      </c>
      <c r="J637" s="228" t="s">
        <v>328</v>
      </c>
      <c r="K637" s="228" t="s">
        <v>331</v>
      </c>
      <c r="L637" s="228" t="s">
        <v>328</v>
      </c>
      <c r="M637" s="228" t="s">
        <v>328</v>
      </c>
      <c r="N637" s="228" t="s">
        <v>328</v>
      </c>
      <c r="O637" s="229" t="s">
        <v>15</v>
      </c>
      <c r="P637" s="229" t="s">
        <v>15</v>
      </c>
      <c r="Q637" s="229" t="s">
        <v>15</v>
      </c>
      <c r="R637" s="229" t="s">
        <v>15</v>
      </c>
      <c r="S637" s="229" t="s">
        <v>16</v>
      </c>
      <c r="T637" s="229" t="s">
        <v>375</v>
      </c>
      <c r="U637" s="229" t="s">
        <v>331</v>
      </c>
      <c r="V637" s="229" t="s">
        <v>328</v>
      </c>
      <c r="W637" s="230" t="s">
        <v>328</v>
      </c>
      <c r="X637" s="230" t="s">
        <v>328</v>
      </c>
      <c r="Y637" s="231" t="s">
        <v>328</v>
      </c>
    </row>
    <row r="638" spans="1:25">
      <c r="A638" s="223">
        <v>17</v>
      </c>
      <c r="B638" s="224" t="str">
        <f>VLOOKUP(Tabel10[[#This Row],[Locatiecode]],Ruimtegroepen[[#All],[Code]:[Ruimte omschrijving]],2,FALSE)</f>
        <v>Toestelberging</v>
      </c>
      <c r="C638" s="225" t="s">
        <v>1075</v>
      </c>
      <c r="D638" s="224" t="s">
        <v>13</v>
      </c>
      <c r="E638" s="226" t="s">
        <v>123</v>
      </c>
      <c r="F638" s="225" t="s">
        <v>1079</v>
      </c>
      <c r="G638" s="228" t="s">
        <v>328</v>
      </c>
      <c r="H638" s="228" t="s">
        <v>328</v>
      </c>
      <c r="I638" s="228" t="s">
        <v>15</v>
      </c>
      <c r="J638" s="228" t="s">
        <v>328</v>
      </c>
      <c r="K638" s="228" t="s">
        <v>328</v>
      </c>
      <c r="L638" s="228" t="s">
        <v>328</v>
      </c>
      <c r="M638" s="228" t="s">
        <v>328</v>
      </c>
      <c r="N638" s="228" t="s">
        <v>328</v>
      </c>
      <c r="O638" s="229" t="s">
        <v>15</v>
      </c>
      <c r="P638" s="229" t="s">
        <v>15</v>
      </c>
      <c r="Q638" s="229" t="s">
        <v>15</v>
      </c>
      <c r="R638" s="229" t="s">
        <v>15</v>
      </c>
      <c r="S638" s="229" t="s">
        <v>16</v>
      </c>
      <c r="T638" s="229" t="s">
        <v>375</v>
      </c>
      <c r="U638" s="229" t="s">
        <v>331</v>
      </c>
      <c r="V638" s="229" t="s">
        <v>328</v>
      </c>
      <c r="W638" s="230" t="s">
        <v>328</v>
      </c>
      <c r="X638" s="230" t="s">
        <v>328</v>
      </c>
      <c r="Y638" s="231" t="s">
        <v>328</v>
      </c>
    </row>
    <row r="639" spans="1:25">
      <c r="A639" s="223">
        <v>17</v>
      </c>
      <c r="B639" s="224" t="str">
        <f>VLOOKUP(Tabel10[[#This Row],[Locatiecode]],Ruimtegroepen[[#All],[Code]:[Ruimte omschrijving]],2,FALSE)</f>
        <v>Toestelberging</v>
      </c>
      <c r="C639" s="225" t="s">
        <v>1080</v>
      </c>
      <c r="D639" s="224" t="s">
        <v>0</v>
      </c>
      <c r="E639" s="226" t="s">
        <v>121</v>
      </c>
      <c r="F639" s="225" t="s">
        <v>1081</v>
      </c>
      <c r="G639" s="228" t="s">
        <v>328</v>
      </c>
      <c r="H639" s="228" t="s">
        <v>328</v>
      </c>
      <c r="I639" s="228" t="s">
        <v>16</v>
      </c>
      <c r="J639" s="228" t="s">
        <v>328</v>
      </c>
      <c r="K639" s="228" t="s">
        <v>328</v>
      </c>
      <c r="L639" s="228" t="s">
        <v>328</v>
      </c>
      <c r="M639" s="228" t="s">
        <v>328</v>
      </c>
      <c r="N639" s="228" t="s">
        <v>328</v>
      </c>
      <c r="O639" s="229" t="s">
        <v>16</v>
      </c>
      <c r="P639" s="229" t="s">
        <v>16</v>
      </c>
      <c r="Q639" s="229" t="s">
        <v>16</v>
      </c>
      <c r="R639" s="229" t="s">
        <v>16</v>
      </c>
      <c r="S639" s="229" t="s">
        <v>16</v>
      </c>
      <c r="T639" s="229" t="s">
        <v>375</v>
      </c>
      <c r="U639" s="229" t="s">
        <v>331</v>
      </c>
      <c r="V639" s="229" t="s">
        <v>328</v>
      </c>
      <c r="W639" s="230" t="s">
        <v>328</v>
      </c>
      <c r="X639" s="230" t="s">
        <v>328</v>
      </c>
      <c r="Y639" s="231" t="s">
        <v>328</v>
      </c>
    </row>
    <row r="640" spans="1:25">
      <c r="A640" s="223">
        <v>17</v>
      </c>
      <c r="B640" s="224" t="str">
        <f>VLOOKUP(Tabel10[[#This Row],[Locatiecode]],Ruimtegroepen[[#All],[Code]:[Ruimte omschrijving]],2,FALSE)</f>
        <v>Toestelberging</v>
      </c>
      <c r="C640" s="225" t="s">
        <v>1080</v>
      </c>
      <c r="D640" s="224" t="s">
        <v>0</v>
      </c>
      <c r="E640" s="226" t="s">
        <v>120</v>
      </c>
      <c r="F640" s="225" t="s">
        <v>1082</v>
      </c>
      <c r="G640" s="228" t="s">
        <v>328</v>
      </c>
      <c r="H640" s="228" t="s">
        <v>16</v>
      </c>
      <c r="I640" s="228" t="s">
        <v>328</v>
      </c>
      <c r="J640" s="228" t="s">
        <v>328</v>
      </c>
      <c r="K640" s="228" t="s">
        <v>328</v>
      </c>
      <c r="L640" s="228" t="s">
        <v>328</v>
      </c>
      <c r="M640" s="228" t="s">
        <v>328</v>
      </c>
      <c r="N640" s="228" t="s">
        <v>328</v>
      </c>
      <c r="O640" s="229" t="s">
        <v>16</v>
      </c>
      <c r="P640" s="229" t="s">
        <v>16</v>
      </c>
      <c r="Q640" s="229" t="s">
        <v>16</v>
      </c>
      <c r="R640" s="229" t="s">
        <v>16</v>
      </c>
      <c r="S640" s="229" t="s">
        <v>16</v>
      </c>
      <c r="T640" s="229" t="s">
        <v>375</v>
      </c>
      <c r="U640" s="229" t="s">
        <v>331</v>
      </c>
      <c r="V640" s="229" t="s">
        <v>328</v>
      </c>
      <c r="W640" s="230" t="s">
        <v>328</v>
      </c>
      <c r="X640" s="230" t="s">
        <v>328</v>
      </c>
      <c r="Y640" s="231" t="s">
        <v>328</v>
      </c>
    </row>
    <row r="641" spans="1:25">
      <c r="A641" s="223">
        <v>17</v>
      </c>
      <c r="B641" s="224" t="str">
        <f>VLOOKUP(Tabel10[[#This Row],[Locatiecode]],Ruimtegroepen[[#All],[Code]:[Ruimte omschrijving]],2,FALSE)</f>
        <v>Toestelberging</v>
      </c>
      <c r="C641" s="225" t="s">
        <v>1080</v>
      </c>
      <c r="D641" s="224" t="s">
        <v>0</v>
      </c>
      <c r="E641" s="226" t="s">
        <v>122</v>
      </c>
      <c r="F641" s="225" t="s">
        <v>1083</v>
      </c>
      <c r="G641" s="228" t="s">
        <v>328</v>
      </c>
      <c r="H641" s="228" t="s">
        <v>328</v>
      </c>
      <c r="I641" s="228" t="s">
        <v>16</v>
      </c>
      <c r="J641" s="228" t="s">
        <v>328</v>
      </c>
      <c r="K641" s="228" t="s">
        <v>331</v>
      </c>
      <c r="L641" s="228" t="s">
        <v>328</v>
      </c>
      <c r="M641" s="228" t="s">
        <v>328</v>
      </c>
      <c r="N641" s="228" t="s">
        <v>328</v>
      </c>
      <c r="O641" s="229" t="s">
        <v>16</v>
      </c>
      <c r="P641" s="229" t="s">
        <v>16</v>
      </c>
      <c r="Q641" s="229" t="s">
        <v>16</v>
      </c>
      <c r="R641" s="229" t="s">
        <v>16</v>
      </c>
      <c r="S641" s="229" t="s">
        <v>16</v>
      </c>
      <c r="T641" s="229" t="s">
        <v>375</v>
      </c>
      <c r="U641" s="229" t="s">
        <v>331</v>
      </c>
      <c r="V641" s="229" t="s">
        <v>328</v>
      </c>
      <c r="W641" s="230" t="s">
        <v>328</v>
      </c>
      <c r="X641" s="230" t="s">
        <v>328</v>
      </c>
      <c r="Y641" s="231" t="s">
        <v>328</v>
      </c>
    </row>
    <row r="642" spans="1:25">
      <c r="A642" s="223">
        <v>17</v>
      </c>
      <c r="B642" s="224" t="str">
        <f>VLOOKUP(Tabel10[[#This Row],[Locatiecode]],Ruimtegroepen[[#All],[Code]:[Ruimte omschrijving]],2,FALSE)</f>
        <v>Toestelberging</v>
      </c>
      <c r="C642" s="225" t="s">
        <v>1080</v>
      </c>
      <c r="D642" s="224" t="s">
        <v>0</v>
      </c>
      <c r="E642" s="226" t="s">
        <v>123</v>
      </c>
      <c r="F642" s="225" t="s">
        <v>1084</v>
      </c>
      <c r="G642" s="228" t="s">
        <v>328</v>
      </c>
      <c r="H642" s="228" t="s">
        <v>328</v>
      </c>
      <c r="I642" s="228" t="s">
        <v>16</v>
      </c>
      <c r="J642" s="228" t="s">
        <v>328</v>
      </c>
      <c r="K642" s="228" t="s">
        <v>328</v>
      </c>
      <c r="L642" s="228" t="s">
        <v>328</v>
      </c>
      <c r="M642" s="228" t="s">
        <v>328</v>
      </c>
      <c r="N642" s="228" t="s">
        <v>328</v>
      </c>
      <c r="O642" s="229" t="s">
        <v>16</v>
      </c>
      <c r="P642" s="229" t="s">
        <v>16</v>
      </c>
      <c r="Q642" s="229" t="s">
        <v>16</v>
      </c>
      <c r="R642" s="229" t="s">
        <v>16</v>
      </c>
      <c r="S642" s="229" t="s">
        <v>16</v>
      </c>
      <c r="T642" s="229" t="s">
        <v>375</v>
      </c>
      <c r="U642" s="229" t="s">
        <v>331</v>
      </c>
      <c r="V642" s="229" t="s">
        <v>328</v>
      </c>
      <c r="W642" s="230" t="s">
        <v>328</v>
      </c>
      <c r="X642" s="230" t="s">
        <v>328</v>
      </c>
      <c r="Y642" s="231" t="s">
        <v>328</v>
      </c>
    </row>
    <row r="643" spans="1:25">
      <c r="A643" s="223">
        <v>17</v>
      </c>
      <c r="B643" s="224" t="str">
        <f>VLOOKUP(Tabel10[[#This Row],[Locatiecode]],Ruimtegroepen[[#All],[Code]:[Ruimte omschrijving]],2,FALSE)</f>
        <v>Toestelberging</v>
      </c>
      <c r="C643" s="225" t="s">
        <v>1085</v>
      </c>
      <c r="D643" s="224" t="s">
        <v>30</v>
      </c>
      <c r="E643" s="226" t="s">
        <v>121</v>
      </c>
      <c r="F643" s="225" t="s">
        <v>1086</v>
      </c>
      <c r="G643" s="228" t="s">
        <v>328</v>
      </c>
      <c r="H643" s="228" t="s">
        <v>328</v>
      </c>
      <c r="I643" s="228" t="s">
        <v>15</v>
      </c>
      <c r="J643" s="228" t="s">
        <v>328</v>
      </c>
      <c r="K643" s="228" t="s">
        <v>328</v>
      </c>
      <c r="L643" s="228" t="s">
        <v>328</v>
      </c>
      <c r="M643" s="228" t="s">
        <v>328</v>
      </c>
      <c r="N643" s="228" t="s">
        <v>328</v>
      </c>
      <c r="O643" s="229" t="s">
        <v>15</v>
      </c>
      <c r="P643" s="229" t="s">
        <v>15</v>
      </c>
      <c r="Q643" s="229" t="s">
        <v>15</v>
      </c>
      <c r="R643" s="229" t="s">
        <v>15</v>
      </c>
      <c r="S643" s="229" t="s">
        <v>328</v>
      </c>
      <c r="T643" s="229" t="s">
        <v>328</v>
      </c>
      <c r="U643" s="229" t="s">
        <v>328</v>
      </c>
      <c r="V643" s="229" t="s">
        <v>328</v>
      </c>
      <c r="W643" s="230" t="s">
        <v>328</v>
      </c>
      <c r="X643" s="230" t="s">
        <v>328</v>
      </c>
      <c r="Y643" s="231" t="s">
        <v>328</v>
      </c>
    </row>
    <row r="644" spans="1:25">
      <c r="A644" s="223">
        <v>17</v>
      </c>
      <c r="B644" s="224" t="str">
        <f>VLOOKUP(Tabel10[[#This Row],[Locatiecode]],Ruimtegroepen[[#All],[Code]:[Ruimte omschrijving]],2,FALSE)</f>
        <v>Toestelberging</v>
      </c>
      <c r="C644" s="225" t="s">
        <v>1085</v>
      </c>
      <c r="D644" s="224" t="s">
        <v>30</v>
      </c>
      <c r="E644" s="226" t="s">
        <v>120</v>
      </c>
      <c r="F644" s="225" t="s">
        <v>1087</v>
      </c>
      <c r="G644" s="228" t="s">
        <v>328</v>
      </c>
      <c r="H644" s="228" t="s">
        <v>15</v>
      </c>
      <c r="I644" s="228" t="s">
        <v>328</v>
      </c>
      <c r="J644" s="228" t="s">
        <v>328</v>
      </c>
      <c r="K644" s="228" t="s">
        <v>328</v>
      </c>
      <c r="L644" s="228" t="s">
        <v>328</v>
      </c>
      <c r="M644" s="228" t="s">
        <v>328</v>
      </c>
      <c r="N644" s="228" t="s">
        <v>328</v>
      </c>
      <c r="O644" s="229" t="s">
        <v>15</v>
      </c>
      <c r="P644" s="229" t="s">
        <v>15</v>
      </c>
      <c r="Q644" s="229" t="s">
        <v>15</v>
      </c>
      <c r="R644" s="229" t="s">
        <v>15</v>
      </c>
      <c r="S644" s="229" t="s">
        <v>328</v>
      </c>
      <c r="T644" s="229" t="s">
        <v>328</v>
      </c>
      <c r="U644" s="229" t="s">
        <v>328</v>
      </c>
      <c r="V644" s="229" t="s">
        <v>328</v>
      </c>
      <c r="W644" s="230" t="s">
        <v>328</v>
      </c>
      <c r="X644" s="230" t="s">
        <v>328</v>
      </c>
      <c r="Y644" s="231" t="s">
        <v>328</v>
      </c>
    </row>
    <row r="645" spans="1:25">
      <c r="A645" s="223">
        <v>17</v>
      </c>
      <c r="B645" s="224" t="str">
        <f>VLOOKUP(Tabel10[[#This Row],[Locatiecode]],Ruimtegroepen[[#All],[Code]:[Ruimte omschrijving]],2,FALSE)</f>
        <v>Toestelberging</v>
      </c>
      <c r="C645" s="225" t="s">
        <v>1085</v>
      </c>
      <c r="D645" s="224" t="s">
        <v>30</v>
      </c>
      <c r="E645" s="226" t="s">
        <v>122</v>
      </c>
      <c r="F645" s="225" t="s">
        <v>1088</v>
      </c>
      <c r="G645" s="228" t="s">
        <v>328</v>
      </c>
      <c r="H645" s="228" t="s">
        <v>328</v>
      </c>
      <c r="I645" s="228" t="s">
        <v>15</v>
      </c>
      <c r="J645" s="228" t="s">
        <v>328</v>
      </c>
      <c r="K645" s="228" t="s">
        <v>328</v>
      </c>
      <c r="L645" s="228" t="s">
        <v>328</v>
      </c>
      <c r="M645" s="228" t="s">
        <v>328</v>
      </c>
      <c r="N645" s="228" t="s">
        <v>328</v>
      </c>
      <c r="O645" s="229" t="s">
        <v>15</v>
      </c>
      <c r="P645" s="229" t="s">
        <v>15</v>
      </c>
      <c r="Q645" s="229" t="s">
        <v>15</v>
      </c>
      <c r="R645" s="229" t="s">
        <v>15</v>
      </c>
      <c r="S645" s="229" t="s">
        <v>328</v>
      </c>
      <c r="T645" s="229" t="s">
        <v>328</v>
      </c>
      <c r="U645" s="229" t="s">
        <v>328</v>
      </c>
      <c r="V645" s="229" t="s">
        <v>328</v>
      </c>
      <c r="W645" s="230" t="s">
        <v>328</v>
      </c>
      <c r="X645" s="230" t="s">
        <v>328</v>
      </c>
      <c r="Y645" s="231" t="s">
        <v>328</v>
      </c>
    </row>
    <row r="646" spans="1:25">
      <c r="A646" s="223">
        <v>17</v>
      </c>
      <c r="B646" s="224" t="str">
        <f>VLOOKUP(Tabel10[[#This Row],[Locatiecode]],Ruimtegroepen[[#All],[Code]:[Ruimte omschrijving]],2,FALSE)</f>
        <v>Toestelberging</v>
      </c>
      <c r="C646" s="225" t="s">
        <v>1085</v>
      </c>
      <c r="D646" s="224" t="s">
        <v>30</v>
      </c>
      <c r="E646" s="226" t="s">
        <v>123</v>
      </c>
      <c r="F646" s="225" t="s">
        <v>1089</v>
      </c>
      <c r="G646" s="228" t="s">
        <v>328</v>
      </c>
      <c r="H646" s="228" t="s">
        <v>328</v>
      </c>
      <c r="I646" s="228" t="s">
        <v>15</v>
      </c>
      <c r="J646" s="228" t="s">
        <v>328</v>
      </c>
      <c r="K646" s="228" t="s">
        <v>328</v>
      </c>
      <c r="L646" s="228" t="s">
        <v>328</v>
      </c>
      <c r="M646" s="228" t="s">
        <v>328</v>
      </c>
      <c r="N646" s="228" t="s">
        <v>328</v>
      </c>
      <c r="O646" s="229" t="s">
        <v>15</v>
      </c>
      <c r="P646" s="229" t="s">
        <v>15</v>
      </c>
      <c r="Q646" s="229" t="s">
        <v>15</v>
      </c>
      <c r="R646" s="229" t="s">
        <v>15</v>
      </c>
      <c r="S646" s="229" t="s">
        <v>328</v>
      </c>
      <c r="T646" s="229" t="s">
        <v>328</v>
      </c>
      <c r="U646" s="229" t="s">
        <v>328</v>
      </c>
      <c r="V646" s="229" t="s">
        <v>328</v>
      </c>
      <c r="W646" s="230" t="s">
        <v>328</v>
      </c>
      <c r="X646" s="230" t="s">
        <v>328</v>
      </c>
      <c r="Y646" s="231" t="s">
        <v>328</v>
      </c>
    </row>
    <row r="647" spans="1:25">
      <c r="A647" s="223">
        <v>17</v>
      </c>
      <c r="B647" s="224" t="str">
        <f>VLOOKUP(Tabel10[[#This Row],[Locatiecode]],Ruimtegroepen[[#All],[Code]:[Ruimte omschrijving]],2,FALSE)</f>
        <v>Toestelberging</v>
      </c>
      <c r="C647" s="225" t="s">
        <v>1090</v>
      </c>
      <c r="D647" s="224" t="s">
        <v>31</v>
      </c>
      <c r="E647" s="226" t="s">
        <v>121</v>
      </c>
      <c r="F647" s="225" t="s">
        <v>1091</v>
      </c>
      <c r="G647" s="228" t="s">
        <v>328</v>
      </c>
      <c r="H647" s="228" t="s">
        <v>328</v>
      </c>
      <c r="I647" s="228" t="s">
        <v>15</v>
      </c>
      <c r="J647" s="228" t="s">
        <v>328</v>
      </c>
      <c r="K647" s="228" t="s">
        <v>328</v>
      </c>
      <c r="L647" s="228" t="s">
        <v>328</v>
      </c>
      <c r="M647" s="228" t="s">
        <v>328</v>
      </c>
      <c r="N647" s="228" t="s">
        <v>328</v>
      </c>
      <c r="O647" s="229" t="s">
        <v>17</v>
      </c>
      <c r="P647" s="229" t="s">
        <v>17</v>
      </c>
      <c r="Q647" s="229" t="s">
        <v>15</v>
      </c>
      <c r="R647" s="229" t="s">
        <v>15</v>
      </c>
      <c r="S647" s="229" t="s">
        <v>328</v>
      </c>
      <c r="T647" s="229" t="s">
        <v>328</v>
      </c>
      <c r="U647" s="229" t="s">
        <v>328</v>
      </c>
      <c r="V647" s="229" t="s">
        <v>328</v>
      </c>
      <c r="W647" s="230" t="s">
        <v>328</v>
      </c>
      <c r="X647" s="230" t="s">
        <v>328</v>
      </c>
      <c r="Y647" s="231" t="s">
        <v>328</v>
      </c>
    </row>
    <row r="648" spans="1:25">
      <c r="A648" s="223">
        <v>17</v>
      </c>
      <c r="B648" s="224" t="str">
        <f>VLOOKUP(Tabel10[[#This Row],[Locatiecode]],Ruimtegroepen[[#All],[Code]:[Ruimte omschrijving]],2,FALSE)</f>
        <v>Toestelberging</v>
      </c>
      <c r="C648" s="225" t="s">
        <v>1090</v>
      </c>
      <c r="D648" s="224" t="s">
        <v>31</v>
      </c>
      <c r="E648" s="226" t="s">
        <v>120</v>
      </c>
      <c r="F648" s="225" t="s">
        <v>1092</v>
      </c>
      <c r="G648" s="228" t="s">
        <v>328</v>
      </c>
      <c r="H648" s="228" t="s">
        <v>15</v>
      </c>
      <c r="I648" s="228" t="s">
        <v>328</v>
      </c>
      <c r="J648" s="228" t="s">
        <v>328</v>
      </c>
      <c r="K648" s="228" t="s">
        <v>328</v>
      </c>
      <c r="L648" s="228" t="s">
        <v>328</v>
      </c>
      <c r="M648" s="228" t="s">
        <v>328</v>
      </c>
      <c r="N648" s="228" t="s">
        <v>328</v>
      </c>
      <c r="O648" s="229" t="s">
        <v>17</v>
      </c>
      <c r="P648" s="229" t="s">
        <v>17</v>
      </c>
      <c r="Q648" s="229" t="s">
        <v>15</v>
      </c>
      <c r="R648" s="229" t="s">
        <v>15</v>
      </c>
      <c r="S648" s="229" t="s">
        <v>328</v>
      </c>
      <c r="T648" s="229" t="s">
        <v>328</v>
      </c>
      <c r="U648" s="229" t="s">
        <v>328</v>
      </c>
      <c r="V648" s="229" t="s">
        <v>328</v>
      </c>
      <c r="W648" s="230" t="s">
        <v>328</v>
      </c>
      <c r="X648" s="230" t="s">
        <v>328</v>
      </c>
      <c r="Y648" s="231" t="s">
        <v>328</v>
      </c>
    </row>
    <row r="649" spans="1:25">
      <c r="A649" s="223">
        <v>17</v>
      </c>
      <c r="B649" s="224" t="str">
        <f>VLOOKUP(Tabel10[[#This Row],[Locatiecode]],Ruimtegroepen[[#All],[Code]:[Ruimte omschrijving]],2,FALSE)</f>
        <v>Toestelberging</v>
      </c>
      <c r="C649" s="225" t="s">
        <v>1090</v>
      </c>
      <c r="D649" s="224" t="s">
        <v>31</v>
      </c>
      <c r="E649" s="226" t="s">
        <v>122</v>
      </c>
      <c r="F649" s="225" t="s">
        <v>1093</v>
      </c>
      <c r="G649" s="228" t="s">
        <v>328</v>
      </c>
      <c r="H649" s="228" t="s">
        <v>328</v>
      </c>
      <c r="I649" s="228" t="s">
        <v>15</v>
      </c>
      <c r="J649" s="228" t="s">
        <v>328</v>
      </c>
      <c r="K649" s="228" t="s">
        <v>328</v>
      </c>
      <c r="L649" s="228" t="s">
        <v>328</v>
      </c>
      <c r="M649" s="228" t="s">
        <v>328</v>
      </c>
      <c r="N649" s="228" t="s">
        <v>328</v>
      </c>
      <c r="O649" s="229" t="s">
        <v>17</v>
      </c>
      <c r="P649" s="229" t="s">
        <v>17</v>
      </c>
      <c r="Q649" s="229" t="s">
        <v>15</v>
      </c>
      <c r="R649" s="229" t="s">
        <v>15</v>
      </c>
      <c r="S649" s="229" t="s">
        <v>328</v>
      </c>
      <c r="T649" s="229" t="s">
        <v>328</v>
      </c>
      <c r="U649" s="229" t="s">
        <v>328</v>
      </c>
      <c r="V649" s="229" t="s">
        <v>328</v>
      </c>
      <c r="W649" s="230" t="s">
        <v>328</v>
      </c>
      <c r="X649" s="230" t="s">
        <v>328</v>
      </c>
      <c r="Y649" s="231" t="s">
        <v>328</v>
      </c>
    </row>
    <row r="650" spans="1:25">
      <c r="A650" s="223">
        <v>17</v>
      </c>
      <c r="B650" s="224" t="str">
        <f>VLOOKUP(Tabel10[[#This Row],[Locatiecode]],Ruimtegroepen[[#All],[Code]:[Ruimte omschrijving]],2,FALSE)</f>
        <v>Toestelberging</v>
      </c>
      <c r="C650" s="225" t="s">
        <v>1090</v>
      </c>
      <c r="D650" s="224" t="s">
        <v>31</v>
      </c>
      <c r="E650" s="226" t="s">
        <v>123</v>
      </c>
      <c r="F650" s="225" t="s">
        <v>1094</v>
      </c>
      <c r="G650" s="228" t="s">
        <v>328</v>
      </c>
      <c r="H650" s="228" t="s">
        <v>328</v>
      </c>
      <c r="I650" s="228" t="s">
        <v>15</v>
      </c>
      <c r="J650" s="228" t="s">
        <v>328</v>
      </c>
      <c r="K650" s="228" t="s">
        <v>328</v>
      </c>
      <c r="L650" s="228" t="s">
        <v>328</v>
      </c>
      <c r="M650" s="228" t="s">
        <v>328</v>
      </c>
      <c r="N650" s="228" t="s">
        <v>328</v>
      </c>
      <c r="O650" s="229" t="s">
        <v>17</v>
      </c>
      <c r="P650" s="229" t="s">
        <v>17</v>
      </c>
      <c r="Q650" s="229" t="s">
        <v>15</v>
      </c>
      <c r="R650" s="229" t="s">
        <v>15</v>
      </c>
      <c r="S650" s="229" t="s">
        <v>328</v>
      </c>
      <c r="T650" s="229" t="s">
        <v>328</v>
      </c>
      <c r="U650" s="229" t="s">
        <v>328</v>
      </c>
      <c r="V650" s="229" t="s">
        <v>328</v>
      </c>
      <c r="W650" s="230" t="s">
        <v>328</v>
      </c>
      <c r="X650" s="230" t="s">
        <v>328</v>
      </c>
      <c r="Y650" s="231" t="s">
        <v>328</v>
      </c>
    </row>
    <row r="651" spans="1:25">
      <c r="A651" s="223">
        <v>18</v>
      </c>
      <c r="B651" s="224" t="str">
        <f>VLOOKUP(Tabel10[[#This Row],[Locatiecode]],Ruimtegroepen[[#All],[Code]:[Ruimte omschrijving]],2,FALSE)</f>
        <v>Gymzaal</v>
      </c>
      <c r="C651" s="225" t="s">
        <v>1095</v>
      </c>
      <c r="D651" s="224" t="s">
        <v>32</v>
      </c>
      <c r="E651" s="226" t="s">
        <v>121</v>
      </c>
      <c r="F651" s="225" t="s">
        <v>1096</v>
      </c>
      <c r="G651" s="228" t="s">
        <v>328</v>
      </c>
      <c r="H651" s="228" t="s">
        <v>328</v>
      </c>
      <c r="I651" s="228" t="s">
        <v>2</v>
      </c>
      <c r="J651" s="227" t="s">
        <v>20</v>
      </c>
      <c r="K651" s="227" t="s">
        <v>15</v>
      </c>
      <c r="L651" s="228" t="s">
        <v>328</v>
      </c>
      <c r="M651" s="228" t="s">
        <v>328</v>
      </c>
      <c r="N651" s="228" t="s">
        <v>2</v>
      </c>
      <c r="O651" s="229" t="s">
        <v>2</v>
      </c>
      <c r="P651" s="229" t="s">
        <v>2</v>
      </c>
      <c r="Q651" s="229" t="s">
        <v>15</v>
      </c>
      <c r="R651" s="229" t="s">
        <v>15</v>
      </c>
      <c r="S651" s="229" t="s">
        <v>16</v>
      </c>
      <c r="T651" s="229" t="s">
        <v>375</v>
      </c>
      <c r="U651" s="229" t="s">
        <v>331</v>
      </c>
      <c r="V651" s="229" t="s">
        <v>2</v>
      </c>
      <c r="W651" s="230" t="s">
        <v>328</v>
      </c>
      <c r="X651" s="230" t="s">
        <v>328</v>
      </c>
      <c r="Y651" s="231" t="s">
        <v>328</v>
      </c>
    </row>
    <row r="652" spans="1:25">
      <c r="A652" s="223">
        <v>18</v>
      </c>
      <c r="B652" s="224" t="str">
        <f>VLOOKUP(Tabel10[[#This Row],[Locatiecode]],Ruimtegroepen[[#All],[Code]:[Ruimte omschrijving]],2,FALSE)</f>
        <v>Gymzaal</v>
      </c>
      <c r="C652" s="225" t="s">
        <v>1095</v>
      </c>
      <c r="D652" s="224" t="s">
        <v>32</v>
      </c>
      <c r="E652" s="226" t="s">
        <v>120</v>
      </c>
      <c r="F652" s="225" t="s">
        <v>1097</v>
      </c>
      <c r="G652" s="228" t="s">
        <v>20</v>
      </c>
      <c r="H652" s="228" t="s">
        <v>15</v>
      </c>
      <c r="I652" s="228" t="s">
        <v>328</v>
      </c>
      <c r="J652" s="228" t="s">
        <v>328</v>
      </c>
      <c r="K652" s="228" t="s">
        <v>328</v>
      </c>
      <c r="L652" s="228" t="s">
        <v>328</v>
      </c>
      <c r="M652" s="228" t="s">
        <v>328</v>
      </c>
      <c r="N652" s="228" t="s">
        <v>2</v>
      </c>
      <c r="O652" s="229" t="s">
        <v>2</v>
      </c>
      <c r="P652" s="229" t="s">
        <v>2</v>
      </c>
      <c r="Q652" s="229" t="s">
        <v>15</v>
      </c>
      <c r="R652" s="229" t="s">
        <v>15</v>
      </c>
      <c r="S652" s="229" t="s">
        <v>16</v>
      </c>
      <c r="T652" s="229" t="s">
        <v>375</v>
      </c>
      <c r="U652" s="229" t="s">
        <v>331</v>
      </c>
      <c r="V652" s="229" t="s">
        <v>2</v>
      </c>
      <c r="W652" s="230" t="s">
        <v>328</v>
      </c>
      <c r="X652" s="230" t="s">
        <v>328</v>
      </c>
      <c r="Y652" s="231" t="s">
        <v>328</v>
      </c>
    </row>
    <row r="653" spans="1:25">
      <c r="A653" s="223">
        <v>18</v>
      </c>
      <c r="B653" s="224" t="str">
        <f>VLOOKUP(Tabel10[[#This Row],[Locatiecode]],Ruimtegroepen[[#All],[Code]:[Ruimte omschrijving]],2,FALSE)</f>
        <v>Gymzaal</v>
      </c>
      <c r="C653" s="225" t="s">
        <v>1095</v>
      </c>
      <c r="D653" s="224" t="s">
        <v>32</v>
      </c>
      <c r="E653" s="226" t="s">
        <v>122</v>
      </c>
      <c r="F653" s="225" t="s">
        <v>1098</v>
      </c>
      <c r="G653" s="228" t="s">
        <v>328</v>
      </c>
      <c r="H653" s="228" t="s">
        <v>328</v>
      </c>
      <c r="I653" s="228" t="s">
        <v>2</v>
      </c>
      <c r="J653" s="227" t="s">
        <v>20</v>
      </c>
      <c r="K653" s="227" t="s">
        <v>15</v>
      </c>
      <c r="L653" s="228" t="s">
        <v>328</v>
      </c>
      <c r="M653" s="228" t="s">
        <v>328</v>
      </c>
      <c r="N653" s="228" t="s">
        <v>2</v>
      </c>
      <c r="O653" s="229" t="s">
        <v>2</v>
      </c>
      <c r="P653" s="229" t="s">
        <v>2</v>
      </c>
      <c r="Q653" s="229" t="s">
        <v>15</v>
      </c>
      <c r="R653" s="229" t="s">
        <v>15</v>
      </c>
      <c r="S653" s="229" t="s">
        <v>16</v>
      </c>
      <c r="T653" s="229" t="s">
        <v>375</v>
      </c>
      <c r="U653" s="229" t="s">
        <v>331</v>
      </c>
      <c r="V653" s="229" t="s">
        <v>2</v>
      </c>
      <c r="W653" s="230" t="s">
        <v>328</v>
      </c>
      <c r="X653" s="230" t="s">
        <v>328</v>
      </c>
      <c r="Y653" s="231" t="s">
        <v>328</v>
      </c>
    </row>
    <row r="654" spans="1:25">
      <c r="A654" s="223">
        <v>18</v>
      </c>
      <c r="B654" s="224" t="str">
        <f>VLOOKUP(Tabel10[[#This Row],[Locatiecode]],Ruimtegroepen[[#All],[Code]:[Ruimte omschrijving]],2,FALSE)</f>
        <v>Gymzaal</v>
      </c>
      <c r="C654" s="225" t="s">
        <v>1095</v>
      </c>
      <c r="D654" s="224" t="s">
        <v>32</v>
      </c>
      <c r="E654" s="226" t="s">
        <v>123</v>
      </c>
      <c r="F654" s="225" t="s">
        <v>1099</v>
      </c>
      <c r="G654" s="228" t="s">
        <v>328</v>
      </c>
      <c r="H654" s="228" t="s">
        <v>328</v>
      </c>
      <c r="I654" s="228" t="s">
        <v>2</v>
      </c>
      <c r="J654" s="227" t="s">
        <v>20</v>
      </c>
      <c r="K654" s="227" t="s">
        <v>15</v>
      </c>
      <c r="L654" s="228" t="s">
        <v>328</v>
      </c>
      <c r="M654" s="228" t="s">
        <v>328</v>
      </c>
      <c r="N654" s="228" t="s">
        <v>2</v>
      </c>
      <c r="O654" s="229" t="s">
        <v>2</v>
      </c>
      <c r="P654" s="229" t="s">
        <v>2</v>
      </c>
      <c r="Q654" s="229" t="s">
        <v>15</v>
      </c>
      <c r="R654" s="229" t="s">
        <v>15</v>
      </c>
      <c r="S654" s="229" t="s">
        <v>16</v>
      </c>
      <c r="T654" s="229" t="s">
        <v>375</v>
      </c>
      <c r="U654" s="229" t="s">
        <v>331</v>
      </c>
      <c r="V654" s="229" t="s">
        <v>2</v>
      </c>
      <c r="W654" s="230" t="s">
        <v>328</v>
      </c>
      <c r="X654" s="230" t="s">
        <v>328</v>
      </c>
      <c r="Y654" s="231" t="s">
        <v>328</v>
      </c>
    </row>
    <row r="655" spans="1:25">
      <c r="A655" s="223">
        <v>18</v>
      </c>
      <c r="B655" s="224" t="str">
        <f>VLOOKUP(Tabel10[[#This Row],[Locatiecode]],Ruimtegroepen[[#All],[Code]:[Ruimte omschrijving]],2,FALSE)</f>
        <v>Gymzaal</v>
      </c>
      <c r="C655" s="225" t="s">
        <v>1100</v>
      </c>
      <c r="D655" s="224" t="s">
        <v>1</v>
      </c>
      <c r="E655" s="226" t="s">
        <v>121</v>
      </c>
      <c r="F655" s="225" t="s">
        <v>1101</v>
      </c>
      <c r="G655" s="228" t="s">
        <v>328</v>
      </c>
      <c r="H655" s="228" t="s">
        <v>328</v>
      </c>
      <c r="I655" s="228" t="s">
        <v>2</v>
      </c>
      <c r="J655" s="227" t="s">
        <v>20</v>
      </c>
      <c r="K655" s="227" t="s">
        <v>15</v>
      </c>
      <c r="L655" s="228" t="s">
        <v>328</v>
      </c>
      <c r="M655" s="228" t="s">
        <v>328</v>
      </c>
      <c r="N655" s="228" t="s">
        <v>328</v>
      </c>
      <c r="O655" s="229" t="s">
        <v>2</v>
      </c>
      <c r="P655" s="229" t="s">
        <v>2</v>
      </c>
      <c r="Q655" s="229" t="s">
        <v>15</v>
      </c>
      <c r="R655" s="229" t="s">
        <v>15</v>
      </c>
      <c r="S655" s="229" t="s">
        <v>16</v>
      </c>
      <c r="T655" s="229" t="s">
        <v>375</v>
      </c>
      <c r="U655" s="229" t="s">
        <v>331</v>
      </c>
      <c r="V655" s="229" t="s">
        <v>328</v>
      </c>
      <c r="W655" s="230" t="s">
        <v>328</v>
      </c>
      <c r="X655" s="230" t="s">
        <v>328</v>
      </c>
      <c r="Y655" s="231" t="s">
        <v>328</v>
      </c>
    </row>
    <row r="656" spans="1:25">
      <c r="A656" s="223">
        <v>18</v>
      </c>
      <c r="B656" s="224" t="str">
        <f>VLOOKUP(Tabel10[[#This Row],[Locatiecode]],Ruimtegroepen[[#All],[Code]:[Ruimte omschrijving]],2,FALSE)</f>
        <v>Gymzaal</v>
      </c>
      <c r="C656" s="225" t="s">
        <v>1100</v>
      </c>
      <c r="D656" s="224" t="s">
        <v>1</v>
      </c>
      <c r="E656" s="226" t="s">
        <v>120</v>
      </c>
      <c r="F656" s="225" t="s">
        <v>1102</v>
      </c>
      <c r="G656" s="228" t="s">
        <v>20</v>
      </c>
      <c r="H656" s="228" t="s">
        <v>15</v>
      </c>
      <c r="I656" s="228" t="s">
        <v>328</v>
      </c>
      <c r="J656" s="228" t="s">
        <v>328</v>
      </c>
      <c r="K656" s="228" t="s">
        <v>328</v>
      </c>
      <c r="L656" s="228" t="s">
        <v>328</v>
      </c>
      <c r="M656" s="228" t="s">
        <v>328</v>
      </c>
      <c r="N656" s="228" t="s">
        <v>328</v>
      </c>
      <c r="O656" s="229" t="s">
        <v>2</v>
      </c>
      <c r="P656" s="229" t="s">
        <v>2</v>
      </c>
      <c r="Q656" s="229" t="s">
        <v>15</v>
      </c>
      <c r="R656" s="229" t="s">
        <v>15</v>
      </c>
      <c r="S656" s="229" t="s">
        <v>16</v>
      </c>
      <c r="T656" s="229" t="s">
        <v>375</v>
      </c>
      <c r="U656" s="229" t="s">
        <v>331</v>
      </c>
      <c r="V656" s="229" t="s">
        <v>328</v>
      </c>
      <c r="W656" s="230" t="s">
        <v>328</v>
      </c>
      <c r="X656" s="230" t="s">
        <v>328</v>
      </c>
      <c r="Y656" s="231" t="s">
        <v>328</v>
      </c>
    </row>
    <row r="657" spans="1:25">
      <c r="A657" s="223">
        <v>18</v>
      </c>
      <c r="B657" s="224" t="str">
        <f>VLOOKUP(Tabel10[[#This Row],[Locatiecode]],Ruimtegroepen[[#All],[Code]:[Ruimte omschrijving]],2,FALSE)</f>
        <v>Gymzaal</v>
      </c>
      <c r="C657" s="225" t="s">
        <v>1100</v>
      </c>
      <c r="D657" s="224" t="s">
        <v>1</v>
      </c>
      <c r="E657" s="226" t="s">
        <v>122</v>
      </c>
      <c r="F657" s="225" t="s">
        <v>1103</v>
      </c>
      <c r="G657" s="228" t="s">
        <v>328</v>
      </c>
      <c r="H657" s="228" t="s">
        <v>328</v>
      </c>
      <c r="I657" s="228" t="s">
        <v>2</v>
      </c>
      <c r="J657" s="227" t="s">
        <v>20</v>
      </c>
      <c r="K657" s="227" t="s">
        <v>15</v>
      </c>
      <c r="L657" s="228" t="s">
        <v>328</v>
      </c>
      <c r="M657" s="228" t="s">
        <v>328</v>
      </c>
      <c r="N657" s="228" t="s">
        <v>328</v>
      </c>
      <c r="O657" s="229" t="s">
        <v>2</v>
      </c>
      <c r="P657" s="229" t="s">
        <v>2</v>
      </c>
      <c r="Q657" s="229" t="s">
        <v>15</v>
      </c>
      <c r="R657" s="229" t="s">
        <v>15</v>
      </c>
      <c r="S657" s="229" t="s">
        <v>16</v>
      </c>
      <c r="T657" s="229" t="s">
        <v>375</v>
      </c>
      <c r="U657" s="229" t="s">
        <v>331</v>
      </c>
      <c r="V657" s="229" t="s">
        <v>328</v>
      </c>
      <c r="W657" s="230" t="s">
        <v>328</v>
      </c>
      <c r="X657" s="230" t="s">
        <v>328</v>
      </c>
      <c r="Y657" s="231" t="s">
        <v>328</v>
      </c>
    </row>
    <row r="658" spans="1:25">
      <c r="A658" s="223">
        <v>18</v>
      </c>
      <c r="B658" s="224" t="str">
        <f>VLOOKUP(Tabel10[[#This Row],[Locatiecode]],Ruimtegroepen[[#All],[Code]:[Ruimte omschrijving]],2,FALSE)</f>
        <v>Gymzaal</v>
      </c>
      <c r="C658" s="225" t="s">
        <v>1100</v>
      </c>
      <c r="D658" s="224" t="s">
        <v>1</v>
      </c>
      <c r="E658" s="226" t="s">
        <v>123</v>
      </c>
      <c r="F658" s="225" t="s">
        <v>1104</v>
      </c>
      <c r="G658" s="228" t="s">
        <v>328</v>
      </c>
      <c r="H658" s="228" t="s">
        <v>328</v>
      </c>
      <c r="I658" s="228" t="s">
        <v>2</v>
      </c>
      <c r="J658" s="227" t="s">
        <v>20</v>
      </c>
      <c r="K658" s="227" t="s">
        <v>15</v>
      </c>
      <c r="L658" s="228" t="s">
        <v>328</v>
      </c>
      <c r="M658" s="228" t="s">
        <v>328</v>
      </c>
      <c r="N658" s="228" t="s">
        <v>328</v>
      </c>
      <c r="O658" s="229" t="s">
        <v>2</v>
      </c>
      <c r="P658" s="229" t="s">
        <v>2</v>
      </c>
      <c r="Q658" s="229" t="s">
        <v>15</v>
      </c>
      <c r="R658" s="229" t="s">
        <v>15</v>
      </c>
      <c r="S658" s="229" t="s">
        <v>16</v>
      </c>
      <c r="T658" s="229" t="s">
        <v>375</v>
      </c>
      <c r="U658" s="229" t="s">
        <v>331</v>
      </c>
      <c r="V658" s="229" t="s">
        <v>328</v>
      </c>
      <c r="W658" s="230" t="s">
        <v>328</v>
      </c>
      <c r="X658" s="230" t="s">
        <v>328</v>
      </c>
      <c r="Y658" s="231" t="s">
        <v>328</v>
      </c>
    </row>
    <row r="659" spans="1:25">
      <c r="A659" s="223">
        <v>18</v>
      </c>
      <c r="B659" s="224" t="str">
        <f>VLOOKUP(Tabel10[[#This Row],[Locatiecode]],Ruimtegroepen[[#All],[Code]:[Ruimte omschrijving]],2,FALSE)</f>
        <v>Gymzaal</v>
      </c>
      <c r="C659" s="225" t="s">
        <v>1105</v>
      </c>
      <c r="D659" s="224" t="s">
        <v>21</v>
      </c>
      <c r="E659" s="226" t="s">
        <v>121</v>
      </c>
      <c r="F659" s="225" t="s">
        <v>1106</v>
      </c>
      <c r="G659" s="228" t="s">
        <v>328</v>
      </c>
      <c r="H659" s="228" t="s">
        <v>328</v>
      </c>
      <c r="I659" s="227" t="s">
        <v>20</v>
      </c>
      <c r="J659" s="227" t="s">
        <v>18</v>
      </c>
      <c r="K659" s="227" t="s">
        <v>15</v>
      </c>
      <c r="L659" s="228" t="s">
        <v>328</v>
      </c>
      <c r="M659" s="228" t="s">
        <v>328</v>
      </c>
      <c r="N659" s="228" t="s">
        <v>328</v>
      </c>
      <c r="O659" s="229" t="s">
        <v>20</v>
      </c>
      <c r="P659" s="229" t="s">
        <v>20</v>
      </c>
      <c r="Q659" s="229" t="s">
        <v>15</v>
      </c>
      <c r="R659" s="229" t="s">
        <v>15</v>
      </c>
      <c r="S659" s="229" t="s">
        <v>16</v>
      </c>
      <c r="T659" s="229" t="s">
        <v>375</v>
      </c>
      <c r="U659" s="229" t="s">
        <v>331</v>
      </c>
      <c r="V659" s="229" t="s">
        <v>328</v>
      </c>
      <c r="W659" s="230" t="s">
        <v>328</v>
      </c>
      <c r="X659" s="230" t="s">
        <v>328</v>
      </c>
      <c r="Y659" s="231" t="s">
        <v>328</v>
      </c>
    </row>
    <row r="660" spans="1:25">
      <c r="A660" s="223">
        <v>18</v>
      </c>
      <c r="B660" s="224" t="str">
        <f>VLOOKUP(Tabel10[[#This Row],[Locatiecode]],Ruimtegroepen[[#All],[Code]:[Ruimte omschrijving]],2,FALSE)</f>
        <v>Gymzaal</v>
      </c>
      <c r="C660" s="225" t="s">
        <v>1105</v>
      </c>
      <c r="D660" s="224" t="s">
        <v>21</v>
      </c>
      <c r="E660" s="226" t="s">
        <v>120</v>
      </c>
      <c r="F660" s="225" t="s">
        <v>1107</v>
      </c>
      <c r="G660" s="228" t="s">
        <v>18</v>
      </c>
      <c r="H660" s="228" t="s">
        <v>15</v>
      </c>
      <c r="I660" s="228" t="s">
        <v>328</v>
      </c>
      <c r="J660" s="228" t="s">
        <v>328</v>
      </c>
      <c r="K660" s="228" t="s">
        <v>328</v>
      </c>
      <c r="L660" s="228" t="s">
        <v>328</v>
      </c>
      <c r="M660" s="228" t="s">
        <v>328</v>
      </c>
      <c r="N660" s="228" t="s">
        <v>328</v>
      </c>
      <c r="O660" s="229" t="s">
        <v>20</v>
      </c>
      <c r="P660" s="229" t="s">
        <v>20</v>
      </c>
      <c r="Q660" s="229" t="s">
        <v>15</v>
      </c>
      <c r="R660" s="229" t="s">
        <v>15</v>
      </c>
      <c r="S660" s="229" t="s">
        <v>16</v>
      </c>
      <c r="T660" s="229" t="s">
        <v>375</v>
      </c>
      <c r="U660" s="229" t="s">
        <v>331</v>
      </c>
      <c r="V660" s="229" t="s">
        <v>328</v>
      </c>
      <c r="W660" s="230" t="s">
        <v>328</v>
      </c>
      <c r="X660" s="230" t="s">
        <v>328</v>
      </c>
      <c r="Y660" s="231" t="s">
        <v>328</v>
      </c>
    </row>
    <row r="661" spans="1:25">
      <c r="A661" s="223">
        <v>18</v>
      </c>
      <c r="B661" s="224" t="str">
        <f>VLOOKUP(Tabel10[[#This Row],[Locatiecode]],Ruimtegroepen[[#All],[Code]:[Ruimte omschrijving]],2,FALSE)</f>
        <v>Gymzaal</v>
      </c>
      <c r="C661" s="225" t="s">
        <v>1105</v>
      </c>
      <c r="D661" s="224" t="s">
        <v>21</v>
      </c>
      <c r="E661" s="226" t="s">
        <v>122</v>
      </c>
      <c r="F661" s="225" t="s">
        <v>1108</v>
      </c>
      <c r="G661" s="228" t="s">
        <v>328</v>
      </c>
      <c r="H661" s="228" t="s">
        <v>328</v>
      </c>
      <c r="I661" s="227" t="s">
        <v>20</v>
      </c>
      <c r="J661" s="227" t="s">
        <v>18</v>
      </c>
      <c r="K661" s="227" t="s">
        <v>15</v>
      </c>
      <c r="L661" s="228" t="s">
        <v>328</v>
      </c>
      <c r="M661" s="228" t="s">
        <v>328</v>
      </c>
      <c r="N661" s="228" t="s">
        <v>328</v>
      </c>
      <c r="O661" s="229" t="s">
        <v>20</v>
      </c>
      <c r="P661" s="229" t="s">
        <v>20</v>
      </c>
      <c r="Q661" s="229" t="s">
        <v>15</v>
      </c>
      <c r="R661" s="229" t="s">
        <v>15</v>
      </c>
      <c r="S661" s="229" t="s">
        <v>16</v>
      </c>
      <c r="T661" s="229" t="s">
        <v>375</v>
      </c>
      <c r="U661" s="229" t="s">
        <v>331</v>
      </c>
      <c r="V661" s="229" t="s">
        <v>328</v>
      </c>
      <c r="W661" s="230" t="s">
        <v>328</v>
      </c>
      <c r="X661" s="230" t="s">
        <v>328</v>
      </c>
      <c r="Y661" s="231" t="s">
        <v>328</v>
      </c>
    </row>
    <row r="662" spans="1:25">
      <c r="A662" s="223">
        <v>18</v>
      </c>
      <c r="B662" s="224" t="str">
        <f>VLOOKUP(Tabel10[[#This Row],[Locatiecode]],Ruimtegroepen[[#All],[Code]:[Ruimte omschrijving]],2,FALSE)</f>
        <v>Gymzaal</v>
      </c>
      <c r="C662" s="225" t="s">
        <v>1105</v>
      </c>
      <c r="D662" s="224" t="s">
        <v>21</v>
      </c>
      <c r="E662" s="226" t="s">
        <v>123</v>
      </c>
      <c r="F662" s="225" t="s">
        <v>1109</v>
      </c>
      <c r="G662" s="228" t="s">
        <v>328</v>
      </c>
      <c r="H662" s="228" t="s">
        <v>328</v>
      </c>
      <c r="I662" s="227" t="s">
        <v>20</v>
      </c>
      <c r="J662" s="227" t="s">
        <v>18</v>
      </c>
      <c r="K662" s="227" t="s">
        <v>15</v>
      </c>
      <c r="L662" s="228" t="s">
        <v>328</v>
      </c>
      <c r="M662" s="228" t="s">
        <v>328</v>
      </c>
      <c r="N662" s="228" t="s">
        <v>328</v>
      </c>
      <c r="O662" s="229" t="s">
        <v>20</v>
      </c>
      <c r="P662" s="229" t="s">
        <v>20</v>
      </c>
      <c r="Q662" s="229" t="s">
        <v>15</v>
      </c>
      <c r="R662" s="229" t="s">
        <v>15</v>
      </c>
      <c r="S662" s="229" t="s">
        <v>16</v>
      </c>
      <c r="T662" s="229" t="s">
        <v>375</v>
      </c>
      <c r="U662" s="229" t="s">
        <v>331</v>
      </c>
      <c r="V662" s="229" t="s">
        <v>328</v>
      </c>
      <c r="W662" s="230" t="s">
        <v>328</v>
      </c>
      <c r="X662" s="230" t="s">
        <v>328</v>
      </c>
      <c r="Y662" s="231" t="s">
        <v>328</v>
      </c>
    </row>
    <row r="663" spans="1:25">
      <c r="A663" s="223">
        <v>18</v>
      </c>
      <c r="B663" s="224" t="str">
        <f>VLOOKUP(Tabel10[[#This Row],[Locatiecode]],Ruimtegroepen[[#All],[Code]:[Ruimte omschrijving]],2,FALSE)</f>
        <v>Gymzaal</v>
      </c>
      <c r="C663" s="225" t="s">
        <v>1110</v>
      </c>
      <c r="D663" s="224" t="s">
        <v>12</v>
      </c>
      <c r="E663" s="226" t="s">
        <v>121</v>
      </c>
      <c r="F663" s="225" t="s">
        <v>1111</v>
      </c>
      <c r="G663" s="228" t="s">
        <v>328</v>
      </c>
      <c r="H663" s="228" t="s">
        <v>328</v>
      </c>
      <c r="I663" s="228" t="s">
        <v>18</v>
      </c>
      <c r="J663" s="227" t="s">
        <v>17</v>
      </c>
      <c r="K663" s="227" t="s">
        <v>15</v>
      </c>
      <c r="L663" s="228" t="s">
        <v>328</v>
      </c>
      <c r="M663" s="228" t="s">
        <v>328</v>
      </c>
      <c r="N663" s="228" t="s">
        <v>328</v>
      </c>
      <c r="O663" s="229" t="s">
        <v>18</v>
      </c>
      <c r="P663" s="229" t="s">
        <v>18</v>
      </c>
      <c r="Q663" s="229" t="s">
        <v>15</v>
      </c>
      <c r="R663" s="229" t="s">
        <v>15</v>
      </c>
      <c r="S663" s="229" t="s">
        <v>16</v>
      </c>
      <c r="T663" s="229" t="s">
        <v>375</v>
      </c>
      <c r="U663" s="229" t="s">
        <v>331</v>
      </c>
      <c r="V663" s="229" t="s">
        <v>328</v>
      </c>
      <c r="W663" s="230" t="s">
        <v>328</v>
      </c>
      <c r="X663" s="230" t="s">
        <v>328</v>
      </c>
      <c r="Y663" s="231" t="s">
        <v>328</v>
      </c>
    </row>
    <row r="664" spans="1:25">
      <c r="A664" s="223">
        <v>18</v>
      </c>
      <c r="B664" s="224" t="str">
        <f>VLOOKUP(Tabel10[[#This Row],[Locatiecode]],Ruimtegroepen[[#All],[Code]:[Ruimte omschrijving]],2,FALSE)</f>
        <v>Gymzaal</v>
      </c>
      <c r="C664" s="225" t="s">
        <v>1110</v>
      </c>
      <c r="D664" s="224" t="s">
        <v>12</v>
      </c>
      <c r="E664" s="226" t="s">
        <v>120</v>
      </c>
      <c r="F664" s="225" t="s">
        <v>1112</v>
      </c>
      <c r="G664" s="228" t="s">
        <v>17</v>
      </c>
      <c r="H664" s="228" t="s">
        <v>15</v>
      </c>
      <c r="I664" s="228" t="s">
        <v>328</v>
      </c>
      <c r="J664" s="228" t="s">
        <v>328</v>
      </c>
      <c r="K664" s="228" t="s">
        <v>328</v>
      </c>
      <c r="L664" s="228" t="s">
        <v>328</v>
      </c>
      <c r="M664" s="228" t="s">
        <v>328</v>
      </c>
      <c r="N664" s="228" t="s">
        <v>328</v>
      </c>
      <c r="O664" s="229" t="s">
        <v>18</v>
      </c>
      <c r="P664" s="229" t="s">
        <v>18</v>
      </c>
      <c r="Q664" s="229" t="s">
        <v>15</v>
      </c>
      <c r="R664" s="229" t="s">
        <v>15</v>
      </c>
      <c r="S664" s="229" t="s">
        <v>16</v>
      </c>
      <c r="T664" s="229" t="s">
        <v>375</v>
      </c>
      <c r="U664" s="229" t="s">
        <v>331</v>
      </c>
      <c r="V664" s="229" t="s">
        <v>328</v>
      </c>
      <c r="W664" s="230" t="s">
        <v>328</v>
      </c>
      <c r="X664" s="230" t="s">
        <v>328</v>
      </c>
      <c r="Y664" s="231" t="s">
        <v>328</v>
      </c>
    </row>
    <row r="665" spans="1:25">
      <c r="A665" s="223">
        <v>18</v>
      </c>
      <c r="B665" s="224" t="str">
        <f>VLOOKUP(Tabel10[[#This Row],[Locatiecode]],Ruimtegroepen[[#All],[Code]:[Ruimte omschrijving]],2,FALSE)</f>
        <v>Gymzaal</v>
      </c>
      <c r="C665" s="225" t="s">
        <v>1110</v>
      </c>
      <c r="D665" s="224" t="s">
        <v>12</v>
      </c>
      <c r="E665" s="226" t="s">
        <v>122</v>
      </c>
      <c r="F665" s="225" t="s">
        <v>1113</v>
      </c>
      <c r="G665" s="228" t="s">
        <v>328</v>
      </c>
      <c r="H665" s="228" t="s">
        <v>328</v>
      </c>
      <c r="I665" s="228" t="s">
        <v>18</v>
      </c>
      <c r="J665" s="227" t="s">
        <v>17</v>
      </c>
      <c r="K665" s="227" t="s">
        <v>15</v>
      </c>
      <c r="L665" s="228" t="s">
        <v>328</v>
      </c>
      <c r="M665" s="228" t="s">
        <v>328</v>
      </c>
      <c r="N665" s="228" t="s">
        <v>328</v>
      </c>
      <c r="O665" s="229" t="s">
        <v>18</v>
      </c>
      <c r="P665" s="229" t="s">
        <v>18</v>
      </c>
      <c r="Q665" s="229" t="s">
        <v>15</v>
      </c>
      <c r="R665" s="229" t="s">
        <v>15</v>
      </c>
      <c r="S665" s="229" t="s">
        <v>16</v>
      </c>
      <c r="T665" s="229" t="s">
        <v>375</v>
      </c>
      <c r="U665" s="229" t="s">
        <v>331</v>
      </c>
      <c r="V665" s="229" t="s">
        <v>328</v>
      </c>
      <c r="W665" s="230" t="s">
        <v>328</v>
      </c>
      <c r="X665" s="230" t="s">
        <v>328</v>
      </c>
      <c r="Y665" s="231" t="s">
        <v>328</v>
      </c>
    </row>
    <row r="666" spans="1:25">
      <c r="A666" s="223">
        <v>18</v>
      </c>
      <c r="B666" s="224" t="str">
        <f>VLOOKUP(Tabel10[[#This Row],[Locatiecode]],Ruimtegroepen[[#All],[Code]:[Ruimte omschrijving]],2,FALSE)</f>
        <v>Gymzaal</v>
      </c>
      <c r="C666" s="225" t="s">
        <v>1110</v>
      </c>
      <c r="D666" s="224" t="s">
        <v>12</v>
      </c>
      <c r="E666" s="226" t="s">
        <v>123</v>
      </c>
      <c r="F666" s="225" t="s">
        <v>1114</v>
      </c>
      <c r="G666" s="228" t="s">
        <v>328</v>
      </c>
      <c r="H666" s="228" t="s">
        <v>328</v>
      </c>
      <c r="I666" s="228" t="s">
        <v>18</v>
      </c>
      <c r="J666" s="227" t="s">
        <v>17</v>
      </c>
      <c r="K666" s="227" t="s">
        <v>15</v>
      </c>
      <c r="L666" s="228" t="s">
        <v>328</v>
      </c>
      <c r="M666" s="228" t="s">
        <v>328</v>
      </c>
      <c r="N666" s="228" t="s">
        <v>328</v>
      </c>
      <c r="O666" s="229" t="s">
        <v>18</v>
      </c>
      <c r="P666" s="229" t="s">
        <v>18</v>
      </c>
      <c r="Q666" s="229" t="s">
        <v>15</v>
      </c>
      <c r="R666" s="229" t="s">
        <v>15</v>
      </c>
      <c r="S666" s="229" t="s">
        <v>16</v>
      </c>
      <c r="T666" s="229" t="s">
        <v>375</v>
      </c>
      <c r="U666" s="229" t="s">
        <v>331</v>
      </c>
      <c r="V666" s="229" t="s">
        <v>328</v>
      </c>
      <c r="W666" s="230" t="s">
        <v>328</v>
      </c>
      <c r="X666" s="230" t="s">
        <v>328</v>
      </c>
      <c r="Y666" s="231" t="s">
        <v>328</v>
      </c>
    </row>
    <row r="667" spans="1:25">
      <c r="A667" s="223">
        <v>18</v>
      </c>
      <c r="B667" s="224" t="str">
        <f>VLOOKUP(Tabel10[[#This Row],[Locatiecode]],Ruimtegroepen[[#All],[Code]:[Ruimte omschrijving]],2,FALSE)</f>
        <v>Gymzaal</v>
      </c>
      <c r="C667" s="225" t="s">
        <v>1115</v>
      </c>
      <c r="D667" s="224" t="s">
        <v>14</v>
      </c>
      <c r="E667" s="226" t="s">
        <v>121</v>
      </c>
      <c r="F667" s="225" t="s">
        <v>1116</v>
      </c>
      <c r="G667" s="228" t="s">
        <v>328</v>
      </c>
      <c r="H667" s="228" t="s">
        <v>328</v>
      </c>
      <c r="I667" s="228" t="s">
        <v>17</v>
      </c>
      <c r="J667" s="227" t="s">
        <v>15</v>
      </c>
      <c r="K667" s="227" t="s">
        <v>15</v>
      </c>
      <c r="L667" s="228" t="s">
        <v>328</v>
      </c>
      <c r="M667" s="228" t="s">
        <v>328</v>
      </c>
      <c r="N667" s="228" t="s">
        <v>328</v>
      </c>
      <c r="O667" s="229" t="s">
        <v>17</v>
      </c>
      <c r="P667" s="229" t="s">
        <v>17</v>
      </c>
      <c r="Q667" s="229" t="s">
        <v>15</v>
      </c>
      <c r="R667" s="229" t="s">
        <v>15</v>
      </c>
      <c r="S667" s="229" t="s">
        <v>16</v>
      </c>
      <c r="T667" s="229" t="s">
        <v>375</v>
      </c>
      <c r="U667" s="229" t="s">
        <v>331</v>
      </c>
      <c r="V667" s="229" t="s">
        <v>328</v>
      </c>
      <c r="W667" s="230" t="s">
        <v>328</v>
      </c>
      <c r="X667" s="230" t="s">
        <v>328</v>
      </c>
      <c r="Y667" s="231" t="s">
        <v>328</v>
      </c>
    </row>
    <row r="668" spans="1:25">
      <c r="A668" s="223">
        <v>18</v>
      </c>
      <c r="B668" s="224" t="str">
        <f>VLOOKUP(Tabel10[[#This Row],[Locatiecode]],Ruimtegroepen[[#All],[Code]:[Ruimte omschrijving]],2,FALSE)</f>
        <v>Gymzaal</v>
      </c>
      <c r="C668" s="225" t="s">
        <v>1115</v>
      </c>
      <c r="D668" s="224" t="s">
        <v>14</v>
      </c>
      <c r="E668" s="226" t="s">
        <v>120</v>
      </c>
      <c r="F668" s="225" t="s">
        <v>1117</v>
      </c>
      <c r="G668" s="228" t="s">
        <v>15</v>
      </c>
      <c r="H668" s="228" t="s">
        <v>15</v>
      </c>
      <c r="I668" s="228" t="s">
        <v>328</v>
      </c>
      <c r="J668" s="228" t="s">
        <v>328</v>
      </c>
      <c r="K668" s="228" t="s">
        <v>328</v>
      </c>
      <c r="L668" s="228" t="s">
        <v>328</v>
      </c>
      <c r="M668" s="228" t="s">
        <v>328</v>
      </c>
      <c r="N668" s="228" t="s">
        <v>328</v>
      </c>
      <c r="O668" s="229" t="s">
        <v>17</v>
      </c>
      <c r="P668" s="229" t="s">
        <v>17</v>
      </c>
      <c r="Q668" s="229" t="s">
        <v>15</v>
      </c>
      <c r="R668" s="229" t="s">
        <v>15</v>
      </c>
      <c r="S668" s="229" t="s">
        <v>16</v>
      </c>
      <c r="T668" s="229" t="s">
        <v>375</v>
      </c>
      <c r="U668" s="229" t="s">
        <v>331</v>
      </c>
      <c r="V668" s="229" t="s">
        <v>328</v>
      </c>
      <c r="W668" s="230" t="s">
        <v>328</v>
      </c>
      <c r="X668" s="230" t="s">
        <v>328</v>
      </c>
      <c r="Y668" s="231" t="s">
        <v>328</v>
      </c>
    </row>
    <row r="669" spans="1:25">
      <c r="A669" s="223">
        <v>18</v>
      </c>
      <c r="B669" s="224" t="str">
        <f>VLOOKUP(Tabel10[[#This Row],[Locatiecode]],Ruimtegroepen[[#All],[Code]:[Ruimte omschrijving]],2,FALSE)</f>
        <v>Gymzaal</v>
      </c>
      <c r="C669" s="225" t="s">
        <v>1115</v>
      </c>
      <c r="D669" s="224" t="s">
        <v>14</v>
      </c>
      <c r="E669" s="226" t="s">
        <v>122</v>
      </c>
      <c r="F669" s="225" t="s">
        <v>1118</v>
      </c>
      <c r="G669" s="228" t="s">
        <v>328</v>
      </c>
      <c r="H669" s="228" t="s">
        <v>328</v>
      </c>
      <c r="I669" s="228" t="s">
        <v>17</v>
      </c>
      <c r="J669" s="227" t="s">
        <v>15</v>
      </c>
      <c r="K669" s="227" t="s">
        <v>15</v>
      </c>
      <c r="L669" s="228" t="s">
        <v>328</v>
      </c>
      <c r="M669" s="228" t="s">
        <v>328</v>
      </c>
      <c r="N669" s="228" t="s">
        <v>328</v>
      </c>
      <c r="O669" s="229" t="s">
        <v>17</v>
      </c>
      <c r="P669" s="229" t="s">
        <v>17</v>
      </c>
      <c r="Q669" s="229" t="s">
        <v>15</v>
      </c>
      <c r="R669" s="229" t="s">
        <v>15</v>
      </c>
      <c r="S669" s="229" t="s">
        <v>16</v>
      </c>
      <c r="T669" s="229" t="s">
        <v>375</v>
      </c>
      <c r="U669" s="229" t="s">
        <v>331</v>
      </c>
      <c r="V669" s="229" t="s">
        <v>328</v>
      </c>
      <c r="W669" s="230" t="s">
        <v>328</v>
      </c>
      <c r="X669" s="230" t="s">
        <v>328</v>
      </c>
      <c r="Y669" s="231" t="s">
        <v>328</v>
      </c>
    </row>
    <row r="670" spans="1:25">
      <c r="A670" s="223">
        <v>18</v>
      </c>
      <c r="B670" s="224" t="str">
        <f>VLOOKUP(Tabel10[[#This Row],[Locatiecode]],Ruimtegroepen[[#All],[Code]:[Ruimte omschrijving]],2,FALSE)</f>
        <v>Gymzaal</v>
      </c>
      <c r="C670" s="225" t="s">
        <v>1115</v>
      </c>
      <c r="D670" s="224" t="s">
        <v>14</v>
      </c>
      <c r="E670" s="226" t="s">
        <v>123</v>
      </c>
      <c r="F670" s="225" t="s">
        <v>1119</v>
      </c>
      <c r="G670" s="228" t="s">
        <v>328</v>
      </c>
      <c r="H670" s="228" t="s">
        <v>328</v>
      </c>
      <c r="I670" s="228" t="s">
        <v>17</v>
      </c>
      <c r="J670" s="227" t="s">
        <v>15</v>
      </c>
      <c r="K670" s="227" t="s">
        <v>15</v>
      </c>
      <c r="L670" s="228" t="s">
        <v>328</v>
      </c>
      <c r="M670" s="228" t="s">
        <v>328</v>
      </c>
      <c r="N670" s="228" t="s">
        <v>328</v>
      </c>
      <c r="O670" s="229" t="s">
        <v>17</v>
      </c>
      <c r="P670" s="229" t="s">
        <v>17</v>
      </c>
      <c r="Q670" s="229" t="s">
        <v>15</v>
      </c>
      <c r="R670" s="229" t="s">
        <v>15</v>
      </c>
      <c r="S670" s="229" t="s">
        <v>16</v>
      </c>
      <c r="T670" s="229" t="s">
        <v>375</v>
      </c>
      <c r="U670" s="229" t="s">
        <v>331</v>
      </c>
      <c r="V670" s="229" t="s">
        <v>328</v>
      </c>
      <c r="W670" s="230" t="s">
        <v>328</v>
      </c>
      <c r="X670" s="230" t="s">
        <v>328</v>
      </c>
      <c r="Y670" s="231" t="s">
        <v>328</v>
      </c>
    </row>
    <row r="671" spans="1:25">
      <c r="A671" s="223">
        <v>18</v>
      </c>
      <c r="B671" s="224" t="str">
        <f>VLOOKUP(Tabel10[[#This Row],[Locatiecode]],Ruimtegroepen[[#All],[Code]:[Ruimte omschrijving]],2,FALSE)</f>
        <v>Gymzaal</v>
      </c>
      <c r="C671" s="225" t="s">
        <v>1120</v>
      </c>
      <c r="D671" s="224" t="s">
        <v>13</v>
      </c>
      <c r="E671" s="226" t="s">
        <v>121</v>
      </c>
      <c r="F671" s="225" t="s">
        <v>1121</v>
      </c>
      <c r="G671" s="228" t="s">
        <v>328</v>
      </c>
      <c r="H671" s="228" t="s">
        <v>328</v>
      </c>
      <c r="I671" s="228" t="s">
        <v>15</v>
      </c>
      <c r="J671" s="228" t="s">
        <v>328</v>
      </c>
      <c r="K671" s="228" t="s">
        <v>15</v>
      </c>
      <c r="L671" s="228" t="s">
        <v>328</v>
      </c>
      <c r="M671" s="228" t="s">
        <v>328</v>
      </c>
      <c r="N671" s="228" t="s">
        <v>328</v>
      </c>
      <c r="O671" s="229" t="s">
        <v>15</v>
      </c>
      <c r="P671" s="229" t="s">
        <v>15</v>
      </c>
      <c r="Q671" s="229" t="s">
        <v>15</v>
      </c>
      <c r="R671" s="229" t="s">
        <v>15</v>
      </c>
      <c r="S671" s="229" t="s">
        <v>16</v>
      </c>
      <c r="T671" s="229" t="s">
        <v>375</v>
      </c>
      <c r="U671" s="229" t="s">
        <v>331</v>
      </c>
      <c r="V671" s="229" t="s">
        <v>328</v>
      </c>
      <c r="W671" s="230" t="s">
        <v>328</v>
      </c>
      <c r="X671" s="230" t="s">
        <v>328</v>
      </c>
      <c r="Y671" s="231" t="s">
        <v>328</v>
      </c>
    </row>
    <row r="672" spans="1:25">
      <c r="A672" s="223">
        <v>18</v>
      </c>
      <c r="B672" s="224" t="str">
        <f>VLOOKUP(Tabel10[[#This Row],[Locatiecode]],Ruimtegroepen[[#All],[Code]:[Ruimte omschrijving]],2,FALSE)</f>
        <v>Gymzaal</v>
      </c>
      <c r="C672" s="225" t="s">
        <v>1120</v>
      </c>
      <c r="D672" s="224" t="s">
        <v>13</v>
      </c>
      <c r="E672" s="226" t="s">
        <v>120</v>
      </c>
      <c r="F672" s="225" t="s">
        <v>1122</v>
      </c>
      <c r="G672" s="228" t="s">
        <v>328</v>
      </c>
      <c r="H672" s="228" t="s">
        <v>15</v>
      </c>
      <c r="I672" s="228" t="s">
        <v>328</v>
      </c>
      <c r="J672" s="228" t="s">
        <v>328</v>
      </c>
      <c r="K672" s="228" t="s">
        <v>328</v>
      </c>
      <c r="L672" s="228" t="s">
        <v>328</v>
      </c>
      <c r="M672" s="228" t="s">
        <v>328</v>
      </c>
      <c r="N672" s="228" t="s">
        <v>328</v>
      </c>
      <c r="O672" s="229" t="s">
        <v>15</v>
      </c>
      <c r="P672" s="229" t="s">
        <v>15</v>
      </c>
      <c r="Q672" s="229" t="s">
        <v>15</v>
      </c>
      <c r="R672" s="229" t="s">
        <v>15</v>
      </c>
      <c r="S672" s="229" t="s">
        <v>16</v>
      </c>
      <c r="T672" s="229" t="s">
        <v>375</v>
      </c>
      <c r="U672" s="229" t="s">
        <v>331</v>
      </c>
      <c r="V672" s="229" t="s">
        <v>328</v>
      </c>
      <c r="W672" s="230" t="s">
        <v>328</v>
      </c>
      <c r="X672" s="230" t="s">
        <v>328</v>
      </c>
      <c r="Y672" s="231" t="s">
        <v>328</v>
      </c>
    </row>
    <row r="673" spans="1:25">
      <c r="A673" s="223">
        <v>18</v>
      </c>
      <c r="B673" s="224" t="str">
        <f>VLOOKUP(Tabel10[[#This Row],[Locatiecode]],Ruimtegroepen[[#All],[Code]:[Ruimte omschrijving]],2,FALSE)</f>
        <v>Gymzaal</v>
      </c>
      <c r="C673" s="225" t="s">
        <v>1120</v>
      </c>
      <c r="D673" s="224" t="s">
        <v>13</v>
      </c>
      <c r="E673" s="226" t="s">
        <v>122</v>
      </c>
      <c r="F673" s="225" t="s">
        <v>1123</v>
      </c>
      <c r="G673" s="228" t="s">
        <v>328</v>
      </c>
      <c r="H673" s="228" t="s">
        <v>328</v>
      </c>
      <c r="I673" s="228" t="s">
        <v>15</v>
      </c>
      <c r="J673" s="228" t="s">
        <v>328</v>
      </c>
      <c r="K673" s="228" t="s">
        <v>15</v>
      </c>
      <c r="L673" s="228" t="s">
        <v>328</v>
      </c>
      <c r="M673" s="228" t="s">
        <v>328</v>
      </c>
      <c r="N673" s="228" t="s">
        <v>328</v>
      </c>
      <c r="O673" s="229" t="s">
        <v>15</v>
      </c>
      <c r="P673" s="229" t="s">
        <v>15</v>
      </c>
      <c r="Q673" s="229" t="s">
        <v>15</v>
      </c>
      <c r="R673" s="229" t="s">
        <v>15</v>
      </c>
      <c r="S673" s="229" t="s">
        <v>16</v>
      </c>
      <c r="T673" s="229" t="s">
        <v>375</v>
      </c>
      <c r="U673" s="229" t="s">
        <v>331</v>
      </c>
      <c r="V673" s="229" t="s">
        <v>328</v>
      </c>
      <c r="W673" s="230" t="s">
        <v>328</v>
      </c>
      <c r="X673" s="230" t="s">
        <v>328</v>
      </c>
      <c r="Y673" s="231" t="s">
        <v>328</v>
      </c>
    </row>
    <row r="674" spans="1:25">
      <c r="A674" s="223">
        <v>18</v>
      </c>
      <c r="B674" s="224" t="str">
        <f>VLOOKUP(Tabel10[[#This Row],[Locatiecode]],Ruimtegroepen[[#All],[Code]:[Ruimte omschrijving]],2,FALSE)</f>
        <v>Gymzaal</v>
      </c>
      <c r="C674" s="225" t="s">
        <v>1120</v>
      </c>
      <c r="D674" s="224" t="s">
        <v>13</v>
      </c>
      <c r="E674" s="226" t="s">
        <v>123</v>
      </c>
      <c r="F674" s="225" t="s">
        <v>1124</v>
      </c>
      <c r="G674" s="228" t="s">
        <v>328</v>
      </c>
      <c r="H674" s="228" t="s">
        <v>328</v>
      </c>
      <c r="I674" s="228" t="s">
        <v>15</v>
      </c>
      <c r="J674" s="228" t="s">
        <v>328</v>
      </c>
      <c r="K674" s="228" t="s">
        <v>15</v>
      </c>
      <c r="L674" s="228" t="s">
        <v>328</v>
      </c>
      <c r="M674" s="228" t="s">
        <v>328</v>
      </c>
      <c r="N674" s="228" t="s">
        <v>328</v>
      </c>
      <c r="O674" s="229" t="s">
        <v>15</v>
      </c>
      <c r="P674" s="229" t="s">
        <v>15</v>
      </c>
      <c r="Q674" s="229" t="s">
        <v>15</v>
      </c>
      <c r="R674" s="229" t="s">
        <v>15</v>
      </c>
      <c r="S674" s="229" t="s">
        <v>16</v>
      </c>
      <c r="T674" s="229" t="s">
        <v>375</v>
      </c>
      <c r="U674" s="229" t="s">
        <v>331</v>
      </c>
      <c r="V674" s="229" t="s">
        <v>328</v>
      </c>
      <c r="W674" s="230" t="s">
        <v>328</v>
      </c>
      <c r="X674" s="230" t="s">
        <v>328</v>
      </c>
      <c r="Y674" s="231" t="s">
        <v>328</v>
      </c>
    </row>
    <row r="675" spans="1:25">
      <c r="A675" s="223">
        <v>18</v>
      </c>
      <c r="B675" s="224" t="str">
        <f>VLOOKUP(Tabel10[[#This Row],[Locatiecode]],Ruimtegroepen[[#All],[Code]:[Ruimte omschrijving]],2,FALSE)</f>
        <v>Gymzaal</v>
      </c>
      <c r="C675" s="225" t="s">
        <v>1125</v>
      </c>
      <c r="D675" s="224" t="s">
        <v>0</v>
      </c>
      <c r="E675" s="226" t="s">
        <v>121</v>
      </c>
      <c r="F675" s="225" t="s">
        <v>1126</v>
      </c>
      <c r="G675" s="228" t="s">
        <v>328</v>
      </c>
      <c r="H675" s="228" t="s">
        <v>328</v>
      </c>
      <c r="I675" s="228" t="s">
        <v>16</v>
      </c>
      <c r="J675" s="228" t="s">
        <v>328</v>
      </c>
      <c r="K675" s="228" t="s">
        <v>16</v>
      </c>
      <c r="L675" s="228" t="s">
        <v>328</v>
      </c>
      <c r="M675" s="228" t="s">
        <v>328</v>
      </c>
      <c r="N675" s="228" t="s">
        <v>328</v>
      </c>
      <c r="O675" s="229" t="s">
        <v>16</v>
      </c>
      <c r="P675" s="229" t="s">
        <v>16</v>
      </c>
      <c r="Q675" s="229" t="s">
        <v>16</v>
      </c>
      <c r="R675" s="229" t="s">
        <v>16</v>
      </c>
      <c r="S675" s="229" t="s">
        <v>16</v>
      </c>
      <c r="T675" s="229" t="s">
        <v>375</v>
      </c>
      <c r="U675" s="229" t="s">
        <v>331</v>
      </c>
      <c r="V675" s="229" t="s">
        <v>328</v>
      </c>
      <c r="W675" s="230" t="s">
        <v>328</v>
      </c>
      <c r="X675" s="230" t="s">
        <v>328</v>
      </c>
      <c r="Y675" s="231" t="s">
        <v>328</v>
      </c>
    </row>
    <row r="676" spans="1:25">
      <c r="A676" s="223">
        <v>18</v>
      </c>
      <c r="B676" s="224" t="str">
        <f>VLOOKUP(Tabel10[[#This Row],[Locatiecode]],Ruimtegroepen[[#All],[Code]:[Ruimte omschrijving]],2,FALSE)</f>
        <v>Gymzaal</v>
      </c>
      <c r="C676" s="225" t="s">
        <v>1125</v>
      </c>
      <c r="D676" s="224" t="s">
        <v>0</v>
      </c>
      <c r="E676" s="226" t="s">
        <v>120</v>
      </c>
      <c r="F676" s="225" t="s">
        <v>1127</v>
      </c>
      <c r="G676" s="228" t="s">
        <v>328</v>
      </c>
      <c r="H676" s="228" t="s">
        <v>16</v>
      </c>
      <c r="I676" s="228" t="s">
        <v>328</v>
      </c>
      <c r="J676" s="228" t="s">
        <v>328</v>
      </c>
      <c r="K676" s="228" t="s">
        <v>328</v>
      </c>
      <c r="L676" s="228" t="s">
        <v>328</v>
      </c>
      <c r="M676" s="228" t="s">
        <v>328</v>
      </c>
      <c r="N676" s="228" t="s">
        <v>328</v>
      </c>
      <c r="O676" s="229" t="s">
        <v>16</v>
      </c>
      <c r="P676" s="229" t="s">
        <v>16</v>
      </c>
      <c r="Q676" s="229" t="s">
        <v>16</v>
      </c>
      <c r="R676" s="229" t="s">
        <v>16</v>
      </c>
      <c r="S676" s="229" t="s">
        <v>16</v>
      </c>
      <c r="T676" s="229" t="s">
        <v>375</v>
      </c>
      <c r="U676" s="229" t="s">
        <v>331</v>
      </c>
      <c r="V676" s="229" t="s">
        <v>328</v>
      </c>
      <c r="W676" s="230" t="s">
        <v>328</v>
      </c>
      <c r="X676" s="230" t="s">
        <v>328</v>
      </c>
      <c r="Y676" s="231" t="s">
        <v>328</v>
      </c>
    </row>
    <row r="677" spans="1:25">
      <c r="A677" s="223">
        <v>18</v>
      </c>
      <c r="B677" s="224" t="str">
        <f>VLOOKUP(Tabel10[[#This Row],[Locatiecode]],Ruimtegroepen[[#All],[Code]:[Ruimte omschrijving]],2,FALSE)</f>
        <v>Gymzaal</v>
      </c>
      <c r="C677" s="225" t="s">
        <v>1125</v>
      </c>
      <c r="D677" s="224" t="s">
        <v>0</v>
      </c>
      <c r="E677" s="226" t="s">
        <v>122</v>
      </c>
      <c r="F677" s="225" t="s">
        <v>1128</v>
      </c>
      <c r="G677" s="228" t="s">
        <v>328</v>
      </c>
      <c r="H677" s="228" t="s">
        <v>328</v>
      </c>
      <c r="I677" s="228" t="s">
        <v>16</v>
      </c>
      <c r="J677" s="228" t="s">
        <v>328</v>
      </c>
      <c r="K677" s="228" t="s">
        <v>16</v>
      </c>
      <c r="L677" s="228" t="s">
        <v>328</v>
      </c>
      <c r="M677" s="228" t="s">
        <v>328</v>
      </c>
      <c r="N677" s="228" t="s">
        <v>328</v>
      </c>
      <c r="O677" s="229" t="s">
        <v>16</v>
      </c>
      <c r="P677" s="229" t="s">
        <v>16</v>
      </c>
      <c r="Q677" s="229" t="s">
        <v>16</v>
      </c>
      <c r="R677" s="229" t="s">
        <v>16</v>
      </c>
      <c r="S677" s="229" t="s">
        <v>16</v>
      </c>
      <c r="T677" s="229" t="s">
        <v>375</v>
      </c>
      <c r="U677" s="229" t="s">
        <v>331</v>
      </c>
      <c r="V677" s="229" t="s">
        <v>328</v>
      </c>
      <c r="W677" s="230" t="s">
        <v>328</v>
      </c>
      <c r="X677" s="230" t="s">
        <v>328</v>
      </c>
      <c r="Y677" s="231" t="s">
        <v>328</v>
      </c>
    </row>
    <row r="678" spans="1:25">
      <c r="A678" s="223">
        <v>18</v>
      </c>
      <c r="B678" s="224" t="str">
        <f>VLOOKUP(Tabel10[[#This Row],[Locatiecode]],Ruimtegroepen[[#All],[Code]:[Ruimte omschrijving]],2,FALSE)</f>
        <v>Gymzaal</v>
      </c>
      <c r="C678" s="225" t="s">
        <v>1125</v>
      </c>
      <c r="D678" s="224" t="s">
        <v>0</v>
      </c>
      <c r="E678" s="226" t="s">
        <v>123</v>
      </c>
      <c r="F678" s="225" t="s">
        <v>1129</v>
      </c>
      <c r="G678" s="228" t="s">
        <v>328</v>
      </c>
      <c r="H678" s="228" t="s">
        <v>328</v>
      </c>
      <c r="I678" s="228" t="s">
        <v>16</v>
      </c>
      <c r="J678" s="228" t="s">
        <v>328</v>
      </c>
      <c r="K678" s="228" t="s">
        <v>16</v>
      </c>
      <c r="L678" s="228" t="s">
        <v>328</v>
      </c>
      <c r="M678" s="228" t="s">
        <v>328</v>
      </c>
      <c r="N678" s="228" t="s">
        <v>328</v>
      </c>
      <c r="O678" s="229" t="s">
        <v>16</v>
      </c>
      <c r="P678" s="229" t="s">
        <v>16</v>
      </c>
      <c r="Q678" s="229" t="s">
        <v>16</v>
      </c>
      <c r="R678" s="229" t="s">
        <v>16</v>
      </c>
      <c r="S678" s="229" t="s">
        <v>16</v>
      </c>
      <c r="T678" s="229" t="s">
        <v>375</v>
      </c>
      <c r="U678" s="229" t="s">
        <v>331</v>
      </c>
      <c r="V678" s="229" t="s">
        <v>328</v>
      </c>
      <c r="W678" s="230" t="s">
        <v>328</v>
      </c>
      <c r="X678" s="230" t="s">
        <v>328</v>
      </c>
      <c r="Y678" s="231" t="s">
        <v>328</v>
      </c>
    </row>
    <row r="679" spans="1:25">
      <c r="A679" s="223">
        <v>18</v>
      </c>
      <c r="B679" s="224" t="str">
        <f>VLOOKUP(Tabel10[[#This Row],[Locatiecode]],Ruimtegroepen[[#All],[Code]:[Ruimte omschrijving]],2,FALSE)</f>
        <v>Gymzaal</v>
      </c>
      <c r="C679" s="225" t="s">
        <v>1130</v>
      </c>
      <c r="D679" s="224" t="s">
        <v>30</v>
      </c>
      <c r="E679" s="226" t="s">
        <v>121</v>
      </c>
      <c r="F679" s="225" t="s">
        <v>1131</v>
      </c>
      <c r="G679" s="228" t="s">
        <v>328</v>
      </c>
      <c r="H679" s="228" t="s">
        <v>328</v>
      </c>
      <c r="I679" s="228" t="s">
        <v>15</v>
      </c>
      <c r="J679" s="228" t="s">
        <v>328</v>
      </c>
      <c r="K679" s="228" t="s">
        <v>15</v>
      </c>
      <c r="L679" s="228" t="s">
        <v>328</v>
      </c>
      <c r="M679" s="228" t="s">
        <v>328</v>
      </c>
      <c r="N679" s="228" t="s">
        <v>328</v>
      </c>
      <c r="O679" s="229" t="s">
        <v>15</v>
      </c>
      <c r="P679" s="229" t="s">
        <v>15</v>
      </c>
      <c r="Q679" s="229" t="s">
        <v>15</v>
      </c>
      <c r="R679" s="229" t="s">
        <v>15</v>
      </c>
      <c r="S679" s="229" t="s">
        <v>328</v>
      </c>
      <c r="T679" s="229" t="s">
        <v>328</v>
      </c>
      <c r="U679" s="229" t="s">
        <v>328</v>
      </c>
      <c r="V679" s="229" t="s">
        <v>328</v>
      </c>
      <c r="W679" s="230" t="s">
        <v>328</v>
      </c>
      <c r="X679" s="230" t="s">
        <v>328</v>
      </c>
      <c r="Y679" s="231" t="s">
        <v>328</v>
      </c>
    </row>
    <row r="680" spans="1:25">
      <c r="A680" s="223">
        <v>18</v>
      </c>
      <c r="B680" s="224" t="str">
        <f>VLOOKUP(Tabel10[[#This Row],[Locatiecode]],Ruimtegroepen[[#All],[Code]:[Ruimte omschrijving]],2,FALSE)</f>
        <v>Gymzaal</v>
      </c>
      <c r="C680" s="225" t="s">
        <v>1130</v>
      </c>
      <c r="D680" s="224" t="s">
        <v>30</v>
      </c>
      <c r="E680" s="226" t="s">
        <v>120</v>
      </c>
      <c r="F680" s="225" t="s">
        <v>1132</v>
      </c>
      <c r="G680" s="228" t="s">
        <v>328</v>
      </c>
      <c r="H680" s="228" t="s">
        <v>15</v>
      </c>
      <c r="I680" s="228" t="s">
        <v>328</v>
      </c>
      <c r="J680" s="228" t="s">
        <v>328</v>
      </c>
      <c r="K680" s="228" t="s">
        <v>328</v>
      </c>
      <c r="L680" s="228" t="s">
        <v>328</v>
      </c>
      <c r="M680" s="228" t="s">
        <v>328</v>
      </c>
      <c r="N680" s="228" t="s">
        <v>328</v>
      </c>
      <c r="O680" s="229" t="s">
        <v>15</v>
      </c>
      <c r="P680" s="229" t="s">
        <v>15</v>
      </c>
      <c r="Q680" s="229" t="s">
        <v>15</v>
      </c>
      <c r="R680" s="229" t="s">
        <v>15</v>
      </c>
      <c r="S680" s="229" t="s">
        <v>328</v>
      </c>
      <c r="T680" s="229" t="s">
        <v>328</v>
      </c>
      <c r="U680" s="229" t="s">
        <v>328</v>
      </c>
      <c r="V680" s="229" t="s">
        <v>328</v>
      </c>
      <c r="W680" s="230" t="s">
        <v>328</v>
      </c>
      <c r="X680" s="230" t="s">
        <v>328</v>
      </c>
      <c r="Y680" s="231" t="s">
        <v>328</v>
      </c>
    </row>
    <row r="681" spans="1:25">
      <c r="A681" s="223">
        <v>18</v>
      </c>
      <c r="B681" s="224" t="str">
        <f>VLOOKUP(Tabel10[[#This Row],[Locatiecode]],Ruimtegroepen[[#All],[Code]:[Ruimte omschrijving]],2,FALSE)</f>
        <v>Gymzaal</v>
      </c>
      <c r="C681" s="225" t="s">
        <v>1130</v>
      </c>
      <c r="D681" s="224" t="s">
        <v>30</v>
      </c>
      <c r="E681" s="226" t="s">
        <v>122</v>
      </c>
      <c r="F681" s="225" t="s">
        <v>1133</v>
      </c>
      <c r="G681" s="228" t="s">
        <v>328</v>
      </c>
      <c r="H681" s="228" t="s">
        <v>328</v>
      </c>
      <c r="I681" s="228" t="s">
        <v>15</v>
      </c>
      <c r="J681" s="228" t="s">
        <v>328</v>
      </c>
      <c r="K681" s="228" t="s">
        <v>15</v>
      </c>
      <c r="L681" s="228" t="s">
        <v>328</v>
      </c>
      <c r="M681" s="228" t="s">
        <v>328</v>
      </c>
      <c r="N681" s="228" t="s">
        <v>328</v>
      </c>
      <c r="O681" s="229" t="s">
        <v>15</v>
      </c>
      <c r="P681" s="229" t="s">
        <v>15</v>
      </c>
      <c r="Q681" s="229" t="s">
        <v>15</v>
      </c>
      <c r="R681" s="229" t="s">
        <v>15</v>
      </c>
      <c r="S681" s="229" t="s">
        <v>328</v>
      </c>
      <c r="T681" s="229" t="s">
        <v>328</v>
      </c>
      <c r="U681" s="229" t="s">
        <v>328</v>
      </c>
      <c r="V681" s="229" t="s">
        <v>328</v>
      </c>
      <c r="W681" s="230" t="s">
        <v>328</v>
      </c>
      <c r="X681" s="230" t="s">
        <v>328</v>
      </c>
      <c r="Y681" s="231" t="s">
        <v>328</v>
      </c>
    </row>
    <row r="682" spans="1:25">
      <c r="A682" s="223">
        <v>18</v>
      </c>
      <c r="B682" s="224" t="str">
        <f>VLOOKUP(Tabel10[[#This Row],[Locatiecode]],Ruimtegroepen[[#All],[Code]:[Ruimte omschrijving]],2,FALSE)</f>
        <v>Gymzaal</v>
      </c>
      <c r="C682" s="225" t="s">
        <v>1130</v>
      </c>
      <c r="D682" s="224" t="s">
        <v>30</v>
      </c>
      <c r="E682" s="226" t="s">
        <v>123</v>
      </c>
      <c r="F682" s="225" t="s">
        <v>1134</v>
      </c>
      <c r="G682" s="228" t="s">
        <v>328</v>
      </c>
      <c r="H682" s="228" t="s">
        <v>328</v>
      </c>
      <c r="I682" s="228" t="s">
        <v>15</v>
      </c>
      <c r="J682" s="228" t="s">
        <v>328</v>
      </c>
      <c r="K682" s="228" t="s">
        <v>15</v>
      </c>
      <c r="L682" s="228" t="s">
        <v>328</v>
      </c>
      <c r="M682" s="228" t="s">
        <v>328</v>
      </c>
      <c r="N682" s="228" t="s">
        <v>328</v>
      </c>
      <c r="O682" s="229" t="s">
        <v>15</v>
      </c>
      <c r="P682" s="229" t="s">
        <v>15</v>
      </c>
      <c r="Q682" s="229" t="s">
        <v>15</v>
      </c>
      <c r="R682" s="229" t="s">
        <v>15</v>
      </c>
      <c r="S682" s="229" t="s">
        <v>328</v>
      </c>
      <c r="T682" s="229" t="s">
        <v>328</v>
      </c>
      <c r="U682" s="229" t="s">
        <v>328</v>
      </c>
      <c r="V682" s="229" t="s">
        <v>328</v>
      </c>
      <c r="W682" s="230" t="s">
        <v>328</v>
      </c>
      <c r="X682" s="230" t="s">
        <v>328</v>
      </c>
      <c r="Y682" s="231" t="s">
        <v>328</v>
      </c>
    </row>
    <row r="683" spans="1:25">
      <c r="A683" s="223">
        <v>18</v>
      </c>
      <c r="B683" s="224" t="str">
        <f>VLOOKUP(Tabel10[[#This Row],[Locatiecode]],Ruimtegroepen[[#All],[Code]:[Ruimte omschrijving]],2,FALSE)</f>
        <v>Gymzaal</v>
      </c>
      <c r="C683" s="225" t="s">
        <v>1135</v>
      </c>
      <c r="D683" s="224" t="s">
        <v>31</v>
      </c>
      <c r="E683" s="226" t="s">
        <v>121</v>
      </c>
      <c r="F683" s="225" t="s">
        <v>1136</v>
      </c>
      <c r="G683" s="228" t="s">
        <v>328</v>
      </c>
      <c r="H683" s="228" t="s">
        <v>328</v>
      </c>
      <c r="I683" s="228" t="s">
        <v>17</v>
      </c>
      <c r="J683" s="228" t="s">
        <v>328</v>
      </c>
      <c r="K683" s="228" t="s">
        <v>15</v>
      </c>
      <c r="L683" s="228" t="s">
        <v>328</v>
      </c>
      <c r="M683" s="228" t="s">
        <v>328</v>
      </c>
      <c r="N683" s="228" t="s">
        <v>328</v>
      </c>
      <c r="O683" s="229" t="s">
        <v>17</v>
      </c>
      <c r="P683" s="229" t="s">
        <v>17</v>
      </c>
      <c r="Q683" s="229" t="s">
        <v>15</v>
      </c>
      <c r="R683" s="229" t="s">
        <v>15</v>
      </c>
      <c r="S683" s="229" t="s">
        <v>328</v>
      </c>
      <c r="T683" s="229" t="s">
        <v>328</v>
      </c>
      <c r="U683" s="229" t="s">
        <v>328</v>
      </c>
      <c r="V683" s="229" t="s">
        <v>328</v>
      </c>
      <c r="W683" s="230" t="s">
        <v>328</v>
      </c>
      <c r="X683" s="230" t="s">
        <v>328</v>
      </c>
      <c r="Y683" s="231" t="s">
        <v>328</v>
      </c>
    </row>
    <row r="684" spans="1:25">
      <c r="A684" s="223">
        <v>18</v>
      </c>
      <c r="B684" s="224" t="str">
        <f>VLOOKUP(Tabel10[[#This Row],[Locatiecode]],Ruimtegroepen[[#All],[Code]:[Ruimte omschrijving]],2,FALSE)</f>
        <v>Gymzaal</v>
      </c>
      <c r="C684" s="225" t="s">
        <v>1135</v>
      </c>
      <c r="D684" s="224" t="s">
        <v>31</v>
      </c>
      <c r="E684" s="226" t="s">
        <v>120</v>
      </c>
      <c r="F684" s="225" t="s">
        <v>1137</v>
      </c>
      <c r="G684" s="228" t="s">
        <v>15</v>
      </c>
      <c r="H684" s="228" t="s">
        <v>15</v>
      </c>
      <c r="I684" s="228" t="s">
        <v>328</v>
      </c>
      <c r="J684" s="228" t="s">
        <v>328</v>
      </c>
      <c r="K684" s="228" t="s">
        <v>328</v>
      </c>
      <c r="L684" s="228" t="s">
        <v>328</v>
      </c>
      <c r="M684" s="228" t="s">
        <v>328</v>
      </c>
      <c r="N684" s="228" t="s">
        <v>328</v>
      </c>
      <c r="O684" s="229" t="s">
        <v>17</v>
      </c>
      <c r="P684" s="229" t="s">
        <v>17</v>
      </c>
      <c r="Q684" s="229" t="s">
        <v>15</v>
      </c>
      <c r="R684" s="229" t="s">
        <v>15</v>
      </c>
      <c r="S684" s="229" t="s">
        <v>328</v>
      </c>
      <c r="T684" s="229" t="s">
        <v>328</v>
      </c>
      <c r="U684" s="229" t="s">
        <v>328</v>
      </c>
      <c r="V684" s="229" t="s">
        <v>328</v>
      </c>
      <c r="W684" s="230" t="s">
        <v>328</v>
      </c>
      <c r="X684" s="230" t="s">
        <v>328</v>
      </c>
      <c r="Y684" s="231" t="s">
        <v>328</v>
      </c>
    </row>
    <row r="685" spans="1:25">
      <c r="A685" s="223">
        <v>18</v>
      </c>
      <c r="B685" s="224" t="str">
        <f>VLOOKUP(Tabel10[[#This Row],[Locatiecode]],Ruimtegroepen[[#All],[Code]:[Ruimte omschrijving]],2,FALSE)</f>
        <v>Gymzaal</v>
      </c>
      <c r="C685" s="225" t="s">
        <v>1135</v>
      </c>
      <c r="D685" s="224" t="s">
        <v>31</v>
      </c>
      <c r="E685" s="226" t="s">
        <v>122</v>
      </c>
      <c r="F685" s="225" t="s">
        <v>1138</v>
      </c>
      <c r="G685" s="228" t="s">
        <v>328</v>
      </c>
      <c r="H685" s="228" t="s">
        <v>328</v>
      </c>
      <c r="I685" s="228" t="s">
        <v>17</v>
      </c>
      <c r="J685" s="228" t="s">
        <v>328</v>
      </c>
      <c r="K685" s="228" t="s">
        <v>15</v>
      </c>
      <c r="L685" s="228" t="s">
        <v>328</v>
      </c>
      <c r="M685" s="228" t="s">
        <v>328</v>
      </c>
      <c r="N685" s="228" t="s">
        <v>328</v>
      </c>
      <c r="O685" s="229" t="s">
        <v>17</v>
      </c>
      <c r="P685" s="229" t="s">
        <v>17</v>
      </c>
      <c r="Q685" s="229" t="s">
        <v>15</v>
      </c>
      <c r="R685" s="229" t="s">
        <v>15</v>
      </c>
      <c r="S685" s="229" t="s">
        <v>328</v>
      </c>
      <c r="T685" s="229" t="s">
        <v>328</v>
      </c>
      <c r="U685" s="229" t="s">
        <v>328</v>
      </c>
      <c r="V685" s="229" t="s">
        <v>328</v>
      </c>
      <c r="W685" s="230" t="s">
        <v>328</v>
      </c>
      <c r="X685" s="230" t="s">
        <v>328</v>
      </c>
      <c r="Y685" s="231" t="s">
        <v>328</v>
      </c>
    </row>
    <row r="686" spans="1:25">
      <c r="A686" s="223">
        <v>18</v>
      </c>
      <c r="B686" s="224" t="str">
        <f>VLOOKUP(Tabel10[[#This Row],[Locatiecode]],Ruimtegroepen[[#All],[Code]:[Ruimte omschrijving]],2,FALSE)</f>
        <v>Gymzaal</v>
      </c>
      <c r="C686" s="225" t="s">
        <v>1135</v>
      </c>
      <c r="D686" s="224" t="s">
        <v>31</v>
      </c>
      <c r="E686" s="226" t="s">
        <v>123</v>
      </c>
      <c r="F686" s="225" t="s">
        <v>1139</v>
      </c>
      <c r="G686" s="228" t="s">
        <v>328</v>
      </c>
      <c r="H686" s="228" t="s">
        <v>328</v>
      </c>
      <c r="I686" s="228" t="s">
        <v>17</v>
      </c>
      <c r="J686" s="228" t="s">
        <v>328</v>
      </c>
      <c r="K686" s="228" t="s">
        <v>15</v>
      </c>
      <c r="L686" s="228" t="s">
        <v>328</v>
      </c>
      <c r="M686" s="228" t="s">
        <v>328</v>
      </c>
      <c r="N686" s="228" t="s">
        <v>328</v>
      </c>
      <c r="O686" s="229" t="s">
        <v>17</v>
      </c>
      <c r="P686" s="229" t="s">
        <v>17</v>
      </c>
      <c r="Q686" s="229" t="s">
        <v>15</v>
      </c>
      <c r="R686" s="229" t="s">
        <v>15</v>
      </c>
      <c r="S686" s="229" t="s">
        <v>328</v>
      </c>
      <c r="T686" s="229" t="s">
        <v>328</v>
      </c>
      <c r="U686" s="229" t="s">
        <v>328</v>
      </c>
      <c r="V686" s="229" t="s">
        <v>328</v>
      </c>
      <c r="W686" s="230" t="s">
        <v>328</v>
      </c>
      <c r="X686" s="230" t="s">
        <v>328</v>
      </c>
      <c r="Y686" s="231" t="s">
        <v>328</v>
      </c>
    </row>
    <row r="687" spans="1:25">
      <c r="A687" s="223">
        <v>19</v>
      </c>
      <c r="B687" s="224" t="str">
        <f>VLOOKUP(Tabel10[[#This Row],[Locatiecode]],Ruimtegroepen[[#All],[Code]:[Ruimte omschrijving]],2,FALSE)</f>
        <v>Kleedruimten</v>
      </c>
      <c r="C687" s="225" t="s">
        <v>1140</v>
      </c>
      <c r="D687" s="224" t="s">
        <v>32</v>
      </c>
      <c r="E687" s="226" t="s">
        <v>121</v>
      </c>
      <c r="F687" s="225" t="s">
        <v>1141</v>
      </c>
      <c r="G687" s="228" t="s">
        <v>328</v>
      </c>
      <c r="H687" s="228" t="s">
        <v>328</v>
      </c>
      <c r="I687" s="228" t="s">
        <v>19</v>
      </c>
      <c r="J687" s="227" t="s">
        <v>19</v>
      </c>
      <c r="K687" s="227" t="s">
        <v>15</v>
      </c>
      <c r="L687" s="228" t="s">
        <v>328</v>
      </c>
      <c r="M687" s="228" t="s">
        <v>328</v>
      </c>
      <c r="N687" s="228" t="s">
        <v>328</v>
      </c>
      <c r="O687" s="229" t="s">
        <v>328</v>
      </c>
      <c r="P687" s="229" t="s">
        <v>328</v>
      </c>
      <c r="Q687" s="229" t="s">
        <v>328</v>
      </c>
      <c r="R687" s="229" t="s">
        <v>19</v>
      </c>
      <c r="S687" s="229" t="s">
        <v>15</v>
      </c>
      <c r="T687" s="229" t="s">
        <v>328</v>
      </c>
      <c r="U687" s="229" t="s">
        <v>328</v>
      </c>
      <c r="V687" s="229" t="s">
        <v>328</v>
      </c>
      <c r="W687" s="230" t="s">
        <v>19</v>
      </c>
      <c r="X687" s="230" t="s">
        <v>16</v>
      </c>
      <c r="Y687" s="231" t="s">
        <v>328</v>
      </c>
    </row>
    <row r="688" spans="1:25">
      <c r="A688" s="223">
        <v>19</v>
      </c>
      <c r="B688" s="224" t="str">
        <f>VLOOKUP(Tabel10[[#This Row],[Locatiecode]],Ruimtegroepen[[#All],[Code]:[Ruimte omschrijving]],2,FALSE)</f>
        <v>Kleedruimten</v>
      </c>
      <c r="C688" s="225" t="s">
        <v>1140</v>
      </c>
      <c r="D688" s="224" t="s">
        <v>32</v>
      </c>
      <c r="E688" s="226" t="s">
        <v>120</v>
      </c>
      <c r="F688" s="225" t="s">
        <v>1142</v>
      </c>
      <c r="G688" s="228" t="s">
        <v>328</v>
      </c>
      <c r="H688" s="228" t="s">
        <v>328</v>
      </c>
      <c r="I688" s="228" t="s">
        <v>328</v>
      </c>
      <c r="J688" s="228" t="s">
        <v>328</v>
      </c>
      <c r="K688" s="228" t="s">
        <v>328</v>
      </c>
      <c r="L688" s="228" t="s">
        <v>328</v>
      </c>
      <c r="M688" s="228" t="s">
        <v>328</v>
      </c>
      <c r="N688" s="228" t="s">
        <v>328</v>
      </c>
      <c r="O688" s="229" t="s">
        <v>328</v>
      </c>
      <c r="P688" s="229" t="s">
        <v>328</v>
      </c>
      <c r="Q688" s="229" t="s">
        <v>328</v>
      </c>
      <c r="R688" s="229" t="s">
        <v>328</v>
      </c>
      <c r="S688" s="229" t="s">
        <v>328</v>
      </c>
      <c r="T688" s="229" t="s">
        <v>328</v>
      </c>
      <c r="U688" s="229" t="s">
        <v>328</v>
      </c>
      <c r="V688" s="229" t="s">
        <v>328</v>
      </c>
      <c r="W688" s="230" t="s">
        <v>328</v>
      </c>
      <c r="X688" s="230" t="s">
        <v>328</v>
      </c>
      <c r="Y688" s="231" t="s">
        <v>328</v>
      </c>
    </row>
    <row r="689" spans="1:25">
      <c r="A689" s="223">
        <v>19</v>
      </c>
      <c r="B689" s="224" t="str">
        <f>VLOOKUP(Tabel10[[#This Row],[Locatiecode]],Ruimtegroepen[[#All],[Code]:[Ruimte omschrijving]],2,FALSE)</f>
        <v>Kleedruimten</v>
      </c>
      <c r="C689" s="225" t="s">
        <v>1140</v>
      </c>
      <c r="D689" s="224" t="s">
        <v>32</v>
      </c>
      <c r="E689" s="226" t="s">
        <v>122</v>
      </c>
      <c r="F689" s="225" t="s">
        <v>1143</v>
      </c>
      <c r="G689" s="228" t="s">
        <v>328</v>
      </c>
      <c r="H689" s="228" t="s">
        <v>328</v>
      </c>
      <c r="I689" s="228" t="s">
        <v>19</v>
      </c>
      <c r="J689" s="227" t="s">
        <v>19</v>
      </c>
      <c r="K689" s="227" t="s">
        <v>15</v>
      </c>
      <c r="L689" s="228" t="s">
        <v>328</v>
      </c>
      <c r="M689" s="228" t="s">
        <v>328</v>
      </c>
      <c r="N689" s="228" t="s">
        <v>328</v>
      </c>
      <c r="O689" s="229" t="s">
        <v>328</v>
      </c>
      <c r="P689" s="229" t="s">
        <v>328</v>
      </c>
      <c r="Q689" s="229" t="s">
        <v>328</v>
      </c>
      <c r="R689" s="229" t="s">
        <v>19</v>
      </c>
      <c r="S689" s="229" t="s">
        <v>15</v>
      </c>
      <c r="T689" s="229" t="s">
        <v>328</v>
      </c>
      <c r="U689" s="229" t="s">
        <v>328</v>
      </c>
      <c r="V689" s="229" t="s">
        <v>328</v>
      </c>
      <c r="W689" s="230" t="s">
        <v>19</v>
      </c>
      <c r="X689" s="230" t="s">
        <v>16</v>
      </c>
      <c r="Y689" s="231" t="s">
        <v>328</v>
      </c>
    </row>
    <row r="690" spans="1:25">
      <c r="A690" s="223">
        <v>19</v>
      </c>
      <c r="B690" s="224" t="str">
        <f>VLOOKUP(Tabel10[[#This Row],[Locatiecode]],Ruimtegroepen[[#All],[Code]:[Ruimte omschrijving]],2,FALSE)</f>
        <v>Kleedruimten</v>
      </c>
      <c r="C690" s="225" t="s">
        <v>1140</v>
      </c>
      <c r="D690" s="224" t="s">
        <v>32</v>
      </c>
      <c r="E690" s="226" t="s">
        <v>123</v>
      </c>
      <c r="F690" s="225" t="s">
        <v>1144</v>
      </c>
      <c r="G690" s="228" t="s">
        <v>328</v>
      </c>
      <c r="H690" s="228" t="s">
        <v>328</v>
      </c>
      <c r="I690" s="228" t="s">
        <v>19</v>
      </c>
      <c r="J690" s="227" t="s">
        <v>19</v>
      </c>
      <c r="K690" s="227" t="s">
        <v>15</v>
      </c>
      <c r="L690" s="228" t="s">
        <v>328</v>
      </c>
      <c r="M690" s="228" t="s">
        <v>328</v>
      </c>
      <c r="N690" s="228" t="s">
        <v>328</v>
      </c>
      <c r="O690" s="229" t="s">
        <v>328</v>
      </c>
      <c r="P690" s="229" t="s">
        <v>328</v>
      </c>
      <c r="Q690" s="229" t="s">
        <v>328</v>
      </c>
      <c r="R690" s="229" t="s">
        <v>19</v>
      </c>
      <c r="S690" s="229" t="s">
        <v>15</v>
      </c>
      <c r="T690" s="229" t="s">
        <v>328</v>
      </c>
      <c r="U690" s="229" t="s">
        <v>328</v>
      </c>
      <c r="V690" s="229" t="s">
        <v>328</v>
      </c>
      <c r="W690" s="230" t="s">
        <v>19</v>
      </c>
      <c r="X690" s="230" t="s">
        <v>16</v>
      </c>
      <c r="Y690" s="231" t="s">
        <v>328</v>
      </c>
    </row>
    <row r="691" spans="1:25">
      <c r="A691" s="223">
        <v>19</v>
      </c>
      <c r="B691" s="224" t="str">
        <f>VLOOKUP(Tabel10[[#This Row],[Locatiecode]],Ruimtegroepen[[#All],[Code]:[Ruimte omschrijving]],2,FALSE)</f>
        <v>Kleedruimten</v>
      </c>
      <c r="C691" s="225" t="s">
        <v>1145</v>
      </c>
      <c r="D691" s="224" t="s">
        <v>1</v>
      </c>
      <c r="E691" s="226" t="s">
        <v>121</v>
      </c>
      <c r="F691" s="225" t="s">
        <v>1146</v>
      </c>
      <c r="G691" s="228" t="s">
        <v>328</v>
      </c>
      <c r="H691" s="228" t="s">
        <v>328</v>
      </c>
      <c r="I691" s="228" t="s">
        <v>2</v>
      </c>
      <c r="J691" s="227" t="s">
        <v>20</v>
      </c>
      <c r="K691" s="227" t="s">
        <v>15</v>
      </c>
      <c r="L691" s="228" t="s">
        <v>328</v>
      </c>
      <c r="M691" s="228" t="s">
        <v>328</v>
      </c>
      <c r="N691" s="228" t="s">
        <v>328</v>
      </c>
      <c r="O691" s="229" t="s">
        <v>328</v>
      </c>
      <c r="P691" s="229" t="s">
        <v>328</v>
      </c>
      <c r="Q691" s="229" t="s">
        <v>328</v>
      </c>
      <c r="R691" s="229" t="s">
        <v>2</v>
      </c>
      <c r="S691" s="229" t="s">
        <v>15</v>
      </c>
      <c r="T691" s="229" t="s">
        <v>328</v>
      </c>
      <c r="U691" s="229" t="s">
        <v>328</v>
      </c>
      <c r="V691" s="229" t="s">
        <v>328</v>
      </c>
      <c r="W691" s="230" t="s">
        <v>328</v>
      </c>
      <c r="X691" s="230" t="s">
        <v>328</v>
      </c>
      <c r="Y691" s="231" t="s">
        <v>328</v>
      </c>
    </row>
    <row r="692" spans="1:25">
      <c r="A692" s="223">
        <v>19</v>
      </c>
      <c r="B692" s="224" t="str">
        <f>VLOOKUP(Tabel10[[#This Row],[Locatiecode]],Ruimtegroepen[[#All],[Code]:[Ruimte omschrijving]],2,FALSE)</f>
        <v>Kleedruimten</v>
      </c>
      <c r="C692" s="225" t="s">
        <v>1145</v>
      </c>
      <c r="D692" s="224" t="s">
        <v>1</v>
      </c>
      <c r="E692" s="226" t="s">
        <v>120</v>
      </c>
      <c r="F692" s="225" t="s">
        <v>1147</v>
      </c>
      <c r="G692" s="228" t="s">
        <v>328</v>
      </c>
      <c r="H692" s="228" t="s">
        <v>328</v>
      </c>
      <c r="I692" s="228" t="s">
        <v>328</v>
      </c>
      <c r="J692" s="228" t="s">
        <v>328</v>
      </c>
      <c r="K692" s="228" t="s">
        <v>328</v>
      </c>
      <c r="L692" s="228" t="s">
        <v>328</v>
      </c>
      <c r="M692" s="228" t="s">
        <v>328</v>
      </c>
      <c r="N692" s="228" t="s">
        <v>328</v>
      </c>
      <c r="O692" s="229" t="s">
        <v>328</v>
      </c>
      <c r="P692" s="229" t="s">
        <v>328</v>
      </c>
      <c r="Q692" s="229" t="s">
        <v>328</v>
      </c>
      <c r="R692" s="229" t="s">
        <v>328</v>
      </c>
      <c r="S692" s="229" t="s">
        <v>328</v>
      </c>
      <c r="T692" s="229" t="s">
        <v>328</v>
      </c>
      <c r="U692" s="229" t="s">
        <v>328</v>
      </c>
      <c r="V692" s="229" t="s">
        <v>328</v>
      </c>
      <c r="W692" s="230" t="s">
        <v>328</v>
      </c>
      <c r="X692" s="230" t="s">
        <v>328</v>
      </c>
      <c r="Y692" s="231" t="s">
        <v>328</v>
      </c>
    </row>
    <row r="693" spans="1:25">
      <c r="A693" s="223">
        <v>19</v>
      </c>
      <c r="B693" s="224" t="str">
        <f>VLOOKUP(Tabel10[[#This Row],[Locatiecode]],Ruimtegroepen[[#All],[Code]:[Ruimte omschrijving]],2,FALSE)</f>
        <v>Kleedruimten</v>
      </c>
      <c r="C693" s="225" t="s">
        <v>1145</v>
      </c>
      <c r="D693" s="224" t="s">
        <v>1</v>
      </c>
      <c r="E693" s="226" t="s">
        <v>122</v>
      </c>
      <c r="F693" s="225" t="s">
        <v>1148</v>
      </c>
      <c r="G693" s="228" t="s">
        <v>328</v>
      </c>
      <c r="H693" s="228" t="s">
        <v>328</v>
      </c>
      <c r="I693" s="228" t="s">
        <v>2</v>
      </c>
      <c r="J693" s="227" t="s">
        <v>20</v>
      </c>
      <c r="K693" s="227" t="s">
        <v>15</v>
      </c>
      <c r="L693" s="228" t="s">
        <v>328</v>
      </c>
      <c r="M693" s="228" t="s">
        <v>328</v>
      </c>
      <c r="N693" s="228" t="s">
        <v>328</v>
      </c>
      <c r="O693" s="229" t="s">
        <v>328</v>
      </c>
      <c r="P693" s="229" t="s">
        <v>328</v>
      </c>
      <c r="Q693" s="229" t="s">
        <v>328</v>
      </c>
      <c r="R693" s="229" t="s">
        <v>2</v>
      </c>
      <c r="S693" s="229" t="s">
        <v>15</v>
      </c>
      <c r="T693" s="229" t="s">
        <v>328</v>
      </c>
      <c r="U693" s="229" t="s">
        <v>328</v>
      </c>
      <c r="V693" s="229" t="s">
        <v>328</v>
      </c>
      <c r="W693" s="230" t="s">
        <v>2</v>
      </c>
      <c r="X693" s="230" t="s">
        <v>16</v>
      </c>
      <c r="Y693" s="231" t="s">
        <v>328</v>
      </c>
    </row>
    <row r="694" spans="1:25">
      <c r="A694" s="223">
        <v>19</v>
      </c>
      <c r="B694" s="224" t="str">
        <f>VLOOKUP(Tabel10[[#This Row],[Locatiecode]],Ruimtegroepen[[#All],[Code]:[Ruimte omschrijving]],2,FALSE)</f>
        <v>Kleedruimten</v>
      </c>
      <c r="C694" s="225" t="s">
        <v>1145</v>
      </c>
      <c r="D694" s="224" t="s">
        <v>1</v>
      </c>
      <c r="E694" s="226" t="s">
        <v>123</v>
      </c>
      <c r="F694" s="225" t="s">
        <v>1149</v>
      </c>
      <c r="G694" s="228" t="s">
        <v>328</v>
      </c>
      <c r="H694" s="228" t="s">
        <v>328</v>
      </c>
      <c r="I694" s="228" t="s">
        <v>2</v>
      </c>
      <c r="J694" s="227" t="s">
        <v>20</v>
      </c>
      <c r="K694" s="227" t="s">
        <v>15</v>
      </c>
      <c r="L694" s="228" t="s">
        <v>328</v>
      </c>
      <c r="M694" s="228" t="s">
        <v>328</v>
      </c>
      <c r="N694" s="228" t="s">
        <v>328</v>
      </c>
      <c r="O694" s="229" t="s">
        <v>328</v>
      </c>
      <c r="P694" s="229" t="s">
        <v>328</v>
      </c>
      <c r="Q694" s="229" t="s">
        <v>328</v>
      </c>
      <c r="R694" s="229" t="s">
        <v>2</v>
      </c>
      <c r="S694" s="229" t="s">
        <v>15</v>
      </c>
      <c r="T694" s="229" t="s">
        <v>328</v>
      </c>
      <c r="U694" s="229" t="s">
        <v>328</v>
      </c>
      <c r="V694" s="229" t="s">
        <v>328</v>
      </c>
      <c r="W694" s="230" t="s">
        <v>2</v>
      </c>
      <c r="X694" s="230" t="s">
        <v>16</v>
      </c>
      <c r="Y694" s="231" t="s">
        <v>328</v>
      </c>
    </row>
    <row r="695" spans="1:25">
      <c r="A695" s="223">
        <v>19</v>
      </c>
      <c r="B695" s="224" t="str">
        <f>VLOOKUP(Tabel10[[#This Row],[Locatiecode]],Ruimtegroepen[[#All],[Code]:[Ruimte omschrijving]],2,FALSE)</f>
        <v>Kleedruimten</v>
      </c>
      <c r="C695" s="225" t="s">
        <v>1150</v>
      </c>
      <c r="D695" s="224" t="s">
        <v>21</v>
      </c>
      <c r="E695" s="226" t="s">
        <v>121</v>
      </c>
      <c r="F695" s="225" t="s">
        <v>1151</v>
      </c>
      <c r="G695" s="228" t="s">
        <v>328</v>
      </c>
      <c r="H695" s="228" t="s">
        <v>328</v>
      </c>
      <c r="I695" s="228" t="s">
        <v>20</v>
      </c>
      <c r="J695" s="227" t="s">
        <v>18</v>
      </c>
      <c r="K695" s="227" t="s">
        <v>15</v>
      </c>
      <c r="L695" s="228" t="s">
        <v>328</v>
      </c>
      <c r="M695" s="228" t="s">
        <v>328</v>
      </c>
      <c r="N695" s="228" t="s">
        <v>328</v>
      </c>
      <c r="O695" s="229" t="s">
        <v>328</v>
      </c>
      <c r="P695" s="229" t="s">
        <v>328</v>
      </c>
      <c r="Q695" s="229" t="s">
        <v>328</v>
      </c>
      <c r="R695" s="229" t="s">
        <v>20</v>
      </c>
      <c r="S695" s="229" t="s">
        <v>15</v>
      </c>
      <c r="T695" s="229" t="s">
        <v>328</v>
      </c>
      <c r="U695" s="229" t="s">
        <v>328</v>
      </c>
      <c r="V695" s="229" t="s">
        <v>328</v>
      </c>
      <c r="W695" s="230" t="s">
        <v>20</v>
      </c>
      <c r="X695" s="230" t="s">
        <v>16</v>
      </c>
      <c r="Y695" s="231" t="s">
        <v>328</v>
      </c>
    </row>
    <row r="696" spans="1:25">
      <c r="A696" s="223">
        <v>19</v>
      </c>
      <c r="B696" s="224" t="str">
        <f>VLOOKUP(Tabel10[[#This Row],[Locatiecode]],Ruimtegroepen[[#All],[Code]:[Ruimte omschrijving]],2,FALSE)</f>
        <v>Kleedruimten</v>
      </c>
      <c r="C696" s="225" t="s">
        <v>1150</v>
      </c>
      <c r="D696" s="224" t="s">
        <v>21</v>
      </c>
      <c r="E696" s="226" t="s">
        <v>120</v>
      </c>
      <c r="F696" s="225" t="s">
        <v>1152</v>
      </c>
      <c r="G696" s="228" t="s">
        <v>328</v>
      </c>
      <c r="H696" s="228" t="s">
        <v>328</v>
      </c>
      <c r="I696" s="228" t="s">
        <v>328</v>
      </c>
      <c r="J696" s="228" t="s">
        <v>328</v>
      </c>
      <c r="K696" s="228" t="s">
        <v>328</v>
      </c>
      <c r="L696" s="228" t="s">
        <v>328</v>
      </c>
      <c r="M696" s="228" t="s">
        <v>328</v>
      </c>
      <c r="N696" s="228" t="s">
        <v>328</v>
      </c>
      <c r="O696" s="229" t="s">
        <v>328</v>
      </c>
      <c r="P696" s="229" t="s">
        <v>328</v>
      </c>
      <c r="Q696" s="229" t="s">
        <v>328</v>
      </c>
      <c r="R696" s="229" t="s">
        <v>328</v>
      </c>
      <c r="S696" s="229" t="s">
        <v>328</v>
      </c>
      <c r="T696" s="229" t="s">
        <v>328</v>
      </c>
      <c r="U696" s="229" t="s">
        <v>328</v>
      </c>
      <c r="V696" s="229" t="s">
        <v>328</v>
      </c>
      <c r="W696" s="230" t="s">
        <v>328</v>
      </c>
      <c r="X696" s="230" t="s">
        <v>328</v>
      </c>
      <c r="Y696" s="231" t="s">
        <v>328</v>
      </c>
    </row>
    <row r="697" spans="1:25">
      <c r="A697" s="223">
        <v>19</v>
      </c>
      <c r="B697" s="224" t="str">
        <f>VLOOKUP(Tabel10[[#This Row],[Locatiecode]],Ruimtegroepen[[#All],[Code]:[Ruimte omschrijving]],2,FALSE)</f>
        <v>Kleedruimten</v>
      </c>
      <c r="C697" s="225" t="s">
        <v>1150</v>
      </c>
      <c r="D697" s="224" t="s">
        <v>21</v>
      </c>
      <c r="E697" s="226" t="s">
        <v>122</v>
      </c>
      <c r="F697" s="225" t="s">
        <v>1153</v>
      </c>
      <c r="G697" s="228" t="s">
        <v>328</v>
      </c>
      <c r="H697" s="228" t="s">
        <v>328</v>
      </c>
      <c r="I697" s="228" t="s">
        <v>20</v>
      </c>
      <c r="J697" s="227" t="s">
        <v>18</v>
      </c>
      <c r="K697" s="227" t="s">
        <v>15</v>
      </c>
      <c r="L697" s="228" t="s">
        <v>328</v>
      </c>
      <c r="M697" s="228" t="s">
        <v>328</v>
      </c>
      <c r="N697" s="228" t="s">
        <v>328</v>
      </c>
      <c r="O697" s="229" t="s">
        <v>328</v>
      </c>
      <c r="P697" s="229" t="s">
        <v>328</v>
      </c>
      <c r="Q697" s="229" t="s">
        <v>328</v>
      </c>
      <c r="R697" s="229" t="s">
        <v>20</v>
      </c>
      <c r="S697" s="229" t="s">
        <v>15</v>
      </c>
      <c r="T697" s="229" t="s">
        <v>328</v>
      </c>
      <c r="U697" s="229" t="s">
        <v>328</v>
      </c>
      <c r="V697" s="229" t="s">
        <v>328</v>
      </c>
      <c r="W697" s="281" t="s">
        <v>20</v>
      </c>
      <c r="X697" s="230" t="s">
        <v>16</v>
      </c>
      <c r="Y697" s="231" t="s">
        <v>328</v>
      </c>
    </row>
    <row r="698" spans="1:25">
      <c r="A698" s="223">
        <v>19</v>
      </c>
      <c r="B698" s="224" t="str">
        <f>VLOOKUP(Tabel10[[#This Row],[Locatiecode]],Ruimtegroepen[[#All],[Code]:[Ruimte omschrijving]],2,FALSE)</f>
        <v>Kleedruimten</v>
      </c>
      <c r="C698" s="225" t="s">
        <v>1150</v>
      </c>
      <c r="D698" s="224" t="s">
        <v>21</v>
      </c>
      <c r="E698" s="226" t="s">
        <v>123</v>
      </c>
      <c r="F698" s="225" t="s">
        <v>1154</v>
      </c>
      <c r="G698" s="228" t="s">
        <v>328</v>
      </c>
      <c r="H698" s="228" t="s">
        <v>328</v>
      </c>
      <c r="I698" s="228" t="s">
        <v>20</v>
      </c>
      <c r="J698" s="227" t="s">
        <v>18</v>
      </c>
      <c r="K698" s="227" t="s">
        <v>15</v>
      </c>
      <c r="L698" s="228" t="s">
        <v>328</v>
      </c>
      <c r="M698" s="228" t="s">
        <v>328</v>
      </c>
      <c r="N698" s="228" t="s">
        <v>328</v>
      </c>
      <c r="O698" s="229" t="s">
        <v>328</v>
      </c>
      <c r="P698" s="229" t="s">
        <v>328</v>
      </c>
      <c r="Q698" s="229" t="s">
        <v>328</v>
      </c>
      <c r="R698" s="229" t="s">
        <v>20</v>
      </c>
      <c r="S698" s="229" t="s">
        <v>15</v>
      </c>
      <c r="T698" s="229" t="s">
        <v>328</v>
      </c>
      <c r="U698" s="229" t="s">
        <v>328</v>
      </c>
      <c r="V698" s="229" t="s">
        <v>328</v>
      </c>
      <c r="W698" s="281" t="s">
        <v>20</v>
      </c>
      <c r="X698" s="230" t="s">
        <v>16</v>
      </c>
      <c r="Y698" s="231" t="s">
        <v>328</v>
      </c>
    </row>
    <row r="699" spans="1:25">
      <c r="A699" s="223">
        <v>19</v>
      </c>
      <c r="B699" s="224" t="str">
        <f>VLOOKUP(Tabel10[[#This Row],[Locatiecode]],Ruimtegroepen[[#All],[Code]:[Ruimte omschrijving]],2,FALSE)</f>
        <v>Kleedruimten</v>
      </c>
      <c r="C699" s="225" t="s">
        <v>1155</v>
      </c>
      <c r="D699" s="224" t="s">
        <v>12</v>
      </c>
      <c r="E699" s="226" t="s">
        <v>121</v>
      </c>
      <c r="F699" s="225" t="s">
        <v>1156</v>
      </c>
      <c r="G699" s="228" t="s">
        <v>328</v>
      </c>
      <c r="H699" s="228" t="s">
        <v>328</v>
      </c>
      <c r="I699" s="228" t="s">
        <v>18</v>
      </c>
      <c r="J699" s="227" t="s">
        <v>17</v>
      </c>
      <c r="K699" s="227" t="s">
        <v>15</v>
      </c>
      <c r="L699" s="228" t="s">
        <v>328</v>
      </c>
      <c r="M699" s="228" t="s">
        <v>328</v>
      </c>
      <c r="N699" s="228" t="s">
        <v>328</v>
      </c>
      <c r="O699" s="229" t="s">
        <v>328</v>
      </c>
      <c r="P699" s="229" t="s">
        <v>328</v>
      </c>
      <c r="Q699" s="229" t="s">
        <v>328</v>
      </c>
      <c r="R699" s="229" t="s">
        <v>18</v>
      </c>
      <c r="S699" s="229" t="s">
        <v>15</v>
      </c>
      <c r="T699" s="229" t="s">
        <v>328</v>
      </c>
      <c r="U699" s="229" t="s">
        <v>328</v>
      </c>
      <c r="V699" s="229" t="s">
        <v>328</v>
      </c>
      <c r="W699" s="230" t="s">
        <v>18</v>
      </c>
      <c r="X699" s="230" t="s">
        <v>16</v>
      </c>
      <c r="Y699" s="231" t="s">
        <v>328</v>
      </c>
    </row>
    <row r="700" spans="1:25">
      <c r="A700" s="223">
        <v>19</v>
      </c>
      <c r="B700" s="224" t="str">
        <f>VLOOKUP(Tabel10[[#This Row],[Locatiecode]],Ruimtegroepen[[#All],[Code]:[Ruimte omschrijving]],2,FALSE)</f>
        <v>Kleedruimten</v>
      </c>
      <c r="C700" s="225" t="s">
        <v>1155</v>
      </c>
      <c r="D700" s="224" t="s">
        <v>12</v>
      </c>
      <c r="E700" s="226" t="s">
        <v>120</v>
      </c>
      <c r="F700" s="225" t="s">
        <v>1157</v>
      </c>
      <c r="G700" s="228" t="s">
        <v>328</v>
      </c>
      <c r="H700" s="228" t="s">
        <v>328</v>
      </c>
      <c r="I700" s="228" t="s">
        <v>328</v>
      </c>
      <c r="J700" s="228" t="s">
        <v>328</v>
      </c>
      <c r="K700" s="228" t="s">
        <v>328</v>
      </c>
      <c r="L700" s="228" t="s">
        <v>328</v>
      </c>
      <c r="M700" s="228" t="s">
        <v>328</v>
      </c>
      <c r="N700" s="228" t="s">
        <v>328</v>
      </c>
      <c r="O700" s="229" t="s">
        <v>328</v>
      </c>
      <c r="P700" s="229" t="s">
        <v>328</v>
      </c>
      <c r="Q700" s="229" t="s">
        <v>328</v>
      </c>
      <c r="R700" s="229" t="s">
        <v>328</v>
      </c>
      <c r="S700" s="229" t="s">
        <v>328</v>
      </c>
      <c r="T700" s="229" t="s">
        <v>328</v>
      </c>
      <c r="U700" s="229" t="s">
        <v>328</v>
      </c>
      <c r="V700" s="229" t="s">
        <v>328</v>
      </c>
      <c r="W700" s="230" t="s">
        <v>328</v>
      </c>
      <c r="X700" s="230" t="s">
        <v>328</v>
      </c>
      <c r="Y700" s="231" t="s">
        <v>328</v>
      </c>
    </row>
    <row r="701" spans="1:25">
      <c r="A701" s="223">
        <v>19</v>
      </c>
      <c r="B701" s="224" t="str">
        <f>VLOOKUP(Tabel10[[#This Row],[Locatiecode]],Ruimtegroepen[[#All],[Code]:[Ruimte omschrijving]],2,FALSE)</f>
        <v>Kleedruimten</v>
      </c>
      <c r="C701" s="225" t="s">
        <v>1155</v>
      </c>
      <c r="D701" s="224" t="s">
        <v>12</v>
      </c>
      <c r="E701" s="226" t="s">
        <v>122</v>
      </c>
      <c r="F701" s="225" t="s">
        <v>1158</v>
      </c>
      <c r="G701" s="228" t="s">
        <v>328</v>
      </c>
      <c r="H701" s="228" t="s">
        <v>328</v>
      </c>
      <c r="I701" s="228" t="s">
        <v>18</v>
      </c>
      <c r="J701" s="227" t="s">
        <v>17</v>
      </c>
      <c r="K701" s="227" t="s">
        <v>15</v>
      </c>
      <c r="L701" s="228" t="s">
        <v>328</v>
      </c>
      <c r="M701" s="228" t="s">
        <v>328</v>
      </c>
      <c r="N701" s="228" t="s">
        <v>328</v>
      </c>
      <c r="O701" s="229" t="s">
        <v>328</v>
      </c>
      <c r="P701" s="229" t="s">
        <v>328</v>
      </c>
      <c r="Q701" s="229" t="s">
        <v>328</v>
      </c>
      <c r="R701" s="229" t="s">
        <v>18</v>
      </c>
      <c r="S701" s="229" t="s">
        <v>15</v>
      </c>
      <c r="T701" s="229" t="s">
        <v>328</v>
      </c>
      <c r="U701" s="229" t="s">
        <v>328</v>
      </c>
      <c r="V701" s="229" t="s">
        <v>328</v>
      </c>
      <c r="W701" s="281" t="s">
        <v>18</v>
      </c>
      <c r="X701" s="230" t="s">
        <v>16</v>
      </c>
      <c r="Y701" s="231" t="s">
        <v>328</v>
      </c>
    </row>
    <row r="702" spans="1:25">
      <c r="A702" s="223">
        <v>19</v>
      </c>
      <c r="B702" s="224" t="str">
        <f>VLOOKUP(Tabel10[[#This Row],[Locatiecode]],Ruimtegroepen[[#All],[Code]:[Ruimte omschrijving]],2,FALSE)</f>
        <v>Kleedruimten</v>
      </c>
      <c r="C702" s="225" t="s">
        <v>1155</v>
      </c>
      <c r="D702" s="224" t="s">
        <v>12</v>
      </c>
      <c r="E702" s="226" t="s">
        <v>123</v>
      </c>
      <c r="F702" s="225" t="s">
        <v>1159</v>
      </c>
      <c r="G702" s="228" t="s">
        <v>328</v>
      </c>
      <c r="H702" s="228" t="s">
        <v>328</v>
      </c>
      <c r="I702" s="228" t="s">
        <v>18</v>
      </c>
      <c r="J702" s="227" t="s">
        <v>17</v>
      </c>
      <c r="K702" s="227" t="s">
        <v>15</v>
      </c>
      <c r="L702" s="228" t="s">
        <v>328</v>
      </c>
      <c r="M702" s="228" t="s">
        <v>328</v>
      </c>
      <c r="N702" s="228" t="s">
        <v>328</v>
      </c>
      <c r="O702" s="229" t="s">
        <v>328</v>
      </c>
      <c r="P702" s="229" t="s">
        <v>328</v>
      </c>
      <c r="Q702" s="229" t="s">
        <v>328</v>
      </c>
      <c r="R702" s="229" t="s">
        <v>18</v>
      </c>
      <c r="S702" s="229" t="s">
        <v>15</v>
      </c>
      <c r="T702" s="229" t="s">
        <v>328</v>
      </c>
      <c r="U702" s="229" t="s">
        <v>328</v>
      </c>
      <c r="V702" s="229" t="s">
        <v>328</v>
      </c>
      <c r="W702" s="281" t="s">
        <v>18</v>
      </c>
      <c r="X702" s="230" t="s">
        <v>16</v>
      </c>
      <c r="Y702" s="231" t="s">
        <v>328</v>
      </c>
    </row>
    <row r="703" spans="1:25">
      <c r="A703" s="223">
        <v>19</v>
      </c>
      <c r="B703" s="224" t="str">
        <f>VLOOKUP(Tabel10[[#This Row],[Locatiecode]],Ruimtegroepen[[#All],[Code]:[Ruimte omschrijving]],2,FALSE)</f>
        <v>Kleedruimten</v>
      </c>
      <c r="C703" s="225" t="s">
        <v>1160</v>
      </c>
      <c r="D703" s="224" t="s">
        <v>14</v>
      </c>
      <c r="E703" s="226" t="s">
        <v>121</v>
      </c>
      <c r="F703" s="225" t="s">
        <v>1161</v>
      </c>
      <c r="G703" s="228" t="s">
        <v>328</v>
      </c>
      <c r="H703" s="228" t="s">
        <v>328</v>
      </c>
      <c r="I703" s="228" t="s">
        <v>17</v>
      </c>
      <c r="J703" s="228" t="s">
        <v>15</v>
      </c>
      <c r="K703" s="227" t="s">
        <v>15</v>
      </c>
      <c r="L703" s="228" t="s">
        <v>328</v>
      </c>
      <c r="M703" s="228" t="s">
        <v>328</v>
      </c>
      <c r="N703" s="228" t="s">
        <v>328</v>
      </c>
      <c r="O703" s="229" t="s">
        <v>328</v>
      </c>
      <c r="P703" s="229" t="s">
        <v>328</v>
      </c>
      <c r="Q703" s="229" t="s">
        <v>328</v>
      </c>
      <c r="R703" s="229" t="s">
        <v>17</v>
      </c>
      <c r="S703" s="229" t="s">
        <v>15</v>
      </c>
      <c r="T703" s="229" t="s">
        <v>328</v>
      </c>
      <c r="U703" s="229" t="s">
        <v>328</v>
      </c>
      <c r="V703" s="229" t="s">
        <v>328</v>
      </c>
      <c r="W703" s="230" t="s">
        <v>17</v>
      </c>
      <c r="X703" s="230" t="s">
        <v>16</v>
      </c>
      <c r="Y703" s="231" t="s">
        <v>328</v>
      </c>
    </row>
    <row r="704" spans="1:25">
      <c r="A704" s="223">
        <v>19</v>
      </c>
      <c r="B704" s="224" t="str">
        <f>VLOOKUP(Tabel10[[#This Row],[Locatiecode]],Ruimtegroepen[[#All],[Code]:[Ruimte omschrijving]],2,FALSE)</f>
        <v>Kleedruimten</v>
      </c>
      <c r="C704" s="225" t="s">
        <v>1160</v>
      </c>
      <c r="D704" s="224" t="s">
        <v>14</v>
      </c>
      <c r="E704" s="226" t="s">
        <v>120</v>
      </c>
      <c r="F704" s="225" t="s">
        <v>1162</v>
      </c>
      <c r="G704" s="228" t="s">
        <v>328</v>
      </c>
      <c r="H704" s="228" t="s">
        <v>328</v>
      </c>
      <c r="I704" s="228" t="s">
        <v>328</v>
      </c>
      <c r="J704" s="228" t="s">
        <v>328</v>
      </c>
      <c r="K704" s="228" t="s">
        <v>328</v>
      </c>
      <c r="L704" s="228" t="s">
        <v>328</v>
      </c>
      <c r="M704" s="228" t="s">
        <v>328</v>
      </c>
      <c r="N704" s="228" t="s">
        <v>328</v>
      </c>
      <c r="O704" s="229" t="s">
        <v>328</v>
      </c>
      <c r="P704" s="229" t="s">
        <v>328</v>
      </c>
      <c r="Q704" s="229" t="s">
        <v>328</v>
      </c>
      <c r="R704" s="229" t="s">
        <v>328</v>
      </c>
      <c r="S704" s="229" t="s">
        <v>328</v>
      </c>
      <c r="T704" s="229" t="s">
        <v>328</v>
      </c>
      <c r="U704" s="229" t="s">
        <v>328</v>
      </c>
      <c r="V704" s="229" t="s">
        <v>328</v>
      </c>
      <c r="W704" s="230" t="s">
        <v>328</v>
      </c>
      <c r="X704" s="230" t="s">
        <v>328</v>
      </c>
      <c r="Y704" s="231" t="s">
        <v>328</v>
      </c>
    </row>
    <row r="705" spans="1:25">
      <c r="A705" s="223">
        <v>19</v>
      </c>
      <c r="B705" s="224" t="str">
        <f>VLOOKUP(Tabel10[[#This Row],[Locatiecode]],Ruimtegroepen[[#All],[Code]:[Ruimte omschrijving]],2,FALSE)</f>
        <v>Kleedruimten</v>
      </c>
      <c r="C705" s="225" t="s">
        <v>1160</v>
      </c>
      <c r="D705" s="224" t="s">
        <v>14</v>
      </c>
      <c r="E705" s="226" t="s">
        <v>122</v>
      </c>
      <c r="F705" s="225" t="s">
        <v>1163</v>
      </c>
      <c r="G705" s="228" t="s">
        <v>328</v>
      </c>
      <c r="H705" s="228" t="s">
        <v>328</v>
      </c>
      <c r="I705" s="228" t="s">
        <v>17</v>
      </c>
      <c r="J705" s="228" t="s">
        <v>15</v>
      </c>
      <c r="K705" s="227" t="s">
        <v>15</v>
      </c>
      <c r="L705" s="228" t="s">
        <v>328</v>
      </c>
      <c r="M705" s="228" t="s">
        <v>328</v>
      </c>
      <c r="N705" s="228" t="s">
        <v>328</v>
      </c>
      <c r="O705" s="229" t="s">
        <v>328</v>
      </c>
      <c r="P705" s="229" t="s">
        <v>328</v>
      </c>
      <c r="Q705" s="229" t="s">
        <v>328</v>
      </c>
      <c r="R705" s="229" t="s">
        <v>17</v>
      </c>
      <c r="S705" s="229" t="s">
        <v>15</v>
      </c>
      <c r="T705" s="229" t="s">
        <v>328</v>
      </c>
      <c r="U705" s="229" t="s">
        <v>328</v>
      </c>
      <c r="V705" s="229" t="s">
        <v>328</v>
      </c>
      <c r="W705" s="281" t="s">
        <v>17</v>
      </c>
      <c r="X705" s="230" t="s">
        <v>16</v>
      </c>
      <c r="Y705" s="231" t="s">
        <v>328</v>
      </c>
    </row>
    <row r="706" spans="1:25">
      <c r="A706" s="223">
        <v>19</v>
      </c>
      <c r="B706" s="224" t="str">
        <f>VLOOKUP(Tabel10[[#This Row],[Locatiecode]],Ruimtegroepen[[#All],[Code]:[Ruimte omschrijving]],2,FALSE)</f>
        <v>Kleedruimten</v>
      </c>
      <c r="C706" s="225" t="s">
        <v>1160</v>
      </c>
      <c r="D706" s="224" t="s">
        <v>14</v>
      </c>
      <c r="E706" s="226" t="s">
        <v>123</v>
      </c>
      <c r="F706" s="225" t="s">
        <v>1164</v>
      </c>
      <c r="G706" s="228" t="s">
        <v>328</v>
      </c>
      <c r="H706" s="228" t="s">
        <v>328</v>
      </c>
      <c r="I706" s="228" t="s">
        <v>17</v>
      </c>
      <c r="J706" s="228" t="s">
        <v>15</v>
      </c>
      <c r="K706" s="227" t="s">
        <v>15</v>
      </c>
      <c r="L706" s="228" t="s">
        <v>328</v>
      </c>
      <c r="M706" s="228" t="s">
        <v>328</v>
      </c>
      <c r="N706" s="228" t="s">
        <v>328</v>
      </c>
      <c r="O706" s="229" t="s">
        <v>328</v>
      </c>
      <c r="P706" s="229" t="s">
        <v>328</v>
      </c>
      <c r="Q706" s="229" t="s">
        <v>328</v>
      </c>
      <c r="R706" s="229" t="s">
        <v>17</v>
      </c>
      <c r="S706" s="229" t="s">
        <v>15</v>
      </c>
      <c r="T706" s="229" t="s">
        <v>328</v>
      </c>
      <c r="U706" s="229" t="s">
        <v>328</v>
      </c>
      <c r="V706" s="229" t="s">
        <v>328</v>
      </c>
      <c r="W706" s="281" t="s">
        <v>17</v>
      </c>
      <c r="X706" s="230" t="s">
        <v>16</v>
      </c>
      <c r="Y706" s="231" t="s">
        <v>328</v>
      </c>
    </row>
    <row r="707" spans="1:25">
      <c r="A707" s="223">
        <v>19</v>
      </c>
      <c r="B707" s="224" t="str">
        <f>VLOOKUP(Tabel10[[#This Row],[Locatiecode]],Ruimtegroepen[[#All],[Code]:[Ruimte omschrijving]],2,FALSE)</f>
        <v>Kleedruimten</v>
      </c>
      <c r="C707" s="225" t="s">
        <v>1165</v>
      </c>
      <c r="D707" s="224" t="s">
        <v>13</v>
      </c>
      <c r="E707" s="226" t="s">
        <v>121</v>
      </c>
      <c r="F707" s="225" t="s">
        <v>1166</v>
      </c>
      <c r="G707" s="228" t="s">
        <v>328</v>
      </c>
      <c r="H707" s="228" t="s">
        <v>328</v>
      </c>
      <c r="I707" s="228" t="s">
        <v>15</v>
      </c>
      <c r="J707" s="227" t="s">
        <v>328</v>
      </c>
      <c r="K707" s="227" t="s">
        <v>15</v>
      </c>
      <c r="L707" s="228" t="s">
        <v>328</v>
      </c>
      <c r="M707" s="228" t="s">
        <v>328</v>
      </c>
      <c r="N707" s="228" t="s">
        <v>328</v>
      </c>
      <c r="O707" s="229" t="s">
        <v>328</v>
      </c>
      <c r="P707" s="229" t="s">
        <v>328</v>
      </c>
      <c r="Q707" s="229" t="s">
        <v>328</v>
      </c>
      <c r="R707" s="229" t="s">
        <v>15</v>
      </c>
      <c r="S707" s="229" t="s">
        <v>15</v>
      </c>
      <c r="T707" s="229" t="s">
        <v>328</v>
      </c>
      <c r="U707" s="229" t="s">
        <v>328</v>
      </c>
      <c r="V707" s="229" t="s">
        <v>328</v>
      </c>
      <c r="W707" s="230" t="s">
        <v>15</v>
      </c>
      <c r="X707" s="230" t="s">
        <v>16</v>
      </c>
      <c r="Y707" s="231" t="s">
        <v>328</v>
      </c>
    </row>
    <row r="708" spans="1:25">
      <c r="A708" s="223">
        <v>19</v>
      </c>
      <c r="B708" s="224" t="str">
        <f>VLOOKUP(Tabel10[[#This Row],[Locatiecode]],Ruimtegroepen[[#All],[Code]:[Ruimte omschrijving]],2,FALSE)</f>
        <v>Kleedruimten</v>
      </c>
      <c r="C708" s="225" t="s">
        <v>1165</v>
      </c>
      <c r="D708" s="224" t="s">
        <v>13</v>
      </c>
      <c r="E708" s="226" t="s">
        <v>120</v>
      </c>
      <c r="F708" s="225" t="s">
        <v>1167</v>
      </c>
      <c r="G708" s="228" t="s">
        <v>328</v>
      </c>
      <c r="H708" s="228" t="s">
        <v>328</v>
      </c>
      <c r="I708" s="228" t="s">
        <v>328</v>
      </c>
      <c r="J708" s="228" t="s">
        <v>328</v>
      </c>
      <c r="K708" s="228" t="s">
        <v>328</v>
      </c>
      <c r="L708" s="228" t="s">
        <v>328</v>
      </c>
      <c r="M708" s="228" t="s">
        <v>328</v>
      </c>
      <c r="N708" s="228" t="s">
        <v>328</v>
      </c>
      <c r="O708" s="229" t="s">
        <v>328</v>
      </c>
      <c r="P708" s="229" t="s">
        <v>328</v>
      </c>
      <c r="Q708" s="229" t="s">
        <v>328</v>
      </c>
      <c r="R708" s="229" t="s">
        <v>328</v>
      </c>
      <c r="S708" s="229" t="s">
        <v>328</v>
      </c>
      <c r="T708" s="229" t="s">
        <v>328</v>
      </c>
      <c r="U708" s="229" t="s">
        <v>328</v>
      </c>
      <c r="V708" s="229" t="s">
        <v>328</v>
      </c>
      <c r="W708" s="230" t="s">
        <v>328</v>
      </c>
      <c r="X708" s="230" t="s">
        <v>328</v>
      </c>
      <c r="Y708" s="231" t="s">
        <v>328</v>
      </c>
    </row>
    <row r="709" spans="1:25">
      <c r="A709" s="223">
        <v>19</v>
      </c>
      <c r="B709" s="224" t="str">
        <f>VLOOKUP(Tabel10[[#This Row],[Locatiecode]],Ruimtegroepen[[#All],[Code]:[Ruimte omschrijving]],2,FALSE)</f>
        <v>Kleedruimten</v>
      </c>
      <c r="C709" s="225" t="s">
        <v>1165</v>
      </c>
      <c r="D709" s="224" t="s">
        <v>13</v>
      </c>
      <c r="E709" s="226" t="s">
        <v>122</v>
      </c>
      <c r="F709" s="225" t="s">
        <v>1168</v>
      </c>
      <c r="G709" s="228" t="s">
        <v>328</v>
      </c>
      <c r="H709" s="228" t="s">
        <v>328</v>
      </c>
      <c r="I709" s="228" t="s">
        <v>15</v>
      </c>
      <c r="J709" s="227" t="s">
        <v>328</v>
      </c>
      <c r="K709" s="227" t="s">
        <v>15</v>
      </c>
      <c r="L709" s="228" t="s">
        <v>328</v>
      </c>
      <c r="M709" s="228" t="s">
        <v>328</v>
      </c>
      <c r="N709" s="228" t="s">
        <v>328</v>
      </c>
      <c r="O709" s="229" t="s">
        <v>328</v>
      </c>
      <c r="P709" s="229" t="s">
        <v>328</v>
      </c>
      <c r="Q709" s="229" t="s">
        <v>328</v>
      </c>
      <c r="R709" s="229" t="s">
        <v>15</v>
      </c>
      <c r="S709" s="229" t="s">
        <v>15</v>
      </c>
      <c r="T709" s="229" t="s">
        <v>328</v>
      </c>
      <c r="U709" s="229" t="s">
        <v>328</v>
      </c>
      <c r="V709" s="229" t="s">
        <v>328</v>
      </c>
      <c r="W709" s="281" t="s">
        <v>15</v>
      </c>
      <c r="X709" s="230" t="s">
        <v>16</v>
      </c>
      <c r="Y709" s="231" t="s">
        <v>328</v>
      </c>
    </row>
    <row r="710" spans="1:25">
      <c r="A710" s="223">
        <v>19</v>
      </c>
      <c r="B710" s="224" t="str">
        <f>VLOOKUP(Tabel10[[#This Row],[Locatiecode]],Ruimtegroepen[[#All],[Code]:[Ruimte omschrijving]],2,FALSE)</f>
        <v>Kleedruimten</v>
      </c>
      <c r="C710" s="225" t="s">
        <v>1165</v>
      </c>
      <c r="D710" s="224" t="s">
        <v>13</v>
      </c>
      <c r="E710" s="226" t="s">
        <v>123</v>
      </c>
      <c r="F710" s="225" t="s">
        <v>1169</v>
      </c>
      <c r="G710" s="228" t="s">
        <v>328</v>
      </c>
      <c r="H710" s="228" t="s">
        <v>328</v>
      </c>
      <c r="I710" s="228" t="s">
        <v>15</v>
      </c>
      <c r="J710" s="227" t="s">
        <v>328</v>
      </c>
      <c r="K710" s="227" t="s">
        <v>15</v>
      </c>
      <c r="L710" s="228" t="s">
        <v>328</v>
      </c>
      <c r="M710" s="228" t="s">
        <v>328</v>
      </c>
      <c r="N710" s="228" t="s">
        <v>328</v>
      </c>
      <c r="O710" s="229" t="s">
        <v>328</v>
      </c>
      <c r="P710" s="229" t="s">
        <v>328</v>
      </c>
      <c r="Q710" s="229" t="s">
        <v>328</v>
      </c>
      <c r="R710" s="229" t="s">
        <v>15</v>
      </c>
      <c r="S710" s="229" t="s">
        <v>15</v>
      </c>
      <c r="T710" s="229" t="s">
        <v>328</v>
      </c>
      <c r="U710" s="229" t="s">
        <v>328</v>
      </c>
      <c r="V710" s="229" t="s">
        <v>328</v>
      </c>
      <c r="W710" s="281" t="s">
        <v>15</v>
      </c>
      <c r="X710" s="230" t="s">
        <v>16</v>
      </c>
      <c r="Y710" s="231" t="s">
        <v>328</v>
      </c>
    </row>
    <row r="711" spans="1:25">
      <c r="A711" s="223">
        <v>19</v>
      </c>
      <c r="B711" s="224" t="str">
        <f>VLOOKUP(Tabel10[[#This Row],[Locatiecode]],Ruimtegroepen[[#All],[Code]:[Ruimte omschrijving]],2,FALSE)</f>
        <v>Kleedruimten</v>
      </c>
      <c r="C711" s="225" t="s">
        <v>1170</v>
      </c>
      <c r="D711" s="224" t="s">
        <v>0</v>
      </c>
      <c r="E711" s="226" t="s">
        <v>121</v>
      </c>
      <c r="F711" s="225" t="s">
        <v>1171</v>
      </c>
      <c r="G711" s="228" t="s">
        <v>328</v>
      </c>
      <c r="H711" s="228" t="s">
        <v>328</v>
      </c>
      <c r="I711" s="228" t="s">
        <v>16</v>
      </c>
      <c r="J711" s="227" t="s">
        <v>328</v>
      </c>
      <c r="K711" s="228" t="s">
        <v>16</v>
      </c>
      <c r="L711" s="228" t="s">
        <v>328</v>
      </c>
      <c r="M711" s="228" t="s">
        <v>328</v>
      </c>
      <c r="N711" s="228" t="s">
        <v>328</v>
      </c>
      <c r="O711" s="229" t="s">
        <v>328</v>
      </c>
      <c r="P711" s="229" t="s">
        <v>328</v>
      </c>
      <c r="Q711" s="229" t="s">
        <v>328</v>
      </c>
      <c r="R711" s="229" t="s">
        <v>16</v>
      </c>
      <c r="S711" s="229" t="s">
        <v>16</v>
      </c>
      <c r="T711" s="229" t="s">
        <v>328</v>
      </c>
      <c r="U711" s="229" t="s">
        <v>328</v>
      </c>
      <c r="V711" s="229" t="s">
        <v>328</v>
      </c>
      <c r="W711" s="230" t="s">
        <v>16</v>
      </c>
      <c r="X711" s="230" t="s">
        <v>16</v>
      </c>
      <c r="Y711" s="231" t="s">
        <v>328</v>
      </c>
    </row>
    <row r="712" spans="1:25">
      <c r="A712" s="223">
        <v>19</v>
      </c>
      <c r="B712" s="224" t="str">
        <f>VLOOKUP(Tabel10[[#This Row],[Locatiecode]],Ruimtegroepen[[#All],[Code]:[Ruimte omschrijving]],2,FALSE)</f>
        <v>Kleedruimten</v>
      </c>
      <c r="C712" s="225" t="s">
        <v>1170</v>
      </c>
      <c r="D712" s="224" t="s">
        <v>0</v>
      </c>
      <c r="E712" s="226" t="s">
        <v>120</v>
      </c>
      <c r="F712" s="225" t="s">
        <v>1172</v>
      </c>
      <c r="G712" s="228" t="s">
        <v>328</v>
      </c>
      <c r="H712" s="228" t="s">
        <v>328</v>
      </c>
      <c r="I712" s="228" t="s">
        <v>328</v>
      </c>
      <c r="J712" s="228" t="s">
        <v>328</v>
      </c>
      <c r="K712" s="228" t="s">
        <v>328</v>
      </c>
      <c r="L712" s="228" t="s">
        <v>328</v>
      </c>
      <c r="M712" s="228" t="s">
        <v>328</v>
      </c>
      <c r="N712" s="228" t="s">
        <v>328</v>
      </c>
      <c r="O712" s="229" t="s">
        <v>328</v>
      </c>
      <c r="P712" s="229" t="s">
        <v>328</v>
      </c>
      <c r="Q712" s="229" t="s">
        <v>328</v>
      </c>
      <c r="R712" s="229" t="s">
        <v>328</v>
      </c>
      <c r="S712" s="229" t="s">
        <v>328</v>
      </c>
      <c r="T712" s="229" t="s">
        <v>328</v>
      </c>
      <c r="U712" s="229" t="s">
        <v>328</v>
      </c>
      <c r="V712" s="229" t="s">
        <v>328</v>
      </c>
      <c r="W712" s="230" t="s">
        <v>328</v>
      </c>
      <c r="X712" s="230" t="s">
        <v>328</v>
      </c>
      <c r="Y712" s="231" t="s">
        <v>328</v>
      </c>
    </row>
    <row r="713" spans="1:25">
      <c r="A713" s="223">
        <v>19</v>
      </c>
      <c r="B713" s="224" t="str">
        <f>VLOOKUP(Tabel10[[#This Row],[Locatiecode]],Ruimtegroepen[[#All],[Code]:[Ruimte omschrijving]],2,FALSE)</f>
        <v>Kleedruimten</v>
      </c>
      <c r="C713" s="225" t="s">
        <v>1170</v>
      </c>
      <c r="D713" s="224" t="s">
        <v>0</v>
      </c>
      <c r="E713" s="226" t="s">
        <v>122</v>
      </c>
      <c r="F713" s="225" t="s">
        <v>1173</v>
      </c>
      <c r="G713" s="228" t="s">
        <v>328</v>
      </c>
      <c r="H713" s="228" t="s">
        <v>328</v>
      </c>
      <c r="I713" s="228" t="s">
        <v>16</v>
      </c>
      <c r="J713" s="227" t="s">
        <v>328</v>
      </c>
      <c r="K713" s="228" t="s">
        <v>16</v>
      </c>
      <c r="L713" s="228" t="s">
        <v>328</v>
      </c>
      <c r="M713" s="228" t="s">
        <v>328</v>
      </c>
      <c r="N713" s="228" t="s">
        <v>328</v>
      </c>
      <c r="O713" s="229" t="s">
        <v>328</v>
      </c>
      <c r="P713" s="229" t="s">
        <v>328</v>
      </c>
      <c r="Q713" s="229" t="s">
        <v>328</v>
      </c>
      <c r="R713" s="229" t="s">
        <v>16</v>
      </c>
      <c r="S713" s="229" t="s">
        <v>16</v>
      </c>
      <c r="T713" s="229" t="s">
        <v>328</v>
      </c>
      <c r="U713" s="229" t="s">
        <v>328</v>
      </c>
      <c r="V713" s="229" t="s">
        <v>328</v>
      </c>
      <c r="W713" s="281" t="s">
        <v>16</v>
      </c>
      <c r="X713" s="230" t="s">
        <v>16</v>
      </c>
      <c r="Y713" s="231" t="s">
        <v>328</v>
      </c>
    </row>
    <row r="714" spans="1:25">
      <c r="A714" s="223">
        <v>19</v>
      </c>
      <c r="B714" s="224" t="str">
        <f>VLOOKUP(Tabel10[[#This Row],[Locatiecode]],Ruimtegroepen[[#All],[Code]:[Ruimte omschrijving]],2,FALSE)</f>
        <v>Kleedruimten</v>
      </c>
      <c r="C714" s="225" t="s">
        <v>1170</v>
      </c>
      <c r="D714" s="224" t="s">
        <v>0</v>
      </c>
      <c r="E714" s="226" t="s">
        <v>123</v>
      </c>
      <c r="F714" s="225" t="s">
        <v>1174</v>
      </c>
      <c r="G714" s="228" t="s">
        <v>328</v>
      </c>
      <c r="H714" s="228" t="s">
        <v>328</v>
      </c>
      <c r="I714" s="228" t="s">
        <v>16</v>
      </c>
      <c r="J714" s="227" t="s">
        <v>328</v>
      </c>
      <c r="K714" s="228" t="s">
        <v>16</v>
      </c>
      <c r="L714" s="228" t="s">
        <v>328</v>
      </c>
      <c r="M714" s="228" t="s">
        <v>328</v>
      </c>
      <c r="N714" s="228" t="s">
        <v>328</v>
      </c>
      <c r="O714" s="229" t="s">
        <v>328</v>
      </c>
      <c r="P714" s="229" t="s">
        <v>328</v>
      </c>
      <c r="Q714" s="229" t="s">
        <v>328</v>
      </c>
      <c r="R714" s="229" t="s">
        <v>16</v>
      </c>
      <c r="S714" s="229" t="s">
        <v>16</v>
      </c>
      <c r="T714" s="229" t="s">
        <v>328</v>
      </c>
      <c r="U714" s="229" t="s">
        <v>328</v>
      </c>
      <c r="V714" s="229" t="s">
        <v>328</v>
      </c>
      <c r="W714" s="281" t="s">
        <v>16</v>
      </c>
      <c r="X714" s="230" t="s">
        <v>16</v>
      </c>
      <c r="Y714" s="231" t="s">
        <v>328</v>
      </c>
    </row>
    <row r="715" spans="1:25">
      <c r="A715" s="223">
        <v>19</v>
      </c>
      <c r="B715" s="224" t="str">
        <f>VLOOKUP(Tabel10[[#This Row],[Locatiecode]],Ruimtegroepen[[#All],[Code]:[Ruimte omschrijving]],2,FALSE)</f>
        <v>Kleedruimten</v>
      </c>
      <c r="C715" s="225" t="s">
        <v>1175</v>
      </c>
      <c r="D715" s="224" t="s">
        <v>30</v>
      </c>
      <c r="E715" s="226" t="s">
        <v>121</v>
      </c>
      <c r="F715" s="225" t="s">
        <v>1176</v>
      </c>
      <c r="G715" s="228" t="s">
        <v>328</v>
      </c>
      <c r="H715" s="228" t="s">
        <v>328</v>
      </c>
      <c r="I715" s="228" t="s">
        <v>15</v>
      </c>
      <c r="J715" s="227" t="s">
        <v>15</v>
      </c>
      <c r="K715" s="228" t="s">
        <v>328</v>
      </c>
      <c r="L715" s="228" t="s">
        <v>328</v>
      </c>
      <c r="M715" s="228" t="s">
        <v>328</v>
      </c>
      <c r="N715" s="228" t="s">
        <v>328</v>
      </c>
      <c r="O715" s="229" t="s">
        <v>328</v>
      </c>
      <c r="P715" s="229" t="s">
        <v>328</v>
      </c>
      <c r="Q715" s="229" t="s">
        <v>328</v>
      </c>
      <c r="R715" s="229" t="s">
        <v>15</v>
      </c>
      <c r="S715" s="229" t="s">
        <v>15</v>
      </c>
      <c r="T715" s="229" t="s">
        <v>328</v>
      </c>
      <c r="U715" s="229" t="s">
        <v>328</v>
      </c>
      <c r="V715" s="229" t="s">
        <v>328</v>
      </c>
      <c r="W715" s="230" t="s">
        <v>15</v>
      </c>
      <c r="X715" s="230" t="s">
        <v>328</v>
      </c>
      <c r="Y715" s="231" t="s">
        <v>328</v>
      </c>
    </row>
    <row r="716" spans="1:25">
      <c r="A716" s="223">
        <v>19</v>
      </c>
      <c r="B716" s="224" t="str">
        <f>VLOOKUP(Tabel10[[#This Row],[Locatiecode]],Ruimtegroepen[[#All],[Code]:[Ruimte omschrijving]],2,FALSE)</f>
        <v>Kleedruimten</v>
      </c>
      <c r="C716" s="225" t="s">
        <v>1175</v>
      </c>
      <c r="D716" s="224" t="s">
        <v>30</v>
      </c>
      <c r="E716" s="226" t="s">
        <v>120</v>
      </c>
      <c r="F716" s="225" t="s">
        <v>1177</v>
      </c>
      <c r="G716" s="228" t="s">
        <v>328</v>
      </c>
      <c r="H716" s="228" t="s">
        <v>328</v>
      </c>
      <c r="I716" s="228" t="s">
        <v>328</v>
      </c>
      <c r="J716" s="228" t="s">
        <v>328</v>
      </c>
      <c r="K716" s="228" t="s">
        <v>328</v>
      </c>
      <c r="L716" s="228" t="s">
        <v>328</v>
      </c>
      <c r="M716" s="228" t="s">
        <v>328</v>
      </c>
      <c r="N716" s="228" t="s">
        <v>328</v>
      </c>
      <c r="O716" s="229" t="s">
        <v>328</v>
      </c>
      <c r="P716" s="229" t="s">
        <v>328</v>
      </c>
      <c r="Q716" s="229" t="s">
        <v>328</v>
      </c>
      <c r="R716" s="229" t="s">
        <v>328</v>
      </c>
      <c r="S716" s="229" t="s">
        <v>328</v>
      </c>
      <c r="T716" s="229" t="s">
        <v>328</v>
      </c>
      <c r="U716" s="229" t="s">
        <v>328</v>
      </c>
      <c r="V716" s="229" t="s">
        <v>328</v>
      </c>
      <c r="W716" s="230" t="s">
        <v>328</v>
      </c>
      <c r="X716" s="230" t="s">
        <v>328</v>
      </c>
      <c r="Y716" s="231" t="s">
        <v>328</v>
      </c>
    </row>
    <row r="717" spans="1:25">
      <c r="A717" s="223">
        <v>19</v>
      </c>
      <c r="B717" s="224" t="str">
        <f>VLOOKUP(Tabel10[[#This Row],[Locatiecode]],Ruimtegroepen[[#All],[Code]:[Ruimte omschrijving]],2,FALSE)</f>
        <v>Kleedruimten</v>
      </c>
      <c r="C717" s="225" t="s">
        <v>1175</v>
      </c>
      <c r="D717" s="224" t="s">
        <v>30</v>
      </c>
      <c r="E717" s="226" t="s">
        <v>122</v>
      </c>
      <c r="F717" s="225" t="s">
        <v>1178</v>
      </c>
      <c r="G717" s="228" t="s">
        <v>328</v>
      </c>
      <c r="H717" s="228" t="s">
        <v>328</v>
      </c>
      <c r="I717" s="228" t="s">
        <v>15</v>
      </c>
      <c r="J717" s="227" t="s">
        <v>15</v>
      </c>
      <c r="K717" s="227" t="s">
        <v>328</v>
      </c>
      <c r="L717" s="228" t="s">
        <v>328</v>
      </c>
      <c r="M717" s="228" t="s">
        <v>328</v>
      </c>
      <c r="N717" s="228" t="s">
        <v>328</v>
      </c>
      <c r="O717" s="229" t="s">
        <v>328</v>
      </c>
      <c r="P717" s="229" t="s">
        <v>328</v>
      </c>
      <c r="Q717" s="229" t="s">
        <v>328</v>
      </c>
      <c r="R717" s="229" t="s">
        <v>15</v>
      </c>
      <c r="S717" s="229" t="s">
        <v>15</v>
      </c>
      <c r="T717" s="229" t="s">
        <v>328</v>
      </c>
      <c r="U717" s="229" t="s">
        <v>328</v>
      </c>
      <c r="V717" s="229" t="s">
        <v>328</v>
      </c>
      <c r="W717" s="230" t="s">
        <v>15</v>
      </c>
      <c r="X717" s="230" t="s">
        <v>328</v>
      </c>
      <c r="Y717" s="231" t="s">
        <v>328</v>
      </c>
    </row>
    <row r="718" spans="1:25">
      <c r="A718" s="223">
        <v>19</v>
      </c>
      <c r="B718" s="224" t="str">
        <f>VLOOKUP(Tabel10[[#This Row],[Locatiecode]],Ruimtegroepen[[#All],[Code]:[Ruimte omschrijving]],2,FALSE)</f>
        <v>Kleedruimten</v>
      </c>
      <c r="C718" s="225" t="s">
        <v>1175</v>
      </c>
      <c r="D718" s="224" t="s">
        <v>30</v>
      </c>
      <c r="E718" s="226" t="s">
        <v>123</v>
      </c>
      <c r="F718" s="225" t="s">
        <v>1179</v>
      </c>
      <c r="G718" s="228" t="s">
        <v>328</v>
      </c>
      <c r="H718" s="228" t="s">
        <v>328</v>
      </c>
      <c r="I718" s="228" t="s">
        <v>15</v>
      </c>
      <c r="J718" s="227" t="s">
        <v>15</v>
      </c>
      <c r="K718" s="227" t="s">
        <v>328</v>
      </c>
      <c r="L718" s="228" t="s">
        <v>328</v>
      </c>
      <c r="M718" s="228" t="s">
        <v>328</v>
      </c>
      <c r="N718" s="228" t="s">
        <v>328</v>
      </c>
      <c r="O718" s="229" t="s">
        <v>328</v>
      </c>
      <c r="P718" s="229" t="s">
        <v>328</v>
      </c>
      <c r="Q718" s="229" t="s">
        <v>328</v>
      </c>
      <c r="R718" s="229" t="s">
        <v>15</v>
      </c>
      <c r="S718" s="229" t="s">
        <v>15</v>
      </c>
      <c r="T718" s="229" t="s">
        <v>328</v>
      </c>
      <c r="U718" s="229" t="s">
        <v>328</v>
      </c>
      <c r="V718" s="229" t="s">
        <v>328</v>
      </c>
      <c r="W718" s="230" t="s">
        <v>15</v>
      </c>
      <c r="X718" s="230" t="s">
        <v>328</v>
      </c>
      <c r="Y718" s="231" t="s">
        <v>328</v>
      </c>
    </row>
    <row r="719" spans="1:25">
      <c r="A719" s="223">
        <v>19</v>
      </c>
      <c r="B719" s="224" t="str">
        <f>VLOOKUP(Tabel10[[#This Row],[Locatiecode]],Ruimtegroepen[[#All],[Code]:[Ruimte omschrijving]],2,FALSE)</f>
        <v>Kleedruimten</v>
      </c>
      <c r="C719" s="225" t="s">
        <v>1180</v>
      </c>
      <c r="D719" s="224" t="s">
        <v>31</v>
      </c>
      <c r="E719" s="226" t="s">
        <v>121</v>
      </c>
      <c r="F719" s="225" t="s">
        <v>1181</v>
      </c>
      <c r="G719" s="228" t="s">
        <v>328</v>
      </c>
      <c r="H719" s="228" t="s">
        <v>328</v>
      </c>
      <c r="I719" s="228" t="s">
        <v>17</v>
      </c>
      <c r="J719" s="227" t="s">
        <v>17</v>
      </c>
      <c r="K719" s="227" t="s">
        <v>328</v>
      </c>
      <c r="L719" s="228" t="s">
        <v>328</v>
      </c>
      <c r="M719" s="228" t="s">
        <v>328</v>
      </c>
      <c r="N719" s="228" t="s">
        <v>328</v>
      </c>
      <c r="O719" s="229" t="s">
        <v>328</v>
      </c>
      <c r="P719" s="229" t="s">
        <v>328</v>
      </c>
      <c r="Q719" s="229" t="s">
        <v>328</v>
      </c>
      <c r="R719" s="229" t="s">
        <v>17</v>
      </c>
      <c r="S719" s="229" t="s">
        <v>15</v>
      </c>
      <c r="T719" s="229" t="s">
        <v>328</v>
      </c>
      <c r="U719" s="229" t="s">
        <v>328</v>
      </c>
      <c r="V719" s="229" t="s">
        <v>328</v>
      </c>
      <c r="W719" s="230" t="s">
        <v>17</v>
      </c>
      <c r="X719" s="230" t="s">
        <v>328</v>
      </c>
      <c r="Y719" s="231" t="s">
        <v>328</v>
      </c>
    </row>
    <row r="720" spans="1:25">
      <c r="A720" s="223">
        <v>19</v>
      </c>
      <c r="B720" s="224" t="str">
        <f>VLOOKUP(Tabel10[[#This Row],[Locatiecode]],Ruimtegroepen[[#All],[Code]:[Ruimte omschrijving]],2,FALSE)</f>
        <v>Kleedruimten</v>
      </c>
      <c r="C720" s="225" t="s">
        <v>1180</v>
      </c>
      <c r="D720" s="224" t="s">
        <v>31</v>
      </c>
      <c r="E720" s="226" t="s">
        <v>120</v>
      </c>
      <c r="F720" s="225" t="s">
        <v>1182</v>
      </c>
      <c r="G720" s="228" t="s">
        <v>328</v>
      </c>
      <c r="H720" s="228" t="s">
        <v>328</v>
      </c>
      <c r="I720" s="228" t="s">
        <v>328</v>
      </c>
      <c r="J720" s="228" t="s">
        <v>328</v>
      </c>
      <c r="K720" s="228" t="s">
        <v>328</v>
      </c>
      <c r="L720" s="228" t="s">
        <v>328</v>
      </c>
      <c r="M720" s="228" t="s">
        <v>328</v>
      </c>
      <c r="N720" s="228" t="s">
        <v>328</v>
      </c>
      <c r="O720" s="229" t="s">
        <v>328</v>
      </c>
      <c r="P720" s="229" t="s">
        <v>328</v>
      </c>
      <c r="Q720" s="229" t="s">
        <v>328</v>
      </c>
      <c r="R720" s="229" t="s">
        <v>328</v>
      </c>
      <c r="S720" s="229" t="s">
        <v>328</v>
      </c>
      <c r="T720" s="229" t="s">
        <v>328</v>
      </c>
      <c r="U720" s="229" t="s">
        <v>328</v>
      </c>
      <c r="V720" s="229" t="s">
        <v>328</v>
      </c>
      <c r="W720" s="230" t="s">
        <v>328</v>
      </c>
      <c r="X720" s="230" t="s">
        <v>328</v>
      </c>
      <c r="Y720" s="231" t="s">
        <v>328</v>
      </c>
    </row>
    <row r="721" spans="1:25">
      <c r="A721" s="223">
        <v>19</v>
      </c>
      <c r="B721" s="224" t="str">
        <f>VLOOKUP(Tabel10[[#This Row],[Locatiecode]],Ruimtegroepen[[#All],[Code]:[Ruimte omschrijving]],2,FALSE)</f>
        <v>Kleedruimten</v>
      </c>
      <c r="C721" s="225" t="s">
        <v>1180</v>
      </c>
      <c r="D721" s="224" t="s">
        <v>31</v>
      </c>
      <c r="E721" s="226" t="s">
        <v>122</v>
      </c>
      <c r="F721" s="225" t="s">
        <v>1183</v>
      </c>
      <c r="G721" s="228" t="s">
        <v>328</v>
      </c>
      <c r="H721" s="228" t="s">
        <v>328</v>
      </c>
      <c r="I721" s="228" t="s">
        <v>17</v>
      </c>
      <c r="J721" s="227" t="s">
        <v>17</v>
      </c>
      <c r="K721" s="228" t="s">
        <v>328</v>
      </c>
      <c r="L721" s="228" t="s">
        <v>328</v>
      </c>
      <c r="M721" s="228" t="s">
        <v>328</v>
      </c>
      <c r="N721" s="228" t="s">
        <v>328</v>
      </c>
      <c r="O721" s="229" t="s">
        <v>328</v>
      </c>
      <c r="P721" s="229" t="s">
        <v>328</v>
      </c>
      <c r="Q721" s="229" t="s">
        <v>328</v>
      </c>
      <c r="R721" s="229" t="s">
        <v>17</v>
      </c>
      <c r="S721" s="229" t="s">
        <v>15</v>
      </c>
      <c r="T721" s="229" t="s">
        <v>328</v>
      </c>
      <c r="U721" s="229" t="s">
        <v>328</v>
      </c>
      <c r="V721" s="229" t="s">
        <v>328</v>
      </c>
      <c r="W721" s="230" t="s">
        <v>17</v>
      </c>
      <c r="X721" s="230" t="s">
        <v>328</v>
      </c>
      <c r="Y721" s="231" t="s">
        <v>328</v>
      </c>
    </row>
    <row r="722" spans="1:25">
      <c r="A722" s="223">
        <v>19</v>
      </c>
      <c r="B722" s="224" t="str">
        <f>VLOOKUP(Tabel10[[#This Row],[Locatiecode]],Ruimtegroepen[[#All],[Code]:[Ruimte omschrijving]],2,FALSE)</f>
        <v>Kleedruimten</v>
      </c>
      <c r="C722" s="225" t="s">
        <v>1180</v>
      </c>
      <c r="D722" s="224" t="s">
        <v>31</v>
      </c>
      <c r="E722" s="226" t="s">
        <v>123</v>
      </c>
      <c r="F722" s="225" t="s">
        <v>1184</v>
      </c>
      <c r="G722" s="228" t="s">
        <v>328</v>
      </c>
      <c r="H722" s="228" t="s">
        <v>328</v>
      </c>
      <c r="I722" s="228" t="s">
        <v>17</v>
      </c>
      <c r="J722" s="227" t="s">
        <v>17</v>
      </c>
      <c r="K722" s="228" t="s">
        <v>328</v>
      </c>
      <c r="L722" s="228" t="s">
        <v>328</v>
      </c>
      <c r="M722" s="228" t="s">
        <v>328</v>
      </c>
      <c r="N722" s="228" t="s">
        <v>328</v>
      </c>
      <c r="O722" s="229" t="s">
        <v>328</v>
      </c>
      <c r="P722" s="229" t="s">
        <v>328</v>
      </c>
      <c r="Q722" s="229" t="s">
        <v>328</v>
      </c>
      <c r="R722" s="229" t="s">
        <v>17</v>
      </c>
      <c r="S722" s="229" t="s">
        <v>15</v>
      </c>
      <c r="T722" s="229" t="s">
        <v>328</v>
      </c>
      <c r="U722" s="229" t="s">
        <v>328</v>
      </c>
      <c r="V722" s="229" t="s">
        <v>328</v>
      </c>
      <c r="W722" s="230" t="s">
        <v>17</v>
      </c>
      <c r="X722" s="230" t="s">
        <v>328</v>
      </c>
      <c r="Y722" s="231" t="s">
        <v>328</v>
      </c>
    </row>
    <row r="723" spans="1:25">
      <c r="A723" s="223">
        <v>20</v>
      </c>
      <c r="B723" s="224" t="str">
        <f>VLOOKUP(Tabel10[[#This Row],[Locatiecode]],Ruimtegroepen[[#All],[Code]:[Ruimte omschrijving]],2,FALSE)</f>
        <v>Receptie</v>
      </c>
      <c r="C723" s="225" t="s">
        <v>1185</v>
      </c>
      <c r="D723" s="224" t="s">
        <v>32</v>
      </c>
      <c r="E723" s="226" t="s">
        <v>121</v>
      </c>
      <c r="F723" s="225" t="s">
        <v>1186</v>
      </c>
      <c r="G723" s="228" t="s">
        <v>328</v>
      </c>
      <c r="H723" s="228" t="s">
        <v>328</v>
      </c>
      <c r="I723" s="228" t="s">
        <v>328</v>
      </c>
      <c r="J723" s="228" t="s">
        <v>328</v>
      </c>
      <c r="K723" s="228" t="s">
        <v>328</v>
      </c>
      <c r="L723" s="228" t="s">
        <v>328</v>
      </c>
      <c r="M723" s="228" t="s">
        <v>328</v>
      </c>
      <c r="N723" s="228" t="s">
        <v>328</v>
      </c>
      <c r="O723" s="229" t="s">
        <v>328</v>
      </c>
      <c r="P723" s="229" t="s">
        <v>328</v>
      </c>
      <c r="Q723" s="229" t="s">
        <v>328</v>
      </c>
      <c r="R723" s="229" t="s">
        <v>328</v>
      </c>
      <c r="S723" s="229" t="s">
        <v>328</v>
      </c>
      <c r="T723" s="229" t="s">
        <v>328</v>
      </c>
      <c r="U723" s="229" t="s">
        <v>328</v>
      </c>
      <c r="V723" s="229" t="s">
        <v>328</v>
      </c>
      <c r="W723" s="230" t="s">
        <v>328</v>
      </c>
      <c r="X723" s="230" t="s">
        <v>328</v>
      </c>
      <c r="Y723" s="231" t="s">
        <v>328</v>
      </c>
    </row>
    <row r="724" spans="1:25">
      <c r="A724" s="223">
        <v>20</v>
      </c>
      <c r="B724" s="224" t="str">
        <f>VLOOKUP(Tabel10[[#This Row],[Locatiecode]],Ruimtegroepen[[#All],[Code]:[Ruimte omschrijving]],2,FALSE)</f>
        <v>Receptie</v>
      </c>
      <c r="C724" s="225" t="s">
        <v>1185</v>
      </c>
      <c r="D724" s="224" t="s">
        <v>32</v>
      </c>
      <c r="E724" s="226" t="s">
        <v>120</v>
      </c>
      <c r="F724" s="225" t="s">
        <v>1187</v>
      </c>
      <c r="G724" s="228" t="s">
        <v>328</v>
      </c>
      <c r="H724" s="228" t="s">
        <v>328</v>
      </c>
      <c r="I724" s="228" t="s">
        <v>328</v>
      </c>
      <c r="J724" s="228" t="s">
        <v>328</v>
      </c>
      <c r="K724" s="228" t="s">
        <v>328</v>
      </c>
      <c r="L724" s="228" t="s">
        <v>328</v>
      </c>
      <c r="M724" s="228" t="s">
        <v>328</v>
      </c>
      <c r="N724" s="228" t="s">
        <v>328</v>
      </c>
      <c r="O724" s="229" t="s">
        <v>328</v>
      </c>
      <c r="P724" s="229" t="s">
        <v>328</v>
      </c>
      <c r="Q724" s="229" t="s">
        <v>328</v>
      </c>
      <c r="R724" s="229" t="s">
        <v>328</v>
      </c>
      <c r="S724" s="229" t="s">
        <v>328</v>
      </c>
      <c r="T724" s="229" t="s">
        <v>328</v>
      </c>
      <c r="U724" s="229" t="s">
        <v>328</v>
      </c>
      <c r="V724" s="229" t="s">
        <v>328</v>
      </c>
      <c r="W724" s="230" t="s">
        <v>328</v>
      </c>
      <c r="X724" s="230" t="s">
        <v>328</v>
      </c>
      <c r="Y724" s="231" t="s">
        <v>328</v>
      </c>
    </row>
    <row r="725" spans="1:25">
      <c r="A725" s="223">
        <v>20</v>
      </c>
      <c r="B725" s="224" t="str">
        <f>VLOOKUP(Tabel10[[#This Row],[Locatiecode]],Ruimtegroepen[[#All],[Code]:[Ruimte omschrijving]],2,FALSE)</f>
        <v>Receptie</v>
      </c>
      <c r="C725" s="225" t="s">
        <v>1185</v>
      </c>
      <c r="D725" s="224" t="s">
        <v>32</v>
      </c>
      <c r="E725" s="226" t="s">
        <v>122</v>
      </c>
      <c r="F725" s="225" t="s">
        <v>1188</v>
      </c>
      <c r="G725" s="228" t="s">
        <v>328</v>
      </c>
      <c r="H725" s="228" t="s">
        <v>328</v>
      </c>
      <c r="I725" s="228" t="s">
        <v>328</v>
      </c>
      <c r="J725" s="228" t="s">
        <v>328</v>
      </c>
      <c r="K725" s="228" t="s">
        <v>328</v>
      </c>
      <c r="L725" s="228" t="s">
        <v>328</v>
      </c>
      <c r="M725" s="228" t="s">
        <v>328</v>
      </c>
      <c r="N725" s="228" t="s">
        <v>328</v>
      </c>
      <c r="O725" s="229" t="s">
        <v>328</v>
      </c>
      <c r="P725" s="229" t="s">
        <v>328</v>
      </c>
      <c r="Q725" s="229" t="s">
        <v>328</v>
      </c>
      <c r="R725" s="229" t="s">
        <v>328</v>
      </c>
      <c r="S725" s="229" t="s">
        <v>328</v>
      </c>
      <c r="T725" s="229" t="s">
        <v>328</v>
      </c>
      <c r="U725" s="229" t="s">
        <v>328</v>
      </c>
      <c r="V725" s="229" t="s">
        <v>328</v>
      </c>
      <c r="W725" s="230" t="s">
        <v>328</v>
      </c>
      <c r="X725" s="230" t="s">
        <v>328</v>
      </c>
      <c r="Y725" s="231" t="s">
        <v>328</v>
      </c>
    </row>
    <row r="726" spans="1:25">
      <c r="A726" s="223">
        <v>20</v>
      </c>
      <c r="B726" s="224" t="str">
        <f>VLOOKUP(Tabel10[[#This Row],[Locatiecode]],Ruimtegroepen[[#All],[Code]:[Ruimte omschrijving]],2,FALSE)</f>
        <v>Receptie</v>
      </c>
      <c r="C726" s="225" t="s">
        <v>1185</v>
      </c>
      <c r="D726" s="224" t="s">
        <v>32</v>
      </c>
      <c r="E726" s="226" t="s">
        <v>123</v>
      </c>
      <c r="F726" s="225" t="s">
        <v>1189</v>
      </c>
      <c r="G726" s="228" t="s">
        <v>328</v>
      </c>
      <c r="H726" s="228" t="s">
        <v>328</v>
      </c>
      <c r="I726" s="228" t="s">
        <v>328</v>
      </c>
      <c r="J726" s="228" t="s">
        <v>328</v>
      </c>
      <c r="K726" s="228" t="s">
        <v>328</v>
      </c>
      <c r="L726" s="228" t="s">
        <v>328</v>
      </c>
      <c r="M726" s="228" t="s">
        <v>328</v>
      </c>
      <c r="N726" s="228" t="s">
        <v>328</v>
      </c>
      <c r="O726" s="229" t="s">
        <v>328</v>
      </c>
      <c r="P726" s="229" t="s">
        <v>328</v>
      </c>
      <c r="Q726" s="229" t="s">
        <v>328</v>
      </c>
      <c r="R726" s="229" t="s">
        <v>328</v>
      </c>
      <c r="S726" s="229" t="s">
        <v>328</v>
      </c>
      <c r="T726" s="229" t="s">
        <v>328</v>
      </c>
      <c r="U726" s="229" t="s">
        <v>328</v>
      </c>
      <c r="V726" s="229" t="s">
        <v>328</v>
      </c>
      <c r="W726" s="230" t="s">
        <v>328</v>
      </c>
      <c r="X726" s="230" t="s">
        <v>328</v>
      </c>
      <c r="Y726" s="231" t="s">
        <v>328</v>
      </c>
    </row>
    <row r="727" spans="1:25">
      <c r="A727" s="223">
        <v>20</v>
      </c>
      <c r="B727" s="224" t="str">
        <f>VLOOKUP(Tabel10[[#This Row],[Locatiecode]],Ruimtegroepen[[#All],[Code]:[Ruimte omschrijving]],2,FALSE)</f>
        <v>Receptie</v>
      </c>
      <c r="C727" s="225" t="s">
        <v>1190</v>
      </c>
      <c r="D727" s="224" t="s">
        <v>1</v>
      </c>
      <c r="E727" s="226" t="s">
        <v>121</v>
      </c>
      <c r="F727" s="225" t="s">
        <v>1191</v>
      </c>
      <c r="G727" s="228" t="s">
        <v>328</v>
      </c>
      <c r="H727" s="228" t="s">
        <v>328</v>
      </c>
      <c r="I727" s="228" t="s">
        <v>328</v>
      </c>
      <c r="J727" s="228" t="s">
        <v>328</v>
      </c>
      <c r="K727" s="228" t="s">
        <v>328</v>
      </c>
      <c r="L727" s="228" t="s">
        <v>328</v>
      </c>
      <c r="M727" s="228" t="s">
        <v>328</v>
      </c>
      <c r="N727" s="228" t="s">
        <v>328</v>
      </c>
      <c r="O727" s="229" t="s">
        <v>328</v>
      </c>
      <c r="P727" s="229" t="s">
        <v>328</v>
      </c>
      <c r="Q727" s="229" t="s">
        <v>328</v>
      </c>
      <c r="R727" s="229" t="s">
        <v>328</v>
      </c>
      <c r="S727" s="229" t="s">
        <v>328</v>
      </c>
      <c r="T727" s="229" t="s">
        <v>328</v>
      </c>
      <c r="U727" s="229" t="s">
        <v>328</v>
      </c>
      <c r="V727" s="229" t="s">
        <v>328</v>
      </c>
      <c r="W727" s="230" t="s">
        <v>328</v>
      </c>
      <c r="X727" s="230" t="s">
        <v>328</v>
      </c>
      <c r="Y727" s="231" t="s">
        <v>328</v>
      </c>
    </row>
    <row r="728" spans="1:25">
      <c r="A728" s="223">
        <v>20</v>
      </c>
      <c r="B728" s="224" t="str">
        <f>VLOOKUP(Tabel10[[#This Row],[Locatiecode]],Ruimtegroepen[[#All],[Code]:[Ruimte omschrijving]],2,FALSE)</f>
        <v>Receptie</v>
      </c>
      <c r="C728" s="225" t="s">
        <v>1190</v>
      </c>
      <c r="D728" s="224" t="s">
        <v>1</v>
      </c>
      <c r="E728" s="226" t="s">
        <v>120</v>
      </c>
      <c r="F728" s="225" t="s">
        <v>1192</v>
      </c>
      <c r="G728" s="228" t="s">
        <v>328</v>
      </c>
      <c r="H728" s="228" t="s">
        <v>328</v>
      </c>
      <c r="I728" s="228" t="s">
        <v>328</v>
      </c>
      <c r="J728" s="228" t="s">
        <v>328</v>
      </c>
      <c r="K728" s="228" t="s">
        <v>328</v>
      </c>
      <c r="L728" s="228" t="s">
        <v>328</v>
      </c>
      <c r="M728" s="228" t="s">
        <v>328</v>
      </c>
      <c r="N728" s="228" t="s">
        <v>328</v>
      </c>
      <c r="O728" s="229" t="s">
        <v>328</v>
      </c>
      <c r="P728" s="229" t="s">
        <v>328</v>
      </c>
      <c r="Q728" s="229" t="s">
        <v>328</v>
      </c>
      <c r="R728" s="229" t="s">
        <v>328</v>
      </c>
      <c r="S728" s="229" t="s">
        <v>328</v>
      </c>
      <c r="T728" s="229" t="s">
        <v>328</v>
      </c>
      <c r="U728" s="229" t="s">
        <v>328</v>
      </c>
      <c r="V728" s="229" t="s">
        <v>328</v>
      </c>
      <c r="W728" s="230" t="s">
        <v>328</v>
      </c>
      <c r="X728" s="230" t="s">
        <v>328</v>
      </c>
      <c r="Y728" s="231" t="s">
        <v>328</v>
      </c>
    </row>
    <row r="729" spans="1:25">
      <c r="A729" s="223">
        <v>20</v>
      </c>
      <c r="B729" s="224" t="str">
        <f>VLOOKUP(Tabel10[[#This Row],[Locatiecode]],Ruimtegroepen[[#All],[Code]:[Ruimte omschrijving]],2,FALSE)</f>
        <v>Receptie</v>
      </c>
      <c r="C729" s="225" t="s">
        <v>1190</v>
      </c>
      <c r="D729" s="224" t="s">
        <v>1</v>
      </c>
      <c r="E729" s="226" t="s">
        <v>122</v>
      </c>
      <c r="F729" s="225" t="s">
        <v>1193</v>
      </c>
      <c r="G729" s="228" t="s">
        <v>328</v>
      </c>
      <c r="H729" s="228" t="s">
        <v>328</v>
      </c>
      <c r="I729" s="228" t="s">
        <v>328</v>
      </c>
      <c r="J729" s="228" t="s">
        <v>328</v>
      </c>
      <c r="K729" s="228" t="s">
        <v>328</v>
      </c>
      <c r="L729" s="228" t="s">
        <v>328</v>
      </c>
      <c r="M729" s="228" t="s">
        <v>328</v>
      </c>
      <c r="N729" s="228" t="s">
        <v>328</v>
      </c>
      <c r="O729" s="229" t="s">
        <v>328</v>
      </c>
      <c r="P729" s="229" t="s">
        <v>328</v>
      </c>
      <c r="Q729" s="229" t="s">
        <v>328</v>
      </c>
      <c r="R729" s="229" t="s">
        <v>328</v>
      </c>
      <c r="S729" s="229" t="s">
        <v>328</v>
      </c>
      <c r="T729" s="229" t="s">
        <v>328</v>
      </c>
      <c r="U729" s="229" t="s">
        <v>328</v>
      </c>
      <c r="V729" s="229" t="s">
        <v>328</v>
      </c>
      <c r="W729" s="230" t="s">
        <v>328</v>
      </c>
      <c r="X729" s="230" t="s">
        <v>328</v>
      </c>
      <c r="Y729" s="231" t="s">
        <v>328</v>
      </c>
    </row>
    <row r="730" spans="1:25">
      <c r="A730" s="223">
        <v>20</v>
      </c>
      <c r="B730" s="224" t="str">
        <f>VLOOKUP(Tabel10[[#This Row],[Locatiecode]],Ruimtegroepen[[#All],[Code]:[Ruimte omschrijving]],2,FALSE)</f>
        <v>Receptie</v>
      </c>
      <c r="C730" s="225" t="s">
        <v>1190</v>
      </c>
      <c r="D730" s="224" t="s">
        <v>1</v>
      </c>
      <c r="E730" s="226" t="s">
        <v>123</v>
      </c>
      <c r="F730" s="225" t="s">
        <v>1194</v>
      </c>
      <c r="G730" s="228" t="s">
        <v>328</v>
      </c>
      <c r="H730" s="228" t="s">
        <v>328</v>
      </c>
      <c r="I730" s="228" t="s">
        <v>328</v>
      </c>
      <c r="J730" s="228" t="s">
        <v>328</v>
      </c>
      <c r="K730" s="228" t="s">
        <v>328</v>
      </c>
      <c r="L730" s="228" t="s">
        <v>328</v>
      </c>
      <c r="M730" s="228" t="s">
        <v>328</v>
      </c>
      <c r="N730" s="228" t="s">
        <v>328</v>
      </c>
      <c r="O730" s="229" t="s">
        <v>328</v>
      </c>
      <c r="P730" s="229" t="s">
        <v>328</v>
      </c>
      <c r="Q730" s="229" t="s">
        <v>328</v>
      </c>
      <c r="R730" s="229" t="s">
        <v>328</v>
      </c>
      <c r="S730" s="229" t="s">
        <v>328</v>
      </c>
      <c r="T730" s="229" t="s">
        <v>328</v>
      </c>
      <c r="U730" s="229" t="s">
        <v>328</v>
      </c>
      <c r="V730" s="229" t="s">
        <v>328</v>
      </c>
      <c r="W730" s="230" t="s">
        <v>328</v>
      </c>
      <c r="X730" s="230" t="s">
        <v>328</v>
      </c>
      <c r="Y730" s="231" t="s">
        <v>328</v>
      </c>
    </row>
    <row r="731" spans="1:25">
      <c r="A731" s="223">
        <v>20</v>
      </c>
      <c r="B731" s="224" t="str">
        <f>VLOOKUP(Tabel10[[#This Row],[Locatiecode]],Ruimtegroepen[[#All],[Code]:[Ruimte omschrijving]],2,FALSE)</f>
        <v>Receptie</v>
      </c>
      <c r="C731" s="225" t="s">
        <v>1195</v>
      </c>
      <c r="D731" s="224" t="s">
        <v>21</v>
      </c>
      <c r="E731" s="226" t="s">
        <v>121</v>
      </c>
      <c r="F731" s="225" t="s">
        <v>1196</v>
      </c>
      <c r="G731" s="228" t="s">
        <v>328</v>
      </c>
      <c r="H731" s="228" t="s">
        <v>328</v>
      </c>
      <c r="I731" s="228" t="s">
        <v>328</v>
      </c>
      <c r="J731" s="228" t="s">
        <v>328</v>
      </c>
      <c r="K731" s="228" t="s">
        <v>328</v>
      </c>
      <c r="L731" s="228" t="s">
        <v>328</v>
      </c>
      <c r="M731" s="228" t="s">
        <v>328</v>
      </c>
      <c r="N731" s="228" t="s">
        <v>328</v>
      </c>
      <c r="O731" s="229" t="s">
        <v>328</v>
      </c>
      <c r="P731" s="229" t="s">
        <v>328</v>
      </c>
      <c r="Q731" s="229" t="s">
        <v>328</v>
      </c>
      <c r="R731" s="229" t="s">
        <v>328</v>
      </c>
      <c r="S731" s="229" t="s">
        <v>328</v>
      </c>
      <c r="T731" s="229" t="s">
        <v>328</v>
      </c>
      <c r="U731" s="229" t="s">
        <v>328</v>
      </c>
      <c r="V731" s="229" t="s">
        <v>328</v>
      </c>
      <c r="W731" s="230" t="s">
        <v>328</v>
      </c>
      <c r="X731" s="230" t="s">
        <v>328</v>
      </c>
      <c r="Y731" s="231" t="s">
        <v>328</v>
      </c>
    </row>
    <row r="732" spans="1:25">
      <c r="A732" s="223">
        <v>20</v>
      </c>
      <c r="B732" s="224" t="str">
        <f>VLOOKUP(Tabel10[[#This Row],[Locatiecode]],Ruimtegroepen[[#All],[Code]:[Ruimte omschrijving]],2,FALSE)</f>
        <v>Receptie</v>
      </c>
      <c r="C732" s="225" t="s">
        <v>1195</v>
      </c>
      <c r="D732" s="224" t="s">
        <v>21</v>
      </c>
      <c r="E732" s="226" t="s">
        <v>120</v>
      </c>
      <c r="F732" s="225" t="s">
        <v>1197</v>
      </c>
      <c r="G732" s="228" t="s">
        <v>328</v>
      </c>
      <c r="H732" s="228" t="s">
        <v>328</v>
      </c>
      <c r="I732" s="228" t="s">
        <v>328</v>
      </c>
      <c r="J732" s="228" t="s">
        <v>328</v>
      </c>
      <c r="K732" s="228" t="s">
        <v>328</v>
      </c>
      <c r="L732" s="228" t="s">
        <v>328</v>
      </c>
      <c r="M732" s="228" t="s">
        <v>328</v>
      </c>
      <c r="N732" s="228" t="s">
        <v>328</v>
      </c>
      <c r="O732" s="229" t="s">
        <v>328</v>
      </c>
      <c r="P732" s="229" t="s">
        <v>328</v>
      </c>
      <c r="Q732" s="229" t="s">
        <v>328</v>
      </c>
      <c r="R732" s="229" t="s">
        <v>328</v>
      </c>
      <c r="S732" s="229" t="s">
        <v>328</v>
      </c>
      <c r="T732" s="229" t="s">
        <v>328</v>
      </c>
      <c r="U732" s="229" t="s">
        <v>328</v>
      </c>
      <c r="V732" s="229" t="s">
        <v>328</v>
      </c>
      <c r="W732" s="230" t="s">
        <v>328</v>
      </c>
      <c r="X732" s="230" t="s">
        <v>328</v>
      </c>
      <c r="Y732" s="231" t="s">
        <v>328</v>
      </c>
    </row>
    <row r="733" spans="1:25">
      <c r="A733" s="223">
        <v>20</v>
      </c>
      <c r="B733" s="224" t="str">
        <f>VLOOKUP(Tabel10[[#This Row],[Locatiecode]],Ruimtegroepen[[#All],[Code]:[Ruimte omschrijving]],2,FALSE)</f>
        <v>Receptie</v>
      </c>
      <c r="C733" s="225" t="s">
        <v>1195</v>
      </c>
      <c r="D733" s="224" t="s">
        <v>21</v>
      </c>
      <c r="E733" s="226" t="s">
        <v>122</v>
      </c>
      <c r="F733" s="225" t="s">
        <v>1198</v>
      </c>
      <c r="G733" s="228" t="s">
        <v>328</v>
      </c>
      <c r="H733" s="228" t="s">
        <v>328</v>
      </c>
      <c r="I733" s="228" t="s">
        <v>328</v>
      </c>
      <c r="J733" s="228" t="s">
        <v>328</v>
      </c>
      <c r="K733" s="228" t="s">
        <v>328</v>
      </c>
      <c r="L733" s="228" t="s">
        <v>328</v>
      </c>
      <c r="M733" s="228" t="s">
        <v>328</v>
      </c>
      <c r="N733" s="228" t="s">
        <v>328</v>
      </c>
      <c r="O733" s="229" t="s">
        <v>328</v>
      </c>
      <c r="P733" s="229" t="s">
        <v>328</v>
      </c>
      <c r="Q733" s="229" t="s">
        <v>328</v>
      </c>
      <c r="R733" s="229" t="s">
        <v>328</v>
      </c>
      <c r="S733" s="229" t="s">
        <v>328</v>
      </c>
      <c r="T733" s="229" t="s">
        <v>328</v>
      </c>
      <c r="U733" s="229" t="s">
        <v>328</v>
      </c>
      <c r="V733" s="229" t="s">
        <v>328</v>
      </c>
      <c r="W733" s="230" t="s">
        <v>328</v>
      </c>
      <c r="X733" s="230" t="s">
        <v>328</v>
      </c>
      <c r="Y733" s="231" t="s">
        <v>328</v>
      </c>
    </row>
    <row r="734" spans="1:25">
      <c r="A734" s="223">
        <v>20</v>
      </c>
      <c r="B734" s="224" t="str">
        <f>VLOOKUP(Tabel10[[#This Row],[Locatiecode]],Ruimtegroepen[[#All],[Code]:[Ruimte omschrijving]],2,FALSE)</f>
        <v>Receptie</v>
      </c>
      <c r="C734" s="225" t="s">
        <v>1195</v>
      </c>
      <c r="D734" s="224" t="s">
        <v>21</v>
      </c>
      <c r="E734" s="226" t="s">
        <v>123</v>
      </c>
      <c r="F734" s="225" t="s">
        <v>1199</v>
      </c>
      <c r="G734" s="228" t="s">
        <v>328</v>
      </c>
      <c r="H734" s="228" t="s">
        <v>328</v>
      </c>
      <c r="I734" s="228" t="s">
        <v>328</v>
      </c>
      <c r="J734" s="228" t="s">
        <v>328</v>
      </c>
      <c r="K734" s="228" t="s">
        <v>328</v>
      </c>
      <c r="L734" s="228" t="s">
        <v>328</v>
      </c>
      <c r="M734" s="228" t="s">
        <v>328</v>
      </c>
      <c r="N734" s="228" t="s">
        <v>328</v>
      </c>
      <c r="O734" s="229" t="s">
        <v>328</v>
      </c>
      <c r="P734" s="229" t="s">
        <v>328</v>
      </c>
      <c r="Q734" s="229" t="s">
        <v>328</v>
      </c>
      <c r="R734" s="229" t="s">
        <v>328</v>
      </c>
      <c r="S734" s="229" t="s">
        <v>328</v>
      </c>
      <c r="T734" s="229" t="s">
        <v>328</v>
      </c>
      <c r="U734" s="229" t="s">
        <v>328</v>
      </c>
      <c r="V734" s="229" t="s">
        <v>328</v>
      </c>
      <c r="W734" s="230" t="s">
        <v>328</v>
      </c>
      <c r="X734" s="230" t="s">
        <v>328</v>
      </c>
      <c r="Y734" s="231" t="s">
        <v>328</v>
      </c>
    </row>
    <row r="735" spans="1:25">
      <c r="A735" s="223">
        <v>20</v>
      </c>
      <c r="B735" s="224" t="str">
        <f>VLOOKUP(Tabel10[[#This Row],[Locatiecode]],Ruimtegroepen[[#All],[Code]:[Ruimte omschrijving]],2,FALSE)</f>
        <v>Receptie</v>
      </c>
      <c r="C735" s="225" t="s">
        <v>1200</v>
      </c>
      <c r="D735" s="224" t="s">
        <v>12</v>
      </c>
      <c r="E735" s="226" t="s">
        <v>121</v>
      </c>
      <c r="F735" s="225" t="s">
        <v>1201</v>
      </c>
      <c r="G735" s="228" t="s">
        <v>328</v>
      </c>
      <c r="H735" s="228" t="s">
        <v>328</v>
      </c>
      <c r="I735" s="228" t="s">
        <v>328</v>
      </c>
      <c r="J735" s="228" t="s">
        <v>328</v>
      </c>
      <c r="K735" s="228" t="s">
        <v>328</v>
      </c>
      <c r="L735" s="228" t="s">
        <v>328</v>
      </c>
      <c r="M735" s="228" t="s">
        <v>328</v>
      </c>
      <c r="N735" s="228" t="s">
        <v>328</v>
      </c>
      <c r="O735" s="229" t="s">
        <v>328</v>
      </c>
      <c r="P735" s="229" t="s">
        <v>328</v>
      </c>
      <c r="Q735" s="229" t="s">
        <v>328</v>
      </c>
      <c r="R735" s="229" t="s">
        <v>328</v>
      </c>
      <c r="S735" s="229" t="s">
        <v>328</v>
      </c>
      <c r="T735" s="229" t="s">
        <v>328</v>
      </c>
      <c r="U735" s="229" t="s">
        <v>328</v>
      </c>
      <c r="V735" s="229" t="s">
        <v>328</v>
      </c>
      <c r="W735" s="230" t="s">
        <v>328</v>
      </c>
      <c r="X735" s="230" t="s">
        <v>328</v>
      </c>
      <c r="Y735" s="231" t="s">
        <v>328</v>
      </c>
    </row>
    <row r="736" spans="1:25">
      <c r="A736" s="223">
        <v>20</v>
      </c>
      <c r="B736" s="224" t="str">
        <f>VLOOKUP(Tabel10[[#This Row],[Locatiecode]],Ruimtegroepen[[#All],[Code]:[Ruimte omschrijving]],2,FALSE)</f>
        <v>Receptie</v>
      </c>
      <c r="C736" s="225" t="s">
        <v>1200</v>
      </c>
      <c r="D736" s="224" t="s">
        <v>12</v>
      </c>
      <c r="E736" s="226" t="s">
        <v>120</v>
      </c>
      <c r="F736" s="225" t="s">
        <v>1202</v>
      </c>
      <c r="G736" s="228" t="s">
        <v>328</v>
      </c>
      <c r="H736" s="228" t="s">
        <v>328</v>
      </c>
      <c r="I736" s="228" t="s">
        <v>328</v>
      </c>
      <c r="J736" s="228" t="s">
        <v>328</v>
      </c>
      <c r="K736" s="228" t="s">
        <v>328</v>
      </c>
      <c r="L736" s="228" t="s">
        <v>328</v>
      </c>
      <c r="M736" s="228" t="s">
        <v>328</v>
      </c>
      <c r="N736" s="228" t="s">
        <v>328</v>
      </c>
      <c r="O736" s="229" t="s">
        <v>328</v>
      </c>
      <c r="P736" s="229" t="s">
        <v>328</v>
      </c>
      <c r="Q736" s="229" t="s">
        <v>328</v>
      </c>
      <c r="R736" s="229" t="s">
        <v>328</v>
      </c>
      <c r="S736" s="229" t="s">
        <v>328</v>
      </c>
      <c r="T736" s="229" t="s">
        <v>328</v>
      </c>
      <c r="U736" s="229" t="s">
        <v>328</v>
      </c>
      <c r="V736" s="229" t="s">
        <v>328</v>
      </c>
      <c r="W736" s="230" t="s">
        <v>328</v>
      </c>
      <c r="X736" s="230" t="s">
        <v>328</v>
      </c>
      <c r="Y736" s="231" t="s">
        <v>328</v>
      </c>
    </row>
    <row r="737" spans="1:25">
      <c r="A737" s="223">
        <v>20</v>
      </c>
      <c r="B737" s="224" t="str">
        <f>VLOOKUP(Tabel10[[#This Row],[Locatiecode]],Ruimtegroepen[[#All],[Code]:[Ruimte omschrijving]],2,FALSE)</f>
        <v>Receptie</v>
      </c>
      <c r="C737" s="225" t="s">
        <v>1200</v>
      </c>
      <c r="D737" s="224" t="s">
        <v>12</v>
      </c>
      <c r="E737" s="226" t="s">
        <v>122</v>
      </c>
      <c r="F737" s="225" t="s">
        <v>1203</v>
      </c>
      <c r="G737" s="228" t="s">
        <v>328</v>
      </c>
      <c r="H737" s="228" t="s">
        <v>328</v>
      </c>
      <c r="I737" s="228" t="s">
        <v>328</v>
      </c>
      <c r="J737" s="228" t="s">
        <v>328</v>
      </c>
      <c r="K737" s="228" t="s">
        <v>328</v>
      </c>
      <c r="L737" s="228" t="s">
        <v>328</v>
      </c>
      <c r="M737" s="228" t="s">
        <v>328</v>
      </c>
      <c r="N737" s="228" t="s">
        <v>328</v>
      </c>
      <c r="O737" s="229" t="s">
        <v>328</v>
      </c>
      <c r="P737" s="229" t="s">
        <v>328</v>
      </c>
      <c r="Q737" s="229" t="s">
        <v>328</v>
      </c>
      <c r="R737" s="229" t="s">
        <v>328</v>
      </c>
      <c r="S737" s="229" t="s">
        <v>328</v>
      </c>
      <c r="T737" s="229" t="s">
        <v>328</v>
      </c>
      <c r="U737" s="229" t="s">
        <v>328</v>
      </c>
      <c r="V737" s="229" t="s">
        <v>328</v>
      </c>
      <c r="W737" s="230" t="s">
        <v>328</v>
      </c>
      <c r="X737" s="230" t="s">
        <v>328</v>
      </c>
      <c r="Y737" s="231" t="s">
        <v>328</v>
      </c>
    </row>
    <row r="738" spans="1:25">
      <c r="A738" s="223">
        <v>20</v>
      </c>
      <c r="B738" s="224" t="str">
        <f>VLOOKUP(Tabel10[[#This Row],[Locatiecode]],Ruimtegroepen[[#All],[Code]:[Ruimte omschrijving]],2,FALSE)</f>
        <v>Receptie</v>
      </c>
      <c r="C738" s="225" t="s">
        <v>1200</v>
      </c>
      <c r="D738" s="224" t="s">
        <v>12</v>
      </c>
      <c r="E738" s="226" t="s">
        <v>123</v>
      </c>
      <c r="F738" s="225" t="s">
        <v>1204</v>
      </c>
      <c r="G738" s="228" t="s">
        <v>328</v>
      </c>
      <c r="H738" s="228" t="s">
        <v>328</v>
      </c>
      <c r="I738" s="228" t="s">
        <v>328</v>
      </c>
      <c r="J738" s="228" t="s">
        <v>328</v>
      </c>
      <c r="K738" s="228" t="s">
        <v>328</v>
      </c>
      <c r="L738" s="228" t="s">
        <v>328</v>
      </c>
      <c r="M738" s="228" t="s">
        <v>328</v>
      </c>
      <c r="N738" s="228" t="s">
        <v>328</v>
      </c>
      <c r="O738" s="229" t="s">
        <v>328</v>
      </c>
      <c r="P738" s="229" t="s">
        <v>328</v>
      </c>
      <c r="Q738" s="229" t="s">
        <v>328</v>
      </c>
      <c r="R738" s="229" t="s">
        <v>328</v>
      </c>
      <c r="S738" s="229" t="s">
        <v>328</v>
      </c>
      <c r="T738" s="229" t="s">
        <v>328</v>
      </c>
      <c r="U738" s="229" t="s">
        <v>328</v>
      </c>
      <c r="V738" s="229" t="s">
        <v>328</v>
      </c>
      <c r="W738" s="230" t="s">
        <v>328</v>
      </c>
      <c r="X738" s="230" t="s">
        <v>328</v>
      </c>
      <c r="Y738" s="231" t="s">
        <v>328</v>
      </c>
    </row>
    <row r="739" spans="1:25">
      <c r="A739" s="223">
        <v>20</v>
      </c>
      <c r="B739" s="224" t="str">
        <f>VLOOKUP(Tabel10[[#This Row],[Locatiecode]],Ruimtegroepen[[#All],[Code]:[Ruimte omschrijving]],2,FALSE)</f>
        <v>Receptie</v>
      </c>
      <c r="C739" s="225" t="s">
        <v>1205</v>
      </c>
      <c r="D739" s="224" t="s">
        <v>14</v>
      </c>
      <c r="E739" s="226" t="s">
        <v>121</v>
      </c>
      <c r="F739" s="225" t="s">
        <v>1206</v>
      </c>
      <c r="G739" s="228" t="s">
        <v>328</v>
      </c>
      <c r="H739" s="228" t="s">
        <v>328</v>
      </c>
      <c r="I739" s="228" t="s">
        <v>328</v>
      </c>
      <c r="J739" s="228" t="s">
        <v>328</v>
      </c>
      <c r="K739" s="228" t="s">
        <v>328</v>
      </c>
      <c r="L739" s="228" t="s">
        <v>328</v>
      </c>
      <c r="M739" s="228" t="s">
        <v>328</v>
      </c>
      <c r="N739" s="228" t="s">
        <v>328</v>
      </c>
      <c r="O739" s="229" t="s">
        <v>328</v>
      </c>
      <c r="P739" s="229" t="s">
        <v>328</v>
      </c>
      <c r="Q739" s="229" t="s">
        <v>328</v>
      </c>
      <c r="R739" s="229" t="s">
        <v>328</v>
      </c>
      <c r="S739" s="229" t="s">
        <v>328</v>
      </c>
      <c r="T739" s="229" t="s">
        <v>328</v>
      </c>
      <c r="U739" s="229" t="s">
        <v>328</v>
      </c>
      <c r="V739" s="229" t="s">
        <v>328</v>
      </c>
      <c r="W739" s="230" t="s">
        <v>328</v>
      </c>
      <c r="X739" s="230" t="s">
        <v>328</v>
      </c>
      <c r="Y739" s="231" t="s">
        <v>328</v>
      </c>
    </row>
    <row r="740" spans="1:25">
      <c r="A740" s="223">
        <v>20</v>
      </c>
      <c r="B740" s="224" t="str">
        <f>VLOOKUP(Tabel10[[#This Row],[Locatiecode]],Ruimtegroepen[[#All],[Code]:[Ruimte omschrijving]],2,FALSE)</f>
        <v>Receptie</v>
      </c>
      <c r="C740" s="225" t="s">
        <v>1205</v>
      </c>
      <c r="D740" s="224" t="s">
        <v>14</v>
      </c>
      <c r="E740" s="226" t="s">
        <v>120</v>
      </c>
      <c r="F740" s="225" t="s">
        <v>1207</v>
      </c>
      <c r="G740" s="228" t="s">
        <v>328</v>
      </c>
      <c r="H740" s="228" t="s">
        <v>328</v>
      </c>
      <c r="I740" s="228" t="s">
        <v>328</v>
      </c>
      <c r="J740" s="228" t="s">
        <v>328</v>
      </c>
      <c r="K740" s="228" t="s">
        <v>328</v>
      </c>
      <c r="L740" s="228" t="s">
        <v>328</v>
      </c>
      <c r="M740" s="228" t="s">
        <v>328</v>
      </c>
      <c r="N740" s="228" t="s">
        <v>328</v>
      </c>
      <c r="O740" s="229" t="s">
        <v>328</v>
      </c>
      <c r="P740" s="229" t="s">
        <v>328</v>
      </c>
      <c r="Q740" s="229" t="s">
        <v>328</v>
      </c>
      <c r="R740" s="229" t="s">
        <v>328</v>
      </c>
      <c r="S740" s="229" t="s">
        <v>328</v>
      </c>
      <c r="T740" s="229" t="s">
        <v>328</v>
      </c>
      <c r="U740" s="229" t="s">
        <v>328</v>
      </c>
      <c r="V740" s="229" t="s">
        <v>328</v>
      </c>
      <c r="W740" s="230" t="s">
        <v>328</v>
      </c>
      <c r="X740" s="230" t="s">
        <v>328</v>
      </c>
      <c r="Y740" s="231" t="s">
        <v>328</v>
      </c>
    </row>
    <row r="741" spans="1:25">
      <c r="A741" s="223">
        <v>20</v>
      </c>
      <c r="B741" s="224" t="str">
        <f>VLOOKUP(Tabel10[[#This Row],[Locatiecode]],Ruimtegroepen[[#All],[Code]:[Ruimte omschrijving]],2,FALSE)</f>
        <v>Receptie</v>
      </c>
      <c r="C741" s="225" t="s">
        <v>1205</v>
      </c>
      <c r="D741" s="224" t="s">
        <v>14</v>
      </c>
      <c r="E741" s="226" t="s">
        <v>122</v>
      </c>
      <c r="F741" s="225" t="s">
        <v>1208</v>
      </c>
      <c r="G741" s="228" t="s">
        <v>328</v>
      </c>
      <c r="H741" s="228" t="s">
        <v>328</v>
      </c>
      <c r="I741" s="228" t="s">
        <v>328</v>
      </c>
      <c r="J741" s="228" t="s">
        <v>328</v>
      </c>
      <c r="K741" s="228" t="s">
        <v>328</v>
      </c>
      <c r="L741" s="228" t="s">
        <v>328</v>
      </c>
      <c r="M741" s="228" t="s">
        <v>328</v>
      </c>
      <c r="N741" s="228" t="s">
        <v>328</v>
      </c>
      <c r="O741" s="229" t="s">
        <v>328</v>
      </c>
      <c r="P741" s="229" t="s">
        <v>328</v>
      </c>
      <c r="Q741" s="229" t="s">
        <v>328</v>
      </c>
      <c r="R741" s="229" t="s">
        <v>328</v>
      </c>
      <c r="S741" s="229" t="s">
        <v>328</v>
      </c>
      <c r="T741" s="229" t="s">
        <v>328</v>
      </c>
      <c r="U741" s="229" t="s">
        <v>328</v>
      </c>
      <c r="V741" s="229" t="s">
        <v>328</v>
      </c>
      <c r="W741" s="230" t="s">
        <v>328</v>
      </c>
      <c r="X741" s="230" t="s">
        <v>328</v>
      </c>
      <c r="Y741" s="231" t="s">
        <v>328</v>
      </c>
    </row>
    <row r="742" spans="1:25">
      <c r="A742" s="223">
        <v>20</v>
      </c>
      <c r="B742" s="224" t="str">
        <f>VLOOKUP(Tabel10[[#This Row],[Locatiecode]],Ruimtegroepen[[#All],[Code]:[Ruimte omschrijving]],2,FALSE)</f>
        <v>Receptie</v>
      </c>
      <c r="C742" s="225" t="s">
        <v>1205</v>
      </c>
      <c r="D742" s="224" t="s">
        <v>14</v>
      </c>
      <c r="E742" s="226" t="s">
        <v>123</v>
      </c>
      <c r="F742" s="225" t="s">
        <v>1209</v>
      </c>
      <c r="G742" s="228" t="s">
        <v>328</v>
      </c>
      <c r="H742" s="228" t="s">
        <v>328</v>
      </c>
      <c r="I742" s="228" t="s">
        <v>328</v>
      </c>
      <c r="J742" s="228" t="s">
        <v>328</v>
      </c>
      <c r="K742" s="228" t="s">
        <v>328</v>
      </c>
      <c r="L742" s="228" t="s">
        <v>328</v>
      </c>
      <c r="M742" s="228" t="s">
        <v>328</v>
      </c>
      <c r="N742" s="228" t="s">
        <v>328</v>
      </c>
      <c r="O742" s="229" t="s">
        <v>328</v>
      </c>
      <c r="P742" s="229" t="s">
        <v>328</v>
      </c>
      <c r="Q742" s="229" t="s">
        <v>328</v>
      </c>
      <c r="R742" s="229" t="s">
        <v>328</v>
      </c>
      <c r="S742" s="229" t="s">
        <v>328</v>
      </c>
      <c r="T742" s="229" t="s">
        <v>328</v>
      </c>
      <c r="U742" s="229" t="s">
        <v>328</v>
      </c>
      <c r="V742" s="229" t="s">
        <v>328</v>
      </c>
      <c r="W742" s="230" t="s">
        <v>328</v>
      </c>
      <c r="X742" s="230" t="s">
        <v>328</v>
      </c>
      <c r="Y742" s="231" t="s">
        <v>328</v>
      </c>
    </row>
    <row r="743" spans="1:25">
      <c r="A743" s="223">
        <v>20</v>
      </c>
      <c r="B743" s="224" t="str">
        <f>VLOOKUP(Tabel10[[#This Row],[Locatiecode]],Ruimtegroepen[[#All],[Code]:[Ruimte omschrijving]],2,FALSE)</f>
        <v>Receptie</v>
      </c>
      <c r="C743" s="225" t="s">
        <v>1210</v>
      </c>
      <c r="D743" s="224" t="s">
        <v>13</v>
      </c>
      <c r="E743" s="226" t="s">
        <v>121</v>
      </c>
      <c r="F743" s="225" t="s">
        <v>1211</v>
      </c>
      <c r="G743" s="228" t="s">
        <v>328</v>
      </c>
      <c r="H743" s="228" t="s">
        <v>328</v>
      </c>
      <c r="I743" s="228" t="s">
        <v>328</v>
      </c>
      <c r="J743" s="228" t="s">
        <v>328</v>
      </c>
      <c r="K743" s="228" t="s">
        <v>328</v>
      </c>
      <c r="L743" s="228" t="s">
        <v>328</v>
      </c>
      <c r="M743" s="228" t="s">
        <v>328</v>
      </c>
      <c r="N743" s="228" t="s">
        <v>328</v>
      </c>
      <c r="O743" s="229" t="s">
        <v>328</v>
      </c>
      <c r="P743" s="229" t="s">
        <v>328</v>
      </c>
      <c r="Q743" s="229" t="s">
        <v>328</v>
      </c>
      <c r="R743" s="229" t="s">
        <v>328</v>
      </c>
      <c r="S743" s="229" t="s">
        <v>328</v>
      </c>
      <c r="T743" s="229" t="s">
        <v>328</v>
      </c>
      <c r="U743" s="229" t="s">
        <v>328</v>
      </c>
      <c r="V743" s="229" t="s">
        <v>328</v>
      </c>
      <c r="W743" s="230" t="s">
        <v>328</v>
      </c>
      <c r="X743" s="230" t="s">
        <v>328</v>
      </c>
      <c r="Y743" s="231" t="s">
        <v>328</v>
      </c>
    </row>
    <row r="744" spans="1:25">
      <c r="A744" s="223">
        <v>20</v>
      </c>
      <c r="B744" s="224" t="str">
        <f>VLOOKUP(Tabel10[[#This Row],[Locatiecode]],Ruimtegroepen[[#All],[Code]:[Ruimte omschrijving]],2,FALSE)</f>
        <v>Receptie</v>
      </c>
      <c r="C744" s="225" t="s">
        <v>1210</v>
      </c>
      <c r="D744" s="224" t="s">
        <v>13</v>
      </c>
      <c r="E744" s="226" t="s">
        <v>120</v>
      </c>
      <c r="F744" s="225" t="s">
        <v>1212</v>
      </c>
      <c r="G744" s="228" t="s">
        <v>328</v>
      </c>
      <c r="H744" s="228" t="s">
        <v>328</v>
      </c>
      <c r="I744" s="228" t="s">
        <v>328</v>
      </c>
      <c r="J744" s="228" t="s">
        <v>328</v>
      </c>
      <c r="K744" s="228" t="s">
        <v>328</v>
      </c>
      <c r="L744" s="228" t="s">
        <v>328</v>
      </c>
      <c r="M744" s="228" t="s">
        <v>328</v>
      </c>
      <c r="N744" s="228" t="s">
        <v>328</v>
      </c>
      <c r="O744" s="229" t="s">
        <v>328</v>
      </c>
      <c r="P744" s="229" t="s">
        <v>328</v>
      </c>
      <c r="Q744" s="229" t="s">
        <v>328</v>
      </c>
      <c r="R744" s="229" t="s">
        <v>328</v>
      </c>
      <c r="S744" s="229" t="s">
        <v>328</v>
      </c>
      <c r="T744" s="229" t="s">
        <v>328</v>
      </c>
      <c r="U744" s="229" t="s">
        <v>328</v>
      </c>
      <c r="V744" s="229" t="s">
        <v>328</v>
      </c>
      <c r="W744" s="230" t="s">
        <v>328</v>
      </c>
      <c r="X744" s="230" t="s">
        <v>328</v>
      </c>
      <c r="Y744" s="231" t="s">
        <v>328</v>
      </c>
    </row>
    <row r="745" spans="1:25">
      <c r="A745" s="223">
        <v>20</v>
      </c>
      <c r="B745" s="224" t="str">
        <f>VLOOKUP(Tabel10[[#This Row],[Locatiecode]],Ruimtegroepen[[#All],[Code]:[Ruimte omschrijving]],2,FALSE)</f>
        <v>Receptie</v>
      </c>
      <c r="C745" s="225" t="s">
        <v>1210</v>
      </c>
      <c r="D745" s="224" t="s">
        <v>13</v>
      </c>
      <c r="E745" s="226" t="s">
        <v>122</v>
      </c>
      <c r="F745" s="225" t="s">
        <v>1213</v>
      </c>
      <c r="G745" s="228" t="s">
        <v>328</v>
      </c>
      <c r="H745" s="228" t="s">
        <v>328</v>
      </c>
      <c r="I745" s="228" t="s">
        <v>328</v>
      </c>
      <c r="J745" s="228" t="s">
        <v>328</v>
      </c>
      <c r="K745" s="228" t="s">
        <v>328</v>
      </c>
      <c r="L745" s="228" t="s">
        <v>328</v>
      </c>
      <c r="M745" s="228" t="s">
        <v>328</v>
      </c>
      <c r="N745" s="228" t="s">
        <v>328</v>
      </c>
      <c r="O745" s="229" t="s">
        <v>328</v>
      </c>
      <c r="P745" s="229" t="s">
        <v>328</v>
      </c>
      <c r="Q745" s="229" t="s">
        <v>328</v>
      </c>
      <c r="R745" s="229" t="s">
        <v>328</v>
      </c>
      <c r="S745" s="229" t="s">
        <v>328</v>
      </c>
      <c r="T745" s="229" t="s">
        <v>328</v>
      </c>
      <c r="U745" s="229" t="s">
        <v>328</v>
      </c>
      <c r="V745" s="229" t="s">
        <v>328</v>
      </c>
      <c r="W745" s="230" t="s">
        <v>328</v>
      </c>
      <c r="X745" s="230" t="s">
        <v>328</v>
      </c>
      <c r="Y745" s="231" t="s">
        <v>328</v>
      </c>
    </row>
    <row r="746" spans="1:25">
      <c r="A746" s="223">
        <v>20</v>
      </c>
      <c r="B746" s="224" t="str">
        <f>VLOOKUP(Tabel10[[#This Row],[Locatiecode]],Ruimtegroepen[[#All],[Code]:[Ruimte omschrijving]],2,FALSE)</f>
        <v>Receptie</v>
      </c>
      <c r="C746" s="225" t="s">
        <v>1210</v>
      </c>
      <c r="D746" s="224" t="s">
        <v>13</v>
      </c>
      <c r="E746" s="226" t="s">
        <v>123</v>
      </c>
      <c r="F746" s="225" t="s">
        <v>1214</v>
      </c>
      <c r="G746" s="228" t="s">
        <v>328</v>
      </c>
      <c r="H746" s="228" t="s">
        <v>328</v>
      </c>
      <c r="I746" s="228" t="s">
        <v>328</v>
      </c>
      <c r="J746" s="228" t="s">
        <v>328</v>
      </c>
      <c r="K746" s="228" t="s">
        <v>328</v>
      </c>
      <c r="L746" s="228" t="s">
        <v>328</v>
      </c>
      <c r="M746" s="228" t="s">
        <v>328</v>
      </c>
      <c r="N746" s="228" t="s">
        <v>328</v>
      </c>
      <c r="O746" s="229" t="s">
        <v>328</v>
      </c>
      <c r="P746" s="229" t="s">
        <v>328</v>
      </c>
      <c r="Q746" s="229" t="s">
        <v>328</v>
      </c>
      <c r="R746" s="229" t="s">
        <v>328</v>
      </c>
      <c r="S746" s="229" t="s">
        <v>328</v>
      </c>
      <c r="T746" s="229" t="s">
        <v>328</v>
      </c>
      <c r="U746" s="229" t="s">
        <v>328</v>
      </c>
      <c r="V746" s="229" t="s">
        <v>328</v>
      </c>
      <c r="W746" s="230" t="s">
        <v>328</v>
      </c>
      <c r="X746" s="230" t="s">
        <v>328</v>
      </c>
      <c r="Y746" s="231" t="s">
        <v>328</v>
      </c>
    </row>
    <row r="747" spans="1:25">
      <c r="A747" s="223">
        <v>20</v>
      </c>
      <c r="B747" s="224" t="str">
        <f>VLOOKUP(Tabel10[[#This Row],[Locatiecode]],Ruimtegroepen[[#All],[Code]:[Ruimte omschrijving]],2,FALSE)</f>
        <v>Receptie</v>
      </c>
      <c r="C747" s="225" t="s">
        <v>1215</v>
      </c>
      <c r="D747" s="224" t="s">
        <v>0</v>
      </c>
      <c r="E747" s="226" t="s">
        <v>121</v>
      </c>
      <c r="F747" s="225" t="s">
        <v>1216</v>
      </c>
      <c r="G747" s="228" t="s">
        <v>328</v>
      </c>
      <c r="H747" s="228" t="s">
        <v>328</v>
      </c>
      <c r="I747" s="228" t="s">
        <v>328</v>
      </c>
      <c r="J747" s="228" t="s">
        <v>328</v>
      </c>
      <c r="K747" s="228" t="s">
        <v>328</v>
      </c>
      <c r="L747" s="228" t="s">
        <v>328</v>
      </c>
      <c r="M747" s="228" t="s">
        <v>328</v>
      </c>
      <c r="N747" s="228" t="s">
        <v>328</v>
      </c>
      <c r="O747" s="229" t="s">
        <v>328</v>
      </c>
      <c r="P747" s="229" t="s">
        <v>328</v>
      </c>
      <c r="Q747" s="229" t="s">
        <v>328</v>
      </c>
      <c r="R747" s="229" t="s">
        <v>328</v>
      </c>
      <c r="S747" s="229" t="s">
        <v>328</v>
      </c>
      <c r="T747" s="229" t="s">
        <v>328</v>
      </c>
      <c r="U747" s="229" t="s">
        <v>328</v>
      </c>
      <c r="V747" s="229" t="s">
        <v>328</v>
      </c>
      <c r="W747" s="230" t="s">
        <v>328</v>
      </c>
      <c r="X747" s="230" t="s">
        <v>328</v>
      </c>
      <c r="Y747" s="231" t="s">
        <v>328</v>
      </c>
    </row>
    <row r="748" spans="1:25">
      <c r="A748" s="223">
        <v>20</v>
      </c>
      <c r="B748" s="224" t="str">
        <f>VLOOKUP(Tabel10[[#This Row],[Locatiecode]],Ruimtegroepen[[#All],[Code]:[Ruimte omschrijving]],2,FALSE)</f>
        <v>Receptie</v>
      </c>
      <c r="C748" s="225" t="s">
        <v>1215</v>
      </c>
      <c r="D748" s="224" t="s">
        <v>0</v>
      </c>
      <c r="E748" s="226" t="s">
        <v>120</v>
      </c>
      <c r="F748" s="225" t="s">
        <v>1217</v>
      </c>
      <c r="G748" s="228" t="s">
        <v>328</v>
      </c>
      <c r="H748" s="228" t="s">
        <v>328</v>
      </c>
      <c r="I748" s="228" t="s">
        <v>328</v>
      </c>
      <c r="J748" s="228" t="s">
        <v>328</v>
      </c>
      <c r="K748" s="228" t="s">
        <v>328</v>
      </c>
      <c r="L748" s="228" t="s">
        <v>328</v>
      </c>
      <c r="M748" s="228" t="s">
        <v>328</v>
      </c>
      <c r="N748" s="228" t="s">
        <v>328</v>
      </c>
      <c r="O748" s="229" t="s">
        <v>328</v>
      </c>
      <c r="P748" s="229" t="s">
        <v>328</v>
      </c>
      <c r="Q748" s="229" t="s">
        <v>328</v>
      </c>
      <c r="R748" s="229" t="s">
        <v>328</v>
      </c>
      <c r="S748" s="229" t="s">
        <v>328</v>
      </c>
      <c r="T748" s="229" t="s">
        <v>328</v>
      </c>
      <c r="U748" s="229" t="s">
        <v>328</v>
      </c>
      <c r="V748" s="229" t="s">
        <v>328</v>
      </c>
      <c r="W748" s="230" t="s">
        <v>328</v>
      </c>
      <c r="X748" s="230" t="s">
        <v>328</v>
      </c>
      <c r="Y748" s="231" t="s">
        <v>328</v>
      </c>
    </row>
    <row r="749" spans="1:25">
      <c r="A749" s="223">
        <v>20</v>
      </c>
      <c r="B749" s="224" t="str">
        <f>VLOOKUP(Tabel10[[#This Row],[Locatiecode]],Ruimtegroepen[[#All],[Code]:[Ruimte omschrijving]],2,FALSE)</f>
        <v>Receptie</v>
      </c>
      <c r="C749" s="225" t="s">
        <v>1215</v>
      </c>
      <c r="D749" s="224" t="s">
        <v>0</v>
      </c>
      <c r="E749" s="226" t="s">
        <v>122</v>
      </c>
      <c r="F749" s="225" t="s">
        <v>1218</v>
      </c>
      <c r="G749" s="228" t="s">
        <v>328</v>
      </c>
      <c r="H749" s="228" t="s">
        <v>328</v>
      </c>
      <c r="I749" s="228" t="s">
        <v>328</v>
      </c>
      <c r="J749" s="228" t="s">
        <v>328</v>
      </c>
      <c r="K749" s="228" t="s">
        <v>328</v>
      </c>
      <c r="L749" s="228" t="s">
        <v>328</v>
      </c>
      <c r="M749" s="228" t="s">
        <v>328</v>
      </c>
      <c r="N749" s="228" t="s">
        <v>328</v>
      </c>
      <c r="O749" s="229" t="s">
        <v>328</v>
      </c>
      <c r="P749" s="229" t="s">
        <v>328</v>
      </c>
      <c r="Q749" s="229" t="s">
        <v>328</v>
      </c>
      <c r="R749" s="229" t="s">
        <v>328</v>
      </c>
      <c r="S749" s="229" t="s">
        <v>328</v>
      </c>
      <c r="T749" s="229" t="s">
        <v>328</v>
      </c>
      <c r="U749" s="229" t="s">
        <v>328</v>
      </c>
      <c r="V749" s="229" t="s">
        <v>328</v>
      </c>
      <c r="W749" s="230" t="s">
        <v>328</v>
      </c>
      <c r="X749" s="230" t="s">
        <v>328</v>
      </c>
      <c r="Y749" s="231" t="s">
        <v>328</v>
      </c>
    </row>
    <row r="750" spans="1:25">
      <c r="A750" s="223">
        <v>20</v>
      </c>
      <c r="B750" s="224" t="str">
        <f>VLOOKUP(Tabel10[[#This Row],[Locatiecode]],Ruimtegroepen[[#All],[Code]:[Ruimte omschrijving]],2,FALSE)</f>
        <v>Receptie</v>
      </c>
      <c r="C750" s="225" t="s">
        <v>1215</v>
      </c>
      <c r="D750" s="224" t="s">
        <v>0</v>
      </c>
      <c r="E750" s="226" t="s">
        <v>123</v>
      </c>
      <c r="F750" s="225" t="s">
        <v>1219</v>
      </c>
      <c r="G750" s="228" t="s">
        <v>328</v>
      </c>
      <c r="H750" s="228" t="s">
        <v>328</v>
      </c>
      <c r="I750" s="228" t="s">
        <v>328</v>
      </c>
      <c r="J750" s="228" t="s">
        <v>328</v>
      </c>
      <c r="K750" s="228" t="s">
        <v>328</v>
      </c>
      <c r="L750" s="228" t="s">
        <v>328</v>
      </c>
      <c r="M750" s="228" t="s">
        <v>328</v>
      </c>
      <c r="N750" s="228" t="s">
        <v>328</v>
      </c>
      <c r="O750" s="229" t="s">
        <v>328</v>
      </c>
      <c r="P750" s="229" t="s">
        <v>328</v>
      </c>
      <c r="Q750" s="229" t="s">
        <v>328</v>
      </c>
      <c r="R750" s="229" t="s">
        <v>328</v>
      </c>
      <c r="S750" s="229" t="s">
        <v>328</v>
      </c>
      <c r="T750" s="229" t="s">
        <v>328</v>
      </c>
      <c r="U750" s="229" t="s">
        <v>328</v>
      </c>
      <c r="V750" s="229" t="s">
        <v>328</v>
      </c>
      <c r="W750" s="230" t="s">
        <v>328</v>
      </c>
      <c r="X750" s="230" t="s">
        <v>328</v>
      </c>
      <c r="Y750" s="231" t="s">
        <v>328</v>
      </c>
    </row>
    <row r="751" spans="1:25">
      <c r="A751" s="223">
        <v>20</v>
      </c>
      <c r="B751" s="224" t="str">
        <f>VLOOKUP(Tabel10[[#This Row],[Locatiecode]],Ruimtegroepen[[#All],[Code]:[Ruimte omschrijving]],2,FALSE)</f>
        <v>Receptie</v>
      </c>
      <c r="C751" s="225" t="s">
        <v>1220</v>
      </c>
      <c r="D751" s="224" t="s">
        <v>30</v>
      </c>
      <c r="E751" s="226" t="s">
        <v>121</v>
      </c>
      <c r="F751" s="225" t="s">
        <v>1221</v>
      </c>
      <c r="G751" s="228" t="s">
        <v>328</v>
      </c>
      <c r="H751" s="228" t="s">
        <v>328</v>
      </c>
      <c r="I751" s="228" t="s">
        <v>328</v>
      </c>
      <c r="J751" s="228" t="s">
        <v>328</v>
      </c>
      <c r="K751" s="228" t="s">
        <v>328</v>
      </c>
      <c r="L751" s="228" t="s">
        <v>328</v>
      </c>
      <c r="M751" s="228" t="s">
        <v>328</v>
      </c>
      <c r="N751" s="228" t="s">
        <v>328</v>
      </c>
      <c r="O751" s="229" t="s">
        <v>328</v>
      </c>
      <c r="P751" s="229" t="s">
        <v>328</v>
      </c>
      <c r="Q751" s="229" t="s">
        <v>328</v>
      </c>
      <c r="R751" s="229" t="s">
        <v>328</v>
      </c>
      <c r="S751" s="229" t="s">
        <v>328</v>
      </c>
      <c r="T751" s="229" t="s">
        <v>328</v>
      </c>
      <c r="U751" s="229" t="s">
        <v>328</v>
      </c>
      <c r="V751" s="229" t="s">
        <v>328</v>
      </c>
      <c r="W751" s="230" t="s">
        <v>328</v>
      </c>
      <c r="X751" s="230" t="s">
        <v>328</v>
      </c>
      <c r="Y751" s="231" t="s">
        <v>328</v>
      </c>
    </row>
    <row r="752" spans="1:25">
      <c r="A752" s="223">
        <v>20</v>
      </c>
      <c r="B752" s="224" t="str">
        <f>VLOOKUP(Tabel10[[#This Row],[Locatiecode]],Ruimtegroepen[[#All],[Code]:[Ruimte omschrijving]],2,FALSE)</f>
        <v>Receptie</v>
      </c>
      <c r="C752" s="225" t="s">
        <v>1220</v>
      </c>
      <c r="D752" s="224" t="s">
        <v>30</v>
      </c>
      <c r="E752" s="226" t="s">
        <v>120</v>
      </c>
      <c r="F752" s="225" t="s">
        <v>1222</v>
      </c>
      <c r="G752" s="228" t="s">
        <v>328</v>
      </c>
      <c r="H752" s="228" t="s">
        <v>328</v>
      </c>
      <c r="I752" s="228" t="s">
        <v>328</v>
      </c>
      <c r="J752" s="228" t="s">
        <v>328</v>
      </c>
      <c r="K752" s="228" t="s">
        <v>328</v>
      </c>
      <c r="L752" s="228" t="s">
        <v>328</v>
      </c>
      <c r="M752" s="228" t="s">
        <v>328</v>
      </c>
      <c r="N752" s="228" t="s">
        <v>328</v>
      </c>
      <c r="O752" s="229" t="s">
        <v>328</v>
      </c>
      <c r="P752" s="229" t="s">
        <v>328</v>
      </c>
      <c r="Q752" s="229" t="s">
        <v>328</v>
      </c>
      <c r="R752" s="229" t="s">
        <v>328</v>
      </c>
      <c r="S752" s="229" t="s">
        <v>328</v>
      </c>
      <c r="T752" s="229" t="s">
        <v>328</v>
      </c>
      <c r="U752" s="229" t="s">
        <v>328</v>
      </c>
      <c r="V752" s="229" t="s">
        <v>328</v>
      </c>
      <c r="W752" s="230" t="s">
        <v>328</v>
      </c>
      <c r="X752" s="230" t="s">
        <v>328</v>
      </c>
      <c r="Y752" s="231" t="s">
        <v>328</v>
      </c>
    </row>
    <row r="753" spans="1:25">
      <c r="A753" s="223">
        <v>20</v>
      </c>
      <c r="B753" s="224" t="str">
        <f>VLOOKUP(Tabel10[[#This Row],[Locatiecode]],Ruimtegroepen[[#All],[Code]:[Ruimte omschrijving]],2,FALSE)</f>
        <v>Receptie</v>
      </c>
      <c r="C753" s="225" t="s">
        <v>1220</v>
      </c>
      <c r="D753" s="224" t="s">
        <v>30</v>
      </c>
      <c r="E753" s="226" t="s">
        <v>122</v>
      </c>
      <c r="F753" s="225" t="s">
        <v>1223</v>
      </c>
      <c r="G753" s="228" t="s">
        <v>328</v>
      </c>
      <c r="H753" s="228" t="s">
        <v>328</v>
      </c>
      <c r="I753" s="228" t="s">
        <v>328</v>
      </c>
      <c r="J753" s="228" t="s">
        <v>328</v>
      </c>
      <c r="K753" s="228" t="s">
        <v>328</v>
      </c>
      <c r="L753" s="228" t="s">
        <v>328</v>
      </c>
      <c r="M753" s="228" t="s">
        <v>328</v>
      </c>
      <c r="N753" s="228" t="s">
        <v>328</v>
      </c>
      <c r="O753" s="229" t="s">
        <v>328</v>
      </c>
      <c r="P753" s="229" t="s">
        <v>328</v>
      </c>
      <c r="Q753" s="229" t="s">
        <v>328</v>
      </c>
      <c r="R753" s="229" t="s">
        <v>328</v>
      </c>
      <c r="S753" s="229" t="s">
        <v>328</v>
      </c>
      <c r="T753" s="229" t="s">
        <v>328</v>
      </c>
      <c r="U753" s="229" t="s">
        <v>328</v>
      </c>
      <c r="V753" s="229" t="s">
        <v>328</v>
      </c>
      <c r="W753" s="230" t="s">
        <v>328</v>
      </c>
      <c r="X753" s="230" t="s">
        <v>328</v>
      </c>
      <c r="Y753" s="231" t="s">
        <v>328</v>
      </c>
    </row>
    <row r="754" spans="1:25">
      <c r="A754" s="223">
        <v>20</v>
      </c>
      <c r="B754" s="224" t="str">
        <f>VLOOKUP(Tabel10[[#This Row],[Locatiecode]],Ruimtegroepen[[#All],[Code]:[Ruimte omschrijving]],2,FALSE)</f>
        <v>Receptie</v>
      </c>
      <c r="C754" s="225" t="s">
        <v>1220</v>
      </c>
      <c r="D754" s="224" t="s">
        <v>30</v>
      </c>
      <c r="E754" s="226" t="s">
        <v>123</v>
      </c>
      <c r="F754" s="225" t="s">
        <v>1224</v>
      </c>
      <c r="G754" s="228" t="s">
        <v>328</v>
      </c>
      <c r="H754" s="228" t="s">
        <v>328</v>
      </c>
      <c r="I754" s="228" t="s">
        <v>328</v>
      </c>
      <c r="J754" s="228" t="s">
        <v>328</v>
      </c>
      <c r="K754" s="228" t="s">
        <v>328</v>
      </c>
      <c r="L754" s="228" t="s">
        <v>328</v>
      </c>
      <c r="M754" s="228" t="s">
        <v>328</v>
      </c>
      <c r="N754" s="228" t="s">
        <v>328</v>
      </c>
      <c r="O754" s="229" t="s">
        <v>328</v>
      </c>
      <c r="P754" s="229" t="s">
        <v>328</v>
      </c>
      <c r="Q754" s="229" t="s">
        <v>328</v>
      </c>
      <c r="R754" s="229" t="s">
        <v>328</v>
      </c>
      <c r="S754" s="229" t="s">
        <v>328</v>
      </c>
      <c r="T754" s="229" t="s">
        <v>328</v>
      </c>
      <c r="U754" s="229" t="s">
        <v>328</v>
      </c>
      <c r="V754" s="229" t="s">
        <v>328</v>
      </c>
      <c r="W754" s="230" t="s">
        <v>328</v>
      </c>
      <c r="X754" s="230" t="s">
        <v>328</v>
      </c>
      <c r="Y754" s="231" t="s">
        <v>328</v>
      </c>
    </row>
    <row r="755" spans="1:25">
      <c r="A755" s="223">
        <v>20</v>
      </c>
      <c r="B755" s="224" t="str">
        <f>VLOOKUP(Tabel10[[#This Row],[Locatiecode]],Ruimtegroepen[[#All],[Code]:[Ruimte omschrijving]],2,FALSE)</f>
        <v>Receptie</v>
      </c>
      <c r="C755" s="225" t="s">
        <v>1225</v>
      </c>
      <c r="D755" s="224" t="s">
        <v>31</v>
      </c>
      <c r="E755" s="226" t="s">
        <v>121</v>
      </c>
      <c r="F755" s="225" t="s">
        <v>1226</v>
      </c>
      <c r="G755" s="228" t="s">
        <v>328</v>
      </c>
      <c r="H755" s="228" t="s">
        <v>328</v>
      </c>
      <c r="I755" s="228" t="s">
        <v>328</v>
      </c>
      <c r="J755" s="228" t="s">
        <v>328</v>
      </c>
      <c r="K755" s="228" t="s">
        <v>328</v>
      </c>
      <c r="L755" s="228" t="s">
        <v>328</v>
      </c>
      <c r="M755" s="228" t="s">
        <v>328</v>
      </c>
      <c r="N755" s="228" t="s">
        <v>328</v>
      </c>
      <c r="O755" s="229" t="s">
        <v>328</v>
      </c>
      <c r="P755" s="229" t="s">
        <v>328</v>
      </c>
      <c r="Q755" s="229" t="s">
        <v>328</v>
      </c>
      <c r="R755" s="229" t="s">
        <v>328</v>
      </c>
      <c r="S755" s="229" t="s">
        <v>328</v>
      </c>
      <c r="T755" s="229" t="s">
        <v>328</v>
      </c>
      <c r="U755" s="229" t="s">
        <v>328</v>
      </c>
      <c r="V755" s="229" t="s">
        <v>328</v>
      </c>
      <c r="W755" s="230" t="s">
        <v>328</v>
      </c>
      <c r="X755" s="230" t="s">
        <v>328</v>
      </c>
      <c r="Y755" s="231" t="s">
        <v>328</v>
      </c>
    </row>
    <row r="756" spans="1:25">
      <c r="A756" s="223">
        <v>20</v>
      </c>
      <c r="B756" s="224" t="str">
        <f>VLOOKUP(Tabel10[[#This Row],[Locatiecode]],Ruimtegroepen[[#All],[Code]:[Ruimte omschrijving]],2,FALSE)</f>
        <v>Receptie</v>
      </c>
      <c r="C756" s="225" t="s">
        <v>1225</v>
      </c>
      <c r="D756" s="224" t="s">
        <v>31</v>
      </c>
      <c r="E756" s="226" t="s">
        <v>120</v>
      </c>
      <c r="F756" s="225" t="s">
        <v>1227</v>
      </c>
      <c r="G756" s="228" t="s">
        <v>328</v>
      </c>
      <c r="H756" s="228" t="s">
        <v>328</v>
      </c>
      <c r="I756" s="228" t="s">
        <v>328</v>
      </c>
      <c r="J756" s="228" t="s">
        <v>328</v>
      </c>
      <c r="K756" s="228" t="s">
        <v>328</v>
      </c>
      <c r="L756" s="228" t="s">
        <v>328</v>
      </c>
      <c r="M756" s="228" t="s">
        <v>328</v>
      </c>
      <c r="N756" s="228" t="s">
        <v>328</v>
      </c>
      <c r="O756" s="229" t="s">
        <v>328</v>
      </c>
      <c r="P756" s="229" t="s">
        <v>328</v>
      </c>
      <c r="Q756" s="229" t="s">
        <v>328</v>
      </c>
      <c r="R756" s="229" t="s">
        <v>328</v>
      </c>
      <c r="S756" s="229" t="s">
        <v>328</v>
      </c>
      <c r="T756" s="229" t="s">
        <v>328</v>
      </c>
      <c r="U756" s="229" t="s">
        <v>328</v>
      </c>
      <c r="V756" s="229" t="s">
        <v>328</v>
      </c>
      <c r="W756" s="230" t="s">
        <v>328</v>
      </c>
      <c r="X756" s="230" t="s">
        <v>328</v>
      </c>
      <c r="Y756" s="231" t="s">
        <v>328</v>
      </c>
    </row>
    <row r="757" spans="1:25">
      <c r="A757" s="223">
        <v>20</v>
      </c>
      <c r="B757" s="224" t="str">
        <f>VLOOKUP(Tabel10[[#This Row],[Locatiecode]],Ruimtegroepen[[#All],[Code]:[Ruimte omschrijving]],2,FALSE)</f>
        <v>Receptie</v>
      </c>
      <c r="C757" s="225" t="s">
        <v>1225</v>
      </c>
      <c r="D757" s="224" t="s">
        <v>31</v>
      </c>
      <c r="E757" s="226" t="s">
        <v>122</v>
      </c>
      <c r="F757" s="225" t="s">
        <v>1228</v>
      </c>
      <c r="G757" s="228" t="s">
        <v>328</v>
      </c>
      <c r="H757" s="228" t="s">
        <v>328</v>
      </c>
      <c r="I757" s="228" t="s">
        <v>328</v>
      </c>
      <c r="J757" s="228" t="s">
        <v>328</v>
      </c>
      <c r="K757" s="228" t="s">
        <v>328</v>
      </c>
      <c r="L757" s="228" t="s">
        <v>328</v>
      </c>
      <c r="M757" s="228" t="s">
        <v>328</v>
      </c>
      <c r="N757" s="228" t="s">
        <v>328</v>
      </c>
      <c r="O757" s="229" t="s">
        <v>328</v>
      </c>
      <c r="P757" s="229" t="s">
        <v>328</v>
      </c>
      <c r="Q757" s="229" t="s">
        <v>328</v>
      </c>
      <c r="R757" s="229" t="s">
        <v>328</v>
      </c>
      <c r="S757" s="229" t="s">
        <v>328</v>
      </c>
      <c r="T757" s="229" t="s">
        <v>328</v>
      </c>
      <c r="U757" s="229" t="s">
        <v>328</v>
      </c>
      <c r="V757" s="229" t="s">
        <v>328</v>
      </c>
      <c r="W757" s="230" t="s">
        <v>328</v>
      </c>
      <c r="X757" s="230" t="s">
        <v>328</v>
      </c>
      <c r="Y757" s="231" t="s">
        <v>328</v>
      </c>
    </row>
    <row r="758" spans="1:25">
      <c r="A758" s="223">
        <v>20</v>
      </c>
      <c r="B758" s="224" t="str">
        <f>VLOOKUP(Tabel10[[#This Row],[Locatiecode]],Ruimtegroepen[[#All],[Code]:[Ruimte omschrijving]],2,FALSE)</f>
        <v>Receptie</v>
      </c>
      <c r="C758" s="225" t="s">
        <v>1225</v>
      </c>
      <c r="D758" s="224" t="s">
        <v>31</v>
      </c>
      <c r="E758" s="226" t="s">
        <v>123</v>
      </c>
      <c r="F758" s="225" t="s">
        <v>1229</v>
      </c>
      <c r="G758" s="228" t="s">
        <v>328</v>
      </c>
      <c r="H758" s="228" t="s">
        <v>328</v>
      </c>
      <c r="I758" s="228" t="s">
        <v>328</v>
      </c>
      <c r="J758" s="228" t="s">
        <v>328</v>
      </c>
      <c r="K758" s="228" t="s">
        <v>328</v>
      </c>
      <c r="L758" s="228" t="s">
        <v>328</v>
      </c>
      <c r="M758" s="228" t="s">
        <v>328</v>
      </c>
      <c r="N758" s="228" t="s">
        <v>328</v>
      </c>
      <c r="O758" s="229" t="s">
        <v>328</v>
      </c>
      <c r="P758" s="229" t="s">
        <v>328</v>
      </c>
      <c r="Q758" s="229" t="s">
        <v>328</v>
      </c>
      <c r="R758" s="229" t="s">
        <v>328</v>
      </c>
      <c r="S758" s="229" t="s">
        <v>328</v>
      </c>
      <c r="T758" s="229" t="s">
        <v>328</v>
      </c>
      <c r="U758" s="229" t="s">
        <v>328</v>
      </c>
      <c r="V758" s="229" t="s">
        <v>328</v>
      </c>
      <c r="W758" s="230" t="s">
        <v>328</v>
      </c>
      <c r="X758" s="230" t="s">
        <v>328</v>
      </c>
      <c r="Y758" s="231" t="s">
        <v>328</v>
      </c>
    </row>
    <row r="759" spans="1:25">
      <c r="A759" s="223"/>
      <c r="B759" s="224"/>
      <c r="C759" s="225"/>
      <c r="D759" s="224"/>
      <c r="E759" s="225"/>
      <c r="F759" s="225" t="s">
        <v>3</v>
      </c>
      <c r="G759" s="228"/>
      <c r="H759" s="228"/>
      <c r="I759" s="228"/>
      <c r="J759" s="228"/>
      <c r="K759" s="228"/>
      <c r="L759" s="228"/>
      <c r="M759" s="228"/>
      <c r="N759" s="228"/>
      <c r="O759" s="233"/>
      <c r="P759" s="233"/>
      <c r="Q759" s="233"/>
      <c r="R759" s="233"/>
      <c r="S759" s="233"/>
      <c r="T759" s="233"/>
      <c r="U759" s="233"/>
      <c r="V759" s="233"/>
      <c r="W759" s="229"/>
      <c r="X759" s="229"/>
      <c r="Y759" s="234"/>
    </row>
    <row r="760" spans="1:25">
      <c r="A760"/>
      <c r="C760"/>
      <c r="E760"/>
      <c r="F760"/>
      <c r="G760"/>
      <c r="H760"/>
      <c r="I760"/>
      <c r="J760"/>
      <c r="K760"/>
      <c r="L760"/>
      <c r="M760"/>
      <c r="N760"/>
      <c r="O760"/>
      <c r="P760"/>
      <c r="Q760"/>
      <c r="R760"/>
      <c r="S760"/>
      <c r="T760"/>
      <c r="U760"/>
      <c r="V760"/>
      <c r="W760"/>
      <c r="X760"/>
      <c r="Y760"/>
    </row>
    <row r="761" spans="1:25">
      <c r="A761"/>
      <c r="C761"/>
      <c r="E761"/>
      <c r="F761"/>
      <c r="G761"/>
      <c r="H761"/>
      <c r="I761"/>
      <c r="J761"/>
      <c r="K761"/>
      <c r="L761"/>
      <c r="M761"/>
      <c r="N761"/>
      <c r="O761"/>
      <c r="P761"/>
      <c r="Q761"/>
      <c r="R761"/>
      <c r="S761"/>
      <c r="T761"/>
      <c r="U761"/>
      <c r="V761"/>
      <c r="W761"/>
      <c r="X761"/>
      <c r="Y761"/>
    </row>
    <row r="762" spans="1:25">
      <c r="A762"/>
      <c r="C762"/>
      <c r="E762"/>
      <c r="F762"/>
      <c r="G762"/>
      <c r="H762"/>
      <c r="I762"/>
      <c r="J762"/>
      <c r="K762"/>
      <c r="L762"/>
      <c r="M762"/>
      <c r="N762"/>
      <c r="O762"/>
      <c r="P762"/>
      <c r="Q762"/>
      <c r="R762"/>
      <c r="S762"/>
      <c r="T762"/>
      <c r="U762"/>
      <c r="V762"/>
      <c r="W762"/>
      <c r="X762"/>
      <c r="Y762"/>
    </row>
    <row r="763" spans="1:25">
      <c r="A763"/>
      <c r="C763"/>
      <c r="E763"/>
      <c r="F763"/>
      <c r="G763"/>
      <c r="H763"/>
      <c r="I763"/>
      <c r="J763"/>
      <c r="K763"/>
      <c r="L763"/>
      <c r="M763"/>
      <c r="N763"/>
      <c r="O763"/>
      <c r="P763"/>
      <c r="Q763"/>
      <c r="R763"/>
      <c r="S763"/>
      <c r="T763"/>
      <c r="U763"/>
      <c r="V763"/>
      <c r="W763"/>
      <c r="X763"/>
      <c r="Y763"/>
    </row>
    <row r="764" spans="1:25">
      <c r="A764"/>
      <c r="C764"/>
      <c r="E764"/>
      <c r="F764"/>
      <c r="G764"/>
      <c r="H764"/>
      <c r="I764"/>
      <c r="J764"/>
      <c r="K764"/>
      <c r="L764"/>
      <c r="M764"/>
      <c r="N764"/>
      <c r="O764"/>
      <c r="P764"/>
      <c r="Q764"/>
      <c r="R764"/>
      <c r="S764"/>
      <c r="T764"/>
      <c r="U764"/>
      <c r="V764"/>
      <c r="W764"/>
      <c r="X764"/>
      <c r="Y764"/>
    </row>
    <row r="765" spans="1:25">
      <c r="A765"/>
      <c r="C765"/>
      <c r="E765"/>
      <c r="F765"/>
      <c r="G765"/>
      <c r="H765"/>
      <c r="I765"/>
      <c r="J765"/>
      <c r="K765"/>
      <c r="L765"/>
      <c r="M765"/>
      <c r="N765"/>
      <c r="O765"/>
      <c r="P765"/>
      <c r="Q765"/>
      <c r="R765"/>
      <c r="S765"/>
      <c r="T765"/>
      <c r="U765"/>
      <c r="V765"/>
      <c r="W765"/>
      <c r="X765"/>
      <c r="Y765"/>
    </row>
    <row r="766" spans="1:25">
      <c r="A766"/>
      <c r="C766"/>
      <c r="E766"/>
      <c r="F766"/>
      <c r="G766"/>
      <c r="H766"/>
      <c r="I766"/>
      <c r="J766"/>
      <c r="K766"/>
      <c r="L766"/>
      <c r="M766"/>
      <c r="N766"/>
      <c r="O766"/>
      <c r="P766"/>
      <c r="Q766"/>
      <c r="R766"/>
      <c r="S766"/>
      <c r="T766"/>
      <c r="U766"/>
      <c r="V766"/>
      <c r="W766"/>
      <c r="X766"/>
      <c r="Y766"/>
    </row>
    <row r="767" spans="1:25">
      <c r="A767"/>
      <c r="C767"/>
      <c r="E767"/>
      <c r="F767"/>
      <c r="G767"/>
      <c r="H767"/>
      <c r="I767"/>
      <c r="J767"/>
      <c r="K767"/>
      <c r="L767"/>
      <c r="M767"/>
      <c r="N767"/>
      <c r="O767"/>
      <c r="P767"/>
      <c r="Q767"/>
      <c r="R767"/>
      <c r="S767"/>
      <c r="T767"/>
      <c r="U767"/>
      <c r="V767"/>
      <c r="W767"/>
      <c r="X767"/>
      <c r="Y767"/>
    </row>
    <row r="768" spans="1:25">
      <c r="A768"/>
      <c r="C768"/>
      <c r="E768"/>
      <c r="F768"/>
      <c r="G768"/>
      <c r="H768"/>
      <c r="I768"/>
      <c r="J768"/>
      <c r="K768"/>
      <c r="L768"/>
      <c r="M768"/>
      <c r="N768"/>
      <c r="O768"/>
      <c r="P768"/>
      <c r="Q768"/>
      <c r="R768"/>
      <c r="S768"/>
      <c r="T768"/>
      <c r="U768"/>
      <c r="V768"/>
      <c r="W768"/>
      <c r="X768"/>
      <c r="Y768"/>
    </row>
    <row r="769" customFormat="1"/>
    <row r="770" customFormat="1"/>
    <row r="771" customFormat="1"/>
    <row r="772" customFormat="1"/>
    <row r="773" customFormat="1"/>
    <row r="774" customFormat="1"/>
    <row r="775" customFormat="1"/>
    <row r="776" customFormat="1"/>
    <row r="777" customFormat="1"/>
    <row r="778" customFormat="1"/>
    <row r="779" customFormat="1"/>
    <row r="780" customFormat="1"/>
    <row r="781" customFormat="1"/>
    <row r="782" customFormat="1"/>
    <row r="783" customFormat="1"/>
    <row r="784" customFormat="1"/>
    <row r="785" customFormat="1"/>
    <row r="786" customFormat="1"/>
    <row r="787" customFormat="1"/>
    <row r="788" customFormat="1"/>
    <row r="789" customFormat="1"/>
    <row r="790" customFormat="1"/>
    <row r="791" customFormat="1"/>
    <row r="792" customFormat="1"/>
    <row r="793" customFormat="1"/>
    <row r="794" customFormat="1"/>
    <row r="795" customFormat="1"/>
    <row r="796" customFormat="1"/>
    <row r="797" customFormat="1"/>
    <row r="798" customFormat="1"/>
    <row r="799" customFormat="1"/>
    <row r="800" customFormat="1"/>
    <row r="801" customFormat="1"/>
    <row r="802" customFormat="1"/>
    <row r="803" customFormat="1"/>
    <row r="804" customFormat="1"/>
    <row r="805" customFormat="1"/>
    <row r="806" customFormat="1"/>
    <row r="807" customFormat="1"/>
    <row r="808" customFormat="1"/>
    <row r="809" customFormat="1"/>
    <row r="810" customFormat="1"/>
    <row r="811" customFormat="1"/>
    <row r="812" customFormat="1"/>
    <row r="813" customFormat="1"/>
    <row r="814" customFormat="1"/>
    <row r="815" customFormat="1"/>
    <row r="816" customFormat="1"/>
    <row r="817" customFormat="1"/>
    <row r="818" customFormat="1"/>
    <row r="819" customFormat="1"/>
    <row r="820" customFormat="1"/>
    <row r="821" customFormat="1"/>
    <row r="822" customFormat="1"/>
    <row r="823" customFormat="1"/>
    <row r="824" customFormat="1"/>
    <row r="825" customFormat="1"/>
    <row r="826" customFormat="1"/>
    <row r="827" customFormat="1"/>
    <row r="828" customFormat="1"/>
    <row r="829" customFormat="1"/>
    <row r="830" customFormat="1"/>
    <row r="831" customFormat="1"/>
    <row r="832" customFormat="1"/>
    <row r="833" customFormat="1"/>
    <row r="834" customFormat="1"/>
    <row r="835" customFormat="1"/>
    <row r="836" customFormat="1"/>
    <row r="837" customFormat="1"/>
    <row r="838" customFormat="1"/>
    <row r="839" customFormat="1"/>
    <row r="840" customFormat="1"/>
    <row r="841" customFormat="1"/>
    <row r="842" customFormat="1"/>
    <row r="843" customFormat="1"/>
    <row r="844" customFormat="1"/>
    <row r="845" customFormat="1"/>
    <row r="846" customFormat="1"/>
    <row r="847" customFormat="1"/>
    <row r="848" customFormat="1"/>
    <row r="849" customFormat="1"/>
    <row r="850" customFormat="1"/>
    <row r="851" customFormat="1"/>
    <row r="852" customFormat="1"/>
    <row r="853" customFormat="1"/>
    <row r="854" customFormat="1"/>
    <row r="855" customFormat="1"/>
    <row r="856" customFormat="1"/>
    <row r="857" customFormat="1"/>
    <row r="858" customFormat="1"/>
    <row r="859" customFormat="1"/>
    <row r="860" customFormat="1"/>
    <row r="861" customFormat="1"/>
    <row r="862" customFormat="1"/>
    <row r="863" customFormat="1"/>
    <row r="864" customFormat="1"/>
    <row r="865" customFormat="1"/>
    <row r="866" customFormat="1"/>
    <row r="867" customFormat="1"/>
    <row r="868" customFormat="1"/>
    <row r="869" customFormat="1"/>
    <row r="870" customFormat="1"/>
    <row r="871" customFormat="1"/>
    <row r="872" customFormat="1"/>
    <row r="873" customFormat="1"/>
    <row r="874" customFormat="1"/>
    <row r="875" customFormat="1"/>
    <row r="876" customFormat="1"/>
    <row r="877" customFormat="1"/>
    <row r="878" customFormat="1"/>
    <row r="879" customFormat="1"/>
    <row r="880" customFormat="1"/>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61"/>
  <sheetViews>
    <sheetView view="pageBreakPreview" zoomScaleNormal="100" zoomScaleSheetLayoutView="100" workbookViewId="0">
      <selection activeCell="B17" sqref="B17"/>
    </sheetView>
  </sheetViews>
  <sheetFormatPr defaultColWidth="14.140625" defaultRowHeight="15" customHeight="1"/>
  <cols>
    <col min="1" max="1" width="14.140625" style="5"/>
    <col min="2" max="2" width="37.7109375" style="2" bestFit="1" customWidth="1"/>
    <col min="3" max="3" width="14.140625" style="2"/>
    <col min="4" max="4" width="32" style="7" customWidth="1"/>
    <col min="5" max="6" width="23.7109375" style="2" customWidth="1"/>
    <col min="7" max="7" width="14.140625" style="2"/>
    <col min="8" max="8" width="14.140625" style="6"/>
    <col min="9" max="9" width="14.140625" style="2"/>
    <col min="10" max="10" width="14.140625" style="5"/>
    <col min="11" max="15" width="14.140625" style="1"/>
    <col min="16" max="16384" width="14.140625" style="2"/>
  </cols>
  <sheetData>
    <row r="1" spans="1:17" s="9" customFormat="1" ht="26.25" customHeight="1">
      <c r="A1" s="406" t="s">
        <v>132</v>
      </c>
      <c r="B1" s="406"/>
      <c r="C1" s="406"/>
      <c r="D1" s="406"/>
      <c r="E1" s="406"/>
      <c r="F1" s="406"/>
      <c r="G1" s="82"/>
      <c r="H1" s="82"/>
      <c r="I1" s="82"/>
      <c r="J1" s="82"/>
      <c r="K1" s="82"/>
      <c r="L1" s="82"/>
      <c r="M1" s="82"/>
    </row>
    <row r="2" spans="1:17" s="9" customFormat="1" ht="15" customHeight="1">
      <c r="A2" s="404" t="s">
        <v>235</v>
      </c>
      <c r="B2" s="405"/>
      <c r="C2" s="405"/>
      <c r="D2" s="405"/>
      <c r="E2" s="405"/>
      <c r="F2" s="405"/>
      <c r="G2" s="132"/>
      <c r="H2" s="132"/>
      <c r="I2" s="132"/>
      <c r="J2" s="132"/>
      <c r="K2" s="132"/>
      <c r="L2" s="132"/>
      <c r="M2" s="132"/>
      <c r="N2" s="132"/>
    </row>
    <row r="3" spans="1:17" s="73" customFormat="1" ht="15" customHeight="1">
      <c r="A3" s="74"/>
      <c r="E3" s="92"/>
      <c r="F3" s="92"/>
      <c r="I3" s="93"/>
      <c r="K3" s="94"/>
      <c r="L3" s="74"/>
      <c r="M3" s="74"/>
      <c r="N3" s="74"/>
      <c r="O3" s="74"/>
      <c r="P3" s="74"/>
    </row>
    <row r="4" spans="1:17" s="73" customFormat="1" ht="15" customHeight="1">
      <c r="A4" s="74"/>
      <c r="E4" s="92"/>
      <c r="F4" s="92"/>
      <c r="I4" s="93"/>
      <c r="K4" s="94"/>
      <c r="L4" s="74"/>
      <c r="M4" s="74"/>
      <c r="N4" s="74"/>
      <c r="O4" s="74"/>
      <c r="P4" s="74"/>
    </row>
    <row r="5" spans="1:17" s="73" customFormat="1" ht="26.25" customHeight="1">
      <c r="A5" s="95" t="s">
        <v>261</v>
      </c>
      <c r="B5" s="95"/>
      <c r="C5" s="95"/>
      <c r="D5" s="95"/>
      <c r="E5" s="88"/>
      <c r="F5" s="88"/>
      <c r="I5" s="93"/>
      <c r="K5" s="94"/>
      <c r="L5" s="74"/>
      <c r="M5" s="74"/>
      <c r="N5" s="74"/>
      <c r="O5" s="74"/>
      <c r="P5" s="74"/>
    </row>
    <row r="6" spans="1:17" s="73" customFormat="1" ht="26.25" customHeight="1" thickBot="1">
      <c r="A6" s="124" t="s">
        <v>38</v>
      </c>
      <c r="B6" s="125" t="s">
        <v>160</v>
      </c>
      <c r="C6" s="122" t="s">
        <v>119</v>
      </c>
      <c r="D6" s="126" t="s">
        <v>77</v>
      </c>
      <c r="E6" s="127" t="s">
        <v>76</v>
      </c>
      <c r="F6" s="4" t="s">
        <v>33</v>
      </c>
      <c r="I6" s="93"/>
      <c r="K6" s="94"/>
      <c r="L6" s="74"/>
      <c r="M6" s="74"/>
      <c r="N6" s="74"/>
      <c r="O6" s="74"/>
      <c r="P6" s="74"/>
    </row>
    <row r="7" spans="1:17" s="73" customFormat="1" ht="15" customHeight="1" thickTop="1">
      <c r="A7" s="186">
        <v>1</v>
      </c>
      <c r="B7" s="128" t="s">
        <v>1481</v>
      </c>
      <c r="C7" s="123">
        <v>1</v>
      </c>
      <c r="D7" s="128" t="s">
        <v>1482</v>
      </c>
      <c r="E7" s="128" t="s">
        <v>1483</v>
      </c>
      <c r="F7" s="128" t="s">
        <v>1358</v>
      </c>
      <c r="I7" s="93"/>
      <c r="K7" s="94"/>
      <c r="L7" s="74"/>
      <c r="M7" s="74"/>
      <c r="N7" s="74"/>
      <c r="O7" s="74"/>
      <c r="P7" s="74"/>
    </row>
    <row r="8" spans="1:17" s="73" customFormat="1" ht="15" customHeight="1">
      <c r="A8" s="74"/>
      <c r="E8" s="92"/>
      <c r="F8" s="92"/>
      <c r="I8" s="93"/>
      <c r="K8" s="94"/>
      <c r="L8" s="74"/>
      <c r="M8" s="74"/>
      <c r="N8" s="74"/>
      <c r="O8" s="74"/>
      <c r="P8" s="74"/>
    </row>
    <row r="9" spans="1:17" s="73" customFormat="1" ht="15" customHeight="1">
      <c r="A9" s="107" t="s">
        <v>262</v>
      </c>
      <c r="B9" s="88"/>
      <c r="C9" s="88"/>
      <c r="D9" s="88"/>
      <c r="E9" s="92"/>
      <c r="F9" s="92"/>
      <c r="I9" s="93"/>
      <c r="K9" s="94"/>
      <c r="L9" s="74"/>
      <c r="M9" s="74"/>
      <c r="N9" s="74"/>
      <c r="O9" s="74"/>
      <c r="P9" s="74"/>
    </row>
    <row r="10" spans="1:17" s="73" customFormat="1" ht="15" customHeight="1">
      <c r="A10" s="106" t="s">
        <v>38</v>
      </c>
      <c r="B10" s="32" t="s">
        <v>117</v>
      </c>
      <c r="C10" s="8" t="s">
        <v>116</v>
      </c>
      <c r="D10" s="106" t="s">
        <v>227</v>
      </c>
      <c r="E10" s="92"/>
      <c r="F10" s="92"/>
      <c r="I10" s="93"/>
      <c r="K10" s="94"/>
      <c r="L10" s="74"/>
      <c r="M10" s="74"/>
      <c r="N10" s="74"/>
      <c r="O10" s="74"/>
      <c r="P10" s="74"/>
    </row>
    <row r="11" spans="1:17" s="73" customFormat="1" ht="16.5" customHeight="1">
      <c r="A11" s="33">
        <v>1</v>
      </c>
      <c r="B11" s="9" t="s">
        <v>69</v>
      </c>
      <c r="C11" s="108">
        <v>0</v>
      </c>
      <c r="D11" s="161" t="s">
        <v>255</v>
      </c>
      <c r="E11" s="92"/>
      <c r="F11" s="92"/>
      <c r="I11" s="93"/>
      <c r="K11" s="94"/>
      <c r="L11" s="74"/>
      <c r="M11" s="74"/>
      <c r="N11" s="74"/>
      <c r="O11" s="74"/>
      <c r="P11" s="74"/>
    </row>
    <row r="12" spans="1:17" s="73" customFormat="1" ht="16.5" customHeight="1">
      <c r="A12" s="33">
        <v>2</v>
      </c>
      <c r="B12" s="9" t="s">
        <v>70</v>
      </c>
      <c r="C12" s="108">
        <v>0</v>
      </c>
      <c r="D12" s="161" t="s">
        <v>258</v>
      </c>
      <c r="E12" s="88"/>
      <c r="F12" s="88"/>
      <c r="I12" s="93"/>
      <c r="K12" s="94"/>
      <c r="L12" s="74"/>
      <c r="M12" s="74"/>
      <c r="N12" s="74"/>
      <c r="O12" s="74"/>
      <c r="P12" s="74"/>
    </row>
    <row r="13" spans="1:17" s="73" customFormat="1" ht="16.5" customHeight="1">
      <c r="A13" s="33">
        <v>3</v>
      </c>
      <c r="B13" s="9" t="s">
        <v>71</v>
      </c>
      <c r="C13" s="108">
        <v>0</v>
      </c>
      <c r="D13" s="161" t="s">
        <v>255</v>
      </c>
      <c r="E13" s="75"/>
      <c r="F13" s="75"/>
      <c r="I13" s="93"/>
      <c r="K13" s="94"/>
      <c r="L13" s="74"/>
      <c r="M13" s="74"/>
      <c r="N13" s="74"/>
      <c r="O13" s="74"/>
      <c r="P13" s="74"/>
    </row>
    <row r="14" spans="1:17" s="73" customFormat="1" ht="16.5" customHeight="1">
      <c r="A14" s="33">
        <v>4</v>
      </c>
      <c r="B14" s="9" t="s">
        <v>298</v>
      </c>
      <c r="C14" s="108">
        <v>0</v>
      </c>
      <c r="D14" s="161" t="s">
        <v>258</v>
      </c>
      <c r="E14" s="109"/>
      <c r="F14" s="88"/>
      <c r="I14" s="93"/>
      <c r="K14" s="94"/>
      <c r="L14" s="74"/>
      <c r="M14" s="74"/>
      <c r="N14" s="74"/>
      <c r="O14" s="74"/>
      <c r="P14" s="74"/>
    </row>
    <row r="15" spans="1:17" s="73" customFormat="1" ht="16.5" customHeight="1">
      <c r="A15" s="33">
        <v>5</v>
      </c>
      <c r="B15" s="9" t="s">
        <v>22</v>
      </c>
      <c r="C15" s="108">
        <v>0</v>
      </c>
      <c r="D15" s="161" t="s">
        <v>256</v>
      </c>
      <c r="E15" s="109"/>
      <c r="F15" s="88"/>
      <c r="I15" s="93"/>
      <c r="K15" s="94"/>
      <c r="L15" s="74"/>
      <c r="M15" s="74"/>
      <c r="N15" s="74"/>
      <c r="O15" s="74"/>
      <c r="P15" s="74"/>
    </row>
    <row r="16" spans="1:17" s="88" customFormat="1" ht="16.5" customHeight="1">
      <c r="A16" s="350">
        <v>6</v>
      </c>
      <c r="B16" s="349" t="s">
        <v>1423</v>
      </c>
      <c r="C16" s="108">
        <v>0</v>
      </c>
      <c r="D16" s="161" t="s">
        <v>255</v>
      </c>
      <c r="E16" s="109"/>
      <c r="J16" s="96"/>
      <c r="O16" s="97"/>
      <c r="P16" s="97"/>
      <c r="Q16" s="97"/>
    </row>
    <row r="17" spans="1:18" s="88" customFormat="1" ht="16.5" customHeight="1">
      <c r="A17" s="350" t="s">
        <v>1422</v>
      </c>
      <c r="B17" s="349" t="s">
        <v>1424</v>
      </c>
      <c r="C17" s="108">
        <v>0</v>
      </c>
      <c r="D17" s="161" t="s">
        <v>255</v>
      </c>
      <c r="E17" s="109"/>
      <c r="J17" s="96"/>
      <c r="O17" s="97"/>
      <c r="P17" s="97"/>
      <c r="Q17" s="97"/>
    </row>
    <row r="18" spans="1:18" s="35" customFormat="1" ht="16.5" customHeight="1">
      <c r="A18" s="350">
        <v>7</v>
      </c>
      <c r="B18" s="349" t="s">
        <v>50</v>
      </c>
      <c r="C18" s="108">
        <v>0</v>
      </c>
      <c r="D18" s="161" t="s">
        <v>255</v>
      </c>
      <c r="E18" s="109"/>
      <c r="F18" s="88"/>
      <c r="G18" s="75"/>
      <c r="H18" s="75"/>
      <c r="I18" s="75"/>
      <c r="J18" s="98"/>
      <c r="K18" s="75"/>
      <c r="L18" s="75"/>
      <c r="M18" s="75"/>
      <c r="N18" s="75"/>
      <c r="O18" s="134"/>
      <c r="P18" s="134"/>
      <c r="Q18" s="134"/>
      <c r="R18" s="134"/>
    </row>
    <row r="19" spans="1:18" s="4" customFormat="1" ht="16.5" customHeight="1">
      <c r="A19" s="350">
        <v>8</v>
      </c>
      <c r="B19" s="349" t="s">
        <v>1490</v>
      </c>
      <c r="C19" s="108">
        <v>0</v>
      </c>
      <c r="D19" s="161" t="s">
        <v>255</v>
      </c>
      <c r="E19" s="109"/>
      <c r="F19" s="112"/>
      <c r="G19" s="88"/>
      <c r="H19" s="88"/>
      <c r="I19" s="88"/>
      <c r="J19" s="96"/>
      <c r="K19" s="88"/>
      <c r="L19" s="88"/>
      <c r="M19" s="88"/>
      <c r="N19" s="88"/>
      <c r="O19" s="97"/>
      <c r="P19" s="97"/>
      <c r="Q19" s="97"/>
      <c r="R19" s="97"/>
    </row>
    <row r="20" spans="1:18" s="4" customFormat="1" ht="16.5" customHeight="1">
      <c r="A20" s="350">
        <v>9</v>
      </c>
      <c r="B20" s="349" t="s">
        <v>1398</v>
      </c>
      <c r="C20" s="108">
        <v>0</v>
      </c>
      <c r="D20" s="161" t="s">
        <v>257</v>
      </c>
      <c r="E20" s="109"/>
      <c r="F20" s="112"/>
      <c r="G20" s="88"/>
      <c r="H20" s="88"/>
      <c r="I20" s="88"/>
      <c r="J20" s="96"/>
      <c r="K20" s="88"/>
      <c r="L20" s="88"/>
      <c r="M20" s="88"/>
      <c r="N20" s="88"/>
      <c r="O20" s="97"/>
      <c r="P20" s="97"/>
      <c r="Q20" s="97"/>
      <c r="R20" s="97"/>
    </row>
    <row r="21" spans="1:18" s="4" customFormat="1" ht="16.5" customHeight="1">
      <c r="A21" s="350">
        <v>10</v>
      </c>
      <c r="B21" s="349" t="s">
        <v>72</v>
      </c>
      <c r="C21" s="108">
        <v>0</v>
      </c>
      <c r="D21" s="161" t="s">
        <v>255</v>
      </c>
      <c r="E21" s="112"/>
      <c r="F21" s="88"/>
      <c r="G21" s="88"/>
      <c r="H21" s="88"/>
      <c r="I21" s="88"/>
      <c r="J21" s="96"/>
      <c r="K21" s="88"/>
      <c r="L21" s="88"/>
      <c r="M21" s="88"/>
      <c r="N21" s="88"/>
      <c r="O21" s="97"/>
      <c r="P21" s="97"/>
      <c r="Q21" s="97"/>
      <c r="R21" s="97"/>
    </row>
    <row r="22" spans="1:18" s="4" customFormat="1" ht="16.5" customHeight="1">
      <c r="A22" s="350">
        <v>11</v>
      </c>
      <c r="B22" s="349" t="s">
        <v>1399</v>
      </c>
      <c r="C22" s="108">
        <v>0</v>
      </c>
      <c r="D22" s="161" t="s">
        <v>255</v>
      </c>
      <c r="E22" s="112"/>
      <c r="F22" s="88"/>
      <c r="G22" s="88"/>
      <c r="H22" s="88"/>
      <c r="I22" s="88"/>
      <c r="J22" s="96"/>
      <c r="K22" s="88"/>
      <c r="L22" s="88"/>
      <c r="M22" s="88"/>
      <c r="N22" s="88"/>
      <c r="O22" s="97"/>
      <c r="P22" s="97"/>
      <c r="Q22" s="97"/>
      <c r="R22" s="97"/>
    </row>
    <row r="23" spans="1:18" s="4" customFormat="1" ht="16.5" customHeight="1">
      <c r="A23" s="350">
        <v>12</v>
      </c>
      <c r="B23" s="349" t="s">
        <v>42</v>
      </c>
      <c r="C23" s="108">
        <v>0</v>
      </c>
      <c r="D23" s="161" t="s">
        <v>255</v>
      </c>
      <c r="E23" s="112"/>
      <c r="F23" s="88"/>
      <c r="G23" s="112"/>
      <c r="H23" s="88"/>
      <c r="I23" s="88"/>
      <c r="J23" s="96"/>
      <c r="K23" s="88"/>
      <c r="L23" s="88"/>
      <c r="M23" s="88"/>
      <c r="N23" s="88"/>
      <c r="O23" s="97"/>
      <c r="P23" s="97"/>
      <c r="Q23" s="97"/>
      <c r="R23" s="97"/>
    </row>
    <row r="24" spans="1:18" s="4" customFormat="1" ht="16.5" customHeight="1">
      <c r="A24" s="350">
        <v>13</v>
      </c>
      <c r="B24" s="349" t="s">
        <v>1400</v>
      </c>
      <c r="C24" s="108">
        <v>0</v>
      </c>
      <c r="D24" s="161" t="s">
        <v>255</v>
      </c>
      <c r="E24" s="112"/>
      <c r="F24" s="88"/>
      <c r="G24" s="112"/>
      <c r="H24" s="88"/>
      <c r="I24" s="88"/>
      <c r="J24" s="96"/>
      <c r="K24" s="88"/>
      <c r="L24" s="88"/>
      <c r="M24" s="88"/>
      <c r="N24" s="88"/>
      <c r="O24" s="97"/>
      <c r="P24" s="97"/>
      <c r="Q24" s="97"/>
      <c r="R24" s="97"/>
    </row>
    <row r="25" spans="1:18" s="4" customFormat="1" ht="16.5" customHeight="1">
      <c r="A25" s="350" t="s">
        <v>1761</v>
      </c>
      <c r="B25" s="349" t="s">
        <v>282</v>
      </c>
      <c r="C25" s="108">
        <v>0</v>
      </c>
      <c r="D25" s="161" t="s">
        <v>257</v>
      </c>
      <c r="E25" s="112"/>
      <c r="F25" s="88"/>
      <c r="G25" s="88"/>
      <c r="H25" s="88"/>
      <c r="I25" s="96"/>
      <c r="J25" s="88"/>
      <c r="K25" s="88"/>
      <c r="L25" s="88"/>
      <c r="M25" s="88"/>
      <c r="N25" s="88"/>
      <c r="O25" s="97"/>
      <c r="P25" s="97"/>
      <c r="Q25" s="97"/>
      <c r="R25" s="88"/>
    </row>
    <row r="26" spans="1:18" s="4" customFormat="1" ht="16.5" customHeight="1">
      <c r="A26" s="350">
        <v>14</v>
      </c>
      <c r="B26" s="349" t="s">
        <v>1759</v>
      </c>
      <c r="C26" s="108">
        <v>0</v>
      </c>
      <c r="D26" s="161" t="s">
        <v>255</v>
      </c>
      <c r="E26" s="112"/>
      <c r="F26" s="88"/>
      <c r="G26" s="88"/>
      <c r="H26" s="88"/>
      <c r="I26" s="96"/>
      <c r="J26" s="88"/>
      <c r="K26" s="88"/>
      <c r="L26" s="88"/>
      <c r="M26" s="88"/>
      <c r="N26" s="88"/>
      <c r="O26" s="97"/>
      <c r="P26" s="97"/>
      <c r="Q26" s="97"/>
      <c r="R26" s="88"/>
    </row>
    <row r="27" spans="1:18" s="4" customFormat="1" ht="16.5" customHeight="1">
      <c r="A27" s="350">
        <v>15</v>
      </c>
      <c r="B27" s="349" t="s">
        <v>73</v>
      </c>
      <c r="C27" s="108">
        <v>0</v>
      </c>
      <c r="D27" s="161" t="s">
        <v>255</v>
      </c>
      <c r="E27" s="112"/>
      <c r="F27" s="88"/>
      <c r="G27" s="88"/>
      <c r="H27" s="88"/>
      <c r="I27" s="88"/>
      <c r="J27" s="88"/>
      <c r="K27" s="88"/>
      <c r="L27" s="88"/>
      <c r="M27" s="88"/>
      <c r="N27" s="88"/>
      <c r="O27" s="97"/>
      <c r="P27" s="97"/>
      <c r="Q27" s="97"/>
      <c r="R27" s="88"/>
    </row>
    <row r="28" spans="1:18" s="4" customFormat="1" ht="16.5" customHeight="1">
      <c r="A28" s="350">
        <v>16</v>
      </c>
      <c r="B28" s="349" t="s">
        <v>299</v>
      </c>
      <c r="C28" s="108">
        <v>0</v>
      </c>
      <c r="D28" s="161" t="s">
        <v>257</v>
      </c>
      <c r="E28" s="112"/>
      <c r="F28" s="88"/>
      <c r="G28" s="88"/>
      <c r="H28" s="88"/>
      <c r="I28" s="88"/>
      <c r="J28" s="88"/>
      <c r="K28" s="88"/>
      <c r="L28" s="88"/>
      <c r="M28" s="88"/>
      <c r="N28" s="88"/>
      <c r="O28" s="97"/>
      <c r="P28" s="97"/>
      <c r="Q28" s="97"/>
      <c r="R28" s="88"/>
    </row>
    <row r="29" spans="1:18" s="4" customFormat="1" ht="16.5" customHeight="1">
      <c r="A29" s="350">
        <v>17</v>
      </c>
      <c r="B29" s="349" t="s">
        <v>79</v>
      </c>
      <c r="C29" s="108">
        <v>0</v>
      </c>
      <c r="D29" s="161" t="s">
        <v>259</v>
      </c>
      <c r="E29" s="112"/>
      <c r="F29" s="88"/>
      <c r="G29" s="88"/>
      <c r="H29" s="88"/>
      <c r="I29" s="88"/>
      <c r="J29" s="88"/>
      <c r="K29" s="88"/>
      <c r="L29" s="88"/>
      <c r="M29" s="88"/>
      <c r="N29" s="88"/>
      <c r="O29" s="97"/>
      <c r="P29" s="97"/>
      <c r="Q29" s="97"/>
      <c r="R29" s="88"/>
    </row>
    <row r="30" spans="1:18" s="4" customFormat="1" ht="16.5" customHeight="1">
      <c r="A30" s="350">
        <v>18</v>
      </c>
      <c r="B30" s="349" t="s">
        <v>78</v>
      </c>
      <c r="C30" s="108">
        <v>0</v>
      </c>
      <c r="D30" s="161" t="s">
        <v>259</v>
      </c>
      <c r="E30" s="112"/>
      <c r="F30" s="88"/>
      <c r="G30" s="88"/>
      <c r="H30" s="88"/>
      <c r="I30" s="88"/>
      <c r="J30" s="88"/>
      <c r="K30" s="88"/>
      <c r="L30" s="88"/>
      <c r="M30" s="88"/>
      <c r="N30" s="88"/>
      <c r="O30" s="97"/>
      <c r="P30" s="97"/>
      <c r="Q30" s="88"/>
      <c r="R30" s="88"/>
    </row>
    <row r="31" spans="1:18" s="4" customFormat="1" ht="16.5" customHeight="1">
      <c r="A31" s="350">
        <v>19</v>
      </c>
      <c r="B31" s="349" t="s">
        <v>74</v>
      </c>
      <c r="C31" s="108">
        <v>0</v>
      </c>
      <c r="D31" s="161" t="s">
        <v>255</v>
      </c>
      <c r="E31" s="112"/>
      <c r="F31" s="88"/>
      <c r="G31" s="88"/>
      <c r="H31" s="88"/>
      <c r="I31" s="88"/>
      <c r="J31" s="88"/>
      <c r="K31" s="88"/>
      <c r="L31" s="97"/>
      <c r="M31" s="97"/>
      <c r="N31" s="97"/>
      <c r="O31" s="97"/>
      <c r="P31" s="97"/>
      <c r="Q31" s="88"/>
      <c r="R31" s="88"/>
    </row>
    <row r="32" spans="1:18" s="4" customFormat="1" ht="16.5" customHeight="1">
      <c r="A32" s="33">
        <v>20</v>
      </c>
      <c r="B32" s="9" t="s">
        <v>297</v>
      </c>
      <c r="C32" s="108">
        <v>0</v>
      </c>
      <c r="D32" s="161" t="s">
        <v>255</v>
      </c>
      <c r="E32" s="112"/>
      <c r="F32" s="88"/>
      <c r="G32" s="88"/>
      <c r="H32" s="88"/>
      <c r="I32" s="88"/>
      <c r="J32" s="88"/>
      <c r="K32" s="88"/>
      <c r="L32" s="97"/>
      <c r="M32" s="97"/>
      <c r="N32" s="97"/>
      <c r="O32" s="97"/>
      <c r="P32" s="97"/>
      <c r="Q32" s="88"/>
      <c r="R32" s="88"/>
    </row>
    <row r="33" spans="1:20" s="4" customFormat="1" ht="16.5" customHeight="1">
      <c r="A33" s="33">
        <v>21</v>
      </c>
      <c r="B33" s="9" t="s">
        <v>75</v>
      </c>
      <c r="C33" s="108">
        <v>0</v>
      </c>
      <c r="D33" s="161" t="s">
        <v>300</v>
      </c>
      <c r="E33" s="112"/>
      <c r="F33" s="88"/>
      <c r="G33" s="88"/>
      <c r="H33" s="88"/>
      <c r="I33" s="88"/>
      <c r="J33" s="88"/>
      <c r="K33" s="88"/>
      <c r="L33" s="97"/>
      <c r="M33" s="97"/>
      <c r="N33" s="97"/>
      <c r="O33" s="97"/>
      <c r="P33" s="97"/>
      <c r="Q33" s="88"/>
      <c r="R33" s="88"/>
    </row>
    <row r="34" spans="1:20" s="4" customFormat="1" ht="15" customHeight="1">
      <c r="A34" s="88"/>
      <c r="B34" s="88"/>
      <c r="C34" s="88"/>
      <c r="D34" s="88"/>
      <c r="E34" s="112"/>
      <c r="F34" s="88"/>
      <c r="G34" s="88"/>
      <c r="H34" s="88"/>
      <c r="I34" s="88"/>
      <c r="J34" s="88"/>
      <c r="K34" s="88"/>
      <c r="L34" s="97"/>
      <c r="M34" s="97"/>
      <c r="N34" s="97"/>
      <c r="O34" s="97"/>
      <c r="P34" s="97"/>
      <c r="Q34" s="88"/>
      <c r="R34" s="88"/>
    </row>
    <row r="35" spans="1:20" s="4" customFormat="1" ht="15" customHeight="1">
      <c r="A35" s="95" t="s">
        <v>263</v>
      </c>
      <c r="B35" s="95"/>
      <c r="C35" s="88"/>
      <c r="D35" s="88"/>
      <c r="E35" s="112"/>
      <c r="F35" s="88"/>
      <c r="G35" s="88"/>
      <c r="H35" s="88"/>
      <c r="I35" s="88"/>
      <c r="J35" s="88"/>
      <c r="K35" s="88"/>
      <c r="L35" s="97"/>
      <c r="M35" s="97"/>
      <c r="N35" s="97"/>
      <c r="O35" s="97"/>
      <c r="P35" s="97"/>
      <c r="Q35" s="88"/>
      <c r="R35" s="88"/>
    </row>
    <row r="36" spans="1:20" s="4" customFormat="1" ht="15" customHeight="1">
      <c r="A36" s="36" t="s">
        <v>38</v>
      </c>
      <c r="B36" s="129" t="s">
        <v>146</v>
      </c>
      <c r="C36" s="37" t="s">
        <v>119</v>
      </c>
      <c r="D36" s="8" t="s">
        <v>118</v>
      </c>
      <c r="E36" s="137" t="s">
        <v>226</v>
      </c>
      <c r="F36" s="138" t="s">
        <v>194</v>
      </c>
      <c r="G36" s="88"/>
      <c r="H36" s="88"/>
      <c r="I36" s="88"/>
      <c r="J36" s="88"/>
      <c r="K36" s="88"/>
      <c r="L36" s="97"/>
      <c r="M36" s="97"/>
      <c r="N36" s="97"/>
      <c r="O36" s="97"/>
      <c r="P36" s="97"/>
      <c r="Q36" s="88"/>
      <c r="R36" s="88"/>
    </row>
    <row r="37" spans="1:20" s="4" customFormat="1" ht="15" customHeight="1">
      <c r="A37" s="110" t="s">
        <v>121</v>
      </c>
      <c r="B37" s="33" t="s">
        <v>147</v>
      </c>
      <c r="C37" s="111">
        <v>1</v>
      </c>
      <c r="D37" s="9" t="s">
        <v>124</v>
      </c>
      <c r="E37" s="9"/>
      <c r="F37" s="9"/>
      <c r="G37" s="88"/>
      <c r="H37" s="88"/>
      <c r="I37" s="88"/>
      <c r="J37" s="88"/>
      <c r="K37" s="88"/>
      <c r="L37" s="97"/>
      <c r="M37" s="97"/>
      <c r="N37" s="97"/>
      <c r="O37" s="97"/>
      <c r="P37" s="97"/>
      <c r="Q37" s="88"/>
      <c r="R37" s="88"/>
    </row>
    <row r="38" spans="1:20" s="4" customFormat="1" ht="15" customHeight="1">
      <c r="A38" s="110" t="s">
        <v>120</v>
      </c>
      <c r="B38" s="33" t="s">
        <v>43</v>
      </c>
      <c r="C38" s="111">
        <v>1</v>
      </c>
      <c r="D38" s="9" t="s">
        <v>125</v>
      </c>
      <c r="E38" s="9"/>
      <c r="F38" s="9"/>
      <c r="G38" s="88"/>
      <c r="H38" s="88"/>
      <c r="I38" s="88"/>
      <c r="J38" s="88"/>
      <c r="K38" s="88"/>
      <c r="L38" s="97"/>
      <c r="M38" s="97"/>
      <c r="N38" s="97"/>
      <c r="O38" s="97"/>
      <c r="P38" s="97"/>
      <c r="Q38" s="88"/>
      <c r="R38" s="88"/>
    </row>
    <row r="39" spans="1:20" s="4" customFormat="1" ht="11.25">
      <c r="A39" s="110" t="s">
        <v>122</v>
      </c>
      <c r="B39" s="33" t="s">
        <v>143</v>
      </c>
      <c r="C39" s="111">
        <v>1</v>
      </c>
      <c r="D39" s="9" t="s">
        <v>126</v>
      </c>
      <c r="E39" s="9"/>
      <c r="F39" s="9"/>
      <c r="G39" s="88"/>
      <c r="H39" s="88"/>
      <c r="I39" s="88"/>
      <c r="J39" s="88"/>
      <c r="K39" s="88"/>
      <c r="L39" s="97"/>
      <c r="M39" s="97"/>
      <c r="N39" s="97"/>
      <c r="O39" s="97"/>
      <c r="P39" s="97"/>
      <c r="Q39" s="88"/>
      <c r="R39" s="88"/>
    </row>
    <row r="40" spans="1:20" s="4" customFormat="1" ht="15" customHeight="1">
      <c r="A40" s="110" t="s">
        <v>123</v>
      </c>
      <c r="B40" s="33" t="s">
        <v>144</v>
      </c>
      <c r="C40" s="111">
        <v>1</v>
      </c>
      <c r="D40" s="9" t="s">
        <v>127</v>
      </c>
      <c r="E40" s="9"/>
      <c r="F40" s="9"/>
      <c r="G40" s="112"/>
      <c r="H40" s="88"/>
      <c r="I40" s="88"/>
      <c r="J40" s="88"/>
      <c r="K40" s="88"/>
      <c r="L40" s="88"/>
      <c r="M40" s="88"/>
      <c r="N40" s="97"/>
      <c r="O40" s="97"/>
      <c r="P40" s="97"/>
      <c r="Q40" s="97"/>
      <c r="R40" s="97"/>
      <c r="S40" s="88"/>
      <c r="T40" s="88"/>
    </row>
    <row r="41" spans="1:20" s="4" customFormat="1" ht="15" customHeight="1">
      <c r="A41" s="110" t="s">
        <v>1793</v>
      </c>
      <c r="B41" s="33" t="s">
        <v>1765</v>
      </c>
      <c r="C41" s="111">
        <v>1</v>
      </c>
      <c r="D41" s="9" t="s">
        <v>1794</v>
      </c>
      <c r="E41" s="9"/>
      <c r="F41" s="9"/>
      <c r="G41" s="112"/>
      <c r="H41" s="88"/>
      <c r="I41" s="88"/>
      <c r="J41" s="88"/>
      <c r="K41" s="88"/>
      <c r="L41" s="88"/>
      <c r="M41" s="88"/>
      <c r="N41" s="97"/>
      <c r="O41" s="97"/>
      <c r="P41" s="97"/>
      <c r="Q41" s="97"/>
      <c r="R41" s="97"/>
      <c r="S41" s="88"/>
      <c r="T41" s="88"/>
    </row>
    <row r="42" spans="1:20" s="4" customFormat="1" ht="15" customHeight="1">
      <c r="A42" s="88"/>
      <c r="B42" s="88"/>
      <c r="C42" s="88"/>
      <c r="D42" s="88"/>
      <c r="E42" s="112"/>
      <c r="F42" s="88"/>
      <c r="G42" s="112"/>
      <c r="H42" s="88"/>
      <c r="I42" s="88"/>
      <c r="J42" s="88"/>
      <c r="K42" s="88"/>
      <c r="L42" s="88"/>
      <c r="M42" s="88"/>
      <c r="N42" s="97"/>
      <c r="O42" s="97"/>
      <c r="P42" s="97"/>
      <c r="Q42" s="97"/>
      <c r="R42" s="97"/>
      <c r="S42" s="88"/>
      <c r="T42" s="88"/>
    </row>
    <row r="43" spans="1:20" s="4" customFormat="1" ht="15" customHeight="1">
      <c r="A43" s="95" t="s">
        <v>128</v>
      </c>
      <c r="B43" s="88"/>
      <c r="C43" s="88"/>
      <c r="D43" s="97"/>
      <c r="E43" s="73"/>
      <c r="F43" s="73"/>
      <c r="G43" s="112"/>
      <c r="H43" s="88"/>
      <c r="I43" s="88"/>
      <c r="J43" s="88"/>
      <c r="K43" s="88"/>
      <c r="L43" s="88"/>
      <c r="M43" s="88"/>
      <c r="N43" s="97"/>
      <c r="O43" s="97"/>
      <c r="P43" s="97"/>
      <c r="Q43" s="97"/>
      <c r="R43" s="97"/>
      <c r="S43" s="88"/>
      <c r="T43" s="88"/>
    </row>
    <row r="44" spans="1:20" s="4" customFormat="1" ht="15" customHeight="1">
      <c r="A44" s="36" t="s">
        <v>38</v>
      </c>
      <c r="B44" s="8" t="s">
        <v>129</v>
      </c>
      <c r="C44" s="37" t="s">
        <v>119</v>
      </c>
      <c r="D44" s="37" t="s">
        <v>149</v>
      </c>
      <c r="E44" s="73"/>
      <c r="F44" s="73"/>
      <c r="G44" s="112"/>
      <c r="H44" s="88"/>
      <c r="I44" s="88"/>
      <c r="J44" s="88"/>
      <c r="K44" s="88"/>
      <c r="L44" s="88"/>
      <c r="M44" s="88"/>
      <c r="N44" s="97"/>
      <c r="O44" s="97"/>
      <c r="P44" s="97"/>
      <c r="Q44" s="97"/>
      <c r="R44" s="97"/>
      <c r="S44" s="88"/>
      <c r="T44" s="88"/>
    </row>
    <row r="45" spans="1:20" s="4" customFormat="1" ht="15" customHeight="1">
      <c r="A45" s="49" t="s">
        <v>19</v>
      </c>
      <c r="B45" s="50" t="s">
        <v>32</v>
      </c>
      <c r="C45" s="111">
        <v>1</v>
      </c>
      <c r="D45" s="162">
        <v>400</v>
      </c>
      <c r="E45" s="73"/>
      <c r="F45" s="73"/>
      <c r="G45" s="112"/>
      <c r="H45" s="88"/>
      <c r="I45" s="88"/>
      <c r="J45" s="88"/>
      <c r="K45" s="88"/>
      <c r="L45" s="88"/>
      <c r="M45" s="88"/>
      <c r="N45" s="97"/>
      <c r="O45" s="97"/>
      <c r="P45" s="97"/>
      <c r="Q45" s="97"/>
      <c r="R45" s="97"/>
      <c r="S45" s="88"/>
      <c r="T45" s="88"/>
    </row>
    <row r="46" spans="1:20" s="4" customFormat="1" ht="15" customHeight="1">
      <c r="A46" s="51" t="s">
        <v>2</v>
      </c>
      <c r="B46" s="52" t="s">
        <v>1</v>
      </c>
      <c r="C46" s="111">
        <v>1</v>
      </c>
      <c r="D46" s="162">
        <v>200</v>
      </c>
      <c r="E46" s="73"/>
      <c r="F46" s="73"/>
      <c r="G46" s="88"/>
      <c r="H46" s="88"/>
      <c r="I46" s="88"/>
      <c r="J46" s="88"/>
      <c r="K46" s="88"/>
      <c r="L46" s="97"/>
      <c r="M46" s="97"/>
      <c r="N46" s="97"/>
      <c r="O46" s="97"/>
      <c r="P46" s="97"/>
      <c r="Q46" s="88"/>
      <c r="R46" s="88"/>
    </row>
    <row r="47" spans="1:20" s="73" customFormat="1" ht="11.25">
      <c r="A47" s="49" t="s">
        <v>20</v>
      </c>
      <c r="B47" s="50" t="s">
        <v>21</v>
      </c>
      <c r="C47" s="111">
        <v>1</v>
      </c>
      <c r="D47" s="162">
        <v>160</v>
      </c>
      <c r="H47" s="93"/>
      <c r="J47" s="135"/>
      <c r="K47" s="74"/>
      <c r="L47" s="74"/>
      <c r="M47" s="74"/>
      <c r="N47" s="74"/>
      <c r="O47" s="74"/>
    </row>
    <row r="48" spans="1:20" ht="11.25">
      <c r="A48" s="51" t="s">
        <v>18</v>
      </c>
      <c r="B48" s="52" t="s">
        <v>12</v>
      </c>
      <c r="C48" s="111">
        <v>1</v>
      </c>
      <c r="D48" s="162">
        <v>120</v>
      </c>
      <c r="E48" s="73"/>
      <c r="F48" s="73"/>
      <c r="G48" s="93"/>
      <c r="H48" s="73"/>
      <c r="I48" s="136"/>
      <c r="J48" s="74"/>
      <c r="K48" s="74"/>
      <c r="L48" s="74"/>
      <c r="M48" s="74"/>
      <c r="N48" s="74"/>
      <c r="O48" s="73"/>
      <c r="P48" s="73"/>
      <c r="Q48" s="73"/>
    </row>
    <row r="49" spans="1:18" ht="15" customHeight="1">
      <c r="A49" s="49" t="s">
        <v>130</v>
      </c>
      <c r="B49" s="50" t="s">
        <v>131</v>
      </c>
      <c r="C49" s="111">
        <v>1</v>
      </c>
      <c r="D49" s="162">
        <v>100</v>
      </c>
      <c r="E49" s="73"/>
      <c r="F49" s="73"/>
      <c r="G49" s="93"/>
      <c r="H49" s="73"/>
      <c r="I49" s="136"/>
      <c r="J49" s="74"/>
      <c r="K49" s="74"/>
      <c r="L49" s="74"/>
      <c r="M49" s="74"/>
      <c r="N49" s="74"/>
      <c r="O49" s="73"/>
      <c r="P49" s="73"/>
      <c r="Q49" s="73"/>
    </row>
    <row r="50" spans="1:18" ht="15" customHeight="1">
      <c r="A50" s="51" t="s">
        <v>17</v>
      </c>
      <c r="B50" s="52" t="s">
        <v>14</v>
      </c>
      <c r="C50" s="111">
        <v>1</v>
      </c>
      <c r="D50" s="162">
        <v>80</v>
      </c>
      <c r="E50" s="73"/>
      <c r="F50" s="73"/>
      <c r="G50" s="93"/>
      <c r="H50" s="73"/>
      <c r="I50" s="136"/>
      <c r="J50" s="74"/>
      <c r="K50" s="74"/>
      <c r="L50" s="74"/>
      <c r="M50" s="74"/>
      <c r="N50" s="74"/>
      <c r="O50" s="73"/>
      <c r="P50" s="73"/>
      <c r="Q50" s="73"/>
    </row>
    <row r="51" spans="1:18" ht="15" customHeight="1">
      <c r="A51" s="49" t="s">
        <v>15</v>
      </c>
      <c r="B51" s="50" t="s">
        <v>13</v>
      </c>
      <c r="C51" s="111">
        <v>1</v>
      </c>
      <c r="D51" s="162">
        <v>40</v>
      </c>
      <c r="E51" s="73"/>
      <c r="F51" s="73"/>
      <c r="G51" s="93"/>
      <c r="H51" s="73"/>
      <c r="I51" s="136"/>
      <c r="J51" s="74"/>
      <c r="K51" s="74"/>
      <c r="L51" s="74"/>
      <c r="M51" s="74"/>
      <c r="N51" s="74"/>
      <c r="O51" s="73"/>
      <c r="P51" s="73"/>
      <c r="Q51" s="73"/>
    </row>
    <row r="52" spans="1:18" ht="15" customHeight="1">
      <c r="A52" s="51" t="s">
        <v>25</v>
      </c>
      <c r="B52" s="52" t="s">
        <v>31</v>
      </c>
      <c r="C52" s="111">
        <v>1</v>
      </c>
      <c r="D52" s="162">
        <v>80</v>
      </c>
      <c r="E52" s="73"/>
      <c r="F52" s="73"/>
      <c r="G52" s="93"/>
      <c r="H52" s="73"/>
      <c r="I52" s="136"/>
      <c r="J52" s="74"/>
      <c r="K52" s="74"/>
      <c r="L52" s="74"/>
      <c r="M52" s="74"/>
      <c r="N52" s="74"/>
      <c r="O52" s="73"/>
      <c r="P52" s="73"/>
      <c r="Q52" s="73"/>
    </row>
    <row r="53" spans="1:18" ht="15" customHeight="1">
      <c r="A53" s="49" t="s">
        <v>29</v>
      </c>
      <c r="B53" s="50" t="s">
        <v>30</v>
      </c>
      <c r="C53" s="111">
        <v>1</v>
      </c>
      <c r="D53" s="162">
        <v>40</v>
      </c>
      <c r="E53" s="73"/>
      <c r="F53" s="73"/>
      <c r="G53" s="93"/>
      <c r="H53" s="73"/>
      <c r="I53" s="136"/>
      <c r="J53" s="74"/>
      <c r="K53" s="74"/>
      <c r="L53" s="74"/>
      <c r="M53" s="74"/>
      <c r="N53" s="74"/>
      <c r="O53" s="73"/>
      <c r="P53" s="73"/>
      <c r="Q53" s="73"/>
    </row>
    <row r="54" spans="1:18" ht="15" customHeight="1">
      <c r="A54" s="51" t="s">
        <v>16</v>
      </c>
      <c r="B54" s="52" t="s">
        <v>0</v>
      </c>
      <c r="C54" s="111">
        <v>1</v>
      </c>
      <c r="D54" s="162">
        <v>10</v>
      </c>
      <c r="E54" s="73"/>
      <c r="F54" s="73"/>
      <c r="G54" s="93"/>
      <c r="H54" s="73"/>
      <c r="I54" s="136"/>
      <c r="J54" s="74"/>
      <c r="K54" s="74"/>
      <c r="L54" s="74"/>
      <c r="M54" s="74"/>
      <c r="N54" s="74"/>
      <c r="O54" s="73"/>
      <c r="P54" s="73"/>
      <c r="Q54" s="73"/>
    </row>
    <row r="55" spans="1:18" ht="15" customHeight="1">
      <c r="A55" s="113"/>
      <c r="B55" s="97"/>
      <c r="C55" s="97"/>
      <c r="D55" s="97"/>
      <c r="E55" s="73"/>
      <c r="F55" s="73"/>
      <c r="G55" s="93"/>
      <c r="H55" s="73"/>
      <c r="I55" s="136"/>
      <c r="J55" s="74"/>
      <c r="K55" s="74"/>
      <c r="L55" s="74"/>
      <c r="M55" s="74"/>
      <c r="N55" s="74"/>
      <c r="O55" s="73"/>
      <c r="P55" s="73"/>
      <c r="Q55" s="73"/>
    </row>
    <row r="56" spans="1:18" ht="15" customHeight="1">
      <c r="A56" s="136"/>
      <c r="B56" s="73"/>
      <c r="C56" s="73"/>
      <c r="D56" s="92"/>
      <c r="E56" s="73"/>
      <c r="F56" s="73"/>
      <c r="G56" s="93"/>
      <c r="H56" s="73"/>
      <c r="I56" s="136"/>
      <c r="J56" s="74"/>
      <c r="K56" s="74"/>
      <c r="L56" s="74"/>
      <c r="M56" s="74"/>
      <c r="N56" s="74"/>
      <c r="O56" s="73"/>
      <c r="P56" s="73"/>
      <c r="Q56" s="73"/>
    </row>
    <row r="57" spans="1:18" ht="15" customHeight="1">
      <c r="A57" s="136"/>
      <c r="B57" s="73"/>
      <c r="C57" s="73"/>
      <c r="D57" s="92"/>
      <c r="E57" s="73"/>
      <c r="F57" s="73"/>
      <c r="G57" s="93"/>
      <c r="H57" s="73"/>
      <c r="I57" s="136"/>
      <c r="J57" s="74"/>
      <c r="K57" s="74"/>
      <c r="L57" s="74"/>
      <c r="M57" s="74"/>
      <c r="N57" s="74"/>
      <c r="O57" s="73"/>
      <c r="P57" s="73"/>
      <c r="Q57" s="73"/>
    </row>
    <row r="58" spans="1:18" ht="15" customHeight="1">
      <c r="A58" s="136"/>
      <c r="B58" s="73"/>
      <c r="C58" s="73"/>
      <c r="D58" s="92"/>
      <c r="E58" s="73"/>
      <c r="F58" s="73"/>
      <c r="G58" s="93"/>
      <c r="H58" s="73"/>
      <c r="I58" s="136"/>
      <c r="J58" s="74"/>
      <c r="K58" s="74"/>
      <c r="L58" s="74"/>
      <c r="M58" s="74"/>
      <c r="N58" s="74"/>
      <c r="O58" s="73"/>
      <c r="P58" s="73"/>
      <c r="Q58" s="73"/>
    </row>
    <row r="59" spans="1:18" ht="15" customHeight="1">
      <c r="A59" s="136"/>
      <c r="B59" s="73"/>
      <c r="C59" s="73"/>
      <c r="D59" s="92"/>
      <c r="E59" s="73"/>
      <c r="F59" s="73"/>
      <c r="G59" s="73"/>
      <c r="H59" s="93"/>
      <c r="I59" s="73"/>
      <c r="J59" s="136"/>
      <c r="K59" s="74"/>
      <c r="L59" s="74"/>
      <c r="M59" s="74"/>
      <c r="N59" s="74"/>
      <c r="O59" s="74"/>
      <c r="P59" s="73"/>
      <c r="Q59" s="73"/>
      <c r="R59" s="73"/>
    </row>
    <row r="60" spans="1:18" ht="15" customHeight="1">
      <c r="F60" s="73"/>
      <c r="G60" s="73"/>
      <c r="H60" s="93"/>
      <c r="I60" s="73"/>
      <c r="J60" s="136"/>
      <c r="K60" s="74"/>
      <c r="L60" s="74"/>
      <c r="M60" s="74"/>
      <c r="N60" s="74"/>
      <c r="O60" s="74"/>
      <c r="P60" s="73"/>
      <c r="Q60" s="73"/>
      <c r="R60" s="73"/>
    </row>
    <row r="61" spans="1:18" ht="15" customHeight="1">
      <c r="F61" s="73"/>
      <c r="G61" s="73"/>
      <c r="H61" s="93"/>
      <c r="I61" s="73"/>
      <c r="J61" s="136"/>
      <c r="K61" s="74"/>
      <c r="L61" s="74"/>
      <c r="M61" s="74"/>
      <c r="N61" s="74"/>
      <c r="O61" s="74"/>
      <c r="P61" s="73"/>
      <c r="Q61" s="73"/>
      <c r="R61" s="73"/>
    </row>
    <row r="62" spans="1:18" ht="15" customHeight="1">
      <c r="F62" s="73"/>
      <c r="G62" s="73"/>
      <c r="H62" s="93"/>
      <c r="I62" s="73"/>
      <c r="J62" s="136"/>
      <c r="K62" s="74"/>
      <c r="L62" s="74"/>
      <c r="M62" s="74"/>
      <c r="N62" s="74"/>
      <c r="O62" s="74"/>
      <c r="P62" s="73"/>
      <c r="Q62" s="73"/>
      <c r="R62" s="73"/>
    </row>
    <row r="63" spans="1:18" ht="15" customHeight="1">
      <c r="F63" s="73"/>
      <c r="G63" s="73"/>
      <c r="H63" s="93"/>
      <c r="I63" s="73"/>
      <c r="J63" s="136"/>
      <c r="K63" s="74"/>
      <c r="L63" s="74"/>
      <c r="M63" s="74"/>
      <c r="N63" s="74"/>
      <c r="O63" s="74"/>
      <c r="P63" s="73"/>
      <c r="Q63" s="73"/>
      <c r="R63" s="73"/>
    </row>
    <row r="64" spans="1:18" ht="15" customHeight="1">
      <c r="F64" s="73"/>
      <c r="G64" s="73"/>
      <c r="H64" s="93"/>
      <c r="I64" s="73"/>
      <c r="J64" s="136"/>
      <c r="K64" s="74"/>
      <c r="L64" s="74"/>
      <c r="M64" s="74"/>
      <c r="N64" s="74"/>
      <c r="O64" s="74"/>
      <c r="P64" s="73"/>
      <c r="Q64" s="73"/>
      <c r="R64" s="73"/>
    </row>
    <row r="65" spans="6:18" ht="15" customHeight="1">
      <c r="F65" s="73"/>
      <c r="G65" s="73"/>
      <c r="H65" s="93"/>
      <c r="I65" s="73"/>
      <c r="J65" s="136"/>
      <c r="K65" s="74"/>
      <c r="L65" s="74"/>
      <c r="M65" s="74"/>
      <c r="N65" s="74"/>
      <c r="O65" s="74"/>
      <c r="P65" s="73"/>
      <c r="Q65" s="73"/>
      <c r="R65" s="73"/>
    </row>
    <row r="66" spans="6:18" ht="15" customHeight="1">
      <c r="F66" s="73"/>
      <c r="G66" s="73"/>
      <c r="H66" s="93"/>
      <c r="I66" s="73"/>
      <c r="J66" s="136"/>
      <c r="K66" s="74"/>
      <c r="L66" s="74"/>
      <c r="M66" s="74"/>
      <c r="N66" s="74"/>
      <c r="O66" s="74"/>
      <c r="P66" s="73"/>
      <c r="Q66" s="73"/>
      <c r="R66" s="73"/>
    </row>
    <row r="67" spans="6:18" ht="15" customHeight="1">
      <c r="F67" s="73"/>
      <c r="G67" s="73"/>
      <c r="H67" s="93"/>
      <c r="I67" s="73"/>
      <c r="J67" s="136"/>
      <c r="K67" s="74"/>
      <c r="L67" s="74"/>
      <c r="M67" s="74"/>
      <c r="N67" s="74"/>
      <c r="O67" s="74"/>
      <c r="P67" s="73"/>
      <c r="Q67" s="73"/>
      <c r="R67" s="73"/>
    </row>
    <row r="68" spans="6:18" ht="15" customHeight="1">
      <c r="F68" s="73"/>
      <c r="G68" s="73"/>
      <c r="H68" s="93"/>
      <c r="I68" s="73"/>
      <c r="J68" s="136"/>
      <c r="K68" s="74"/>
      <c r="L68" s="74"/>
      <c r="M68" s="74"/>
      <c r="N68" s="74"/>
      <c r="O68" s="74"/>
      <c r="P68" s="73"/>
      <c r="Q68" s="73"/>
      <c r="R68" s="73"/>
    </row>
    <row r="69" spans="6:18" ht="15" customHeight="1">
      <c r="F69" s="73"/>
      <c r="G69" s="73"/>
      <c r="H69" s="93"/>
      <c r="I69" s="73"/>
      <c r="J69" s="136"/>
      <c r="K69" s="74"/>
      <c r="L69" s="74"/>
      <c r="M69" s="74"/>
      <c r="N69" s="74"/>
      <c r="O69" s="74"/>
      <c r="P69" s="73"/>
      <c r="Q69" s="73"/>
      <c r="R69" s="73"/>
    </row>
    <row r="70" spans="6:18" ht="15" customHeight="1">
      <c r="F70" s="73"/>
      <c r="G70" s="73"/>
      <c r="H70" s="93"/>
      <c r="I70" s="73"/>
      <c r="J70" s="136"/>
      <c r="K70" s="74"/>
      <c r="L70" s="74"/>
      <c r="M70" s="74"/>
      <c r="N70" s="74"/>
      <c r="O70" s="74"/>
      <c r="P70" s="73"/>
      <c r="Q70" s="73"/>
      <c r="R70" s="73"/>
    </row>
    <row r="71" spans="6:18" ht="15" customHeight="1">
      <c r="F71" s="73"/>
      <c r="G71" s="73"/>
      <c r="H71" s="93"/>
      <c r="I71" s="73"/>
      <c r="J71" s="136"/>
      <c r="K71" s="74"/>
      <c r="L71" s="74"/>
      <c r="M71" s="74"/>
      <c r="N71" s="74"/>
      <c r="O71" s="74"/>
      <c r="P71" s="73"/>
      <c r="Q71" s="73"/>
      <c r="R71" s="73"/>
    </row>
    <row r="72" spans="6:18" ht="15" customHeight="1">
      <c r="F72" s="73"/>
      <c r="G72" s="73"/>
      <c r="H72" s="93"/>
      <c r="I72" s="73"/>
      <c r="J72" s="136"/>
      <c r="K72" s="74"/>
      <c r="L72" s="74"/>
      <c r="M72" s="74"/>
      <c r="N72" s="74"/>
      <c r="O72" s="74"/>
      <c r="P72" s="73"/>
      <c r="Q72" s="73"/>
      <c r="R72" s="73"/>
    </row>
    <row r="73" spans="6:18" ht="15" customHeight="1">
      <c r="F73" s="73"/>
      <c r="G73" s="73"/>
      <c r="H73" s="93"/>
      <c r="I73" s="73"/>
      <c r="J73" s="136"/>
      <c r="K73" s="74"/>
      <c r="L73" s="74"/>
      <c r="M73" s="74"/>
      <c r="N73" s="74"/>
      <c r="O73" s="74"/>
      <c r="P73" s="73"/>
      <c r="Q73" s="73"/>
      <c r="R73" s="73"/>
    </row>
    <row r="74" spans="6:18" ht="15" customHeight="1">
      <c r="F74" s="73"/>
      <c r="G74" s="73"/>
      <c r="H74" s="93"/>
      <c r="I74" s="73"/>
      <c r="J74" s="136"/>
      <c r="K74" s="74"/>
      <c r="L74" s="74"/>
      <c r="M74" s="74"/>
      <c r="N74" s="74"/>
      <c r="O74" s="74"/>
      <c r="P74" s="73"/>
      <c r="Q74" s="73"/>
      <c r="R74" s="73"/>
    </row>
    <row r="75" spans="6:18" ht="15" customHeight="1">
      <c r="F75" s="73"/>
      <c r="G75" s="73"/>
      <c r="H75" s="93"/>
      <c r="I75" s="73"/>
      <c r="J75" s="136"/>
      <c r="K75" s="74"/>
      <c r="L75" s="74"/>
      <c r="M75" s="74"/>
      <c r="N75" s="74"/>
      <c r="O75" s="74"/>
      <c r="P75" s="73"/>
      <c r="Q75" s="73"/>
      <c r="R75" s="73"/>
    </row>
    <row r="76" spans="6:18" ht="15" customHeight="1">
      <c r="F76" s="73"/>
      <c r="G76" s="73"/>
      <c r="H76" s="93"/>
      <c r="I76" s="73"/>
      <c r="J76" s="136"/>
      <c r="K76" s="74"/>
      <c r="L76" s="74"/>
      <c r="M76" s="74"/>
      <c r="N76" s="74"/>
      <c r="O76" s="74"/>
      <c r="P76" s="73"/>
      <c r="Q76" s="73"/>
      <c r="R76" s="73"/>
    </row>
    <row r="77" spans="6:18" ht="15" customHeight="1">
      <c r="F77" s="73"/>
      <c r="G77" s="73"/>
      <c r="H77" s="93"/>
      <c r="I77" s="73"/>
      <c r="J77" s="136"/>
      <c r="K77" s="74"/>
      <c r="L77" s="74"/>
      <c r="M77" s="74"/>
      <c r="N77" s="74"/>
      <c r="O77" s="74"/>
      <c r="P77" s="73"/>
      <c r="Q77" s="73"/>
      <c r="R77" s="73"/>
    </row>
    <row r="78" spans="6:18" ht="15" customHeight="1">
      <c r="F78" s="73"/>
      <c r="G78" s="73"/>
      <c r="H78" s="93"/>
      <c r="I78" s="73"/>
      <c r="J78" s="136"/>
      <c r="K78" s="74"/>
      <c r="L78" s="74"/>
      <c r="M78" s="74"/>
      <c r="N78" s="74"/>
      <c r="O78" s="74"/>
      <c r="P78" s="73"/>
      <c r="Q78" s="73"/>
      <c r="R78" s="73"/>
    </row>
    <row r="79" spans="6:18" ht="15" customHeight="1">
      <c r="F79" s="73"/>
      <c r="G79" s="73"/>
      <c r="H79" s="93"/>
      <c r="I79" s="73"/>
      <c r="J79" s="136"/>
      <c r="K79" s="74"/>
      <c r="L79" s="74"/>
      <c r="M79" s="74"/>
      <c r="N79" s="74"/>
      <c r="O79" s="74"/>
      <c r="P79" s="73"/>
      <c r="Q79" s="73"/>
      <c r="R79" s="73"/>
    </row>
    <row r="80" spans="6:18" ht="15" customHeight="1">
      <c r="F80" s="73"/>
      <c r="G80" s="73"/>
      <c r="H80" s="93"/>
      <c r="I80" s="73"/>
      <c r="J80" s="136"/>
      <c r="K80" s="74"/>
      <c r="L80" s="74"/>
      <c r="M80" s="74"/>
      <c r="N80" s="74"/>
      <c r="O80" s="74"/>
      <c r="P80" s="73"/>
      <c r="Q80" s="73"/>
      <c r="R80" s="73"/>
    </row>
    <row r="81" spans="6:18" ht="15" customHeight="1">
      <c r="F81" s="73"/>
      <c r="G81" s="73"/>
      <c r="H81" s="93"/>
      <c r="I81" s="73"/>
      <c r="J81" s="136"/>
      <c r="K81" s="74"/>
      <c r="L81" s="74"/>
      <c r="M81" s="74"/>
      <c r="N81" s="74"/>
      <c r="O81" s="74"/>
      <c r="P81" s="73"/>
      <c r="Q81" s="73"/>
      <c r="R81" s="73"/>
    </row>
    <row r="82" spans="6:18" ht="15" customHeight="1">
      <c r="F82" s="73"/>
      <c r="G82" s="73"/>
      <c r="H82" s="93"/>
      <c r="I82" s="73"/>
      <c r="J82" s="136"/>
      <c r="K82" s="74"/>
      <c r="L82" s="74"/>
      <c r="M82" s="74"/>
      <c r="N82" s="74"/>
      <c r="O82" s="74"/>
      <c r="P82" s="73"/>
      <c r="Q82" s="73"/>
      <c r="R82" s="73"/>
    </row>
    <row r="83" spans="6:18" ht="15" customHeight="1">
      <c r="F83" s="73"/>
      <c r="G83" s="73"/>
      <c r="H83" s="93"/>
      <c r="I83" s="73"/>
      <c r="J83" s="136"/>
      <c r="K83" s="74"/>
      <c r="L83" s="74"/>
      <c r="M83" s="74"/>
      <c r="N83" s="74"/>
      <c r="O83" s="74"/>
      <c r="P83" s="73"/>
      <c r="Q83" s="73"/>
      <c r="R83" s="73"/>
    </row>
    <row r="84" spans="6:18" ht="15" customHeight="1">
      <c r="F84" s="73"/>
      <c r="G84" s="73"/>
      <c r="H84" s="93"/>
      <c r="I84" s="73"/>
      <c r="J84" s="136"/>
      <c r="K84" s="74"/>
      <c r="L84" s="74"/>
      <c r="M84" s="74"/>
      <c r="N84" s="74"/>
      <c r="O84" s="74"/>
      <c r="P84" s="73"/>
      <c r="Q84" s="73"/>
      <c r="R84" s="73"/>
    </row>
    <row r="85" spans="6:18" ht="15" customHeight="1">
      <c r="F85" s="73"/>
      <c r="G85" s="73"/>
      <c r="H85" s="93"/>
      <c r="I85" s="73"/>
      <c r="J85" s="136"/>
      <c r="K85" s="74"/>
      <c r="L85" s="74"/>
      <c r="M85" s="74"/>
      <c r="N85" s="74"/>
      <c r="O85" s="74"/>
      <c r="P85" s="73"/>
      <c r="Q85" s="73"/>
      <c r="R85" s="73"/>
    </row>
    <row r="86" spans="6:18" ht="15" customHeight="1">
      <c r="F86" s="73"/>
      <c r="G86" s="73"/>
      <c r="H86" s="93"/>
      <c r="I86" s="73"/>
      <c r="J86" s="136"/>
      <c r="K86" s="74"/>
      <c r="L86" s="74"/>
      <c r="M86" s="74"/>
      <c r="N86" s="74"/>
      <c r="O86" s="74"/>
      <c r="P86" s="73"/>
      <c r="Q86" s="73"/>
      <c r="R86" s="73"/>
    </row>
    <row r="87" spans="6:18" ht="15" customHeight="1">
      <c r="F87" s="73"/>
      <c r="G87" s="73"/>
      <c r="H87" s="93"/>
      <c r="I87" s="73"/>
      <c r="J87" s="136"/>
      <c r="K87" s="74"/>
      <c r="L87" s="74"/>
      <c r="M87" s="74"/>
      <c r="N87" s="74"/>
      <c r="O87" s="74"/>
      <c r="P87" s="73"/>
      <c r="Q87" s="73"/>
      <c r="R87" s="73"/>
    </row>
    <row r="88" spans="6:18" ht="15" customHeight="1">
      <c r="F88" s="73"/>
      <c r="G88" s="73"/>
      <c r="H88" s="93"/>
      <c r="I88" s="73"/>
      <c r="J88" s="136"/>
      <c r="K88" s="74"/>
      <c r="L88" s="74"/>
      <c r="M88" s="74"/>
      <c r="N88" s="74"/>
      <c r="O88" s="74"/>
      <c r="P88" s="73"/>
      <c r="Q88" s="73"/>
      <c r="R88" s="73"/>
    </row>
    <row r="89" spans="6:18" ht="15" customHeight="1">
      <c r="F89" s="73"/>
      <c r="G89" s="73"/>
      <c r="H89" s="93"/>
      <c r="I89" s="73"/>
      <c r="J89" s="136"/>
      <c r="K89" s="74"/>
      <c r="L89" s="74"/>
      <c r="M89" s="74"/>
      <c r="N89" s="74"/>
      <c r="O89" s="74"/>
      <c r="P89" s="73"/>
      <c r="Q89" s="73"/>
      <c r="R89" s="73"/>
    </row>
    <row r="90" spans="6:18" ht="15" customHeight="1">
      <c r="F90" s="73"/>
      <c r="G90" s="73"/>
      <c r="H90" s="93"/>
      <c r="I90" s="73"/>
      <c r="J90" s="136"/>
      <c r="K90" s="74"/>
      <c r="L90" s="74"/>
      <c r="M90" s="74"/>
      <c r="N90" s="74"/>
      <c r="O90" s="74"/>
      <c r="P90" s="73"/>
      <c r="Q90" s="73"/>
      <c r="R90" s="73"/>
    </row>
    <row r="91" spans="6:18" ht="15" customHeight="1">
      <c r="F91" s="73"/>
      <c r="G91" s="73"/>
      <c r="H91" s="93"/>
      <c r="I91" s="73"/>
      <c r="J91" s="136"/>
      <c r="K91" s="74"/>
      <c r="L91" s="74"/>
      <c r="M91" s="74"/>
      <c r="N91" s="74"/>
      <c r="O91" s="74"/>
      <c r="P91" s="73"/>
      <c r="Q91" s="73"/>
      <c r="R91" s="73"/>
    </row>
    <row r="92" spans="6:18" ht="15" customHeight="1">
      <c r="F92" s="73"/>
      <c r="G92" s="73"/>
      <c r="H92" s="93"/>
      <c r="I92" s="73"/>
      <c r="J92" s="136"/>
      <c r="K92" s="74"/>
      <c r="L92" s="74"/>
      <c r="M92" s="74"/>
      <c r="N92" s="74"/>
      <c r="O92" s="74"/>
      <c r="P92" s="73"/>
      <c r="Q92" s="73"/>
      <c r="R92" s="73"/>
    </row>
    <row r="93" spans="6:18" ht="15" customHeight="1">
      <c r="F93" s="73"/>
      <c r="G93" s="73"/>
      <c r="H93" s="93"/>
      <c r="I93" s="73"/>
      <c r="J93" s="136"/>
      <c r="K93" s="74"/>
      <c r="L93" s="74"/>
      <c r="M93" s="74"/>
      <c r="N93" s="74"/>
      <c r="O93" s="74"/>
      <c r="P93" s="73"/>
      <c r="Q93" s="73"/>
      <c r="R93" s="73"/>
    </row>
    <row r="94" spans="6:18" ht="15" customHeight="1">
      <c r="F94" s="73"/>
      <c r="G94" s="73"/>
      <c r="H94" s="93"/>
      <c r="I94" s="73"/>
      <c r="J94" s="136"/>
      <c r="K94" s="74"/>
      <c r="L94" s="74"/>
      <c r="M94" s="74"/>
      <c r="N94" s="74"/>
      <c r="O94" s="74"/>
      <c r="P94" s="73"/>
      <c r="Q94" s="73"/>
      <c r="R94" s="73"/>
    </row>
    <row r="95" spans="6:18" ht="15" customHeight="1">
      <c r="F95" s="73"/>
      <c r="G95" s="73"/>
      <c r="H95" s="93"/>
      <c r="I95" s="73"/>
      <c r="J95" s="136"/>
      <c r="K95" s="74"/>
      <c r="L95" s="74"/>
      <c r="M95" s="74"/>
      <c r="N95" s="74"/>
      <c r="O95" s="74"/>
      <c r="P95" s="73"/>
      <c r="Q95" s="73"/>
      <c r="R95" s="73"/>
    </row>
    <row r="96" spans="6:18" ht="15" customHeight="1">
      <c r="F96" s="73"/>
      <c r="G96" s="73"/>
      <c r="H96" s="93"/>
      <c r="I96" s="73"/>
      <c r="J96" s="136"/>
      <c r="K96" s="74"/>
      <c r="L96" s="74"/>
      <c r="M96" s="74"/>
      <c r="N96" s="74"/>
      <c r="O96" s="74"/>
      <c r="P96" s="73"/>
      <c r="Q96" s="73"/>
      <c r="R96" s="73"/>
    </row>
    <row r="97" spans="6:18" ht="15" customHeight="1">
      <c r="F97" s="73"/>
      <c r="G97" s="73"/>
      <c r="H97" s="93"/>
      <c r="I97" s="73"/>
      <c r="J97" s="136"/>
      <c r="K97" s="74"/>
      <c r="L97" s="74"/>
      <c r="M97" s="74"/>
      <c r="N97" s="74"/>
      <c r="O97" s="74"/>
      <c r="P97" s="73"/>
      <c r="Q97" s="73"/>
      <c r="R97" s="73"/>
    </row>
    <row r="98" spans="6:18" ht="15" customHeight="1">
      <c r="F98" s="73"/>
      <c r="G98" s="73"/>
      <c r="H98" s="93"/>
      <c r="I98" s="73"/>
      <c r="J98" s="136"/>
      <c r="K98" s="74"/>
      <c r="L98" s="74"/>
      <c r="M98" s="74"/>
      <c r="N98" s="74"/>
      <c r="O98" s="74"/>
      <c r="P98" s="73"/>
      <c r="Q98" s="73"/>
      <c r="R98" s="73"/>
    </row>
    <row r="99" spans="6:18" ht="15" customHeight="1">
      <c r="F99" s="73"/>
      <c r="G99" s="73"/>
      <c r="H99" s="93"/>
      <c r="I99" s="73"/>
      <c r="J99" s="136"/>
      <c r="K99" s="74"/>
      <c r="L99" s="74"/>
      <c r="M99" s="74"/>
      <c r="N99" s="74"/>
      <c r="O99" s="74"/>
      <c r="P99" s="73"/>
      <c r="Q99" s="73"/>
      <c r="R99" s="73"/>
    </row>
    <row r="100" spans="6:18" ht="15" customHeight="1">
      <c r="F100" s="73"/>
      <c r="G100" s="73"/>
      <c r="H100" s="93"/>
      <c r="I100" s="73"/>
      <c r="J100" s="136"/>
      <c r="K100" s="74"/>
      <c r="L100" s="74"/>
      <c r="M100" s="74"/>
      <c r="N100" s="74"/>
      <c r="O100" s="74"/>
      <c r="P100" s="73"/>
      <c r="Q100" s="73"/>
      <c r="R100" s="73"/>
    </row>
    <row r="101" spans="6:18" ht="15" customHeight="1">
      <c r="F101" s="73"/>
      <c r="G101" s="73"/>
      <c r="H101" s="93"/>
      <c r="I101" s="73"/>
      <c r="J101" s="136"/>
      <c r="K101" s="74"/>
      <c r="L101" s="74"/>
      <c r="M101" s="74"/>
      <c r="N101" s="74"/>
      <c r="O101" s="74"/>
      <c r="P101" s="73"/>
      <c r="Q101" s="73"/>
      <c r="R101" s="73"/>
    </row>
    <row r="102" spans="6:18" ht="15" customHeight="1">
      <c r="F102" s="73"/>
      <c r="G102" s="73"/>
      <c r="H102" s="93"/>
      <c r="I102" s="73"/>
      <c r="J102" s="136"/>
      <c r="K102" s="74"/>
      <c r="L102" s="74"/>
      <c r="M102" s="74"/>
      <c r="N102" s="74"/>
      <c r="O102" s="74"/>
      <c r="P102" s="73"/>
      <c r="Q102" s="73"/>
      <c r="R102" s="73"/>
    </row>
    <row r="103" spans="6:18" ht="15" customHeight="1">
      <c r="F103" s="73"/>
      <c r="G103" s="73"/>
      <c r="H103" s="93"/>
      <c r="I103" s="73"/>
      <c r="J103" s="136"/>
      <c r="K103" s="74"/>
      <c r="L103" s="74"/>
      <c r="M103" s="74"/>
      <c r="N103" s="74"/>
      <c r="O103" s="74"/>
      <c r="P103" s="73"/>
      <c r="Q103" s="73"/>
      <c r="R103" s="73"/>
    </row>
    <row r="104" spans="6:18" ht="15" customHeight="1">
      <c r="F104" s="73"/>
      <c r="G104" s="73"/>
      <c r="H104" s="93"/>
      <c r="I104" s="73"/>
      <c r="J104" s="136"/>
      <c r="K104" s="74"/>
      <c r="L104" s="74"/>
      <c r="M104" s="74"/>
      <c r="N104" s="74"/>
      <c r="O104" s="74"/>
      <c r="P104" s="73"/>
      <c r="Q104" s="73"/>
      <c r="R104" s="73"/>
    </row>
    <row r="105" spans="6:18" ht="15" customHeight="1">
      <c r="F105" s="73"/>
      <c r="G105" s="73"/>
      <c r="H105" s="93"/>
      <c r="I105" s="73"/>
      <c r="J105" s="136"/>
      <c r="K105" s="74"/>
      <c r="L105" s="74"/>
      <c r="M105" s="74"/>
      <c r="N105" s="74"/>
      <c r="O105" s="74"/>
      <c r="P105" s="73"/>
      <c r="Q105" s="73"/>
      <c r="R105" s="73"/>
    </row>
    <row r="106" spans="6:18" ht="15" customHeight="1">
      <c r="F106" s="73"/>
      <c r="G106" s="73"/>
      <c r="H106" s="93"/>
      <c r="I106" s="73"/>
      <c r="J106" s="136"/>
      <c r="K106" s="74"/>
      <c r="L106" s="74"/>
      <c r="M106" s="74"/>
      <c r="N106" s="74"/>
      <c r="O106" s="74"/>
      <c r="P106" s="73"/>
      <c r="Q106" s="73"/>
      <c r="R106" s="73"/>
    </row>
    <row r="107" spans="6:18" ht="15" customHeight="1">
      <c r="F107" s="73"/>
      <c r="G107" s="73"/>
      <c r="H107" s="93"/>
      <c r="I107" s="73"/>
      <c r="J107" s="136"/>
      <c r="K107" s="74"/>
      <c r="L107" s="74"/>
      <c r="M107" s="74"/>
      <c r="N107" s="74"/>
      <c r="O107" s="74"/>
      <c r="P107" s="73"/>
      <c r="Q107" s="73"/>
      <c r="R107" s="73"/>
    </row>
    <row r="108" spans="6:18" ht="15" customHeight="1">
      <c r="F108" s="73"/>
      <c r="G108" s="73"/>
      <c r="H108" s="93"/>
      <c r="I108" s="73"/>
      <c r="J108" s="136"/>
      <c r="K108" s="74"/>
      <c r="L108" s="74"/>
      <c r="M108" s="74"/>
      <c r="N108" s="74"/>
      <c r="O108" s="74"/>
      <c r="P108" s="73"/>
      <c r="Q108" s="73"/>
      <c r="R108" s="73"/>
    </row>
    <row r="109" spans="6:18" ht="15" customHeight="1">
      <c r="F109" s="73"/>
      <c r="G109" s="73"/>
      <c r="H109" s="93"/>
      <c r="I109" s="73"/>
      <c r="J109" s="136"/>
      <c r="K109" s="74"/>
      <c r="L109" s="74"/>
      <c r="M109" s="74"/>
      <c r="N109" s="74"/>
      <c r="O109" s="74"/>
      <c r="P109" s="73"/>
      <c r="Q109" s="73"/>
      <c r="R109" s="73"/>
    </row>
    <row r="110" spans="6:18" ht="15" customHeight="1">
      <c r="F110" s="73"/>
      <c r="G110" s="73"/>
      <c r="H110" s="93"/>
      <c r="I110" s="73"/>
      <c r="J110" s="136"/>
      <c r="K110" s="74"/>
      <c r="L110" s="74"/>
      <c r="M110" s="74"/>
      <c r="N110" s="74"/>
      <c r="O110" s="74"/>
      <c r="P110" s="73"/>
      <c r="Q110" s="73"/>
      <c r="R110" s="73"/>
    </row>
    <row r="111" spans="6:18" ht="15" customHeight="1">
      <c r="F111" s="73"/>
      <c r="G111" s="73"/>
      <c r="H111" s="93"/>
      <c r="I111" s="73"/>
      <c r="J111" s="136"/>
      <c r="K111" s="74"/>
      <c r="L111" s="74"/>
      <c r="M111" s="74"/>
      <c r="N111" s="74"/>
      <c r="O111" s="74"/>
      <c r="P111" s="73"/>
      <c r="Q111" s="73"/>
      <c r="R111" s="73"/>
    </row>
    <row r="112" spans="6:18" ht="15" customHeight="1">
      <c r="F112" s="73"/>
      <c r="G112" s="73"/>
      <c r="H112" s="93"/>
      <c r="I112" s="73"/>
      <c r="J112" s="136"/>
      <c r="K112" s="74"/>
      <c r="L112" s="74"/>
      <c r="M112" s="74"/>
      <c r="N112" s="74"/>
      <c r="O112" s="74"/>
      <c r="P112" s="73"/>
      <c r="Q112" s="73"/>
      <c r="R112" s="73"/>
    </row>
    <row r="113" spans="6:18" ht="15" customHeight="1">
      <c r="F113" s="73"/>
      <c r="G113" s="73"/>
      <c r="H113" s="93"/>
      <c r="I113" s="73"/>
      <c r="J113" s="136"/>
      <c r="K113" s="74"/>
      <c r="L113" s="74"/>
      <c r="M113" s="74"/>
      <c r="N113" s="74"/>
      <c r="O113" s="74"/>
      <c r="P113" s="73"/>
      <c r="Q113" s="73"/>
      <c r="R113" s="73"/>
    </row>
    <row r="114" spans="6:18" ht="15" customHeight="1">
      <c r="F114" s="73"/>
      <c r="G114" s="73"/>
      <c r="H114" s="93"/>
      <c r="I114" s="73"/>
      <c r="J114" s="136"/>
      <c r="K114" s="74"/>
      <c r="L114" s="74"/>
      <c r="M114" s="74"/>
      <c r="N114" s="74"/>
      <c r="O114" s="74"/>
      <c r="P114" s="73"/>
      <c r="Q114" s="73"/>
      <c r="R114" s="73"/>
    </row>
    <row r="115" spans="6:18" ht="15" customHeight="1">
      <c r="F115" s="73"/>
      <c r="G115" s="73"/>
      <c r="H115" s="93"/>
      <c r="I115" s="73"/>
      <c r="J115" s="136"/>
      <c r="K115" s="74"/>
      <c r="L115" s="74"/>
      <c r="M115" s="74"/>
      <c r="N115" s="74"/>
      <c r="O115" s="74"/>
      <c r="P115" s="73"/>
      <c r="Q115" s="73"/>
      <c r="R115" s="73"/>
    </row>
    <row r="116" spans="6:18" ht="15" customHeight="1">
      <c r="F116" s="73"/>
      <c r="G116" s="73"/>
      <c r="H116" s="93"/>
      <c r="I116" s="73"/>
      <c r="J116" s="136"/>
      <c r="K116" s="74"/>
      <c r="L116" s="74"/>
      <c r="M116" s="74"/>
      <c r="N116" s="74"/>
      <c r="O116" s="74"/>
      <c r="P116" s="73"/>
      <c r="Q116" s="73"/>
      <c r="R116" s="73"/>
    </row>
    <row r="117" spans="6:18" ht="15" customHeight="1">
      <c r="F117" s="73"/>
      <c r="G117" s="73"/>
      <c r="H117" s="93"/>
      <c r="I117" s="73"/>
      <c r="J117" s="136"/>
      <c r="K117" s="74"/>
      <c r="L117" s="74"/>
      <c r="M117" s="74"/>
      <c r="N117" s="74"/>
      <c r="O117" s="74"/>
      <c r="P117" s="73"/>
      <c r="Q117" s="73"/>
      <c r="R117" s="73"/>
    </row>
    <row r="118" spans="6:18" ht="15" customHeight="1">
      <c r="F118" s="73"/>
      <c r="G118" s="73"/>
      <c r="H118" s="93"/>
      <c r="I118" s="73"/>
      <c r="J118" s="136"/>
      <c r="K118" s="74"/>
      <c r="L118" s="74"/>
      <c r="M118" s="74"/>
      <c r="N118" s="74"/>
      <c r="O118" s="74"/>
      <c r="P118" s="73"/>
      <c r="Q118" s="73"/>
      <c r="R118" s="73"/>
    </row>
    <row r="119" spans="6:18" ht="15" customHeight="1">
      <c r="F119" s="73"/>
      <c r="G119" s="73"/>
      <c r="H119" s="93"/>
      <c r="I119" s="73"/>
      <c r="J119" s="136"/>
      <c r="K119" s="74"/>
      <c r="L119" s="74"/>
      <c r="M119" s="74"/>
      <c r="N119" s="74"/>
      <c r="O119" s="74"/>
      <c r="P119" s="73"/>
      <c r="Q119" s="73"/>
      <c r="R119" s="73"/>
    </row>
    <row r="120" spans="6:18" ht="15" customHeight="1">
      <c r="F120" s="73"/>
      <c r="G120" s="73"/>
      <c r="H120" s="93"/>
      <c r="I120" s="73"/>
      <c r="J120" s="136"/>
      <c r="K120" s="74"/>
      <c r="L120" s="74"/>
      <c r="M120" s="74"/>
      <c r="N120" s="74"/>
      <c r="O120" s="74"/>
      <c r="P120" s="73"/>
      <c r="Q120" s="73"/>
      <c r="R120" s="73"/>
    </row>
    <row r="121" spans="6:18" ht="15" customHeight="1">
      <c r="F121" s="73"/>
      <c r="G121" s="73"/>
      <c r="H121" s="93"/>
      <c r="I121" s="73"/>
      <c r="J121" s="136"/>
      <c r="K121" s="74"/>
      <c r="L121" s="74"/>
      <c r="M121" s="74"/>
      <c r="N121" s="74"/>
      <c r="O121" s="74"/>
      <c r="P121" s="73"/>
      <c r="Q121" s="73"/>
      <c r="R121" s="73"/>
    </row>
    <row r="122" spans="6:18" ht="15" customHeight="1">
      <c r="F122" s="73"/>
      <c r="G122" s="73"/>
      <c r="H122" s="93"/>
      <c r="I122" s="73"/>
      <c r="J122" s="136"/>
      <c r="K122" s="74"/>
      <c r="L122" s="74"/>
      <c r="M122" s="74"/>
      <c r="N122" s="74"/>
      <c r="O122" s="74"/>
      <c r="P122" s="73"/>
      <c r="Q122" s="73"/>
      <c r="R122" s="73"/>
    </row>
    <row r="123" spans="6:18" ht="15" customHeight="1">
      <c r="F123" s="73"/>
      <c r="G123" s="73"/>
      <c r="H123" s="93"/>
      <c r="I123" s="73"/>
      <c r="J123" s="136"/>
      <c r="K123" s="74"/>
      <c r="L123" s="74"/>
      <c r="M123" s="74"/>
      <c r="N123" s="74"/>
      <c r="O123" s="74"/>
      <c r="P123" s="73"/>
      <c r="Q123" s="73"/>
      <c r="R123" s="73"/>
    </row>
    <row r="124" spans="6:18" ht="15" customHeight="1">
      <c r="F124" s="73"/>
      <c r="G124" s="73"/>
      <c r="H124" s="93"/>
      <c r="I124" s="73"/>
      <c r="J124" s="136"/>
      <c r="K124" s="74"/>
      <c r="L124" s="74"/>
      <c r="M124" s="74"/>
      <c r="N124" s="74"/>
      <c r="O124" s="74"/>
      <c r="P124" s="73"/>
      <c r="Q124" s="73"/>
      <c r="R124" s="73"/>
    </row>
    <row r="125" spans="6:18" ht="15" customHeight="1">
      <c r="F125" s="73"/>
      <c r="G125" s="73"/>
      <c r="H125" s="93"/>
      <c r="I125" s="73"/>
      <c r="J125" s="136"/>
      <c r="K125" s="74"/>
      <c r="L125" s="74"/>
      <c r="M125" s="74"/>
      <c r="N125" s="74"/>
      <c r="O125" s="74"/>
      <c r="P125" s="73"/>
      <c r="Q125" s="73"/>
      <c r="R125" s="73"/>
    </row>
    <row r="126" spans="6:18" ht="15" customHeight="1">
      <c r="F126" s="73"/>
      <c r="G126" s="73"/>
      <c r="H126" s="93"/>
      <c r="I126" s="73"/>
      <c r="J126" s="136"/>
      <c r="K126" s="74"/>
      <c r="L126" s="74"/>
      <c r="M126" s="74"/>
      <c r="N126" s="74"/>
      <c r="O126" s="74"/>
      <c r="P126" s="73"/>
      <c r="Q126" s="73"/>
      <c r="R126" s="73"/>
    </row>
    <row r="127" spans="6:18" ht="15" customHeight="1">
      <c r="F127" s="73"/>
      <c r="G127" s="73"/>
      <c r="H127" s="93"/>
      <c r="I127" s="73"/>
      <c r="J127" s="136"/>
      <c r="K127" s="74"/>
      <c r="L127" s="74"/>
      <c r="M127" s="74"/>
      <c r="N127" s="74"/>
      <c r="O127" s="74"/>
      <c r="P127" s="73"/>
      <c r="Q127" s="73"/>
      <c r="R127" s="73"/>
    </row>
    <row r="128" spans="6:18" ht="15" customHeight="1">
      <c r="F128" s="73"/>
      <c r="G128" s="73"/>
      <c r="H128" s="93"/>
      <c r="I128" s="73"/>
      <c r="J128" s="136"/>
      <c r="K128" s="74"/>
      <c r="L128" s="74"/>
      <c r="M128" s="74"/>
      <c r="N128" s="74"/>
      <c r="O128" s="74"/>
      <c r="P128" s="73"/>
      <c r="Q128" s="73"/>
      <c r="R128" s="73"/>
    </row>
    <row r="129" spans="6:18" ht="15" customHeight="1">
      <c r="F129" s="73"/>
      <c r="G129" s="73"/>
      <c r="H129" s="93"/>
      <c r="I129" s="73"/>
      <c r="J129" s="136"/>
      <c r="K129" s="74"/>
      <c r="L129" s="74"/>
      <c r="M129" s="74"/>
      <c r="N129" s="74"/>
      <c r="O129" s="74"/>
      <c r="P129" s="73"/>
      <c r="Q129" s="73"/>
      <c r="R129" s="73"/>
    </row>
    <row r="130" spans="6:18" ht="15" customHeight="1">
      <c r="F130" s="73"/>
      <c r="G130" s="73"/>
      <c r="H130" s="93"/>
      <c r="I130" s="73"/>
      <c r="J130" s="136"/>
      <c r="K130" s="74"/>
      <c r="L130" s="74"/>
      <c r="M130" s="74"/>
      <c r="N130" s="74"/>
      <c r="O130" s="74"/>
      <c r="P130" s="73"/>
      <c r="Q130" s="73"/>
      <c r="R130" s="73"/>
    </row>
    <row r="131" spans="6:18" ht="15" customHeight="1">
      <c r="F131" s="73"/>
      <c r="G131" s="73"/>
      <c r="H131" s="93"/>
      <c r="I131" s="73"/>
      <c r="J131" s="136"/>
      <c r="K131" s="74"/>
      <c r="L131" s="74"/>
      <c r="M131" s="74"/>
      <c r="N131" s="74"/>
      <c r="O131" s="74"/>
      <c r="P131" s="73"/>
      <c r="Q131" s="73"/>
      <c r="R131" s="73"/>
    </row>
    <row r="132" spans="6:18" ht="15" customHeight="1">
      <c r="F132" s="73"/>
      <c r="G132" s="73"/>
      <c r="H132" s="93"/>
      <c r="I132" s="73"/>
      <c r="J132" s="136"/>
      <c r="K132" s="74"/>
      <c r="L132" s="74"/>
      <c r="M132" s="74"/>
      <c r="N132" s="74"/>
      <c r="O132" s="74"/>
      <c r="P132" s="73"/>
      <c r="Q132" s="73"/>
      <c r="R132" s="73"/>
    </row>
    <row r="133" spans="6:18" ht="15" customHeight="1">
      <c r="F133" s="73"/>
      <c r="G133" s="73"/>
      <c r="H133" s="93"/>
      <c r="I133" s="73"/>
      <c r="J133" s="136"/>
      <c r="K133" s="74"/>
      <c r="L133" s="74"/>
      <c r="M133" s="74"/>
      <c r="N133" s="74"/>
      <c r="O133" s="74"/>
      <c r="P133" s="73"/>
      <c r="Q133" s="73"/>
      <c r="R133" s="73"/>
    </row>
    <row r="134" spans="6:18" ht="15" customHeight="1">
      <c r="F134" s="73"/>
      <c r="G134" s="73"/>
      <c r="H134" s="93"/>
      <c r="I134" s="73"/>
      <c r="J134" s="136"/>
      <c r="K134" s="74"/>
      <c r="L134" s="74"/>
      <c r="M134" s="74"/>
      <c r="N134" s="74"/>
      <c r="O134" s="74"/>
      <c r="P134" s="73"/>
      <c r="Q134" s="73"/>
      <c r="R134" s="73"/>
    </row>
    <row r="135" spans="6:18" ht="15" customHeight="1">
      <c r="F135" s="73"/>
      <c r="G135" s="73"/>
      <c r="H135" s="93"/>
      <c r="I135" s="73"/>
      <c r="J135" s="136"/>
      <c r="K135" s="74"/>
      <c r="L135" s="74"/>
      <c r="M135" s="74"/>
      <c r="N135" s="74"/>
      <c r="O135" s="74"/>
      <c r="P135" s="73"/>
      <c r="Q135" s="73"/>
      <c r="R135" s="73"/>
    </row>
    <row r="136" spans="6:18" ht="15" customHeight="1">
      <c r="F136" s="73"/>
      <c r="G136" s="73"/>
      <c r="H136" s="93"/>
      <c r="I136" s="73"/>
      <c r="J136" s="136"/>
      <c r="K136" s="74"/>
      <c r="L136" s="74"/>
      <c r="M136" s="74"/>
      <c r="N136" s="74"/>
      <c r="O136" s="74"/>
      <c r="P136" s="73"/>
      <c r="Q136" s="73"/>
      <c r="R136" s="73"/>
    </row>
    <row r="137" spans="6:18" ht="15" customHeight="1">
      <c r="F137" s="73"/>
      <c r="G137" s="73"/>
      <c r="H137" s="93"/>
      <c r="I137" s="73"/>
      <c r="J137" s="136"/>
      <c r="K137" s="74"/>
      <c r="L137" s="74"/>
      <c r="M137" s="74"/>
      <c r="N137" s="74"/>
      <c r="O137" s="74"/>
      <c r="P137" s="73"/>
      <c r="Q137" s="73"/>
      <c r="R137" s="73"/>
    </row>
    <row r="138" spans="6:18" ht="15" customHeight="1">
      <c r="F138" s="73"/>
      <c r="G138" s="73"/>
      <c r="H138" s="93"/>
      <c r="I138" s="73"/>
      <c r="J138" s="136"/>
      <c r="K138" s="74"/>
      <c r="L138" s="74"/>
      <c r="M138" s="74"/>
      <c r="N138" s="74"/>
      <c r="O138" s="74"/>
      <c r="P138" s="73"/>
      <c r="Q138" s="73"/>
      <c r="R138" s="73"/>
    </row>
    <row r="139" spans="6:18" ht="15" customHeight="1">
      <c r="F139" s="73"/>
      <c r="G139" s="73"/>
      <c r="H139" s="93"/>
      <c r="I139" s="73"/>
      <c r="J139" s="136"/>
      <c r="K139" s="74"/>
      <c r="L139" s="74"/>
      <c r="M139" s="74"/>
      <c r="N139" s="74"/>
      <c r="O139" s="74"/>
      <c r="P139" s="73"/>
      <c r="Q139" s="73"/>
      <c r="R139" s="73"/>
    </row>
    <row r="140" spans="6:18" ht="15" customHeight="1">
      <c r="F140" s="73"/>
      <c r="G140" s="73"/>
      <c r="H140" s="93"/>
      <c r="I140" s="73"/>
      <c r="J140" s="136"/>
      <c r="K140" s="74"/>
      <c r="L140" s="74"/>
      <c r="M140" s="74"/>
      <c r="N140" s="74"/>
      <c r="O140" s="74"/>
      <c r="P140" s="73"/>
      <c r="Q140" s="73"/>
      <c r="R140" s="73"/>
    </row>
    <row r="141" spans="6:18" ht="15" customHeight="1">
      <c r="F141" s="73"/>
      <c r="G141" s="73"/>
      <c r="H141" s="93"/>
      <c r="I141" s="73"/>
      <c r="J141" s="136"/>
      <c r="K141" s="74"/>
      <c r="L141" s="74"/>
      <c r="M141" s="74"/>
      <c r="N141" s="74"/>
      <c r="O141" s="74"/>
      <c r="P141" s="73"/>
      <c r="Q141" s="73"/>
      <c r="R141" s="73"/>
    </row>
    <row r="142" spans="6:18" ht="15" customHeight="1">
      <c r="F142" s="73"/>
      <c r="G142" s="73"/>
      <c r="H142" s="93"/>
      <c r="I142" s="73"/>
      <c r="J142" s="136"/>
      <c r="K142" s="74"/>
      <c r="L142" s="74"/>
      <c r="M142" s="74"/>
      <c r="N142" s="74"/>
      <c r="O142" s="74"/>
      <c r="P142" s="73"/>
      <c r="Q142" s="73"/>
      <c r="R142" s="73"/>
    </row>
    <row r="143" spans="6:18" ht="15" customHeight="1">
      <c r="F143" s="73"/>
      <c r="G143" s="73"/>
      <c r="H143" s="93"/>
      <c r="I143" s="73"/>
      <c r="J143" s="136"/>
      <c r="K143" s="74"/>
      <c r="L143" s="74"/>
      <c r="M143" s="74"/>
      <c r="N143" s="74"/>
      <c r="O143" s="74"/>
      <c r="P143" s="73"/>
      <c r="Q143" s="73"/>
      <c r="R143" s="73"/>
    </row>
    <row r="144" spans="6:18" ht="15" customHeight="1">
      <c r="F144" s="73"/>
      <c r="G144" s="73"/>
      <c r="H144" s="93"/>
      <c r="I144" s="73"/>
      <c r="J144" s="136"/>
      <c r="K144" s="74"/>
      <c r="L144" s="74"/>
      <c r="M144" s="74"/>
      <c r="N144" s="74"/>
      <c r="O144" s="74"/>
      <c r="P144" s="73"/>
      <c r="Q144" s="73"/>
      <c r="R144" s="73"/>
    </row>
    <row r="145" spans="6:18" ht="15" customHeight="1">
      <c r="F145" s="73"/>
      <c r="G145" s="73"/>
      <c r="H145" s="93"/>
      <c r="I145" s="73"/>
      <c r="J145" s="136"/>
      <c r="K145" s="74"/>
      <c r="L145" s="74"/>
      <c r="M145" s="74"/>
      <c r="N145" s="74"/>
      <c r="O145" s="74"/>
      <c r="P145" s="73"/>
      <c r="Q145" s="73"/>
      <c r="R145" s="73"/>
    </row>
    <row r="146" spans="6:18" ht="15" customHeight="1">
      <c r="F146" s="73"/>
      <c r="G146" s="73"/>
      <c r="H146" s="93"/>
      <c r="I146" s="73"/>
      <c r="J146" s="136"/>
      <c r="K146" s="74"/>
      <c r="L146" s="74"/>
      <c r="M146" s="74"/>
      <c r="N146" s="74"/>
      <c r="O146" s="74"/>
      <c r="P146" s="73"/>
      <c r="Q146" s="73"/>
      <c r="R146" s="73"/>
    </row>
    <row r="147" spans="6:18" ht="15" customHeight="1">
      <c r="F147" s="73"/>
      <c r="G147" s="73"/>
      <c r="H147" s="93"/>
      <c r="I147" s="73"/>
      <c r="J147" s="136"/>
      <c r="K147" s="74"/>
      <c r="L147" s="74"/>
      <c r="M147" s="74"/>
      <c r="N147" s="74"/>
      <c r="O147" s="74"/>
      <c r="P147" s="73"/>
      <c r="Q147" s="73"/>
      <c r="R147" s="73"/>
    </row>
    <row r="148" spans="6:18" ht="15" customHeight="1">
      <c r="F148" s="73"/>
      <c r="G148" s="73"/>
      <c r="H148" s="93"/>
      <c r="I148" s="73"/>
      <c r="J148" s="136"/>
      <c r="K148" s="74"/>
      <c r="L148" s="74"/>
      <c r="M148" s="74"/>
      <c r="N148" s="74"/>
      <c r="O148" s="74"/>
      <c r="P148" s="73"/>
      <c r="Q148" s="73"/>
      <c r="R148" s="73"/>
    </row>
    <row r="149" spans="6:18" ht="15" customHeight="1">
      <c r="F149" s="73"/>
      <c r="G149" s="73"/>
      <c r="H149" s="93"/>
      <c r="I149" s="73"/>
      <c r="J149" s="136"/>
      <c r="K149" s="74"/>
      <c r="L149" s="74"/>
      <c r="M149" s="74"/>
      <c r="N149" s="74"/>
      <c r="O149" s="74"/>
      <c r="P149" s="73"/>
      <c r="Q149" s="73"/>
      <c r="R149" s="73"/>
    </row>
    <row r="150" spans="6:18" ht="15" customHeight="1">
      <c r="F150" s="73"/>
      <c r="G150" s="73"/>
      <c r="H150" s="93"/>
      <c r="I150" s="73"/>
      <c r="J150" s="136"/>
      <c r="K150" s="74"/>
      <c r="L150" s="74"/>
      <c r="M150" s="74"/>
      <c r="N150" s="74"/>
      <c r="O150" s="74"/>
      <c r="P150" s="73"/>
      <c r="Q150" s="73"/>
      <c r="R150" s="73"/>
    </row>
    <row r="151" spans="6:18" ht="15" customHeight="1">
      <c r="F151" s="73"/>
      <c r="G151" s="73"/>
      <c r="H151" s="93"/>
      <c r="I151" s="73"/>
      <c r="J151" s="136"/>
      <c r="K151" s="74"/>
      <c r="L151" s="74"/>
      <c r="M151" s="74"/>
      <c r="N151" s="74"/>
      <c r="O151" s="74"/>
      <c r="P151" s="73"/>
      <c r="Q151" s="73"/>
      <c r="R151" s="73"/>
    </row>
    <row r="152" spans="6:18" ht="15" customHeight="1">
      <c r="F152" s="73"/>
      <c r="G152" s="73"/>
      <c r="H152" s="93"/>
      <c r="I152" s="73"/>
      <c r="J152" s="136"/>
      <c r="K152" s="74"/>
      <c r="L152" s="74"/>
      <c r="M152" s="74"/>
      <c r="N152" s="74"/>
      <c r="O152" s="74"/>
      <c r="P152" s="73"/>
      <c r="Q152" s="73"/>
      <c r="R152" s="73"/>
    </row>
    <row r="153" spans="6:18" ht="15" customHeight="1">
      <c r="F153" s="73"/>
      <c r="G153" s="73"/>
      <c r="H153" s="93"/>
      <c r="I153" s="73"/>
      <c r="J153" s="136"/>
      <c r="K153" s="74"/>
      <c r="L153" s="74"/>
      <c r="M153" s="74"/>
      <c r="N153" s="74"/>
      <c r="O153" s="74"/>
      <c r="P153" s="73"/>
      <c r="Q153" s="73"/>
      <c r="R153" s="73"/>
    </row>
    <row r="154" spans="6:18" ht="15" customHeight="1">
      <c r="F154" s="73"/>
      <c r="G154" s="73"/>
      <c r="H154" s="93"/>
      <c r="I154" s="73"/>
      <c r="J154" s="136"/>
      <c r="K154" s="74"/>
      <c r="L154" s="74"/>
      <c r="M154" s="74"/>
      <c r="N154" s="74"/>
      <c r="O154" s="74"/>
      <c r="P154" s="73"/>
      <c r="Q154" s="73"/>
      <c r="R154" s="73"/>
    </row>
    <row r="155" spans="6:18" ht="15" customHeight="1">
      <c r="F155" s="73"/>
      <c r="G155" s="73"/>
      <c r="H155" s="93"/>
      <c r="I155" s="73"/>
      <c r="J155" s="136"/>
      <c r="K155" s="74"/>
      <c r="L155" s="74"/>
      <c r="M155" s="74"/>
      <c r="N155" s="74"/>
      <c r="O155" s="74"/>
      <c r="P155" s="73"/>
      <c r="Q155" s="73"/>
      <c r="R155" s="73"/>
    </row>
    <row r="156" spans="6:18" ht="15" customHeight="1">
      <c r="F156" s="73"/>
      <c r="G156" s="73"/>
      <c r="H156" s="93"/>
      <c r="I156" s="73"/>
      <c r="J156" s="136"/>
      <c r="K156" s="74"/>
      <c r="L156" s="74"/>
      <c r="M156" s="74"/>
      <c r="N156" s="74"/>
      <c r="O156" s="74"/>
      <c r="P156" s="73"/>
      <c r="Q156" s="73"/>
      <c r="R156" s="73"/>
    </row>
    <row r="157" spans="6:18" ht="15" customHeight="1">
      <c r="F157" s="73"/>
      <c r="G157" s="73"/>
      <c r="H157" s="93"/>
      <c r="I157" s="73"/>
      <c r="J157" s="136"/>
      <c r="K157" s="74"/>
      <c r="L157" s="74"/>
      <c r="M157" s="74"/>
      <c r="N157" s="74"/>
      <c r="O157" s="74"/>
      <c r="P157" s="73"/>
      <c r="Q157" s="73"/>
      <c r="R157" s="73"/>
    </row>
    <row r="158" spans="6:18" ht="15" customHeight="1">
      <c r="G158" s="73"/>
      <c r="H158" s="93"/>
      <c r="I158" s="73"/>
      <c r="J158" s="136"/>
      <c r="K158" s="74"/>
      <c r="L158" s="74"/>
      <c r="M158" s="74"/>
      <c r="N158" s="74"/>
      <c r="O158" s="74"/>
      <c r="P158" s="73"/>
      <c r="Q158" s="73"/>
      <c r="R158" s="73"/>
    </row>
    <row r="159" spans="6:18" ht="15" customHeight="1">
      <c r="G159" s="73"/>
      <c r="H159" s="93"/>
      <c r="I159" s="73"/>
      <c r="J159" s="136"/>
      <c r="K159" s="74"/>
      <c r="L159" s="74"/>
      <c r="M159" s="74"/>
      <c r="N159" s="74"/>
      <c r="O159" s="74"/>
      <c r="P159" s="73"/>
      <c r="Q159" s="73"/>
      <c r="R159" s="73"/>
    </row>
    <row r="160" spans="6:18" ht="15" customHeight="1">
      <c r="G160" s="73"/>
      <c r="H160" s="93"/>
      <c r="I160" s="73"/>
      <c r="J160" s="136"/>
      <c r="K160" s="74"/>
      <c r="L160" s="74"/>
      <c r="M160" s="74"/>
      <c r="N160" s="74"/>
      <c r="O160" s="74"/>
      <c r="P160" s="73"/>
      <c r="Q160" s="73"/>
      <c r="R160" s="73"/>
    </row>
    <row r="161" spans="7:18" ht="15" customHeight="1">
      <c r="G161" s="73"/>
      <c r="H161" s="93"/>
      <c r="I161" s="73"/>
      <c r="J161" s="136"/>
      <c r="K161" s="74"/>
      <c r="L161" s="74"/>
      <c r="M161" s="74"/>
      <c r="N161" s="74"/>
      <c r="O161" s="74"/>
      <c r="P161" s="73"/>
      <c r="Q161" s="73"/>
      <c r="R161" s="73"/>
    </row>
  </sheetData>
  <mergeCells count="2">
    <mergeCell ref="A2:F2"/>
    <mergeCell ref="A1:F1"/>
  </mergeCells>
  <phoneticPr fontId="6" type="noConversion"/>
  <pageMargins left="0.74803149606299213" right="0.74803149606299213" top="0.98425196850393704" bottom="0.98425196850393704" header="0.51181102362204722" footer="0.51181102362204722"/>
  <pageSetup paperSize="9" scale="60" orientation="portrait" r:id="rId1"/>
  <headerFooter alignWithMargins="0">
    <oddFooter>&amp;L&amp;F&amp;C&amp;D&amp;R&amp;A</oddFooter>
  </headerFooter>
  <tableParts count="4">
    <tablePart r:id="rId2"/>
    <tablePart r:id="rId3"/>
    <tablePart r:id="rId4"/>
    <tablePart r:id="rId5"/>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HK6649"/>
  <sheetViews>
    <sheetView tabSelected="1" view="pageBreakPreview" zoomScaleNormal="40" zoomScaleSheetLayoutView="100" workbookViewId="0">
      <pane ySplit="4" topLeftCell="A5" activePane="bottomLeft" state="frozen"/>
      <selection pane="bottomLeft" activeCell="B4" sqref="B4"/>
    </sheetView>
  </sheetViews>
  <sheetFormatPr defaultColWidth="10.28515625" defaultRowHeight="12.75" customHeight="1"/>
  <cols>
    <col min="1" max="1" width="6.7109375" style="4" customWidth="1"/>
    <col min="2" max="2" width="21.42578125" style="4" bestFit="1" customWidth="1"/>
    <col min="3" max="3" width="15.85546875" style="4" customWidth="1"/>
    <col min="4" max="4" width="10" style="4" customWidth="1"/>
    <col min="5" max="5" width="9.7109375" style="4" customWidth="1"/>
    <col min="6" max="6" width="9.85546875" style="4" customWidth="1"/>
    <col min="7" max="7" width="12.28515625" style="4" bestFit="1" customWidth="1"/>
    <col min="8" max="8" width="13.7109375" style="22" customWidth="1"/>
    <col min="9" max="9" width="38" style="83" bestFit="1" customWidth="1"/>
    <col min="10" max="10" width="9" style="22" customWidth="1"/>
    <col min="11" max="11" width="34.28515625" style="83" bestFit="1" customWidth="1"/>
    <col min="12" max="12" width="7.28515625" style="22" customWidth="1"/>
    <col min="13" max="13" width="11.5703125" style="116" customWidth="1"/>
    <col min="14" max="14" width="11" style="116" customWidth="1"/>
    <col min="15" max="15" width="12.140625" style="117" customWidth="1"/>
    <col min="16" max="16" width="18.7109375" style="174" bestFit="1" customWidth="1"/>
    <col min="17" max="17" width="16.5703125" style="174" customWidth="1"/>
    <col min="18" max="18" width="10" style="4" customWidth="1"/>
    <col min="19" max="19" width="13.140625" style="18" customWidth="1"/>
    <col min="20" max="20" width="12" style="119" customWidth="1"/>
    <col min="21" max="21" width="13.7109375" style="18" customWidth="1"/>
    <col min="22" max="22" width="16.42578125" style="119" customWidth="1"/>
    <col min="23" max="23" width="15.140625" style="120" customWidth="1"/>
    <col min="24" max="24" width="13.42578125" style="118" customWidth="1"/>
    <col min="25" max="25" width="14.42578125" style="18" customWidth="1"/>
    <col min="26" max="26" width="14.42578125" style="120" customWidth="1"/>
    <col min="27" max="27" width="14.5703125" style="118" customWidth="1"/>
    <col min="28" max="28" width="14.5703125" style="4" customWidth="1"/>
    <col min="29" max="29" width="11.85546875" style="4" customWidth="1"/>
    <col min="30" max="30" width="16.42578125" style="121" customWidth="1"/>
    <col min="31" max="31" width="11.140625" style="121" customWidth="1"/>
    <col min="32" max="32" width="14.85546875" style="30" customWidth="1"/>
    <col min="33" max="33" width="12.7109375" style="88" customWidth="1"/>
    <col min="34" max="34" width="2.140625" style="88" customWidth="1"/>
    <col min="35" max="35" width="22.7109375" style="88" hidden="1" customWidth="1"/>
    <col min="36" max="54" width="3.7109375" style="88" customWidth="1"/>
    <col min="55" max="55" width="3.42578125" style="88" customWidth="1"/>
    <col min="56" max="56" width="11.140625" style="88" hidden="1" customWidth="1"/>
    <col min="57" max="75" width="3.42578125" style="88" customWidth="1"/>
    <col min="76" max="218" width="10.28515625" style="88"/>
    <col min="219" max="16384" width="10.28515625" style="4"/>
  </cols>
  <sheetData>
    <row r="1" spans="1:219" ht="12.75" customHeight="1">
      <c r="A1" s="82" t="s">
        <v>186</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214"/>
      <c r="AJ1" s="235"/>
      <c r="AK1" s="235"/>
      <c r="AL1" s="235"/>
      <c r="AM1" s="235"/>
      <c r="AN1" s="235"/>
      <c r="AO1" s="235"/>
      <c r="AP1" s="235"/>
      <c r="AQ1" s="235"/>
      <c r="AR1" s="235"/>
      <c r="AS1" s="235"/>
      <c r="AT1" s="235"/>
      <c r="AU1" s="235"/>
      <c r="AV1" s="235"/>
      <c r="AW1" s="235"/>
      <c r="AX1" s="235"/>
      <c r="AY1" s="235"/>
      <c r="AZ1" s="235"/>
      <c r="BA1" s="235"/>
      <c r="BB1" s="235"/>
      <c r="BC1" s="236"/>
      <c r="BD1" s="237"/>
      <c r="BE1" s="235"/>
      <c r="BF1" s="235"/>
      <c r="BG1" s="235"/>
      <c r="BH1" s="235"/>
      <c r="BI1" s="235"/>
      <c r="BJ1" s="235"/>
      <c r="BK1" s="235"/>
      <c r="BL1" s="235"/>
      <c r="BM1" s="235"/>
      <c r="BN1" s="235"/>
      <c r="BO1" s="235"/>
      <c r="BP1" s="235"/>
      <c r="BQ1" s="235"/>
      <c r="BR1" s="235"/>
      <c r="BS1" s="235"/>
      <c r="BT1" s="235"/>
      <c r="BU1" s="235"/>
      <c r="BV1" s="235"/>
      <c r="BW1" s="235"/>
    </row>
    <row r="2" spans="1:219" ht="12.75" customHeight="1">
      <c r="A2" s="88"/>
      <c r="B2" s="88"/>
      <c r="C2" s="88"/>
      <c r="D2" s="88"/>
      <c r="E2" s="88"/>
      <c r="F2" s="88"/>
      <c r="G2" s="88"/>
      <c r="H2" s="97"/>
      <c r="I2" s="133"/>
      <c r="J2" s="97"/>
      <c r="K2" s="133"/>
      <c r="L2" s="97"/>
      <c r="M2" s="114"/>
      <c r="N2" s="114"/>
      <c r="O2" s="115"/>
      <c r="P2" s="172"/>
      <c r="Q2" s="172"/>
      <c r="R2" s="88"/>
      <c r="S2" s="88"/>
      <c r="T2" s="88"/>
      <c r="U2" s="88"/>
      <c r="V2" s="88"/>
      <c r="W2" s="88"/>
      <c r="X2" s="88"/>
      <c r="Y2" s="88"/>
      <c r="Z2" s="88"/>
      <c r="AA2" s="88"/>
      <c r="AB2" s="88"/>
      <c r="AC2" s="88"/>
      <c r="AD2" s="88"/>
      <c r="AE2" s="88"/>
      <c r="AF2" s="88"/>
      <c r="AJ2" s="416" t="s">
        <v>1233</v>
      </c>
      <c r="AK2" s="416"/>
      <c r="AL2" s="416"/>
      <c r="AM2" s="416"/>
      <c r="AN2" s="416"/>
      <c r="AO2" s="416"/>
      <c r="AP2" s="416"/>
      <c r="AQ2" s="416"/>
      <c r="AR2" s="416"/>
      <c r="AS2" s="416"/>
      <c r="AT2" s="416"/>
      <c r="AU2" s="416"/>
      <c r="AV2" s="416"/>
      <c r="AW2" s="416"/>
      <c r="AX2" s="416"/>
      <c r="AY2" s="416"/>
      <c r="AZ2" s="416"/>
      <c r="BA2" s="416"/>
      <c r="BB2" s="416"/>
      <c r="BC2" s="236"/>
      <c r="BD2" s="91"/>
      <c r="BE2" s="417" t="s">
        <v>1234</v>
      </c>
      <c r="BF2" s="417"/>
      <c r="BG2" s="417"/>
      <c r="BH2" s="417"/>
      <c r="BI2" s="417"/>
      <c r="BJ2" s="417"/>
      <c r="BK2" s="417"/>
      <c r="BL2" s="417"/>
      <c r="BM2" s="417"/>
      <c r="BN2" s="417"/>
      <c r="BO2" s="417"/>
      <c r="BP2" s="417"/>
      <c r="BQ2" s="417"/>
      <c r="BR2" s="417"/>
      <c r="BS2" s="417"/>
      <c r="BT2" s="417"/>
      <c r="BU2" s="417"/>
      <c r="BV2" s="417"/>
      <c r="BW2" s="417"/>
    </row>
    <row r="3" spans="1:219" s="88" customFormat="1" ht="12.75" customHeight="1">
      <c r="H3" s="97"/>
      <c r="I3" s="133"/>
      <c r="J3" s="97"/>
      <c r="K3" s="133"/>
      <c r="L3" s="97"/>
      <c r="M3" s="114"/>
      <c r="N3" s="114"/>
      <c r="O3" s="115"/>
      <c r="P3" s="172"/>
      <c r="Q3" s="172"/>
      <c r="S3" s="255"/>
      <c r="T3" s="256"/>
      <c r="U3" s="413" t="s">
        <v>268</v>
      </c>
      <c r="V3" s="414"/>
      <c r="W3" s="414"/>
      <c r="X3" s="414"/>
      <c r="Y3" s="415"/>
      <c r="Z3" s="410" t="s">
        <v>269</v>
      </c>
      <c r="AA3" s="411"/>
      <c r="AB3" s="411"/>
      <c r="AC3" s="411"/>
      <c r="AD3" s="412"/>
      <c r="AE3" s="407" t="s">
        <v>270</v>
      </c>
      <c r="AF3" s="408"/>
      <c r="AG3" s="409"/>
      <c r="AH3" s="254"/>
      <c r="AI3" s="251"/>
      <c r="AJ3" s="418" t="s">
        <v>301</v>
      </c>
      <c r="AK3" s="418"/>
      <c r="AL3" s="418"/>
      <c r="AM3" s="418"/>
      <c r="AN3" s="418"/>
      <c r="AO3" s="418"/>
      <c r="AP3" s="418"/>
      <c r="AQ3" s="418"/>
      <c r="AR3" s="419" t="s">
        <v>302</v>
      </c>
      <c r="AS3" s="419"/>
      <c r="AT3" s="419"/>
      <c r="AU3" s="419"/>
      <c r="AV3" s="419"/>
      <c r="AW3" s="419"/>
      <c r="AX3" s="419"/>
      <c r="AY3" s="419"/>
      <c r="AZ3" s="420" t="s">
        <v>303</v>
      </c>
      <c r="BA3" s="420"/>
      <c r="BB3" s="420"/>
      <c r="BC3" s="238"/>
      <c r="BD3" s="239"/>
      <c r="BE3" s="418" t="s">
        <v>301</v>
      </c>
      <c r="BF3" s="418"/>
      <c r="BG3" s="418"/>
      <c r="BH3" s="418"/>
      <c r="BI3" s="418"/>
      <c r="BJ3" s="418"/>
      <c r="BK3" s="418"/>
      <c r="BL3" s="418"/>
      <c r="BM3" s="419" t="s">
        <v>302</v>
      </c>
      <c r="BN3" s="419"/>
      <c r="BO3" s="419"/>
      <c r="BP3" s="419"/>
      <c r="BQ3" s="419"/>
      <c r="BR3" s="419"/>
      <c r="BS3" s="419"/>
      <c r="BT3" s="419"/>
      <c r="BU3" s="420" t="s">
        <v>303</v>
      </c>
      <c r="BV3" s="420"/>
      <c r="BW3" s="420"/>
    </row>
    <row r="4" spans="1:219" s="8" customFormat="1" ht="53.25" customHeight="1">
      <c r="A4" s="131" t="s">
        <v>38</v>
      </c>
      <c r="B4" s="37" t="s">
        <v>160</v>
      </c>
      <c r="C4" s="37" t="s">
        <v>77</v>
      </c>
      <c r="D4" s="37" t="s">
        <v>76</v>
      </c>
      <c r="E4" s="37" t="s">
        <v>33</v>
      </c>
      <c r="F4" s="37" t="s">
        <v>34</v>
      </c>
      <c r="G4" s="37" t="s">
        <v>133</v>
      </c>
      <c r="H4" s="37" t="s">
        <v>134</v>
      </c>
      <c r="I4" s="84" t="s">
        <v>117</v>
      </c>
      <c r="J4" s="37" t="s">
        <v>23</v>
      </c>
      <c r="K4" s="83" t="s">
        <v>135</v>
      </c>
      <c r="L4" s="37" t="s">
        <v>136</v>
      </c>
      <c r="M4" s="37" t="s">
        <v>44</v>
      </c>
      <c r="N4" s="37" t="s">
        <v>35</v>
      </c>
      <c r="O4" s="37" t="s">
        <v>148</v>
      </c>
      <c r="P4" s="173" t="s">
        <v>80</v>
      </c>
      <c r="Q4" s="173" t="s">
        <v>1758</v>
      </c>
      <c r="R4" s="37" t="s">
        <v>139</v>
      </c>
      <c r="S4" s="37" t="s">
        <v>137</v>
      </c>
      <c r="T4" s="37" t="s">
        <v>138</v>
      </c>
      <c r="U4" s="37" t="s">
        <v>152</v>
      </c>
      <c r="V4" s="37" t="s">
        <v>153</v>
      </c>
      <c r="W4" s="37" t="s">
        <v>154</v>
      </c>
      <c r="X4" s="37" t="s">
        <v>150</v>
      </c>
      <c r="Y4" s="37" t="s">
        <v>151</v>
      </c>
      <c r="Z4" s="37" t="s">
        <v>159</v>
      </c>
      <c r="AA4" s="37" t="s">
        <v>155</v>
      </c>
      <c r="AB4" s="37" t="s">
        <v>156</v>
      </c>
      <c r="AC4" s="37" t="s">
        <v>157</v>
      </c>
      <c r="AD4" s="37" t="s">
        <v>158</v>
      </c>
      <c r="AE4" s="89" t="s">
        <v>142</v>
      </c>
      <c r="AF4" s="89" t="s">
        <v>41</v>
      </c>
      <c r="AG4" s="90" t="s">
        <v>40</v>
      </c>
      <c r="AH4" s="253" t="s">
        <v>226</v>
      </c>
      <c r="AI4" s="213" t="s">
        <v>1255</v>
      </c>
      <c r="AJ4" s="240" t="s">
        <v>307</v>
      </c>
      <c r="AK4" s="241" t="s">
        <v>308</v>
      </c>
      <c r="AL4" s="241" t="s">
        <v>309</v>
      </c>
      <c r="AM4" s="241" t="s">
        <v>310</v>
      </c>
      <c r="AN4" s="241" t="s">
        <v>311</v>
      </c>
      <c r="AO4" s="241" t="s">
        <v>312</v>
      </c>
      <c r="AP4" s="241" t="s">
        <v>313</v>
      </c>
      <c r="AQ4" s="241" t="s">
        <v>314</v>
      </c>
      <c r="AR4" s="242" t="s">
        <v>315</v>
      </c>
      <c r="AS4" s="242" t="s">
        <v>316</v>
      </c>
      <c r="AT4" s="242" t="s">
        <v>317</v>
      </c>
      <c r="AU4" s="242" t="s">
        <v>318</v>
      </c>
      <c r="AV4" s="242" t="s">
        <v>319</v>
      </c>
      <c r="AW4" s="242" t="s">
        <v>320</v>
      </c>
      <c r="AX4" s="242" t="s">
        <v>321</v>
      </c>
      <c r="AY4" s="242" t="s">
        <v>322</v>
      </c>
      <c r="AZ4" s="243" t="s">
        <v>323</v>
      </c>
      <c r="BA4" s="243" t="s">
        <v>324</v>
      </c>
      <c r="BB4" s="243" t="s">
        <v>325</v>
      </c>
      <c r="BC4" s="244" t="s">
        <v>194</v>
      </c>
      <c r="BD4" s="213" t="s">
        <v>1235</v>
      </c>
      <c r="BE4" s="240" t="s">
        <v>1236</v>
      </c>
      <c r="BF4" s="240" t="s">
        <v>1237</v>
      </c>
      <c r="BG4" s="240" t="s">
        <v>1238</v>
      </c>
      <c r="BH4" s="240" t="s">
        <v>1239</v>
      </c>
      <c r="BI4" s="240" t="s">
        <v>1240</v>
      </c>
      <c r="BJ4" s="240" t="s">
        <v>1241</v>
      </c>
      <c r="BK4" s="240" t="s">
        <v>1242</v>
      </c>
      <c r="BL4" s="240" t="s">
        <v>1243</v>
      </c>
      <c r="BM4" s="245" t="s">
        <v>1244</v>
      </c>
      <c r="BN4" s="245" t="s">
        <v>1245</v>
      </c>
      <c r="BO4" s="245" t="s">
        <v>1246</v>
      </c>
      <c r="BP4" s="245" t="s">
        <v>1247</v>
      </c>
      <c r="BQ4" s="245" t="s">
        <v>1248</v>
      </c>
      <c r="BR4" s="245" t="s">
        <v>1249</v>
      </c>
      <c r="BS4" s="245" t="s">
        <v>1250</v>
      </c>
      <c r="BT4" s="245" t="s">
        <v>1251</v>
      </c>
      <c r="BU4" s="246" t="s">
        <v>1252</v>
      </c>
      <c r="BV4" s="246" t="s">
        <v>1253</v>
      </c>
      <c r="BW4" s="246" t="s">
        <v>1254</v>
      </c>
      <c r="BX4" s="91"/>
      <c r="BY4" s="91"/>
      <c r="BZ4" s="91"/>
      <c r="CA4" s="91"/>
      <c r="CB4" s="91"/>
      <c r="CC4" s="91"/>
      <c r="CD4" s="91"/>
      <c r="CE4" s="91"/>
      <c r="CF4" s="91"/>
      <c r="CG4" s="91"/>
      <c r="CH4" s="91"/>
      <c r="CI4" s="91"/>
      <c r="CJ4" s="91"/>
      <c r="CK4" s="91"/>
      <c r="CL4" s="91"/>
      <c r="CM4" s="91"/>
      <c r="CN4" s="91"/>
      <c r="CO4" s="91"/>
      <c r="CP4" s="91"/>
      <c r="CQ4" s="91"/>
      <c r="CR4" s="91"/>
      <c r="CS4" s="91"/>
      <c r="CT4" s="91"/>
      <c r="CU4" s="91"/>
      <c r="CV4" s="91"/>
      <c r="CW4" s="91"/>
      <c r="CX4" s="91"/>
      <c r="CY4" s="91"/>
      <c r="CZ4" s="91"/>
      <c r="DA4" s="91"/>
      <c r="DB4" s="91"/>
      <c r="DC4" s="91"/>
      <c r="DD4" s="91"/>
      <c r="DE4" s="91"/>
      <c r="DF4" s="91"/>
      <c r="DG4" s="91"/>
      <c r="DH4" s="91"/>
      <c r="DI4" s="91"/>
      <c r="DJ4" s="91"/>
      <c r="DK4" s="91"/>
      <c r="DL4" s="91"/>
      <c r="DM4" s="91"/>
      <c r="DN4" s="91"/>
      <c r="DO4" s="91"/>
      <c r="DP4" s="91"/>
      <c r="DQ4" s="91"/>
      <c r="DR4" s="91"/>
      <c r="DS4" s="91"/>
      <c r="DT4" s="91"/>
      <c r="DU4" s="91"/>
      <c r="DV4" s="91"/>
      <c r="DW4" s="91"/>
      <c r="DX4" s="91"/>
      <c r="DY4" s="91"/>
      <c r="DZ4" s="91"/>
      <c r="EA4" s="91"/>
      <c r="EB4" s="91"/>
      <c r="EC4" s="91"/>
      <c r="ED4" s="91"/>
      <c r="EE4" s="91"/>
      <c r="EF4" s="91"/>
      <c r="EG4" s="91"/>
      <c r="EH4" s="91"/>
      <c r="EI4" s="91"/>
      <c r="EJ4" s="91"/>
      <c r="EK4" s="91"/>
      <c r="EL4" s="91"/>
      <c r="EM4" s="91"/>
      <c r="EN4" s="91"/>
      <c r="EO4" s="91"/>
      <c r="EP4" s="91"/>
      <c r="EQ4" s="91"/>
      <c r="ER4" s="91"/>
      <c r="ES4" s="91"/>
      <c r="ET4" s="91"/>
      <c r="EU4" s="91"/>
      <c r="EV4" s="91"/>
      <c r="EW4" s="91"/>
      <c r="EX4" s="91"/>
      <c r="EY4" s="91"/>
      <c r="EZ4" s="91"/>
      <c r="FA4" s="91"/>
      <c r="FB4" s="91"/>
      <c r="FC4" s="91"/>
      <c r="FD4" s="91"/>
      <c r="FE4" s="91"/>
      <c r="FF4" s="91"/>
      <c r="FG4" s="91"/>
      <c r="FH4" s="91"/>
      <c r="FI4" s="91"/>
      <c r="FJ4" s="91"/>
      <c r="FK4" s="91"/>
      <c r="FL4" s="91"/>
      <c r="FM4" s="91"/>
      <c r="FN4" s="91"/>
      <c r="FO4" s="91"/>
      <c r="FP4" s="91"/>
      <c r="FQ4" s="91"/>
      <c r="FR4" s="91"/>
      <c r="FS4" s="91"/>
      <c r="FT4" s="91"/>
      <c r="FU4" s="91"/>
      <c r="FV4" s="91"/>
      <c r="FW4" s="91"/>
      <c r="FX4" s="91"/>
      <c r="FY4" s="91"/>
      <c r="FZ4" s="91"/>
      <c r="GA4" s="91"/>
      <c r="GB4" s="91"/>
      <c r="GC4" s="91"/>
      <c r="GD4" s="91"/>
      <c r="GE4" s="91"/>
      <c r="GF4" s="91"/>
      <c r="GG4" s="91"/>
      <c r="GH4" s="91"/>
      <c r="GI4" s="91"/>
      <c r="GJ4" s="91"/>
      <c r="GK4" s="91"/>
      <c r="GL4" s="91"/>
      <c r="GM4" s="91"/>
      <c r="GN4" s="91"/>
      <c r="GO4" s="91"/>
      <c r="GP4" s="91"/>
      <c r="GQ4" s="91"/>
      <c r="GR4" s="91"/>
      <c r="GS4" s="91"/>
      <c r="GT4" s="91"/>
      <c r="GU4" s="91"/>
      <c r="GV4" s="91"/>
      <c r="GW4" s="91"/>
      <c r="GX4" s="91"/>
      <c r="GY4" s="91"/>
      <c r="GZ4" s="91"/>
      <c r="HA4" s="91"/>
      <c r="HB4" s="91"/>
      <c r="HC4" s="91"/>
      <c r="HD4" s="91"/>
      <c r="HE4" s="91"/>
      <c r="HF4" s="91"/>
      <c r="HG4" s="91"/>
      <c r="HH4" s="91"/>
      <c r="HI4" s="91"/>
      <c r="HJ4" s="91"/>
      <c r="HK4" s="91"/>
    </row>
    <row r="5" spans="1:219" s="8" customFormat="1" ht="12.75" customHeight="1">
      <c r="A5" s="131">
        <v>1</v>
      </c>
      <c r="B5" s="22" t="str">
        <f>VLOOKUP(Ruimtestaat[[#This Row],[Code]],Locaties[#All],2,FALSE)</f>
        <v>ESH Secondary School</v>
      </c>
      <c r="C5" s="22" t="str">
        <f>VLOOKUP(Ruimtestaat[[#This Row],[Code]],Locaties[#All],4,FALSE)</f>
        <v>Oostduinlaan 50</v>
      </c>
      <c r="D5" s="334" t="str">
        <f>VLOOKUP(Ruimtestaat[[#This Row],[Code]],Locaties[#All],5,FALSE)</f>
        <v>2596 JP</v>
      </c>
      <c r="E5" s="334" t="str">
        <f>VLOOKUP(Ruimtestaat[[#This Row],[Code]],Locaties[#All],6,FALSE)</f>
        <v>Den Haag</v>
      </c>
      <c r="F5" s="326"/>
      <c r="G5" s="324" t="s">
        <v>1610</v>
      </c>
      <c r="H5" s="324" t="s">
        <v>1572</v>
      </c>
      <c r="I5" s="327" t="s">
        <v>1612</v>
      </c>
      <c r="J5" s="328">
        <v>1</v>
      </c>
      <c r="K5" s="348" t="str">
        <f>VLOOKUP(J5,Ruimtegroepen[],2,FALSE)</f>
        <v>Magazijnen/bergingen</v>
      </c>
      <c r="L5" s="212" t="s">
        <v>123</v>
      </c>
      <c r="M5" s="334" t="s">
        <v>144</v>
      </c>
      <c r="N5" s="330">
        <v>159</v>
      </c>
      <c r="O5" s="331"/>
      <c r="P5" s="332" t="str">
        <f>VLOOKUP(Ruimtestaat[[#This Row],[Ruimte code]],Ruimtegroepen[],4,FALSE)</f>
        <v>V  (Verkeersruimte)</v>
      </c>
      <c r="Q5" s="332"/>
      <c r="R5" s="333">
        <v>40</v>
      </c>
      <c r="S5" s="333" t="s">
        <v>16</v>
      </c>
      <c r="T5" s="37"/>
      <c r="U5" s="37">
        <f>IF(R5&gt;0,IF(RIGHT(Ruimtestaat[[#This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5" s="37">
        <f>IF(U5&gt;0,VLOOKUP($J5,Ruimtegroepen[],3,FALSE)*VLOOKUP($L5,Vloersoorten[],3,FALSE)*VLOOKUP($S5,Frequenties[],3,FALSE)*VLOOKUP($A5,Locaties[],3,FALSE),0)</f>
        <v>0</v>
      </c>
      <c r="W5" s="37">
        <f>Ruimtestaat[[#This Row],[Uitvoeringen werkdagen]]*Ruimtestaat[[#This Row],[Oppervlak (netto)]]</f>
        <v>1908</v>
      </c>
      <c r="X5" s="37">
        <f>IF(V5&gt;0,Ruimtestaat[[#This Row],[Prest. (m2 /jaar) werkdagen]]/Ruimtestaat[[#This Row],[Norm (m2/uur) werkdagen]],0)</f>
        <v>0</v>
      </c>
      <c r="Y5" s="37">
        <f>Ruimtestaat[[#This Row],[uren / jaar werkdagen]]*Tariefsopbouw!$D$38</f>
        <v>0</v>
      </c>
      <c r="Z5" s="37">
        <f>IF(Ruimtestaat[[#This Row],[Frequentie weekend]]&gt;0,VALUE(LEFT(T5,1))*R5,0)</f>
        <v>0</v>
      </c>
      <c r="AA5" s="37">
        <f>IF($Z5&gt;0,VLOOKUP($J5,Ruimtegroepen[],3,FALSE)*VLOOKUP($L5,Vloersoorten[],3,FALSE)*VLOOKUP($T5,Frequenties[],3,FALSE)*VLOOKUP($A5,Locaties[],3,FALSE),0)</f>
        <v>0</v>
      </c>
      <c r="AB5" s="37">
        <f>Ruimtestaat[[#This Row],[Uitvoeringen weekend]]*Ruimtestaat[[#This Row],[Oppervlak (netto)]]</f>
        <v>0</v>
      </c>
      <c r="AC5" s="37">
        <f>IF(AA5&gt;0,Ruimtestaat[[#This Row],[Prest. (m2 /jaar) weekend]]/Ruimtestaat[[#This Row],[Norm (m2/uur) weekend]],0)</f>
        <v>0</v>
      </c>
      <c r="AD5" s="37">
        <f>Ruimtestaat[[#This Row],[uren / jaar weekend]]*Tariefsopbouw!$D$40</f>
        <v>0</v>
      </c>
      <c r="AE5" s="89">
        <f>Ruimtestaat[[#This Row],[Prest. (m2 /jaar) weekend]]+Ruimtestaat[[#This Row],[Prest. (m2 /jaar) werkdagen]]</f>
        <v>1908</v>
      </c>
      <c r="AF5" s="89">
        <f>Ruimtestaat[[#This Row],[uren / jaar weekend]]+Ruimtestaat[[#This Row],[uren / jaar werkdagen]]</f>
        <v>0</v>
      </c>
      <c r="AG5" s="90">
        <f>Ruimtestaat[[#This Row],[kosten / jaar weekend]]+Ruimtestaat[[#This Row],[kosten / jaar werkdagen]]</f>
        <v>0</v>
      </c>
      <c r="AH5" s="253"/>
      <c r="AI5" s="252" t="str">
        <f>IF(Ruimtestaat[[#This Row],[Frequentie werkdagen]]="","",_xlfn.CONCAT(Ruimtestaat[[#This Row],[Ruimte code]],"-",Ruimtestaat[[#This Row],[Frequentie werkdagen]]," ",Ruimtestaat[[#This Row],[Vloer code]]))</f>
        <v>1-1m P</v>
      </c>
      <c r="AJ5" s="247" t="str">
        <f>_xlfn.IFNA(VLOOKUP(Ruimtestaat[[#This Row],[Programmacode
Regulier]],Programma!$F$4:$Y$36148,2,0),"_")</f>
        <v>_</v>
      </c>
      <c r="AK5" s="247" t="str">
        <f>_xlfn.IFNA(VLOOKUP(Ruimtestaat[[#This Row],[Programmacode
Regulier]],Programma!$F$4:$Y$36148,3,0),"_")</f>
        <v>_</v>
      </c>
      <c r="AL5" s="247" t="str">
        <f>_xlfn.IFNA(VLOOKUP(Ruimtestaat[[#This Row],[Programmacode
Regulier]],Programma!$F$4:$Y$36148,4,0),"_")</f>
        <v>1m</v>
      </c>
      <c r="AM5" s="247" t="str">
        <f>_xlfn.IFNA(VLOOKUP(Ruimtestaat[[#This Row],[Programmacode
Regulier]],Programma!$F$4:$Y$36148,5,0),"_")</f>
        <v>1m</v>
      </c>
      <c r="AN5" s="247" t="str">
        <f>_xlfn.IFNA(VLOOKUP(Ruimtestaat[[#This Row],[Programmacode
Regulier]],Programma!$F$4:$Y$36148,6,0),"_")</f>
        <v>_</v>
      </c>
      <c r="AO5" s="247" t="str">
        <f>_xlfn.IFNA(VLOOKUP(Ruimtestaat[[#This Row],[Programmacode
Regulier]],Programma!$F$4:$Y$36148,7,0),"_")</f>
        <v>_</v>
      </c>
      <c r="AP5" s="247" t="str">
        <f>_xlfn.IFNA(VLOOKUP(Ruimtestaat[[#This Row],[Programmacode
Regulier]],Programma!$F$4:$Y$36148,8,0),"_")</f>
        <v>_</v>
      </c>
      <c r="AQ5" s="247" t="str">
        <f>_xlfn.IFNA(VLOOKUP(Ruimtestaat[[#This Row],[Programmacode
Regulier]],Programma!$F$4:$Y$36148,9,0),"_")</f>
        <v>_</v>
      </c>
      <c r="AR5" s="248" t="str">
        <f>_xlfn.IFNA(VLOOKUP(Ruimtestaat[[#This Row],[Programmacode
Regulier]],Programma!$F$4:$Y$36148,10,0),"_")</f>
        <v>_</v>
      </c>
      <c r="AS5" s="248" t="str">
        <f>_xlfn.IFNA(VLOOKUP(Ruimtestaat[[#This Row],[Programmacode
Regulier]],Programma!$F$4:$Y$36148,11,0),"_")</f>
        <v>_</v>
      </c>
      <c r="AT5" s="248" t="str">
        <f>_xlfn.IFNA(VLOOKUP(Ruimtestaat[[#This Row],[Programmacode
Regulier]],Programma!$F$4:$Y$36148,12,0),"_")</f>
        <v>_</v>
      </c>
      <c r="AU5" s="248" t="str">
        <f>_xlfn.IFNA(VLOOKUP(Ruimtestaat[[#This Row],[Programmacode
Regulier]],Programma!$F$4:$Y$36148,13,0),"_")</f>
        <v>_</v>
      </c>
      <c r="AV5" s="248" t="str">
        <f>_xlfn.IFNA(VLOOKUP(Ruimtestaat[[#This Row],[Programmacode
Regulier]],Programma!$F$4:$Y$36148,14,0),"_")</f>
        <v>1j</v>
      </c>
      <c r="AW5" s="248" t="str">
        <f>_xlfn.IFNA(VLOOKUP(Ruimtestaat[[#This Row],[Programmacode
Regulier]],Programma!$F$4:$Y$36148,15,0),"_")</f>
        <v>1j</v>
      </c>
      <c r="AX5" s="248" t="str">
        <f>_xlfn.IFNA(VLOOKUP(Ruimtestaat[[#This Row],[Programmacode
Regulier]],Programma!$F$4:$Y$36148,16,0),"_")</f>
        <v>1j</v>
      </c>
      <c r="AY5" s="248" t="str">
        <f>_xlfn.IFNA(VLOOKUP(Ruimtestaat[[#This Row],[Programmacode
Regulier]],Programma!$F$4:$Y$36148,17,0),"_")</f>
        <v>_</v>
      </c>
      <c r="AZ5" s="249" t="str">
        <f>_xlfn.IFNA(VLOOKUP(Ruimtestaat[[#This Row],[Programmacode
Regulier]],Programma!$F$4:$Y$36148,18,0),"_")</f>
        <v>_</v>
      </c>
      <c r="BA5" s="249" t="str">
        <f>_xlfn.IFNA(VLOOKUP(Ruimtestaat[[#This Row],[Programmacode
Regulier]],Programma!$F$4:$Y$36148,19,0),"_")</f>
        <v>_</v>
      </c>
      <c r="BB5" s="249" t="str">
        <f>_xlfn.IFNA(VLOOKUP(Ruimtestaat[[#This Row],[Programmacode
Regulier]],Programma!$F$4:$Y$36148,20,0),"_")</f>
        <v>_</v>
      </c>
      <c r="BC5" s="250"/>
      <c r="BD5" s="212" t="str">
        <f>IF(Ruimtestaat[[#This Row],[Frequentie weekend]]="","",_xlfn.CONCAT(Ruimtestaat[[#This Row],[Ruimte code]],"-",Ruimtestaat[[#This Row],[Frequentie weekend]]," ",Ruimtestaat[[#This Row],[Vloer code]]))</f>
        <v/>
      </c>
      <c r="BE5" s="247" t="str">
        <f>_xlfn.IFNA(VLOOKUP(Ruimtestaat[[#This Row],[Code Weekend]],Programma!$F$4:$Y$36148,2,0),"_")</f>
        <v>_</v>
      </c>
      <c r="BF5" s="247" t="str">
        <f>_xlfn.IFNA(VLOOKUP(Ruimtestaat[[#This Row],[Code Weekend]],Programma!$F$4:$Y$36148,3,0),"_")</f>
        <v>_</v>
      </c>
      <c r="BG5" s="247" t="str">
        <f>_xlfn.IFNA(VLOOKUP(Ruimtestaat[[#This Row],[Code Weekend]],Programma!$F$4:$Y$36148,4,0),"_")</f>
        <v>_</v>
      </c>
      <c r="BH5" s="247" t="str">
        <f>_xlfn.IFNA(VLOOKUP(Ruimtestaat[[#This Row],[Code Weekend]],Programma!$F$4:$Y$36148,5,0),"_")</f>
        <v>_</v>
      </c>
      <c r="BI5" s="247" t="str">
        <f>_xlfn.IFNA(VLOOKUP(Ruimtestaat[[#This Row],[Code Weekend]],Programma!$F$4:$Y$36148,6,0),"_")</f>
        <v>_</v>
      </c>
      <c r="BJ5" s="247" t="str">
        <f>_xlfn.IFNA(VLOOKUP(Ruimtestaat[[#This Row],[Code Weekend]],Programma!$F$4:$Y$36148,7,0),"_")</f>
        <v>_</v>
      </c>
      <c r="BK5" s="247" t="str">
        <f>_xlfn.IFNA(VLOOKUP(Ruimtestaat[[#This Row],[Code Weekend]],Programma!$F$4:$Y$36148,8,0),"_")</f>
        <v>_</v>
      </c>
      <c r="BL5" s="247" t="str">
        <f>_xlfn.IFNA(VLOOKUP(Ruimtestaat[[#This Row],[Code Weekend]],Programma!$F$4:$Y$36148,9,0),"_")</f>
        <v>_</v>
      </c>
      <c r="BM5" s="248" t="str">
        <f>_xlfn.IFNA(VLOOKUP(Ruimtestaat[[#This Row],[Code Weekend]],Programma!$F$4:$Y$36148,10,0),"_")</f>
        <v>_</v>
      </c>
      <c r="BN5" s="248" t="str">
        <f>_xlfn.IFNA(VLOOKUP(Ruimtestaat[[#This Row],[Code Weekend]],Programma!$F$4:$Y$36148,11,0),"_")</f>
        <v>_</v>
      </c>
      <c r="BO5" s="248" t="str">
        <f>_xlfn.IFNA(VLOOKUP(Ruimtestaat[[#This Row],[Code Weekend]],Programma!$F$4:$Y$36148,12,0),"_")</f>
        <v>_</v>
      </c>
      <c r="BP5" s="248" t="str">
        <f>_xlfn.IFNA(VLOOKUP(Ruimtestaat[[#This Row],[Code Weekend]],Programma!$F$4:$Y$36148,13,0),"_")</f>
        <v>_</v>
      </c>
      <c r="BQ5" s="248" t="str">
        <f>_xlfn.IFNA(VLOOKUP(Ruimtestaat[[#This Row],[Code Weekend]],Programma!$F$4:$Y$36148,14,0),"_")</f>
        <v>_</v>
      </c>
      <c r="BR5" s="248" t="str">
        <f>_xlfn.IFNA(VLOOKUP(Ruimtestaat[[#This Row],[Code Weekend]],Programma!$F$4:$Y$36148,15,0),"_")</f>
        <v>_</v>
      </c>
      <c r="BS5" s="248" t="str">
        <f>_xlfn.IFNA(VLOOKUP(Ruimtestaat[[#This Row],[Code Weekend]],Programma!$F$4:$Y$36148,16,0),"_")</f>
        <v>_</v>
      </c>
      <c r="BT5" s="248" t="str">
        <f>_xlfn.IFNA(VLOOKUP(Ruimtestaat[[#This Row],[Code Weekend]],Programma!$F$4:$Y$36148,17,0),"_")</f>
        <v>_</v>
      </c>
      <c r="BU5" s="249" t="str">
        <f>_xlfn.IFNA(VLOOKUP(Ruimtestaat[[#This Row],[Code Weekend]],Programma!$F$4:$Y$36148,18,0),"_")</f>
        <v>_</v>
      </c>
      <c r="BV5" s="249" t="str">
        <f>_xlfn.IFNA(VLOOKUP(Ruimtestaat[[#This Row],[Code Weekend]],Programma!$F$4:$Y$36148,19,0),"_")</f>
        <v>_</v>
      </c>
      <c r="BW5" s="249" t="str">
        <f>_xlfn.IFNA(VLOOKUP(Ruimtestaat[[#This Row],[Code Weekend]],Programma!$F$4:$Y$36148,20,0),"_")</f>
        <v>_</v>
      </c>
      <c r="BX5" s="91"/>
      <c r="BY5" s="91"/>
      <c r="BZ5" s="91"/>
      <c r="CA5" s="91"/>
      <c r="CB5" s="91"/>
      <c r="CC5" s="91"/>
      <c r="CD5" s="91"/>
      <c r="CE5" s="91"/>
      <c r="CF5" s="91"/>
      <c r="CG5" s="91"/>
      <c r="CH5" s="91"/>
      <c r="CI5" s="91"/>
      <c r="CJ5" s="91"/>
      <c r="CK5" s="91"/>
      <c r="CL5" s="91"/>
      <c r="CM5" s="91"/>
      <c r="CN5" s="91"/>
      <c r="CO5" s="91"/>
      <c r="CP5" s="91"/>
      <c r="CQ5" s="91"/>
      <c r="CR5" s="91"/>
      <c r="CS5" s="91"/>
      <c r="CT5" s="91"/>
      <c r="CU5" s="91"/>
      <c r="CV5" s="91"/>
      <c r="CW5" s="91"/>
      <c r="CX5" s="91"/>
      <c r="CY5" s="91"/>
      <c r="CZ5" s="91"/>
      <c r="DA5" s="91"/>
      <c r="DB5" s="91"/>
      <c r="DC5" s="91"/>
      <c r="DD5" s="91"/>
      <c r="DE5" s="91"/>
      <c r="DF5" s="91"/>
      <c r="DG5" s="91"/>
      <c r="DH5" s="91"/>
      <c r="DI5" s="91"/>
      <c r="DJ5" s="91"/>
      <c r="DK5" s="91"/>
      <c r="DL5" s="91"/>
      <c r="DM5" s="91"/>
      <c r="DN5" s="91"/>
      <c r="DO5" s="91"/>
      <c r="DP5" s="91"/>
      <c r="DQ5" s="91"/>
      <c r="DR5" s="91"/>
      <c r="DS5" s="91"/>
      <c r="DT5" s="91"/>
      <c r="DU5" s="91"/>
      <c r="DV5" s="91"/>
      <c r="DW5" s="91"/>
      <c r="DX5" s="91"/>
      <c r="DY5" s="91"/>
      <c r="DZ5" s="91"/>
      <c r="EA5" s="91"/>
      <c r="EB5" s="91"/>
      <c r="EC5" s="91"/>
      <c r="ED5" s="91"/>
      <c r="EE5" s="91"/>
      <c r="EF5" s="91"/>
      <c r="EG5" s="91"/>
      <c r="EH5" s="91"/>
      <c r="EI5" s="91"/>
      <c r="EJ5" s="91"/>
      <c r="EK5" s="91"/>
      <c r="EL5" s="91"/>
      <c r="EM5" s="91"/>
      <c r="EN5" s="91"/>
      <c r="EO5" s="91"/>
      <c r="EP5" s="91"/>
      <c r="EQ5" s="91"/>
      <c r="ER5" s="91"/>
      <c r="ES5" s="91"/>
      <c r="ET5" s="91"/>
      <c r="EU5" s="91"/>
      <c r="EV5" s="91"/>
      <c r="EW5" s="91"/>
      <c r="EX5" s="91"/>
      <c r="EY5" s="91"/>
      <c r="EZ5" s="91"/>
      <c r="FA5" s="91"/>
      <c r="FB5" s="91"/>
      <c r="FC5" s="91"/>
      <c r="FD5" s="91"/>
      <c r="FE5" s="91"/>
      <c r="FF5" s="91"/>
      <c r="FG5" s="91"/>
      <c r="FH5" s="91"/>
      <c r="FI5" s="91"/>
      <c r="FJ5" s="91"/>
      <c r="FK5" s="91"/>
      <c r="FL5" s="91"/>
      <c r="FM5" s="91"/>
      <c r="FN5" s="91"/>
      <c r="FO5" s="91"/>
      <c r="FP5" s="91"/>
      <c r="FQ5" s="91"/>
      <c r="FR5" s="91"/>
      <c r="FS5" s="91"/>
      <c r="FT5" s="91"/>
      <c r="FU5" s="91"/>
      <c r="FV5" s="91"/>
      <c r="FW5" s="91"/>
      <c r="FX5" s="91"/>
      <c r="FY5" s="91"/>
      <c r="FZ5" s="91"/>
      <c r="GA5" s="91"/>
      <c r="GB5" s="91"/>
      <c r="GC5" s="91"/>
      <c r="GD5" s="91"/>
      <c r="GE5" s="91"/>
      <c r="GF5" s="91"/>
      <c r="GG5" s="91"/>
      <c r="GH5" s="91"/>
      <c r="GI5" s="91"/>
      <c r="GJ5" s="91"/>
      <c r="GK5" s="91"/>
      <c r="GL5" s="91"/>
      <c r="GM5" s="91"/>
      <c r="GN5" s="91"/>
      <c r="GO5" s="91"/>
      <c r="GP5" s="91"/>
      <c r="GQ5" s="91"/>
      <c r="GR5" s="91"/>
      <c r="GS5" s="91"/>
      <c r="GT5" s="91"/>
      <c r="GU5" s="91"/>
      <c r="GV5" s="91"/>
      <c r="GW5" s="91"/>
      <c r="GX5" s="91"/>
      <c r="GY5" s="91"/>
      <c r="GZ5" s="91"/>
      <c r="HA5" s="91"/>
      <c r="HB5" s="91"/>
      <c r="HC5" s="91"/>
      <c r="HD5" s="91"/>
      <c r="HE5" s="91"/>
      <c r="HF5" s="91"/>
      <c r="HG5" s="91"/>
      <c r="HH5" s="91"/>
      <c r="HI5" s="91"/>
      <c r="HJ5" s="91"/>
      <c r="HK5" s="91"/>
    </row>
    <row r="6" spans="1:219" s="8" customFormat="1" ht="12.75" customHeight="1">
      <c r="A6" s="131">
        <v>1</v>
      </c>
      <c r="B6" s="22" t="str">
        <f>VLOOKUP(Ruimtestaat[[#This Row],[Code]],Locaties[#All],2,FALSE)</f>
        <v>ESH Secondary School</v>
      </c>
      <c r="C6" s="22" t="str">
        <f>VLOOKUP(Ruimtestaat[[#This Row],[Code]],Locaties[#All],4,FALSE)</f>
        <v>Oostduinlaan 50</v>
      </c>
      <c r="D6" s="334" t="str">
        <f>VLOOKUP(Ruimtestaat[[#This Row],[Code]],Locaties[#All],5,FALSE)</f>
        <v>2596 JP</v>
      </c>
      <c r="E6" s="334" t="str">
        <f>VLOOKUP(Ruimtestaat[[#This Row],[Code]],Locaties[#All],6,FALSE)</f>
        <v>Den Haag</v>
      </c>
      <c r="F6" s="326"/>
      <c r="G6" s="324" t="s">
        <v>1610</v>
      </c>
      <c r="H6" s="324" t="s">
        <v>1573</v>
      </c>
      <c r="I6" s="327" t="s">
        <v>1485</v>
      </c>
      <c r="J6" s="328">
        <v>21</v>
      </c>
      <c r="K6" s="348" t="str">
        <f>VLOOKUP(J6,Ruimtegroepen[],2,FALSE)</f>
        <v>Niet in onderhoud</v>
      </c>
      <c r="L6" s="325"/>
      <c r="M6" s="329"/>
      <c r="N6" s="330"/>
      <c r="O6" s="331">
        <v>67</v>
      </c>
      <c r="P6" s="332" t="str">
        <f>VLOOKUP(Ruimtestaat[[#This Row],[Ruimte code]],Ruimtegroepen[],4,FALSE)</f>
        <v>NIO</v>
      </c>
      <c r="Q6" s="332"/>
      <c r="R6" s="333"/>
      <c r="S6" s="333"/>
      <c r="T6" s="37"/>
      <c r="U6" s="37">
        <f>IF(R6&gt;0,IF(RIGHT(Ruimtestaat[[#This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 s="37">
        <f>IF(U6&gt;0,VLOOKUP($J6,Ruimtegroepen[],3,FALSE)*VLOOKUP($L6,Vloersoorten[],3,FALSE)*VLOOKUP($S6,Frequenties[],3,FALSE)*VLOOKUP($A6,Locaties[],3,FALSE),0)</f>
        <v>0</v>
      </c>
      <c r="W6" s="37">
        <f>Ruimtestaat[[#This Row],[Uitvoeringen werkdagen]]*Ruimtestaat[[#This Row],[Oppervlak (netto)]]</f>
        <v>0</v>
      </c>
      <c r="X6" s="37">
        <f>IF(V6&gt;0,Ruimtestaat[[#This Row],[Prest. (m2 /jaar) werkdagen]]/Ruimtestaat[[#This Row],[Norm (m2/uur) werkdagen]],0)</f>
        <v>0</v>
      </c>
      <c r="Y6" s="37">
        <f>Ruimtestaat[[#This Row],[uren / jaar werkdagen]]*Tariefsopbouw!$D$38</f>
        <v>0</v>
      </c>
      <c r="Z6" s="37">
        <f>IF(Ruimtestaat[[#This Row],[Frequentie weekend]]&gt;0,VALUE(LEFT(T6,1))*R6,0)</f>
        <v>0</v>
      </c>
      <c r="AA6" s="37">
        <f>IF($Z6&gt;0,VLOOKUP($J6,Ruimtegroepen[],3,FALSE)*VLOOKUP($L6,Vloersoorten[],3,FALSE)*VLOOKUP($T6,Frequenties[],3,FALSE)*VLOOKUP($A6,Locaties[],3,FALSE),0)</f>
        <v>0</v>
      </c>
      <c r="AB6" s="37">
        <f>Ruimtestaat[[#This Row],[Uitvoeringen weekend]]*Ruimtestaat[[#This Row],[Oppervlak (netto)]]</f>
        <v>0</v>
      </c>
      <c r="AC6" s="37">
        <f>IF(AA6&gt;0,Ruimtestaat[[#This Row],[Prest. (m2 /jaar) weekend]]/Ruimtestaat[[#This Row],[Norm (m2/uur) weekend]],0)</f>
        <v>0</v>
      </c>
      <c r="AD6" s="37">
        <f>Ruimtestaat[[#This Row],[uren / jaar weekend]]*Tariefsopbouw!$D$40</f>
        <v>0</v>
      </c>
      <c r="AE6" s="89">
        <f>Ruimtestaat[[#This Row],[Prest. (m2 /jaar) weekend]]+Ruimtestaat[[#This Row],[Prest. (m2 /jaar) werkdagen]]</f>
        <v>0</v>
      </c>
      <c r="AF6" s="89">
        <f>Ruimtestaat[[#This Row],[uren / jaar weekend]]+Ruimtestaat[[#This Row],[uren / jaar werkdagen]]</f>
        <v>0</v>
      </c>
      <c r="AG6" s="90">
        <f>Ruimtestaat[[#This Row],[kosten / jaar weekend]]+Ruimtestaat[[#This Row],[kosten / jaar werkdagen]]</f>
        <v>0</v>
      </c>
      <c r="AH6" s="253"/>
      <c r="AI6" s="252" t="str">
        <f>IF(Ruimtestaat[[#This Row],[Frequentie werkdagen]]="","",_xlfn.CONCAT(Ruimtestaat[[#This Row],[Ruimte code]],"-",Ruimtestaat[[#This Row],[Frequentie werkdagen]]," ",Ruimtestaat[[#This Row],[Vloer code]]))</f>
        <v/>
      </c>
      <c r="AJ6" s="247" t="str">
        <f>_xlfn.IFNA(VLOOKUP(Ruimtestaat[[#This Row],[Programmacode
Regulier]],Programma!$F$4:$Y$36148,2,0),"_")</f>
        <v>_</v>
      </c>
      <c r="AK6" s="247" t="str">
        <f>_xlfn.IFNA(VLOOKUP(Ruimtestaat[[#This Row],[Programmacode
Regulier]],Programma!$F$4:$Y$36148,3,0),"_")</f>
        <v>_</v>
      </c>
      <c r="AL6" s="247" t="str">
        <f>_xlfn.IFNA(VLOOKUP(Ruimtestaat[[#This Row],[Programmacode
Regulier]],Programma!$F$4:$Y$36148,4,0),"_")</f>
        <v>_</v>
      </c>
      <c r="AM6" s="247" t="str">
        <f>_xlfn.IFNA(VLOOKUP(Ruimtestaat[[#This Row],[Programmacode
Regulier]],Programma!$F$4:$Y$36148,5,0),"_")</f>
        <v>_</v>
      </c>
      <c r="AN6" s="247" t="str">
        <f>_xlfn.IFNA(VLOOKUP(Ruimtestaat[[#This Row],[Programmacode
Regulier]],Programma!$F$4:$Y$36148,6,0),"_")</f>
        <v>_</v>
      </c>
      <c r="AO6" s="247" t="str">
        <f>_xlfn.IFNA(VLOOKUP(Ruimtestaat[[#This Row],[Programmacode
Regulier]],Programma!$F$4:$Y$36148,7,0),"_")</f>
        <v>_</v>
      </c>
      <c r="AP6" s="247" t="str">
        <f>_xlfn.IFNA(VLOOKUP(Ruimtestaat[[#This Row],[Programmacode
Regulier]],Programma!$F$4:$Y$36148,8,0),"_")</f>
        <v>_</v>
      </c>
      <c r="AQ6" s="247" t="str">
        <f>_xlfn.IFNA(VLOOKUP(Ruimtestaat[[#This Row],[Programmacode
Regulier]],Programma!$F$4:$Y$36148,9,0),"_")</f>
        <v>_</v>
      </c>
      <c r="AR6" s="248" t="str">
        <f>_xlfn.IFNA(VLOOKUP(Ruimtestaat[[#This Row],[Programmacode
Regulier]],Programma!$F$4:$Y$36148,10,0),"_")</f>
        <v>_</v>
      </c>
      <c r="AS6" s="248" t="str">
        <f>_xlfn.IFNA(VLOOKUP(Ruimtestaat[[#This Row],[Programmacode
Regulier]],Programma!$F$4:$Y$36148,11,0),"_")</f>
        <v>_</v>
      </c>
      <c r="AT6" s="248" t="str">
        <f>_xlfn.IFNA(VLOOKUP(Ruimtestaat[[#This Row],[Programmacode
Regulier]],Programma!$F$4:$Y$36148,12,0),"_")</f>
        <v>_</v>
      </c>
      <c r="AU6" s="248" t="str">
        <f>_xlfn.IFNA(VLOOKUP(Ruimtestaat[[#This Row],[Programmacode
Regulier]],Programma!$F$4:$Y$36148,13,0),"_")</f>
        <v>_</v>
      </c>
      <c r="AV6" s="248" t="str">
        <f>_xlfn.IFNA(VLOOKUP(Ruimtestaat[[#This Row],[Programmacode
Regulier]],Programma!$F$4:$Y$36148,14,0),"_")</f>
        <v>_</v>
      </c>
      <c r="AW6" s="248" t="str">
        <f>_xlfn.IFNA(VLOOKUP(Ruimtestaat[[#This Row],[Programmacode
Regulier]],Programma!$F$4:$Y$36148,15,0),"_")</f>
        <v>_</v>
      </c>
      <c r="AX6" s="248" t="str">
        <f>_xlfn.IFNA(VLOOKUP(Ruimtestaat[[#This Row],[Programmacode
Regulier]],Programma!$F$4:$Y$36148,16,0),"_")</f>
        <v>_</v>
      </c>
      <c r="AY6" s="248" t="str">
        <f>_xlfn.IFNA(VLOOKUP(Ruimtestaat[[#This Row],[Programmacode
Regulier]],Programma!$F$4:$Y$36148,17,0),"_")</f>
        <v>_</v>
      </c>
      <c r="AZ6" s="249" t="str">
        <f>_xlfn.IFNA(VLOOKUP(Ruimtestaat[[#This Row],[Programmacode
Regulier]],Programma!$F$4:$Y$36148,18,0),"_")</f>
        <v>_</v>
      </c>
      <c r="BA6" s="249" t="str">
        <f>_xlfn.IFNA(VLOOKUP(Ruimtestaat[[#This Row],[Programmacode
Regulier]],Programma!$F$4:$Y$36148,19,0),"_")</f>
        <v>_</v>
      </c>
      <c r="BB6" s="249" t="str">
        <f>_xlfn.IFNA(VLOOKUP(Ruimtestaat[[#This Row],[Programmacode
Regulier]],Programma!$F$4:$Y$36148,20,0),"_")</f>
        <v>_</v>
      </c>
      <c r="BC6" s="250"/>
      <c r="BD6" s="212" t="str">
        <f>IF(Ruimtestaat[[#This Row],[Frequentie weekend]]="","",_xlfn.CONCAT(Ruimtestaat[[#This Row],[Ruimte code]],"-",Ruimtestaat[[#This Row],[Frequentie weekend]]," ",Ruimtestaat[[#This Row],[Vloer code]]))</f>
        <v/>
      </c>
      <c r="BE6" s="247" t="str">
        <f>_xlfn.IFNA(VLOOKUP(Ruimtestaat[[#This Row],[Code Weekend]],Programma!$F$4:$Y$36148,2,0),"_")</f>
        <v>_</v>
      </c>
      <c r="BF6" s="247" t="str">
        <f>_xlfn.IFNA(VLOOKUP(Ruimtestaat[[#This Row],[Code Weekend]],Programma!$F$4:$Y$36148,3,0),"_")</f>
        <v>_</v>
      </c>
      <c r="BG6" s="247" t="str">
        <f>_xlfn.IFNA(VLOOKUP(Ruimtestaat[[#This Row],[Code Weekend]],Programma!$F$4:$Y$36148,4,0),"_")</f>
        <v>_</v>
      </c>
      <c r="BH6" s="247" t="str">
        <f>_xlfn.IFNA(VLOOKUP(Ruimtestaat[[#This Row],[Code Weekend]],Programma!$F$4:$Y$36148,5,0),"_")</f>
        <v>_</v>
      </c>
      <c r="BI6" s="247" t="str">
        <f>_xlfn.IFNA(VLOOKUP(Ruimtestaat[[#This Row],[Code Weekend]],Programma!$F$4:$Y$36148,6,0),"_")</f>
        <v>_</v>
      </c>
      <c r="BJ6" s="247" t="str">
        <f>_xlfn.IFNA(VLOOKUP(Ruimtestaat[[#This Row],[Code Weekend]],Programma!$F$4:$Y$36148,7,0),"_")</f>
        <v>_</v>
      </c>
      <c r="BK6" s="247" t="str">
        <f>_xlfn.IFNA(VLOOKUP(Ruimtestaat[[#This Row],[Code Weekend]],Programma!$F$4:$Y$36148,8,0),"_")</f>
        <v>_</v>
      </c>
      <c r="BL6" s="247" t="str">
        <f>_xlfn.IFNA(VLOOKUP(Ruimtestaat[[#This Row],[Code Weekend]],Programma!$F$4:$Y$36148,9,0),"_")</f>
        <v>_</v>
      </c>
      <c r="BM6" s="248" t="str">
        <f>_xlfn.IFNA(VLOOKUP(Ruimtestaat[[#This Row],[Code Weekend]],Programma!$F$4:$Y$36148,10,0),"_")</f>
        <v>_</v>
      </c>
      <c r="BN6" s="248" t="str">
        <f>_xlfn.IFNA(VLOOKUP(Ruimtestaat[[#This Row],[Code Weekend]],Programma!$F$4:$Y$36148,11,0),"_")</f>
        <v>_</v>
      </c>
      <c r="BO6" s="248" t="str">
        <f>_xlfn.IFNA(VLOOKUP(Ruimtestaat[[#This Row],[Code Weekend]],Programma!$F$4:$Y$36148,12,0),"_")</f>
        <v>_</v>
      </c>
      <c r="BP6" s="248" t="str">
        <f>_xlfn.IFNA(VLOOKUP(Ruimtestaat[[#This Row],[Code Weekend]],Programma!$F$4:$Y$36148,13,0),"_")</f>
        <v>_</v>
      </c>
      <c r="BQ6" s="248" t="str">
        <f>_xlfn.IFNA(VLOOKUP(Ruimtestaat[[#This Row],[Code Weekend]],Programma!$F$4:$Y$36148,14,0),"_")</f>
        <v>_</v>
      </c>
      <c r="BR6" s="248" t="str">
        <f>_xlfn.IFNA(VLOOKUP(Ruimtestaat[[#This Row],[Code Weekend]],Programma!$F$4:$Y$36148,15,0),"_")</f>
        <v>_</v>
      </c>
      <c r="BS6" s="248" t="str">
        <f>_xlfn.IFNA(VLOOKUP(Ruimtestaat[[#This Row],[Code Weekend]],Programma!$F$4:$Y$36148,16,0),"_")</f>
        <v>_</v>
      </c>
      <c r="BT6" s="248" t="str">
        <f>_xlfn.IFNA(VLOOKUP(Ruimtestaat[[#This Row],[Code Weekend]],Programma!$F$4:$Y$36148,17,0),"_")</f>
        <v>_</v>
      </c>
      <c r="BU6" s="249" t="str">
        <f>_xlfn.IFNA(VLOOKUP(Ruimtestaat[[#This Row],[Code Weekend]],Programma!$F$4:$Y$36148,18,0),"_")</f>
        <v>_</v>
      </c>
      <c r="BV6" s="249" t="str">
        <f>_xlfn.IFNA(VLOOKUP(Ruimtestaat[[#This Row],[Code Weekend]],Programma!$F$4:$Y$36148,19,0),"_")</f>
        <v>_</v>
      </c>
      <c r="BW6" s="249" t="str">
        <f>_xlfn.IFNA(VLOOKUP(Ruimtestaat[[#This Row],[Code Weekend]],Programma!$F$4:$Y$36148,20,0),"_")</f>
        <v>_</v>
      </c>
      <c r="BX6" s="91"/>
      <c r="BY6" s="91"/>
      <c r="BZ6" s="91"/>
      <c r="CA6" s="91"/>
      <c r="CB6" s="91"/>
      <c r="CC6" s="91"/>
      <c r="CD6" s="91"/>
      <c r="CE6" s="91"/>
      <c r="CF6" s="91"/>
      <c r="CG6" s="91"/>
      <c r="CH6" s="91"/>
      <c r="CI6" s="91"/>
      <c r="CJ6" s="91"/>
      <c r="CK6" s="91"/>
      <c r="CL6" s="91"/>
      <c r="CM6" s="91"/>
      <c r="CN6" s="91"/>
      <c r="CO6" s="91"/>
      <c r="CP6" s="91"/>
      <c r="CQ6" s="91"/>
      <c r="CR6" s="91"/>
      <c r="CS6" s="91"/>
      <c r="CT6" s="91"/>
      <c r="CU6" s="91"/>
      <c r="CV6" s="91"/>
      <c r="CW6" s="91"/>
      <c r="CX6" s="91"/>
      <c r="CY6" s="91"/>
      <c r="CZ6" s="91"/>
      <c r="DA6" s="91"/>
      <c r="DB6" s="91"/>
      <c r="DC6" s="91"/>
      <c r="DD6" s="91"/>
      <c r="DE6" s="91"/>
      <c r="DF6" s="91"/>
      <c r="DG6" s="91"/>
      <c r="DH6" s="91"/>
      <c r="DI6" s="91"/>
      <c r="DJ6" s="91"/>
      <c r="DK6" s="91"/>
      <c r="DL6" s="91"/>
      <c r="DM6" s="91"/>
      <c r="DN6" s="91"/>
      <c r="DO6" s="91"/>
      <c r="DP6" s="91"/>
      <c r="DQ6" s="91"/>
      <c r="DR6" s="91"/>
      <c r="DS6" s="91"/>
      <c r="DT6" s="91"/>
      <c r="DU6" s="91"/>
      <c r="DV6" s="91"/>
      <c r="DW6" s="91"/>
      <c r="DX6" s="91"/>
      <c r="DY6" s="91"/>
      <c r="DZ6" s="91"/>
      <c r="EA6" s="91"/>
      <c r="EB6" s="91"/>
      <c r="EC6" s="91"/>
      <c r="ED6" s="91"/>
      <c r="EE6" s="91"/>
      <c r="EF6" s="91"/>
      <c r="EG6" s="91"/>
      <c r="EH6" s="91"/>
      <c r="EI6" s="91"/>
      <c r="EJ6" s="91"/>
      <c r="EK6" s="91"/>
      <c r="EL6" s="91"/>
      <c r="EM6" s="91"/>
      <c r="EN6" s="91"/>
      <c r="EO6" s="91"/>
      <c r="EP6" s="91"/>
      <c r="EQ6" s="91"/>
      <c r="ER6" s="91"/>
      <c r="ES6" s="91"/>
      <c r="ET6" s="91"/>
      <c r="EU6" s="91"/>
      <c r="EV6" s="91"/>
      <c r="EW6" s="91"/>
      <c r="EX6" s="91"/>
      <c r="EY6" s="91"/>
      <c r="EZ6" s="91"/>
      <c r="FA6" s="91"/>
      <c r="FB6" s="91"/>
      <c r="FC6" s="91"/>
      <c r="FD6" s="91"/>
      <c r="FE6" s="91"/>
      <c r="FF6" s="91"/>
      <c r="FG6" s="91"/>
      <c r="FH6" s="91"/>
      <c r="FI6" s="91"/>
      <c r="FJ6" s="91"/>
      <c r="FK6" s="91"/>
      <c r="FL6" s="91"/>
      <c r="FM6" s="91"/>
      <c r="FN6" s="91"/>
      <c r="FO6" s="91"/>
      <c r="FP6" s="91"/>
      <c r="FQ6" s="91"/>
      <c r="FR6" s="91"/>
      <c r="FS6" s="91"/>
      <c r="FT6" s="91"/>
      <c r="FU6" s="91"/>
      <c r="FV6" s="91"/>
      <c r="FW6" s="91"/>
      <c r="FX6" s="91"/>
      <c r="FY6" s="91"/>
      <c r="FZ6" s="91"/>
      <c r="GA6" s="91"/>
      <c r="GB6" s="91"/>
      <c r="GC6" s="91"/>
      <c r="GD6" s="91"/>
      <c r="GE6" s="91"/>
      <c r="GF6" s="91"/>
      <c r="GG6" s="91"/>
      <c r="GH6" s="91"/>
      <c r="GI6" s="91"/>
      <c r="GJ6" s="91"/>
      <c r="GK6" s="91"/>
      <c r="GL6" s="91"/>
      <c r="GM6" s="91"/>
      <c r="GN6" s="91"/>
      <c r="GO6" s="91"/>
      <c r="GP6" s="91"/>
      <c r="GQ6" s="91"/>
      <c r="GR6" s="91"/>
      <c r="GS6" s="91"/>
      <c r="GT6" s="91"/>
      <c r="GU6" s="91"/>
      <c r="GV6" s="91"/>
      <c r="GW6" s="91"/>
      <c r="GX6" s="91"/>
      <c r="GY6" s="91"/>
      <c r="GZ6" s="91"/>
      <c r="HA6" s="91"/>
      <c r="HB6" s="91"/>
      <c r="HC6" s="91"/>
      <c r="HD6" s="91"/>
      <c r="HE6" s="91"/>
      <c r="HF6" s="91"/>
      <c r="HG6" s="91"/>
      <c r="HH6" s="91"/>
      <c r="HI6" s="91"/>
      <c r="HJ6" s="91"/>
      <c r="HK6" s="91"/>
    </row>
    <row r="7" spans="1:219" s="8" customFormat="1" ht="12.75" customHeight="1">
      <c r="A7" s="131">
        <v>1</v>
      </c>
      <c r="B7" s="22" t="str">
        <f>VLOOKUP(Ruimtestaat[[#This Row],[Code]],Locaties[#All],2,FALSE)</f>
        <v>ESH Secondary School</v>
      </c>
      <c r="C7" s="22" t="str">
        <f>VLOOKUP(Ruimtestaat[[#This Row],[Code]],Locaties[#All],4,FALSE)</f>
        <v>Oostduinlaan 50</v>
      </c>
      <c r="D7" s="334" t="str">
        <f>VLOOKUP(Ruimtestaat[[#This Row],[Code]],Locaties[#All],5,FALSE)</f>
        <v>2596 JP</v>
      </c>
      <c r="E7" s="334" t="str">
        <f>VLOOKUP(Ruimtestaat[[#This Row],[Code]],Locaties[#All],6,FALSE)</f>
        <v>Den Haag</v>
      </c>
      <c r="F7" s="326"/>
      <c r="G7" s="324" t="s">
        <v>1610</v>
      </c>
      <c r="H7" s="324" t="s">
        <v>1574</v>
      </c>
      <c r="I7" s="327" t="s">
        <v>1485</v>
      </c>
      <c r="J7" s="328">
        <v>21</v>
      </c>
      <c r="K7" s="348" t="str">
        <f>VLOOKUP(J7,Ruimtegroepen[],2,FALSE)</f>
        <v>Niet in onderhoud</v>
      </c>
      <c r="L7" s="325"/>
      <c r="M7" s="329"/>
      <c r="N7" s="330"/>
      <c r="O7" s="331">
        <v>33</v>
      </c>
      <c r="P7" s="332" t="str">
        <f>VLOOKUP(Ruimtestaat[[#This Row],[Ruimte code]],Ruimtegroepen[],4,FALSE)</f>
        <v>NIO</v>
      </c>
      <c r="Q7" s="332"/>
      <c r="R7" s="333"/>
      <c r="S7" s="333"/>
      <c r="T7" s="37"/>
      <c r="U7" s="37">
        <f>IF(R7&gt;0,IF(RIGHT(Ruimtestaat[[#This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 s="37">
        <f>IF(U7&gt;0,VLOOKUP($J7,Ruimtegroepen[],3,FALSE)*VLOOKUP($L7,Vloersoorten[],3,FALSE)*VLOOKUP($S7,Frequenties[],3,FALSE)*VLOOKUP($A7,Locaties[],3,FALSE),0)</f>
        <v>0</v>
      </c>
      <c r="W7" s="37">
        <f>Ruimtestaat[[#This Row],[Uitvoeringen werkdagen]]*Ruimtestaat[[#This Row],[Oppervlak (netto)]]</f>
        <v>0</v>
      </c>
      <c r="X7" s="37">
        <f>IF(V7&gt;0,Ruimtestaat[[#This Row],[Prest. (m2 /jaar) werkdagen]]/Ruimtestaat[[#This Row],[Norm (m2/uur) werkdagen]],0)</f>
        <v>0</v>
      </c>
      <c r="Y7" s="37">
        <f>Ruimtestaat[[#This Row],[uren / jaar werkdagen]]*Tariefsopbouw!$D$38</f>
        <v>0</v>
      </c>
      <c r="Z7" s="37">
        <f>IF(Ruimtestaat[[#This Row],[Frequentie weekend]]&gt;0,VALUE(LEFT(T7,1))*R7,0)</f>
        <v>0</v>
      </c>
      <c r="AA7" s="37">
        <f>IF($Z7&gt;0,VLOOKUP($J7,Ruimtegroepen[],3,FALSE)*VLOOKUP($L7,Vloersoorten[],3,FALSE)*VLOOKUP($T7,Frequenties[],3,FALSE)*VLOOKUP($A7,Locaties[],3,FALSE),0)</f>
        <v>0</v>
      </c>
      <c r="AB7" s="37">
        <f>Ruimtestaat[[#This Row],[Uitvoeringen weekend]]*Ruimtestaat[[#This Row],[Oppervlak (netto)]]</f>
        <v>0</v>
      </c>
      <c r="AC7" s="37">
        <f>IF(AA7&gt;0,Ruimtestaat[[#This Row],[Prest. (m2 /jaar) weekend]]/Ruimtestaat[[#This Row],[Norm (m2/uur) weekend]],0)</f>
        <v>0</v>
      </c>
      <c r="AD7" s="37">
        <f>Ruimtestaat[[#This Row],[uren / jaar weekend]]*Tariefsopbouw!$D$40</f>
        <v>0</v>
      </c>
      <c r="AE7" s="89">
        <f>Ruimtestaat[[#This Row],[Prest. (m2 /jaar) weekend]]+Ruimtestaat[[#This Row],[Prest. (m2 /jaar) werkdagen]]</f>
        <v>0</v>
      </c>
      <c r="AF7" s="89">
        <f>Ruimtestaat[[#This Row],[uren / jaar weekend]]+Ruimtestaat[[#This Row],[uren / jaar werkdagen]]</f>
        <v>0</v>
      </c>
      <c r="AG7" s="90">
        <f>Ruimtestaat[[#This Row],[kosten / jaar weekend]]+Ruimtestaat[[#This Row],[kosten / jaar werkdagen]]</f>
        <v>0</v>
      </c>
      <c r="AH7" s="253"/>
      <c r="AI7" s="252" t="str">
        <f>IF(Ruimtestaat[[#This Row],[Frequentie werkdagen]]="","",_xlfn.CONCAT(Ruimtestaat[[#This Row],[Ruimte code]],"-",Ruimtestaat[[#This Row],[Frequentie werkdagen]]," ",Ruimtestaat[[#This Row],[Vloer code]]))</f>
        <v/>
      </c>
      <c r="AJ7" s="247" t="str">
        <f>_xlfn.IFNA(VLOOKUP(Ruimtestaat[[#This Row],[Programmacode
Regulier]],Programma!$F$4:$Y$36148,2,0),"_")</f>
        <v>_</v>
      </c>
      <c r="AK7" s="247" t="str">
        <f>_xlfn.IFNA(VLOOKUP(Ruimtestaat[[#This Row],[Programmacode
Regulier]],Programma!$F$4:$Y$36148,3,0),"_")</f>
        <v>_</v>
      </c>
      <c r="AL7" s="247" t="str">
        <f>_xlfn.IFNA(VLOOKUP(Ruimtestaat[[#This Row],[Programmacode
Regulier]],Programma!$F$4:$Y$36148,4,0),"_")</f>
        <v>_</v>
      </c>
      <c r="AM7" s="247" t="str">
        <f>_xlfn.IFNA(VLOOKUP(Ruimtestaat[[#This Row],[Programmacode
Regulier]],Programma!$F$4:$Y$36148,5,0),"_")</f>
        <v>_</v>
      </c>
      <c r="AN7" s="247" t="str">
        <f>_xlfn.IFNA(VLOOKUP(Ruimtestaat[[#This Row],[Programmacode
Regulier]],Programma!$F$4:$Y$36148,6,0),"_")</f>
        <v>_</v>
      </c>
      <c r="AO7" s="247" t="str">
        <f>_xlfn.IFNA(VLOOKUP(Ruimtestaat[[#This Row],[Programmacode
Regulier]],Programma!$F$4:$Y$36148,7,0),"_")</f>
        <v>_</v>
      </c>
      <c r="AP7" s="247" t="str">
        <f>_xlfn.IFNA(VLOOKUP(Ruimtestaat[[#This Row],[Programmacode
Regulier]],Programma!$F$4:$Y$36148,8,0),"_")</f>
        <v>_</v>
      </c>
      <c r="AQ7" s="247" t="str">
        <f>_xlfn.IFNA(VLOOKUP(Ruimtestaat[[#This Row],[Programmacode
Regulier]],Programma!$F$4:$Y$36148,9,0),"_")</f>
        <v>_</v>
      </c>
      <c r="AR7" s="248" t="str">
        <f>_xlfn.IFNA(VLOOKUP(Ruimtestaat[[#This Row],[Programmacode
Regulier]],Programma!$F$4:$Y$36148,10,0),"_")</f>
        <v>_</v>
      </c>
      <c r="AS7" s="248" t="str">
        <f>_xlfn.IFNA(VLOOKUP(Ruimtestaat[[#This Row],[Programmacode
Regulier]],Programma!$F$4:$Y$36148,11,0),"_")</f>
        <v>_</v>
      </c>
      <c r="AT7" s="248" t="str">
        <f>_xlfn.IFNA(VLOOKUP(Ruimtestaat[[#This Row],[Programmacode
Regulier]],Programma!$F$4:$Y$36148,12,0),"_")</f>
        <v>_</v>
      </c>
      <c r="AU7" s="248" t="str">
        <f>_xlfn.IFNA(VLOOKUP(Ruimtestaat[[#This Row],[Programmacode
Regulier]],Programma!$F$4:$Y$36148,13,0),"_")</f>
        <v>_</v>
      </c>
      <c r="AV7" s="248" t="str">
        <f>_xlfn.IFNA(VLOOKUP(Ruimtestaat[[#This Row],[Programmacode
Regulier]],Programma!$F$4:$Y$36148,14,0),"_")</f>
        <v>_</v>
      </c>
      <c r="AW7" s="248" t="str">
        <f>_xlfn.IFNA(VLOOKUP(Ruimtestaat[[#This Row],[Programmacode
Regulier]],Programma!$F$4:$Y$36148,15,0),"_")</f>
        <v>_</v>
      </c>
      <c r="AX7" s="248" t="str">
        <f>_xlfn.IFNA(VLOOKUP(Ruimtestaat[[#This Row],[Programmacode
Regulier]],Programma!$F$4:$Y$36148,16,0),"_")</f>
        <v>_</v>
      </c>
      <c r="AY7" s="248" t="str">
        <f>_xlfn.IFNA(VLOOKUP(Ruimtestaat[[#This Row],[Programmacode
Regulier]],Programma!$F$4:$Y$36148,17,0),"_")</f>
        <v>_</v>
      </c>
      <c r="AZ7" s="249" t="str">
        <f>_xlfn.IFNA(VLOOKUP(Ruimtestaat[[#This Row],[Programmacode
Regulier]],Programma!$F$4:$Y$36148,18,0),"_")</f>
        <v>_</v>
      </c>
      <c r="BA7" s="249" t="str">
        <f>_xlfn.IFNA(VLOOKUP(Ruimtestaat[[#This Row],[Programmacode
Regulier]],Programma!$F$4:$Y$36148,19,0),"_")</f>
        <v>_</v>
      </c>
      <c r="BB7" s="249" t="str">
        <f>_xlfn.IFNA(VLOOKUP(Ruimtestaat[[#This Row],[Programmacode
Regulier]],Programma!$F$4:$Y$36148,20,0),"_")</f>
        <v>_</v>
      </c>
      <c r="BC7" s="250"/>
      <c r="BD7" s="212" t="str">
        <f>IF(Ruimtestaat[[#This Row],[Frequentie weekend]]="","",_xlfn.CONCAT(Ruimtestaat[[#This Row],[Ruimte code]],"-",Ruimtestaat[[#This Row],[Frequentie weekend]]," ",Ruimtestaat[[#This Row],[Vloer code]]))</f>
        <v/>
      </c>
      <c r="BE7" s="247" t="str">
        <f>_xlfn.IFNA(VLOOKUP(Ruimtestaat[[#This Row],[Code Weekend]],Programma!$F$4:$Y$36148,2,0),"_")</f>
        <v>_</v>
      </c>
      <c r="BF7" s="247" t="str">
        <f>_xlfn.IFNA(VLOOKUP(Ruimtestaat[[#This Row],[Code Weekend]],Programma!$F$4:$Y$36148,3,0),"_")</f>
        <v>_</v>
      </c>
      <c r="BG7" s="247" t="str">
        <f>_xlfn.IFNA(VLOOKUP(Ruimtestaat[[#This Row],[Code Weekend]],Programma!$F$4:$Y$36148,4,0),"_")</f>
        <v>_</v>
      </c>
      <c r="BH7" s="247" t="str">
        <f>_xlfn.IFNA(VLOOKUP(Ruimtestaat[[#This Row],[Code Weekend]],Programma!$F$4:$Y$36148,5,0),"_")</f>
        <v>_</v>
      </c>
      <c r="BI7" s="247" t="str">
        <f>_xlfn.IFNA(VLOOKUP(Ruimtestaat[[#This Row],[Code Weekend]],Programma!$F$4:$Y$36148,6,0),"_")</f>
        <v>_</v>
      </c>
      <c r="BJ7" s="247" t="str">
        <f>_xlfn.IFNA(VLOOKUP(Ruimtestaat[[#This Row],[Code Weekend]],Programma!$F$4:$Y$36148,7,0),"_")</f>
        <v>_</v>
      </c>
      <c r="BK7" s="247" t="str">
        <f>_xlfn.IFNA(VLOOKUP(Ruimtestaat[[#This Row],[Code Weekend]],Programma!$F$4:$Y$36148,8,0),"_")</f>
        <v>_</v>
      </c>
      <c r="BL7" s="247" t="str">
        <f>_xlfn.IFNA(VLOOKUP(Ruimtestaat[[#This Row],[Code Weekend]],Programma!$F$4:$Y$36148,9,0),"_")</f>
        <v>_</v>
      </c>
      <c r="BM7" s="248" t="str">
        <f>_xlfn.IFNA(VLOOKUP(Ruimtestaat[[#This Row],[Code Weekend]],Programma!$F$4:$Y$36148,10,0),"_")</f>
        <v>_</v>
      </c>
      <c r="BN7" s="248" t="str">
        <f>_xlfn.IFNA(VLOOKUP(Ruimtestaat[[#This Row],[Code Weekend]],Programma!$F$4:$Y$36148,11,0),"_")</f>
        <v>_</v>
      </c>
      <c r="BO7" s="248" t="str">
        <f>_xlfn.IFNA(VLOOKUP(Ruimtestaat[[#This Row],[Code Weekend]],Programma!$F$4:$Y$36148,12,0),"_")</f>
        <v>_</v>
      </c>
      <c r="BP7" s="248" t="str">
        <f>_xlfn.IFNA(VLOOKUP(Ruimtestaat[[#This Row],[Code Weekend]],Programma!$F$4:$Y$36148,13,0),"_")</f>
        <v>_</v>
      </c>
      <c r="BQ7" s="248" t="str">
        <f>_xlfn.IFNA(VLOOKUP(Ruimtestaat[[#This Row],[Code Weekend]],Programma!$F$4:$Y$36148,14,0),"_")</f>
        <v>_</v>
      </c>
      <c r="BR7" s="248" t="str">
        <f>_xlfn.IFNA(VLOOKUP(Ruimtestaat[[#This Row],[Code Weekend]],Programma!$F$4:$Y$36148,15,0),"_")</f>
        <v>_</v>
      </c>
      <c r="BS7" s="248" t="str">
        <f>_xlfn.IFNA(VLOOKUP(Ruimtestaat[[#This Row],[Code Weekend]],Programma!$F$4:$Y$36148,16,0),"_")</f>
        <v>_</v>
      </c>
      <c r="BT7" s="248" t="str">
        <f>_xlfn.IFNA(VLOOKUP(Ruimtestaat[[#This Row],[Code Weekend]],Programma!$F$4:$Y$36148,17,0),"_")</f>
        <v>_</v>
      </c>
      <c r="BU7" s="249" t="str">
        <f>_xlfn.IFNA(VLOOKUP(Ruimtestaat[[#This Row],[Code Weekend]],Programma!$F$4:$Y$36148,18,0),"_")</f>
        <v>_</v>
      </c>
      <c r="BV7" s="249" t="str">
        <f>_xlfn.IFNA(VLOOKUP(Ruimtestaat[[#This Row],[Code Weekend]],Programma!$F$4:$Y$36148,19,0),"_")</f>
        <v>_</v>
      </c>
      <c r="BW7" s="249" t="str">
        <f>_xlfn.IFNA(VLOOKUP(Ruimtestaat[[#This Row],[Code Weekend]],Programma!$F$4:$Y$36148,20,0),"_")</f>
        <v>_</v>
      </c>
      <c r="BX7" s="91"/>
      <c r="BY7" s="91"/>
      <c r="BZ7" s="91"/>
      <c r="CA7" s="91"/>
      <c r="CB7" s="91"/>
      <c r="CC7" s="91"/>
      <c r="CD7" s="91"/>
      <c r="CE7" s="91"/>
      <c r="CF7" s="91"/>
      <c r="CG7" s="91"/>
      <c r="CH7" s="91"/>
      <c r="CI7" s="91"/>
      <c r="CJ7" s="91"/>
      <c r="CK7" s="91"/>
      <c r="CL7" s="91"/>
      <c r="CM7" s="91"/>
      <c r="CN7" s="91"/>
      <c r="CO7" s="91"/>
      <c r="CP7" s="91"/>
      <c r="CQ7" s="91"/>
      <c r="CR7" s="91"/>
      <c r="CS7" s="91"/>
      <c r="CT7" s="91"/>
      <c r="CU7" s="91"/>
      <c r="CV7" s="91"/>
      <c r="CW7" s="91"/>
      <c r="CX7" s="91"/>
      <c r="CY7" s="91"/>
      <c r="CZ7" s="91"/>
      <c r="DA7" s="91"/>
      <c r="DB7" s="91"/>
      <c r="DC7" s="91"/>
      <c r="DD7" s="91"/>
      <c r="DE7" s="91"/>
      <c r="DF7" s="91"/>
      <c r="DG7" s="91"/>
      <c r="DH7" s="91"/>
      <c r="DI7" s="91"/>
      <c r="DJ7" s="91"/>
      <c r="DK7" s="91"/>
      <c r="DL7" s="91"/>
      <c r="DM7" s="91"/>
      <c r="DN7" s="91"/>
      <c r="DO7" s="91"/>
      <c r="DP7" s="91"/>
      <c r="DQ7" s="91"/>
      <c r="DR7" s="91"/>
      <c r="DS7" s="91"/>
      <c r="DT7" s="91"/>
      <c r="DU7" s="91"/>
      <c r="DV7" s="91"/>
      <c r="DW7" s="91"/>
      <c r="DX7" s="91"/>
      <c r="DY7" s="91"/>
      <c r="DZ7" s="91"/>
      <c r="EA7" s="91"/>
      <c r="EB7" s="91"/>
      <c r="EC7" s="91"/>
      <c r="ED7" s="91"/>
      <c r="EE7" s="91"/>
      <c r="EF7" s="91"/>
      <c r="EG7" s="91"/>
      <c r="EH7" s="91"/>
      <c r="EI7" s="91"/>
      <c r="EJ7" s="91"/>
      <c r="EK7" s="91"/>
      <c r="EL7" s="91"/>
      <c r="EM7" s="91"/>
      <c r="EN7" s="91"/>
      <c r="EO7" s="91"/>
      <c r="EP7" s="91"/>
      <c r="EQ7" s="91"/>
      <c r="ER7" s="91"/>
      <c r="ES7" s="91"/>
      <c r="ET7" s="91"/>
      <c r="EU7" s="91"/>
      <c r="EV7" s="91"/>
      <c r="EW7" s="91"/>
      <c r="EX7" s="91"/>
      <c r="EY7" s="91"/>
      <c r="EZ7" s="91"/>
      <c r="FA7" s="91"/>
      <c r="FB7" s="91"/>
      <c r="FC7" s="91"/>
      <c r="FD7" s="91"/>
      <c r="FE7" s="91"/>
      <c r="FF7" s="91"/>
      <c r="FG7" s="91"/>
      <c r="FH7" s="91"/>
      <c r="FI7" s="91"/>
      <c r="FJ7" s="91"/>
      <c r="FK7" s="91"/>
      <c r="FL7" s="91"/>
      <c r="FM7" s="91"/>
      <c r="FN7" s="91"/>
      <c r="FO7" s="91"/>
      <c r="FP7" s="91"/>
      <c r="FQ7" s="91"/>
      <c r="FR7" s="91"/>
      <c r="FS7" s="91"/>
      <c r="FT7" s="91"/>
      <c r="FU7" s="91"/>
      <c r="FV7" s="91"/>
      <c r="FW7" s="91"/>
      <c r="FX7" s="91"/>
      <c r="FY7" s="91"/>
      <c r="FZ7" s="91"/>
      <c r="GA7" s="91"/>
      <c r="GB7" s="91"/>
      <c r="GC7" s="91"/>
      <c r="GD7" s="91"/>
      <c r="GE7" s="91"/>
      <c r="GF7" s="91"/>
      <c r="GG7" s="91"/>
      <c r="GH7" s="91"/>
      <c r="GI7" s="91"/>
      <c r="GJ7" s="91"/>
      <c r="GK7" s="91"/>
      <c r="GL7" s="91"/>
      <c r="GM7" s="91"/>
      <c r="GN7" s="91"/>
      <c r="GO7" s="91"/>
      <c r="GP7" s="91"/>
      <c r="GQ7" s="91"/>
      <c r="GR7" s="91"/>
      <c r="GS7" s="91"/>
      <c r="GT7" s="91"/>
      <c r="GU7" s="91"/>
      <c r="GV7" s="91"/>
      <c r="GW7" s="91"/>
      <c r="GX7" s="91"/>
      <c r="GY7" s="91"/>
      <c r="GZ7" s="91"/>
      <c r="HA7" s="91"/>
      <c r="HB7" s="91"/>
      <c r="HC7" s="91"/>
      <c r="HD7" s="91"/>
      <c r="HE7" s="91"/>
      <c r="HF7" s="91"/>
      <c r="HG7" s="91"/>
      <c r="HH7" s="91"/>
      <c r="HI7" s="91"/>
      <c r="HJ7" s="91"/>
      <c r="HK7" s="91"/>
    </row>
    <row r="8" spans="1:219" s="8" customFormat="1" ht="12.75" customHeight="1">
      <c r="A8" s="131">
        <v>1</v>
      </c>
      <c r="B8" s="22" t="str">
        <f>VLOOKUP(Ruimtestaat[[#This Row],[Code]],Locaties[#All],2,FALSE)</f>
        <v>ESH Secondary School</v>
      </c>
      <c r="C8" s="22" t="str">
        <f>VLOOKUP(Ruimtestaat[[#This Row],[Code]],Locaties[#All],4,FALSE)</f>
        <v>Oostduinlaan 50</v>
      </c>
      <c r="D8" s="334" t="str">
        <f>VLOOKUP(Ruimtestaat[[#This Row],[Code]],Locaties[#All],5,FALSE)</f>
        <v>2596 JP</v>
      </c>
      <c r="E8" s="334" t="str">
        <f>VLOOKUP(Ruimtestaat[[#This Row],[Code]],Locaties[#All],6,FALSE)</f>
        <v>Den Haag</v>
      </c>
      <c r="F8" s="326"/>
      <c r="G8" s="324" t="s">
        <v>1610</v>
      </c>
      <c r="H8" s="324" t="s">
        <v>1575</v>
      </c>
      <c r="I8" s="327" t="s">
        <v>1485</v>
      </c>
      <c r="J8" s="328">
        <v>21</v>
      </c>
      <c r="K8" s="348" t="str">
        <f>VLOOKUP(J8,Ruimtegroepen[],2,FALSE)</f>
        <v>Niet in onderhoud</v>
      </c>
      <c r="L8" s="325"/>
      <c r="M8" s="329"/>
      <c r="N8" s="330"/>
      <c r="O8" s="331">
        <v>17</v>
      </c>
      <c r="P8" s="332" t="str">
        <f>VLOOKUP(Ruimtestaat[[#This Row],[Ruimte code]],Ruimtegroepen[],4,FALSE)</f>
        <v>NIO</v>
      </c>
      <c r="Q8" s="332"/>
      <c r="R8" s="333"/>
      <c r="S8" s="333"/>
      <c r="T8" s="37"/>
      <c r="U8" s="37">
        <f>IF(R8&gt;0,IF(RIGHT(Ruimtestaat[[#This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8" s="37">
        <f>IF(U8&gt;0,VLOOKUP($J8,Ruimtegroepen[],3,FALSE)*VLOOKUP($L8,Vloersoorten[],3,FALSE)*VLOOKUP($S8,Frequenties[],3,FALSE)*VLOOKUP($A8,Locaties[],3,FALSE),0)</f>
        <v>0</v>
      </c>
      <c r="W8" s="37">
        <f>Ruimtestaat[[#This Row],[Uitvoeringen werkdagen]]*Ruimtestaat[[#This Row],[Oppervlak (netto)]]</f>
        <v>0</v>
      </c>
      <c r="X8" s="37">
        <f>IF(V8&gt;0,Ruimtestaat[[#This Row],[Prest. (m2 /jaar) werkdagen]]/Ruimtestaat[[#This Row],[Norm (m2/uur) werkdagen]],0)</f>
        <v>0</v>
      </c>
      <c r="Y8" s="37">
        <f>Ruimtestaat[[#This Row],[uren / jaar werkdagen]]*Tariefsopbouw!$D$38</f>
        <v>0</v>
      </c>
      <c r="Z8" s="37">
        <f>IF(Ruimtestaat[[#This Row],[Frequentie weekend]]&gt;0,VALUE(LEFT(T8,1))*R8,0)</f>
        <v>0</v>
      </c>
      <c r="AA8" s="37">
        <f>IF($Z8&gt;0,VLOOKUP($J8,Ruimtegroepen[],3,FALSE)*VLOOKUP($L8,Vloersoorten[],3,FALSE)*VLOOKUP($T8,Frequenties[],3,FALSE)*VLOOKUP($A8,Locaties[],3,FALSE),0)</f>
        <v>0</v>
      </c>
      <c r="AB8" s="37">
        <f>Ruimtestaat[[#This Row],[Uitvoeringen weekend]]*Ruimtestaat[[#This Row],[Oppervlak (netto)]]</f>
        <v>0</v>
      </c>
      <c r="AC8" s="37">
        <f>IF(AA8&gt;0,Ruimtestaat[[#This Row],[Prest. (m2 /jaar) weekend]]/Ruimtestaat[[#This Row],[Norm (m2/uur) weekend]],0)</f>
        <v>0</v>
      </c>
      <c r="AD8" s="37">
        <f>Ruimtestaat[[#This Row],[uren / jaar weekend]]*Tariefsopbouw!$D$40</f>
        <v>0</v>
      </c>
      <c r="AE8" s="89">
        <f>Ruimtestaat[[#This Row],[Prest. (m2 /jaar) weekend]]+Ruimtestaat[[#This Row],[Prest. (m2 /jaar) werkdagen]]</f>
        <v>0</v>
      </c>
      <c r="AF8" s="89">
        <f>Ruimtestaat[[#This Row],[uren / jaar weekend]]+Ruimtestaat[[#This Row],[uren / jaar werkdagen]]</f>
        <v>0</v>
      </c>
      <c r="AG8" s="90">
        <f>Ruimtestaat[[#This Row],[kosten / jaar weekend]]+Ruimtestaat[[#This Row],[kosten / jaar werkdagen]]</f>
        <v>0</v>
      </c>
      <c r="AH8" s="253"/>
      <c r="AI8" s="252" t="str">
        <f>IF(Ruimtestaat[[#This Row],[Frequentie werkdagen]]="","",_xlfn.CONCAT(Ruimtestaat[[#This Row],[Ruimte code]],"-",Ruimtestaat[[#This Row],[Frequentie werkdagen]]," ",Ruimtestaat[[#This Row],[Vloer code]]))</f>
        <v/>
      </c>
      <c r="AJ8" s="247" t="str">
        <f>_xlfn.IFNA(VLOOKUP(Ruimtestaat[[#This Row],[Programmacode
Regulier]],Programma!$F$4:$Y$36148,2,0),"_")</f>
        <v>_</v>
      </c>
      <c r="AK8" s="247" t="str">
        <f>_xlfn.IFNA(VLOOKUP(Ruimtestaat[[#This Row],[Programmacode
Regulier]],Programma!$F$4:$Y$36148,3,0),"_")</f>
        <v>_</v>
      </c>
      <c r="AL8" s="247" t="str">
        <f>_xlfn.IFNA(VLOOKUP(Ruimtestaat[[#This Row],[Programmacode
Regulier]],Programma!$F$4:$Y$36148,4,0),"_")</f>
        <v>_</v>
      </c>
      <c r="AM8" s="247" t="str">
        <f>_xlfn.IFNA(VLOOKUP(Ruimtestaat[[#This Row],[Programmacode
Regulier]],Programma!$F$4:$Y$36148,5,0),"_")</f>
        <v>_</v>
      </c>
      <c r="AN8" s="247" t="str">
        <f>_xlfn.IFNA(VLOOKUP(Ruimtestaat[[#This Row],[Programmacode
Regulier]],Programma!$F$4:$Y$36148,6,0),"_")</f>
        <v>_</v>
      </c>
      <c r="AO8" s="247" t="str">
        <f>_xlfn.IFNA(VLOOKUP(Ruimtestaat[[#This Row],[Programmacode
Regulier]],Programma!$F$4:$Y$36148,7,0),"_")</f>
        <v>_</v>
      </c>
      <c r="AP8" s="247" t="str">
        <f>_xlfn.IFNA(VLOOKUP(Ruimtestaat[[#This Row],[Programmacode
Regulier]],Programma!$F$4:$Y$36148,8,0),"_")</f>
        <v>_</v>
      </c>
      <c r="AQ8" s="247" t="str">
        <f>_xlfn.IFNA(VLOOKUP(Ruimtestaat[[#This Row],[Programmacode
Regulier]],Programma!$F$4:$Y$36148,9,0),"_")</f>
        <v>_</v>
      </c>
      <c r="AR8" s="248" t="str">
        <f>_xlfn.IFNA(VLOOKUP(Ruimtestaat[[#This Row],[Programmacode
Regulier]],Programma!$F$4:$Y$36148,10,0),"_")</f>
        <v>_</v>
      </c>
      <c r="AS8" s="248" t="str">
        <f>_xlfn.IFNA(VLOOKUP(Ruimtestaat[[#This Row],[Programmacode
Regulier]],Programma!$F$4:$Y$36148,11,0),"_")</f>
        <v>_</v>
      </c>
      <c r="AT8" s="248" t="str">
        <f>_xlfn.IFNA(VLOOKUP(Ruimtestaat[[#This Row],[Programmacode
Regulier]],Programma!$F$4:$Y$36148,12,0),"_")</f>
        <v>_</v>
      </c>
      <c r="AU8" s="248" t="str">
        <f>_xlfn.IFNA(VLOOKUP(Ruimtestaat[[#This Row],[Programmacode
Regulier]],Programma!$F$4:$Y$36148,13,0),"_")</f>
        <v>_</v>
      </c>
      <c r="AV8" s="248" t="str">
        <f>_xlfn.IFNA(VLOOKUP(Ruimtestaat[[#This Row],[Programmacode
Regulier]],Programma!$F$4:$Y$36148,14,0),"_")</f>
        <v>_</v>
      </c>
      <c r="AW8" s="248" t="str">
        <f>_xlfn.IFNA(VLOOKUP(Ruimtestaat[[#This Row],[Programmacode
Regulier]],Programma!$F$4:$Y$36148,15,0),"_")</f>
        <v>_</v>
      </c>
      <c r="AX8" s="248" t="str">
        <f>_xlfn.IFNA(VLOOKUP(Ruimtestaat[[#This Row],[Programmacode
Regulier]],Programma!$F$4:$Y$36148,16,0),"_")</f>
        <v>_</v>
      </c>
      <c r="AY8" s="248" t="str">
        <f>_xlfn.IFNA(VLOOKUP(Ruimtestaat[[#This Row],[Programmacode
Regulier]],Programma!$F$4:$Y$36148,17,0),"_")</f>
        <v>_</v>
      </c>
      <c r="AZ8" s="249" t="str">
        <f>_xlfn.IFNA(VLOOKUP(Ruimtestaat[[#This Row],[Programmacode
Regulier]],Programma!$F$4:$Y$36148,18,0),"_")</f>
        <v>_</v>
      </c>
      <c r="BA8" s="249" t="str">
        <f>_xlfn.IFNA(VLOOKUP(Ruimtestaat[[#This Row],[Programmacode
Regulier]],Programma!$F$4:$Y$36148,19,0),"_")</f>
        <v>_</v>
      </c>
      <c r="BB8" s="249" t="str">
        <f>_xlfn.IFNA(VLOOKUP(Ruimtestaat[[#This Row],[Programmacode
Regulier]],Programma!$F$4:$Y$36148,20,0),"_")</f>
        <v>_</v>
      </c>
      <c r="BC8" s="250"/>
      <c r="BD8" s="212" t="str">
        <f>IF(Ruimtestaat[[#This Row],[Frequentie weekend]]="","",_xlfn.CONCAT(Ruimtestaat[[#This Row],[Ruimte code]],"-",Ruimtestaat[[#This Row],[Frequentie weekend]]," ",Ruimtestaat[[#This Row],[Vloer code]]))</f>
        <v/>
      </c>
      <c r="BE8" s="247" t="str">
        <f>_xlfn.IFNA(VLOOKUP(Ruimtestaat[[#This Row],[Code Weekend]],Programma!$F$4:$Y$36148,2,0),"_")</f>
        <v>_</v>
      </c>
      <c r="BF8" s="247" t="str">
        <f>_xlfn.IFNA(VLOOKUP(Ruimtestaat[[#This Row],[Code Weekend]],Programma!$F$4:$Y$36148,3,0),"_")</f>
        <v>_</v>
      </c>
      <c r="BG8" s="247" t="str">
        <f>_xlfn.IFNA(VLOOKUP(Ruimtestaat[[#This Row],[Code Weekend]],Programma!$F$4:$Y$36148,4,0),"_")</f>
        <v>_</v>
      </c>
      <c r="BH8" s="247" t="str">
        <f>_xlfn.IFNA(VLOOKUP(Ruimtestaat[[#This Row],[Code Weekend]],Programma!$F$4:$Y$36148,5,0),"_")</f>
        <v>_</v>
      </c>
      <c r="BI8" s="247" t="str">
        <f>_xlfn.IFNA(VLOOKUP(Ruimtestaat[[#This Row],[Code Weekend]],Programma!$F$4:$Y$36148,6,0),"_")</f>
        <v>_</v>
      </c>
      <c r="BJ8" s="247" t="str">
        <f>_xlfn.IFNA(VLOOKUP(Ruimtestaat[[#This Row],[Code Weekend]],Programma!$F$4:$Y$36148,7,0),"_")</f>
        <v>_</v>
      </c>
      <c r="BK8" s="247" t="str">
        <f>_xlfn.IFNA(VLOOKUP(Ruimtestaat[[#This Row],[Code Weekend]],Programma!$F$4:$Y$36148,8,0),"_")</f>
        <v>_</v>
      </c>
      <c r="BL8" s="247" t="str">
        <f>_xlfn.IFNA(VLOOKUP(Ruimtestaat[[#This Row],[Code Weekend]],Programma!$F$4:$Y$36148,9,0),"_")</f>
        <v>_</v>
      </c>
      <c r="BM8" s="248" t="str">
        <f>_xlfn.IFNA(VLOOKUP(Ruimtestaat[[#This Row],[Code Weekend]],Programma!$F$4:$Y$36148,10,0),"_")</f>
        <v>_</v>
      </c>
      <c r="BN8" s="248" t="str">
        <f>_xlfn.IFNA(VLOOKUP(Ruimtestaat[[#This Row],[Code Weekend]],Programma!$F$4:$Y$36148,11,0),"_")</f>
        <v>_</v>
      </c>
      <c r="BO8" s="248" t="str">
        <f>_xlfn.IFNA(VLOOKUP(Ruimtestaat[[#This Row],[Code Weekend]],Programma!$F$4:$Y$36148,12,0),"_")</f>
        <v>_</v>
      </c>
      <c r="BP8" s="248" t="str">
        <f>_xlfn.IFNA(VLOOKUP(Ruimtestaat[[#This Row],[Code Weekend]],Programma!$F$4:$Y$36148,13,0),"_")</f>
        <v>_</v>
      </c>
      <c r="BQ8" s="248" t="str">
        <f>_xlfn.IFNA(VLOOKUP(Ruimtestaat[[#This Row],[Code Weekend]],Programma!$F$4:$Y$36148,14,0),"_")</f>
        <v>_</v>
      </c>
      <c r="BR8" s="248" t="str">
        <f>_xlfn.IFNA(VLOOKUP(Ruimtestaat[[#This Row],[Code Weekend]],Programma!$F$4:$Y$36148,15,0),"_")</f>
        <v>_</v>
      </c>
      <c r="BS8" s="248" t="str">
        <f>_xlfn.IFNA(VLOOKUP(Ruimtestaat[[#This Row],[Code Weekend]],Programma!$F$4:$Y$36148,16,0),"_")</f>
        <v>_</v>
      </c>
      <c r="BT8" s="248" t="str">
        <f>_xlfn.IFNA(VLOOKUP(Ruimtestaat[[#This Row],[Code Weekend]],Programma!$F$4:$Y$36148,17,0),"_")</f>
        <v>_</v>
      </c>
      <c r="BU8" s="249" t="str">
        <f>_xlfn.IFNA(VLOOKUP(Ruimtestaat[[#This Row],[Code Weekend]],Programma!$F$4:$Y$36148,18,0),"_")</f>
        <v>_</v>
      </c>
      <c r="BV8" s="249" t="str">
        <f>_xlfn.IFNA(VLOOKUP(Ruimtestaat[[#This Row],[Code Weekend]],Programma!$F$4:$Y$36148,19,0),"_")</f>
        <v>_</v>
      </c>
      <c r="BW8" s="249" t="str">
        <f>_xlfn.IFNA(VLOOKUP(Ruimtestaat[[#This Row],[Code Weekend]],Programma!$F$4:$Y$36148,20,0),"_")</f>
        <v>_</v>
      </c>
      <c r="BX8" s="91"/>
      <c r="BY8" s="91"/>
      <c r="BZ8" s="91"/>
      <c r="CA8" s="91"/>
      <c r="CB8" s="91"/>
      <c r="CC8" s="91"/>
      <c r="CD8" s="91"/>
      <c r="CE8" s="91"/>
      <c r="CF8" s="91"/>
      <c r="CG8" s="91"/>
      <c r="CH8" s="91"/>
      <c r="CI8" s="91"/>
      <c r="CJ8" s="91"/>
      <c r="CK8" s="91"/>
      <c r="CL8" s="91"/>
      <c r="CM8" s="91"/>
      <c r="CN8" s="91"/>
      <c r="CO8" s="91"/>
      <c r="CP8" s="91"/>
      <c r="CQ8" s="91"/>
      <c r="CR8" s="91"/>
      <c r="CS8" s="91"/>
      <c r="CT8" s="91"/>
      <c r="CU8" s="91"/>
      <c r="CV8" s="91"/>
      <c r="CW8" s="91"/>
      <c r="CX8" s="91"/>
      <c r="CY8" s="91"/>
      <c r="CZ8" s="91"/>
      <c r="DA8" s="91"/>
      <c r="DB8" s="91"/>
      <c r="DC8" s="91"/>
      <c r="DD8" s="91"/>
      <c r="DE8" s="91"/>
      <c r="DF8" s="91"/>
      <c r="DG8" s="91"/>
      <c r="DH8" s="91"/>
      <c r="DI8" s="91"/>
      <c r="DJ8" s="91"/>
      <c r="DK8" s="91"/>
      <c r="DL8" s="91"/>
      <c r="DM8" s="91"/>
      <c r="DN8" s="91"/>
      <c r="DO8" s="91"/>
      <c r="DP8" s="91"/>
      <c r="DQ8" s="91"/>
      <c r="DR8" s="91"/>
      <c r="DS8" s="91"/>
      <c r="DT8" s="91"/>
      <c r="DU8" s="91"/>
      <c r="DV8" s="91"/>
      <c r="DW8" s="91"/>
      <c r="DX8" s="91"/>
      <c r="DY8" s="91"/>
      <c r="DZ8" s="91"/>
      <c r="EA8" s="91"/>
      <c r="EB8" s="91"/>
      <c r="EC8" s="91"/>
      <c r="ED8" s="91"/>
      <c r="EE8" s="91"/>
      <c r="EF8" s="91"/>
      <c r="EG8" s="91"/>
      <c r="EH8" s="91"/>
      <c r="EI8" s="91"/>
      <c r="EJ8" s="91"/>
      <c r="EK8" s="91"/>
      <c r="EL8" s="91"/>
      <c r="EM8" s="91"/>
      <c r="EN8" s="91"/>
      <c r="EO8" s="91"/>
      <c r="EP8" s="91"/>
      <c r="EQ8" s="91"/>
      <c r="ER8" s="91"/>
      <c r="ES8" s="91"/>
      <c r="ET8" s="91"/>
      <c r="EU8" s="91"/>
      <c r="EV8" s="91"/>
      <c r="EW8" s="91"/>
      <c r="EX8" s="91"/>
      <c r="EY8" s="91"/>
      <c r="EZ8" s="91"/>
      <c r="FA8" s="91"/>
      <c r="FB8" s="91"/>
      <c r="FC8" s="91"/>
      <c r="FD8" s="91"/>
      <c r="FE8" s="91"/>
      <c r="FF8" s="91"/>
      <c r="FG8" s="91"/>
      <c r="FH8" s="91"/>
      <c r="FI8" s="91"/>
      <c r="FJ8" s="91"/>
      <c r="FK8" s="91"/>
      <c r="FL8" s="91"/>
      <c r="FM8" s="91"/>
      <c r="FN8" s="91"/>
      <c r="FO8" s="91"/>
      <c r="FP8" s="91"/>
      <c r="FQ8" s="91"/>
      <c r="FR8" s="91"/>
      <c r="FS8" s="91"/>
      <c r="FT8" s="91"/>
      <c r="FU8" s="91"/>
      <c r="FV8" s="91"/>
      <c r="FW8" s="91"/>
      <c r="FX8" s="91"/>
      <c r="FY8" s="91"/>
      <c r="FZ8" s="91"/>
      <c r="GA8" s="91"/>
      <c r="GB8" s="91"/>
      <c r="GC8" s="91"/>
      <c r="GD8" s="91"/>
      <c r="GE8" s="91"/>
      <c r="GF8" s="91"/>
      <c r="GG8" s="91"/>
      <c r="GH8" s="91"/>
      <c r="GI8" s="91"/>
      <c r="GJ8" s="91"/>
      <c r="GK8" s="91"/>
      <c r="GL8" s="91"/>
      <c r="GM8" s="91"/>
      <c r="GN8" s="91"/>
      <c r="GO8" s="91"/>
      <c r="GP8" s="91"/>
      <c r="GQ8" s="91"/>
      <c r="GR8" s="91"/>
      <c r="GS8" s="91"/>
      <c r="GT8" s="91"/>
      <c r="GU8" s="91"/>
      <c r="GV8" s="91"/>
      <c r="GW8" s="91"/>
      <c r="GX8" s="91"/>
      <c r="GY8" s="91"/>
      <c r="GZ8" s="91"/>
      <c r="HA8" s="91"/>
      <c r="HB8" s="91"/>
      <c r="HC8" s="91"/>
      <c r="HD8" s="91"/>
      <c r="HE8" s="91"/>
      <c r="HF8" s="91"/>
      <c r="HG8" s="91"/>
      <c r="HH8" s="91"/>
      <c r="HI8" s="91"/>
      <c r="HJ8" s="91"/>
      <c r="HK8" s="91"/>
    </row>
    <row r="9" spans="1:219" s="8" customFormat="1" ht="12.75" customHeight="1">
      <c r="A9" s="131">
        <v>1</v>
      </c>
      <c r="B9" s="22" t="str">
        <f>VLOOKUP(Ruimtestaat[[#This Row],[Code]],Locaties[#All],2,FALSE)</f>
        <v>ESH Secondary School</v>
      </c>
      <c r="C9" s="22" t="str">
        <f>VLOOKUP(Ruimtestaat[[#This Row],[Code]],Locaties[#All],4,FALSE)</f>
        <v>Oostduinlaan 50</v>
      </c>
      <c r="D9" s="334" t="str">
        <f>VLOOKUP(Ruimtestaat[[#This Row],[Code]],Locaties[#All],5,FALSE)</f>
        <v>2596 JP</v>
      </c>
      <c r="E9" s="334" t="str">
        <f>VLOOKUP(Ruimtestaat[[#This Row],[Code]],Locaties[#All],6,FALSE)</f>
        <v>Den Haag</v>
      </c>
      <c r="F9" s="326"/>
      <c r="G9" s="324" t="s">
        <v>1610</v>
      </c>
      <c r="H9" s="324" t="s">
        <v>1576</v>
      </c>
      <c r="I9" s="327" t="s">
        <v>1612</v>
      </c>
      <c r="J9" s="328">
        <v>1</v>
      </c>
      <c r="K9" s="348" t="str">
        <f>VLOOKUP(J9,Ruimtegroepen[],2,FALSE)</f>
        <v>Magazijnen/bergingen</v>
      </c>
      <c r="L9" s="212" t="s">
        <v>123</v>
      </c>
      <c r="M9" s="334" t="s">
        <v>144</v>
      </c>
      <c r="N9" s="330">
        <v>51</v>
      </c>
      <c r="O9" s="331"/>
      <c r="P9" s="332" t="str">
        <f>VLOOKUP(Ruimtestaat[[#This Row],[Ruimte code]],Ruimtegroepen[],4,FALSE)</f>
        <v>V  (Verkeersruimte)</v>
      </c>
      <c r="Q9" s="332"/>
      <c r="R9" s="333">
        <v>40</v>
      </c>
      <c r="S9" s="333" t="s">
        <v>16</v>
      </c>
      <c r="T9" s="37"/>
      <c r="U9" s="37">
        <f>IF(R9&gt;0,IF(RIGHT(Ruimtestaat[[#This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9" s="37">
        <f>IF(U9&gt;0,VLOOKUP($J9,Ruimtegroepen[],3,FALSE)*VLOOKUP($L9,Vloersoorten[],3,FALSE)*VLOOKUP($S9,Frequenties[],3,FALSE)*VLOOKUP($A9,Locaties[],3,FALSE),0)</f>
        <v>0</v>
      </c>
      <c r="W9" s="37">
        <f>Ruimtestaat[[#This Row],[Uitvoeringen werkdagen]]*Ruimtestaat[[#This Row],[Oppervlak (netto)]]</f>
        <v>612</v>
      </c>
      <c r="X9" s="37">
        <f>IF(V9&gt;0,Ruimtestaat[[#This Row],[Prest. (m2 /jaar) werkdagen]]/Ruimtestaat[[#This Row],[Norm (m2/uur) werkdagen]],0)</f>
        <v>0</v>
      </c>
      <c r="Y9" s="37">
        <f>Ruimtestaat[[#This Row],[uren / jaar werkdagen]]*Tariefsopbouw!$D$38</f>
        <v>0</v>
      </c>
      <c r="Z9" s="37">
        <f>IF(Ruimtestaat[[#This Row],[Frequentie weekend]]&gt;0,VALUE(LEFT(T9,1))*R9,0)</f>
        <v>0</v>
      </c>
      <c r="AA9" s="37">
        <f>IF($Z9&gt;0,VLOOKUP($J9,Ruimtegroepen[],3,FALSE)*VLOOKUP($L9,Vloersoorten[],3,FALSE)*VLOOKUP($T9,Frequenties[],3,FALSE)*VLOOKUP($A9,Locaties[],3,FALSE),0)</f>
        <v>0</v>
      </c>
      <c r="AB9" s="37">
        <f>Ruimtestaat[[#This Row],[Uitvoeringen weekend]]*Ruimtestaat[[#This Row],[Oppervlak (netto)]]</f>
        <v>0</v>
      </c>
      <c r="AC9" s="37">
        <f>IF(AA9&gt;0,Ruimtestaat[[#This Row],[Prest. (m2 /jaar) weekend]]/Ruimtestaat[[#This Row],[Norm (m2/uur) weekend]],0)</f>
        <v>0</v>
      </c>
      <c r="AD9" s="37">
        <f>Ruimtestaat[[#This Row],[uren / jaar weekend]]*Tariefsopbouw!$D$40</f>
        <v>0</v>
      </c>
      <c r="AE9" s="89">
        <f>Ruimtestaat[[#This Row],[Prest. (m2 /jaar) weekend]]+Ruimtestaat[[#This Row],[Prest. (m2 /jaar) werkdagen]]</f>
        <v>612</v>
      </c>
      <c r="AF9" s="89">
        <f>Ruimtestaat[[#This Row],[uren / jaar weekend]]+Ruimtestaat[[#This Row],[uren / jaar werkdagen]]</f>
        <v>0</v>
      </c>
      <c r="AG9" s="90">
        <f>Ruimtestaat[[#This Row],[kosten / jaar weekend]]+Ruimtestaat[[#This Row],[kosten / jaar werkdagen]]</f>
        <v>0</v>
      </c>
      <c r="AH9" s="253"/>
      <c r="AI9" s="252" t="str">
        <f>IF(Ruimtestaat[[#This Row],[Frequentie werkdagen]]="","",_xlfn.CONCAT(Ruimtestaat[[#This Row],[Ruimte code]],"-",Ruimtestaat[[#This Row],[Frequentie werkdagen]]," ",Ruimtestaat[[#This Row],[Vloer code]]))</f>
        <v>1-1m P</v>
      </c>
      <c r="AJ9" s="247" t="str">
        <f>_xlfn.IFNA(VLOOKUP(Ruimtestaat[[#This Row],[Programmacode
Regulier]],Programma!$F$4:$Y$36148,2,0),"_")</f>
        <v>_</v>
      </c>
      <c r="AK9" s="247" t="str">
        <f>_xlfn.IFNA(VLOOKUP(Ruimtestaat[[#This Row],[Programmacode
Regulier]],Programma!$F$4:$Y$36148,3,0),"_")</f>
        <v>_</v>
      </c>
      <c r="AL9" s="247" t="str">
        <f>_xlfn.IFNA(VLOOKUP(Ruimtestaat[[#This Row],[Programmacode
Regulier]],Programma!$F$4:$Y$36148,4,0),"_")</f>
        <v>1m</v>
      </c>
      <c r="AM9" s="247" t="str">
        <f>_xlfn.IFNA(VLOOKUP(Ruimtestaat[[#This Row],[Programmacode
Regulier]],Programma!$F$4:$Y$36148,5,0),"_")</f>
        <v>1m</v>
      </c>
      <c r="AN9" s="247" t="str">
        <f>_xlfn.IFNA(VLOOKUP(Ruimtestaat[[#This Row],[Programmacode
Regulier]],Programma!$F$4:$Y$36148,6,0),"_")</f>
        <v>_</v>
      </c>
      <c r="AO9" s="247" t="str">
        <f>_xlfn.IFNA(VLOOKUP(Ruimtestaat[[#This Row],[Programmacode
Regulier]],Programma!$F$4:$Y$36148,7,0),"_")</f>
        <v>_</v>
      </c>
      <c r="AP9" s="247" t="str">
        <f>_xlfn.IFNA(VLOOKUP(Ruimtestaat[[#This Row],[Programmacode
Regulier]],Programma!$F$4:$Y$36148,8,0),"_")</f>
        <v>_</v>
      </c>
      <c r="AQ9" s="247" t="str">
        <f>_xlfn.IFNA(VLOOKUP(Ruimtestaat[[#This Row],[Programmacode
Regulier]],Programma!$F$4:$Y$36148,9,0),"_")</f>
        <v>_</v>
      </c>
      <c r="AR9" s="248" t="str">
        <f>_xlfn.IFNA(VLOOKUP(Ruimtestaat[[#This Row],[Programmacode
Regulier]],Programma!$F$4:$Y$36148,10,0),"_")</f>
        <v>_</v>
      </c>
      <c r="AS9" s="248" t="str">
        <f>_xlfn.IFNA(VLOOKUP(Ruimtestaat[[#This Row],[Programmacode
Regulier]],Programma!$F$4:$Y$36148,11,0),"_")</f>
        <v>_</v>
      </c>
      <c r="AT9" s="248" t="str">
        <f>_xlfn.IFNA(VLOOKUP(Ruimtestaat[[#This Row],[Programmacode
Regulier]],Programma!$F$4:$Y$36148,12,0),"_")</f>
        <v>_</v>
      </c>
      <c r="AU9" s="248" t="str">
        <f>_xlfn.IFNA(VLOOKUP(Ruimtestaat[[#This Row],[Programmacode
Regulier]],Programma!$F$4:$Y$36148,13,0),"_")</f>
        <v>_</v>
      </c>
      <c r="AV9" s="248" t="str">
        <f>_xlfn.IFNA(VLOOKUP(Ruimtestaat[[#This Row],[Programmacode
Regulier]],Programma!$F$4:$Y$36148,14,0),"_")</f>
        <v>1j</v>
      </c>
      <c r="AW9" s="248" t="str">
        <f>_xlfn.IFNA(VLOOKUP(Ruimtestaat[[#This Row],[Programmacode
Regulier]],Programma!$F$4:$Y$36148,15,0),"_")</f>
        <v>1j</v>
      </c>
      <c r="AX9" s="248" t="str">
        <f>_xlfn.IFNA(VLOOKUP(Ruimtestaat[[#This Row],[Programmacode
Regulier]],Programma!$F$4:$Y$36148,16,0),"_")</f>
        <v>1j</v>
      </c>
      <c r="AY9" s="248" t="str">
        <f>_xlfn.IFNA(VLOOKUP(Ruimtestaat[[#This Row],[Programmacode
Regulier]],Programma!$F$4:$Y$36148,17,0),"_")</f>
        <v>_</v>
      </c>
      <c r="AZ9" s="249" t="str">
        <f>_xlfn.IFNA(VLOOKUP(Ruimtestaat[[#This Row],[Programmacode
Regulier]],Programma!$F$4:$Y$36148,18,0),"_")</f>
        <v>_</v>
      </c>
      <c r="BA9" s="249" t="str">
        <f>_xlfn.IFNA(VLOOKUP(Ruimtestaat[[#This Row],[Programmacode
Regulier]],Programma!$F$4:$Y$36148,19,0),"_")</f>
        <v>_</v>
      </c>
      <c r="BB9" s="249" t="str">
        <f>_xlfn.IFNA(VLOOKUP(Ruimtestaat[[#This Row],[Programmacode
Regulier]],Programma!$F$4:$Y$36148,20,0),"_")</f>
        <v>_</v>
      </c>
      <c r="BC9" s="250"/>
      <c r="BD9" s="212" t="str">
        <f>IF(Ruimtestaat[[#This Row],[Frequentie weekend]]="","",_xlfn.CONCAT(Ruimtestaat[[#This Row],[Ruimte code]],"-",Ruimtestaat[[#This Row],[Frequentie weekend]]," ",Ruimtestaat[[#This Row],[Vloer code]]))</f>
        <v/>
      </c>
      <c r="BE9" s="247" t="str">
        <f>_xlfn.IFNA(VLOOKUP(Ruimtestaat[[#This Row],[Code Weekend]],Programma!$F$4:$Y$36148,2,0),"_")</f>
        <v>_</v>
      </c>
      <c r="BF9" s="247" t="str">
        <f>_xlfn.IFNA(VLOOKUP(Ruimtestaat[[#This Row],[Code Weekend]],Programma!$F$4:$Y$36148,3,0),"_")</f>
        <v>_</v>
      </c>
      <c r="BG9" s="247" t="str">
        <f>_xlfn.IFNA(VLOOKUP(Ruimtestaat[[#This Row],[Code Weekend]],Programma!$F$4:$Y$36148,4,0),"_")</f>
        <v>_</v>
      </c>
      <c r="BH9" s="247" t="str">
        <f>_xlfn.IFNA(VLOOKUP(Ruimtestaat[[#This Row],[Code Weekend]],Programma!$F$4:$Y$36148,5,0),"_")</f>
        <v>_</v>
      </c>
      <c r="BI9" s="247" t="str">
        <f>_xlfn.IFNA(VLOOKUP(Ruimtestaat[[#This Row],[Code Weekend]],Programma!$F$4:$Y$36148,6,0),"_")</f>
        <v>_</v>
      </c>
      <c r="BJ9" s="247" t="str">
        <f>_xlfn.IFNA(VLOOKUP(Ruimtestaat[[#This Row],[Code Weekend]],Programma!$F$4:$Y$36148,7,0),"_")</f>
        <v>_</v>
      </c>
      <c r="BK9" s="247" t="str">
        <f>_xlfn.IFNA(VLOOKUP(Ruimtestaat[[#This Row],[Code Weekend]],Programma!$F$4:$Y$36148,8,0),"_")</f>
        <v>_</v>
      </c>
      <c r="BL9" s="247" t="str">
        <f>_xlfn.IFNA(VLOOKUP(Ruimtestaat[[#This Row],[Code Weekend]],Programma!$F$4:$Y$36148,9,0),"_")</f>
        <v>_</v>
      </c>
      <c r="BM9" s="248" t="str">
        <f>_xlfn.IFNA(VLOOKUP(Ruimtestaat[[#This Row],[Code Weekend]],Programma!$F$4:$Y$36148,10,0),"_")</f>
        <v>_</v>
      </c>
      <c r="BN9" s="248" t="str">
        <f>_xlfn.IFNA(VLOOKUP(Ruimtestaat[[#This Row],[Code Weekend]],Programma!$F$4:$Y$36148,11,0),"_")</f>
        <v>_</v>
      </c>
      <c r="BO9" s="248" t="str">
        <f>_xlfn.IFNA(VLOOKUP(Ruimtestaat[[#This Row],[Code Weekend]],Programma!$F$4:$Y$36148,12,0),"_")</f>
        <v>_</v>
      </c>
      <c r="BP9" s="248" t="str">
        <f>_xlfn.IFNA(VLOOKUP(Ruimtestaat[[#This Row],[Code Weekend]],Programma!$F$4:$Y$36148,13,0),"_")</f>
        <v>_</v>
      </c>
      <c r="BQ9" s="248" t="str">
        <f>_xlfn.IFNA(VLOOKUP(Ruimtestaat[[#This Row],[Code Weekend]],Programma!$F$4:$Y$36148,14,0),"_")</f>
        <v>_</v>
      </c>
      <c r="BR9" s="248" t="str">
        <f>_xlfn.IFNA(VLOOKUP(Ruimtestaat[[#This Row],[Code Weekend]],Programma!$F$4:$Y$36148,15,0),"_")</f>
        <v>_</v>
      </c>
      <c r="BS9" s="248" t="str">
        <f>_xlfn.IFNA(VLOOKUP(Ruimtestaat[[#This Row],[Code Weekend]],Programma!$F$4:$Y$36148,16,0),"_")</f>
        <v>_</v>
      </c>
      <c r="BT9" s="248" t="str">
        <f>_xlfn.IFNA(VLOOKUP(Ruimtestaat[[#This Row],[Code Weekend]],Programma!$F$4:$Y$36148,17,0),"_")</f>
        <v>_</v>
      </c>
      <c r="BU9" s="249" t="str">
        <f>_xlfn.IFNA(VLOOKUP(Ruimtestaat[[#This Row],[Code Weekend]],Programma!$F$4:$Y$36148,18,0),"_")</f>
        <v>_</v>
      </c>
      <c r="BV9" s="249" t="str">
        <f>_xlfn.IFNA(VLOOKUP(Ruimtestaat[[#This Row],[Code Weekend]],Programma!$F$4:$Y$36148,19,0),"_")</f>
        <v>_</v>
      </c>
      <c r="BW9" s="249" t="str">
        <f>_xlfn.IFNA(VLOOKUP(Ruimtestaat[[#This Row],[Code Weekend]],Programma!$F$4:$Y$36148,20,0),"_")</f>
        <v>_</v>
      </c>
      <c r="BX9" s="91"/>
      <c r="BY9" s="91"/>
      <c r="BZ9" s="91"/>
      <c r="CA9" s="91"/>
      <c r="CB9" s="91"/>
      <c r="CC9" s="91"/>
      <c r="CD9" s="91"/>
      <c r="CE9" s="91"/>
      <c r="CF9" s="91"/>
      <c r="CG9" s="91"/>
      <c r="CH9" s="91"/>
      <c r="CI9" s="91"/>
      <c r="CJ9" s="91"/>
      <c r="CK9" s="91"/>
      <c r="CL9" s="91"/>
      <c r="CM9" s="91"/>
      <c r="CN9" s="91"/>
      <c r="CO9" s="91"/>
      <c r="CP9" s="91"/>
      <c r="CQ9" s="91"/>
      <c r="CR9" s="91"/>
      <c r="CS9" s="91"/>
      <c r="CT9" s="91"/>
      <c r="CU9" s="91"/>
      <c r="CV9" s="91"/>
      <c r="CW9" s="91"/>
      <c r="CX9" s="91"/>
      <c r="CY9" s="91"/>
      <c r="CZ9" s="91"/>
      <c r="DA9" s="91"/>
      <c r="DB9" s="91"/>
      <c r="DC9" s="91"/>
      <c r="DD9" s="91"/>
      <c r="DE9" s="91"/>
      <c r="DF9" s="91"/>
      <c r="DG9" s="91"/>
      <c r="DH9" s="91"/>
      <c r="DI9" s="91"/>
      <c r="DJ9" s="91"/>
      <c r="DK9" s="91"/>
      <c r="DL9" s="91"/>
      <c r="DM9" s="91"/>
      <c r="DN9" s="91"/>
      <c r="DO9" s="91"/>
      <c r="DP9" s="91"/>
      <c r="DQ9" s="91"/>
      <c r="DR9" s="91"/>
      <c r="DS9" s="91"/>
      <c r="DT9" s="91"/>
      <c r="DU9" s="91"/>
      <c r="DV9" s="91"/>
      <c r="DW9" s="91"/>
      <c r="DX9" s="91"/>
      <c r="DY9" s="91"/>
      <c r="DZ9" s="91"/>
      <c r="EA9" s="91"/>
      <c r="EB9" s="91"/>
      <c r="EC9" s="91"/>
      <c r="ED9" s="91"/>
      <c r="EE9" s="91"/>
      <c r="EF9" s="91"/>
      <c r="EG9" s="91"/>
      <c r="EH9" s="91"/>
      <c r="EI9" s="91"/>
      <c r="EJ9" s="91"/>
      <c r="EK9" s="91"/>
      <c r="EL9" s="91"/>
      <c r="EM9" s="91"/>
      <c r="EN9" s="91"/>
      <c r="EO9" s="91"/>
      <c r="EP9" s="91"/>
      <c r="EQ9" s="91"/>
      <c r="ER9" s="91"/>
      <c r="ES9" s="91"/>
      <c r="ET9" s="91"/>
      <c r="EU9" s="91"/>
      <c r="EV9" s="91"/>
      <c r="EW9" s="91"/>
      <c r="EX9" s="91"/>
      <c r="EY9" s="91"/>
      <c r="EZ9" s="91"/>
      <c r="FA9" s="91"/>
      <c r="FB9" s="91"/>
      <c r="FC9" s="91"/>
      <c r="FD9" s="91"/>
      <c r="FE9" s="91"/>
      <c r="FF9" s="91"/>
      <c r="FG9" s="91"/>
      <c r="FH9" s="91"/>
      <c r="FI9" s="91"/>
      <c r="FJ9" s="91"/>
      <c r="FK9" s="91"/>
      <c r="FL9" s="91"/>
      <c r="FM9" s="91"/>
      <c r="FN9" s="91"/>
      <c r="FO9" s="91"/>
      <c r="FP9" s="91"/>
      <c r="FQ9" s="91"/>
      <c r="FR9" s="91"/>
      <c r="FS9" s="91"/>
      <c r="FT9" s="91"/>
      <c r="FU9" s="91"/>
      <c r="FV9" s="91"/>
      <c r="FW9" s="91"/>
      <c r="FX9" s="91"/>
      <c r="FY9" s="91"/>
      <c r="FZ9" s="91"/>
      <c r="GA9" s="91"/>
      <c r="GB9" s="91"/>
      <c r="GC9" s="91"/>
      <c r="GD9" s="91"/>
      <c r="GE9" s="91"/>
      <c r="GF9" s="91"/>
      <c r="GG9" s="91"/>
      <c r="GH9" s="91"/>
      <c r="GI9" s="91"/>
      <c r="GJ9" s="91"/>
      <c r="GK9" s="91"/>
      <c r="GL9" s="91"/>
      <c r="GM9" s="91"/>
      <c r="GN9" s="91"/>
      <c r="GO9" s="91"/>
      <c r="GP9" s="91"/>
      <c r="GQ9" s="91"/>
      <c r="GR9" s="91"/>
      <c r="GS9" s="91"/>
      <c r="GT9" s="91"/>
      <c r="GU9" s="91"/>
      <c r="GV9" s="91"/>
      <c r="GW9" s="91"/>
      <c r="GX9" s="91"/>
      <c r="GY9" s="91"/>
      <c r="GZ9" s="91"/>
      <c r="HA9" s="91"/>
      <c r="HB9" s="91"/>
      <c r="HC9" s="91"/>
      <c r="HD9" s="91"/>
      <c r="HE9" s="91"/>
      <c r="HF9" s="91"/>
      <c r="HG9" s="91"/>
      <c r="HH9" s="91"/>
      <c r="HI9" s="91"/>
      <c r="HJ9" s="91"/>
      <c r="HK9" s="91"/>
    </row>
    <row r="10" spans="1:219" s="8" customFormat="1" ht="12.75" customHeight="1">
      <c r="A10" s="131">
        <v>1</v>
      </c>
      <c r="B10" s="22" t="str">
        <f>VLOOKUP(Ruimtestaat[[#This Row],[Code]],Locaties[#All],2,FALSE)</f>
        <v>ESH Secondary School</v>
      </c>
      <c r="C10" s="22" t="str">
        <f>VLOOKUP(Ruimtestaat[[#This Row],[Code]],Locaties[#All],4,FALSE)</f>
        <v>Oostduinlaan 50</v>
      </c>
      <c r="D10" s="334" t="str">
        <f>VLOOKUP(Ruimtestaat[[#This Row],[Code]],Locaties[#All],5,FALSE)</f>
        <v>2596 JP</v>
      </c>
      <c r="E10" s="334" t="str">
        <f>VLOOKUP(Ruimtestaat[[#This Row],[Code]],Locaties[#All],6,FALSE)</f>
        <v>Den Haag</v>
      </c>
      <c r="F10" s="326"/>
      <c r="G10" s="324" t="s">
        <v>1610</v>
      </c>
      <c r="H10" s="324" t="s">
        <v>1577</v>
      </c>
      <c r="I10" s="327" t="s">
        <v>1612</v>
      </c>
      <c r="J10" s="328">
        <v>1</v>
      </c>
      <c r="K10" s="348" t="str">
        <f>VLOOKUP(J10,Ruimtegroepen[],2,FALSE)</f>
        <v>Magazijnen/bergingen</v>
      </c>
      <c r="L10" s="212" t="s">
        <v>123</v>
      </c>
      <c r="M10" s="334" t="s">
        <v>144</v>
      </c>
      <c r="N10" s="330">
        <v>57</v>
      </c>
      <c r="O10" s="331"/>
      <c r="P10" s="332" t="str">
        <f>VLOOKUP(Ruimtestaat[[#This Row],[Ruimte code]],Ruimtegroepen[],4,FALSE)</f>
        <v>V  (Verkeersruimte)</v>
      </c>
      <c r="Q10" s="332"/>
      <c r="R10" s="333">
        <v>40</v>
      </c>
      <c r="S10" s="333" t="s">
        <v>16</v>
      </c>
      <c r="T10" s="37"/>
      <c r="U10" s="37">
        <f>IF(R10&gt;0,IF(RIGHT(Ruimtestaat[[#This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10" s="37">
        <f>IF(U10&gt;0,VLOOKUP($J10,Ruimtegroepen[],3,FALSE)*VLOOKUP($L10,Vloersoorten[],3,FALSE)*VLOOKUP($S10,Frequenties[],3,FALSE)*VLOOKUP($A10,Locaties[],3,FALSE),0)</f>
        <v>0</v>
      </c>
      <c r="W10" s="37">
        <f>Ruimtestaat[[#This Row],[Uitvoeringen werkdagen]]*Ruimtestaat[[#This Row],[Oppervlak (netto)]]</f>
        <v>684</v>
      </c>
      <c r="X10" s="37">
        <f>IF(V10&gt;0,Ruimtestaat[[#This Row],[Prest. (m2 /jaar) werkdagen]]/Ruimtestaat[[#This Row],[Norm (m2/uur) werkdagen]],0)</f>
        <v>0</v>
      </c>
      <c r="Y10" s="37">
        <f>Ruimtestaat[[#This Row],[uren / jaar werkdagen]]*Tariefsopbouw!$D$38</f>
        <v>0</v>
      </c>
      <c r="Z10" s="37">
        <f>IF(Ruimtestaat[[#This Row],[Frequentie weekend]]&gt;0,VALUE(LEFT(T10,1))*R10,0)</f>
        <v>0</v>
      </c>
      <c r="AA10" s="37">
        <f>IF($Z10&gt;0,VLOOKUP($J10,Ruimtegroepen[],3,FALSE)*VLOOKUP($L10,Vloersoorten[],3,FALSE)*VLOOKUP($T10,Frequenties[],3,FALSE)*VLOOKUP($A10,Locaties[],3,FALSE),0)</f>
        <v>0</v>
      </c>
      <c r="AB10" s="37">
        <f>Ruimtestaat[[#This Row],[Uitvoeringen weekend]]*Ruimtestaat[[#This Row],[Oppervlak (netto)]]</f>
        <v>0</v>
      </c>
      <c r="AC10" s="37">
        <f>IF(AA10&gt;0,Ruimtestaat[[#This Row],[Prest. (m2 /jaar) weekend]]/Ruimtestaat[[#This Row],[Norm (m2/uur) weekend]],0)</f>
        <v>0</v>
      </c>
      <c r="AD10" s="37">
        <f>Ruimtestaat[[#This Row],[uren / jaar weekend]]*Tariefsopbouw!$D$40</f>
        <v>0</v>
      </c>
      <c r="AE10" s="89">
        <f>Ruimtestaat[[#This Row],[Prest. (m2 /jaar) weekend]]+Ruimtestaat[[#This Row],[Prest. (m2 /jaar) werkdagen]]</f>
        <v>684</v>
      </c>
      <c r="AF10" s="89">
        <f>Ruimtestaat[[#This Row],[uren / jaar weekend]]+Ruimtestaat[[#This Row],[uren / jaar werkdagen]]</f>
        <v>0</v>
      </c>
      <c r="AG10" s="90">
        <f>Ruimtestaat[[#This Row],[kosten / jaar weekend]]+Ruimtestaat[[#This Row],[kosten / jaar werkdagen]]</f>
        <v>0</v>
      </c>
      <c r="AH10" s="253"/>
      <c r="AI10" s="252" t="str">
        <f>IF(Ruimtestaat[[#This Row],[Frequentie werkdagen]]="","",_xlfn.CONCAT(Ruimtestaat[[#This Row],[Ruimte code]],"-",Ruimtestaat[[#This Row],[Frequentie werkdagen]]," ",Ruimtestaat[[#This Row],[Vloer code]]))</f>
        <v>1-1m P</v>
      </c>
      <c r="AJ10" s="247" t="str">
        <f>_xlfn.IFNA(VLOOKUP(Ruimtestaat[[#This Row],[Programmacode
Regulier]],Programma!$F$4:$Y$36148,2,0),"_")</f>
        <v>_</v>
      </c>
      <c r="AK10" s="247" t="str">
        <f>_xlfn.IFNA(VLOOKUP(Ruimtestaat[[#This Row],[Programmacode
Regulier]],Programma!$F$4:$Y$36148,3,0),"_")</f>
        <v>_</v>
      </c>
      <c r="AL10" s="247" t="str">
        <f>_xlfn.IFNA(VLOOKUP(Ruimtestaat[[#This Row],[Programmacode
Regulier]],Programma!$F$4:$Y$36148,4,0),"_")</f>
        <v>1m</v>
      </c>
      <c r="AM10" s="247" t="str">
        <f>_xlfn.IFNA(VLOOKUP(Ruimtestaat[[#This Row],[Programmacode
Regulier]],Programma!$F$4:$Y$36148,5,0),"_")</f>
        <v>1m</v>
      </c>
      <c r="AN10" s="247" t="str">
        <f>_xlfn.IFNA(VLOOKUP(Ruimtestaat[[#This Row],[Programmacode
Regulier]],Programma!$F$4:$Y$36148,6,0),"_")</f>
        <v>_</v>
      </c>
      <c r="AO10" s="247" t="str">
        <f>_xlfn.IFNA(VLOOKUP(Ruimtestaat[[#This Row],[Programmacode
Regulier]],Programma!$F$4:$Y$36148,7,0),"_")</f>
        <v>_</v>
      </c>
      <c r="AP10" s="247" t="str">
        <f>_xlfn.IFNA(VLOOKUP(Ruimtestaat[[#This Row],[Programmacode
Regulier]],Programma!$F$4:$Y$36148,8,0),"_")</f>
        <v>_</v>
      </c>
      <c r="AQ10" s="247" t="str">
        <f>_xlfn.IFNA(VLOOKUP(Ruimtestaat[[#This Row],[Programmacode
Regulier]],Programma!$F$4:$Y$36148,9,0),"_")</f>
        <v>_</v>
      </c>
      <c r="AR10" s="248" t="str">
        <f>_xlfn.IFNA(VLOOKUP(Ruimtestaat[[#This Row],[Programmacode
Regulier]],Programma!$F$4:$Y$36148,10,0),"_")</f>
        <v>_</v>
      </c>
      <c r="AS10" s="248" t="str">
        <f>_xlfn.IFNA(VLOOKUP(Ruimtestaat[[#This Row],[Programmacode
Regulier]],Programma!$F$4:$Y$36148,11,0),"_")</f>
        <v>_</v>
      </c>
      <c r="AT10" s="248" t="str">
        <f>_xlfn.IFNA(VLOOKUP(Ruimtestaat[[#This Row],[Programmacode
Regulier]],Programma!$F$4:$Y$36148,12,0),"_")</f>
        <v>_</v>
      </c>
      <c r="AU10" s="248" t="str">
        <f>_xlfn.IFNA(VLOOKUP(Ruimtestaat[[#This Row],[Programmacode
Regulier]],Programma!$F$4:$Y$36148,13,0),"_")</f>
        <v>_</v>
      </c>
      <c r="AV10" s="248" t="str">
        <f>_xlfn.IFNA(VLOOKUP(Ruimtestaat[[#This Row],[Programmacode
Regulier]],Programma!$F$4:$Y$36148,14,0),"_")</f>
        <v>1j</v>
      </c>
      <c r="AW10" s="248" t="str">
        <f>_xlfn.IFNA(VLOOKUP(Ruimtestaat[[#This Row],[Programmacode
Regulier]],Programma!$F$4:$Y$36148,15,0),"_")</f>
        <v>1j</v>
      </c>
      <c r="AX10" s="248" t="str">
        <f>_xlfn.IFNA(VLOOKUP(Ruimtestaat[[#This Row],[Programmacode
Regulier]],Programma!$F$4:$Y$36148,16,0),"_")</f>
        <v>1j</v>
      </c>
      <c r="AY10" s="248" t="str">
        <f>_xlfn.IFNA(VLOOKUP(Ruimtestaat[[#This Row],[Programmacode
Regulier]],Programma!$F$4:$Y$36148,17,0),"_")</f>
        <v>_</v>
      </c>
      <c r="AZ10" s="249" t="str">
        <f>_xlfn.IFNA(VLOOKUP(Ruimtestaat[[#This Row],[Programmacode
Regulier]],Programma!$F$4:$Y$36148,18,0),"_")</f>
        <v>_</v>
      </c>
      <c r="BA10" s="249" t="str">
        <f>_xlfn.IFNA(VLOOKUP(Ruimtestaat[[#This Row],[Programmacode
Regulier]],Programma!$F$4:$Y$36148,19,0),"_")</f>
        <v>_</v>
      </c>
      <c r="BB10" s="249" t="str">
        <f>_xlfn.IFNA(VLOOKUP(Ruimtestaat[[#This Row],[Programmacode
Regulier]],Programma!$F$4:$Y$36148,20,0),"_")</f>
        <v>_</v>
      </c>
      <c r="BC10" s="250"/>
      <c r="BD10" s="212" t="str">
        <f>IF(Ruimtestaat[[#This Row],[Frequentie weekend]]="","",_xlfn.CONCAT(Ruimtestaat[[#This Row],[Ruimte code]],"-",Ruimtestaat[[#This Row],[Frequentie weekend]]," ",Ruimtestaat[[#This Row],[Vloer code]]))</f>
        <v/>
      </c>
      <c r="BE10" s="247" t="str">
        <f>_xlfn.IFNA(VLOOKUP(Ruimtestaat[[#This Row],[Code Weekend]],Programma!$F$4:$Y$36148,2,0),"_")</f>
        <v>_</v>
      </c>
      <c r="BF10" s="247" t="str">
        <f>_xlfn.IFNA(VLOOKUP(Ruimtestaat[[#This Row],[Code Weekend]],Programma!$F$4:$Y$36148,3,0),"_")</f>
        <v>_</v>
      </c>
      <c r="BG10" s="247" t="str">
        <f>_xlfn.IFNA(VLOOKUP(Ruimtestaat[[#This Row],[Code Weekend]],Programma!$F$4:$Y$36148,4,0),"_")</f>
        <v>_</v>
      </c>
      <c r="BH10" s="247" t="str">
        <f>_xlfn.IFNA(VLOOKUP(Ruimtestaat[[#This Row],[Code Weekend]],Programma!$F$4:$Y$36148,5,0),"_")</f>
        <v>_</v>
      </c>
      <c r="BI10" s="247" t="str">
        <f>_xlfn.IFNA(VLOOKUP(Ruimtestaat[[#This Row],[Code Weekend]],Programma!$F$4:$Y$36148,6,0),"_")</f>
        <v>_</v>
      </c>
      <c r="BJ10" s="247" t="str">
        <f>_xlfn.IFNA(VLOOKUP(Ruimtestaat[[#This Row],[Code Weekend]],Programma!$F$4:$Y$36148,7,0),"_")</f>
        <v>_</v>
      </c>
      <c r="BK10" s="247" t="str">
        <f>_xlfn.IFNA(VLOOKUP(Ruimtestaat[[#This Row],[Code Weekend]],Programma!$F$4:$Y$36148,8,0),"_")</f>
        <v>_</v>
      </c>
      <c r="BL10" s="247" t="str">
        <f>_xlfn.IFNA(VLOOKUP(Ruimtestaat[[#This Row],[Code Weekend]],Programma!$F$4:$Y$36148,9,0),"_")</f>
        <v>_</v>
      </c>
      <c r="BM10" s="248" t="str">
        <f>_xlfn.IFNA(VLOOKUP(Ruimtestaat[[#This Row],[Code Weekend]],Programma!$F$4:$Y$36148,10,0),"_")</f>
        <v>_</v>
      </c>
      <c r="BN10" s="248" t="str">
        <f>_xlfn.IFNA(VLOOKUP(Ruimtestaat[[#This Row],[Code Weekend]],Programma!$F$4:$Y$36148,11,0),"_")</f>
        <v>_</v>
      </c>
      <c r="BO10" s="248" t="str">
        <f>_xlfn.IFNA(VLOOKUP(Ruimtestaat[[#This Row],[Code Weekend]],Programma!$F$4:$Y$36148,12,0),"_")</f>
        <v>_</v>
      </c>
      <c r="BP10" s="248" t="str">
        <f>_xlfn.IFNA(VLOOKUP(Ruimtestaat[[#This Row],[Code Weekend]],Programma!$F$4:$Y$36148,13,0),"_")</f>
        <v>_</v>
      </c>
      <c r="BQ10" s="248" t="str">
        <f>_xlfn.IFNA(VLOOKUP(Ruimtestaat[[#This Row],[Code Weekend]],Programma!$F$4:$Y$36148,14,0),"_")</f>
        <v>_</v>
      </c>
      <c r="BR10" s="248" t="str">
        <f>_xlfn.IFNA(VLOOKUP(Ruimtestaat[[#This Row],[Code Weekend]],Programma!$F$4:$Y$36148,15,0),"_")</f>
        <v>_</v>
      </c>
      <c r="BS10" s="248" t="str">
        <f>_xlfn.IFNA(VLOOKUP(Ruimtestaat[[#This Row],[Code Weekend]],Programma!$F$4:$Y$36148,16,0),"_")</f>
        <v>_</v>
      </c>
      <c r="BT10" s="248" t="str">
        <f>_xlfn.IFNA(VLOOKUP(Ruimtestaat[[#This Row],[Code Weekend]],Programma!$F$4:$Y$36148,17,0),"_")</f>
        <v>_</v>
      </c>
      <c r="BU10" s="249" t="str">
        <f>_xlfn.IFNA(VLOOKUP(Ruimtestaat[[#This Row],[Code Weekend]],Programma!$F$4:$Y$36148,18,0),"_")</f>
        <v>_</v>
      </c>
      <c r="BV10" s="249" t="str">
        <f>_xlfn.IFNA(VLOOKUP(Ruimtestaat[[#This Row],[Code Weekend]],Programma!$F$4:$Y$36148,19,0),"_")</f>
        <v>_</v>
      </c>
      <c r="BW10" s="249" t="str">
        <f>_xlfn.IFNA(VLOOKUP(Ruimtestaat[[#This Row],[Code Weekend]],Programma!$F$4:$Y$36148,20,0),"_")</f>
        <v>_</v>
      </c>
      <c r="BX10" s="91"/>
      <c r="BY10" s="91"/>
      <c r="BZ10" s="91"/>
      <c r="CA10" s="91"/>
      <c r="CB10" s="91"/>
      <c r="CC10" s="91"/>
      <c r="CD10" s="91"/>
      <c r="CE10" s="91"/>
      <c r="CF10" s="91"/>
      <c r="CG10" s="91"/>
      <c r="CH10" s="91"/>
      <c r="CI10" s="91"/>
      <c r="CJ10" s="91"/>
      <c r="CK10" s="91"/>
      <c r="CL10" s="91"/>
      <c r="CM10" s="91"/>
      <c r="CN10" s="91"/>
      <c r="CO10" s="91"/>
      <c r="CP10" s="91"/>
      <c r="CQ10" s="91"/>
      <c r="CR10" s="91"/>
      <c r="CS10" s="91"/>
      <c r="CT10" s="91"/>
      <c r="CU10" s="91"/>
      <c r="CV10" s="91"/>
      <c r="CW10" s="91"/>
      <c r="CX10" s="91"/>
      <c r="CY10" s="91"/>
      <c r="CZ10" s="91"/>
      <c r="DA10" s="91"/>
      <c r="DB10" s="91"/>
      <c r="DC10" s="91"/>
      <c r="DD10" s="91"/>
      <c r="DE10" s="91"/>
      <c r="DF10" s="91"/>
      <c r="DG10" s="91"/>
      <c r="DH10" s="91"/>
      <c r="DI10" s="91"/>
      <c r="DJ10" s="91"/>
      <c r="DK10" s="91"/>
      <c r="DL10" s="91"/>
      <c r="DM10" s="91"/>
      <c r="DN10" s="91"/>
      <c r="DO10" s="91"/>
      <c r="DP10" s="91"/>
      <c r="DQ10" s="91"/>
      <c r="DR10" s="91"/>
      <c r="DS10" s="91"/>
      <c r="DT10" s="91"/>
      <c r="DU10" s="91"/>
      <c r="DV10" s="91"/>
      <c r="DW10" s="91"/>
      <c r="DX10" s="91"/>
      <c r="DY10" s="91"/>
      <c r="DZ10" s="91"/>
      <c r="EA10" s="91"/>
      <c r="EB10" s="91"/>
      <c r="EC10" s="91"/>
      <c r="ED10" s="91"/>
      <c r="EE10" s="91"/>
      <c r="EF10" s="91"/>
      <c r="EG10" s="91"/>
      <c r="EH10" s="91"/>
      <c r="EI10" s="91"/>
      <c r="EJ10" s="91"/>
      <c r="EK10" s="91"/>
      <c r="EL10" s="91"/>
      <c r="EM10" s="91"/>
      <c r="EN10" s="91"/>
      <c r="EO10" s="91"/>
      <c r="EP10" s="91"/>
      <c r="EQ10" s="91"/>
      <c r="ER10" s="91"/>
      <c r="ES10" s="91"/>
      <c r="ET10" s="91"/>
      <c r="EU10" s="91"/>
      <c r="EV10" s="91"/>
      <c r="EW10" s="91"/>
      <c r="EX10" s="91"/>
      <c r="EY10" s="91"/>
      <c r="EZ10" s="91"/>
      <c r="FA10" s="91"/>
      <c r="FB10" s="91"/>
      <c r="FC10" s="91"/>
      <c r="FD10" s="91"/>
      <c r="FE10" s="91"/>
      <c r="FF10" s="91"/>
      <c r="FG10" s="91"/>
      <c r="FH10" s="91"/>
      <c r="FI10" s="91"/>
      <c r="FJ10" s="91"/>
      <c r="FK10" s="91"/>
      <c r="FL10" s="91"/>
      <c r="FM10" s="91"/>
      <c r="FN10" s="91"/>
      <c r="FO10" s="91"/>
      <c r="FP10" s="91"/>
      <c r="FQ10" s="91"/>
      <c r="FR10" s="91"/>
      <c r="FS10" s="91"/>
      <c r="FT10" s="91"/>
      <c r="FU10" s="91"/>
      <c r="FV10" s="91"/>
      <c r="FW10" s="91"/>
      <c r="FX10" s="91"/>
      <c r="FY10" s="91"/>
      <c r="FZ10" s="91"/>
      <c r="GA10" s="91"/>
      <c r="GB10" s="91"/>
      <c r="GC10" s="91"/>
      <c r="GD10" s="91"/>
      <c r="GE10" s="91"/>
      <c r="GF10" s="91"/>
      <c r="GG10" s="91"/>
      <c r="GH10" s="91"/>
      <c r="GI10" s="91"/>
      <c r="GJ10" s="91"/>
      <c r="GK10" s="91"/>
      <c r="GL10" s="91"/>
      <c r="GM10" s="91"/>
      <c r="GN10" s="91"/>
      <c r="GO10" s="91"/>
      <c r="GP10" s="91"/>
      <c r="GQ10" s="91"/>
      <c r="GR10" s="91"/>
      <c r="GS10" s="91"/>
      <c r="GT10" s="91"/>
      <c r="GU10" s="91"/>
      <c r="GV10" s="91"/>
      <c r="GW10" s="91"/>
      <c r="GX10" s="91"/>
      <c r="GY10" s="91"/>
      <c r="GZ10" s="91"/>
      <c r="HA10" s="91"/>
      <c r="HB10" s="91"/>
      <c r="HC10" s="91"/>
      <c r="HD10" s="91"/>
      <c r="HE10" s="91"/>
      <c r="HF10" s="91"/>
      <c r="HG10" s="91"/>
      <c r="HH10" s="91"/>
      <c r="HI10" s="91"/>
      <c r="HJ10" s="91"/>
      <c r="HK10" s="91"/>
    </row>
    <row r="11" spans="1:219" s="8" customFormat="1" ht="12.75" customHeight="1">
      <c r="A11" s="131">
        <v>1</v>
      </c>
      <c r="B11" s="22" t="str">
        <f>VLOOKUP(Ruimtestaat[[#This Row],[Code]],Locaties[#All],2,FALSE)</f>
        <v>ESH Secondary School</v>
      </c>
      <c r="C11" s="22" t="str">
        <f>VLOOKUP(Ruimtestaat[[#This Row],[Code]],Locaties[#All],4,FALSE)</f>
        <v>Oostduinlaan 50</v>
      </c>
      <c r="D11" s="334" t="str">
        <f>VLOOKUP(Ruimtestaat[[#This Row],[Code]],Locaties[#All],5,FALSE)</f>
        <v>2596 JP</v>
      </c>
      <c r="E11" s="334" t="str">
        <f>VLOOKUP(Ruimtestaat[[#This Row],[Code]],Locaties[#All],6,FALSE)</f>
        <v>Den Haag</v>
      </c>
      <c r="F11" s="326"/>
      <c r="G11" s="324" t="s">
        <v>1610</v>
      </c>
      <c r="H11" s="324" t="s">
        <v>1578</v>
      </c>
      <c r="I11" s="327" t="s">
        <v>1613</v>
      </c>
      <c r="J11" s="328">
        <v>21</v>
      </c>
      <c r="K11" s="348" t="str">
        <f>VLOOKUP(J11,Ruimtegroepen[],2,FALSE)</f>
        <v>Niet in onderhoud</v>
      </c>
      <c r="L11" s="325"/>
      <c r="M11" s="329"/>
      <c r="N11" s="330"/>
      <c r="O11" s="331">
        <v>131</v>
      </c>
      <c r="P11" s="332" t="str">
        <f>VLOOKUP(Ruimtestaat[[#This Row],[Ruimte code]],Ruimtegroepen[],4,FALSE)</f>
        <v>NIO</v>
      </c>
      <c r="Q11" s="332"/>
      <c r="R11" s="333"/>
      <c r="S11" s="333"/>
      <c r="T11" s="37"/>
      <c r="U11" s="37">
        <f>IF(R11&gt;0,IF(RIGHT(Ruimtestaat[[#This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11" s="37">
        <f>IF(U11&gt;0,VLOOKUP($J11,Ruimtegroepen[],3,FALSE)*VLOOKUP($L11,Vloersoorten[],3,FALSE)*VLOOKUP($S11,Frequenties[],3,FALSE)*VLOOKUP($A11,Locaties[],3,FALSE),0)</f>
        <v>0</v>
      </c>
      <c r="W11" s="37">
        <f>Ruimtestaat[[#This Row],[Uitvoeringen werkdagen]]*Ruimtestaat[[#This Row],[Oppervlak (netto)]]</f>
        <v>0</v>
      </c>
      <c r="X11" s="37">
        <f>IF(V11&gt;0,Ruimtestaat[[#This Row],[Prest. (m2 /jaar) werkdagen]]/Ruimtestaat[[#This Row],[Norm (m2/uur) werkdagen]],0)</f>
        <v>0</v>
      </c>
      <c r="Y11" s="37">
        <f>Ruimtestaat[[#This Row],[uren / jaar werkdagen]]*Tariefsopbouw!$D$38</f>
        <v>0</v>
      </c>
      <c r="Z11" s="37">
        <f>IF(Ruimtestaat[[#This Row],[Frequentie weekend]]&gt;0,VALUE(LEFT(T11,1))*R11,0)</f>
        <v>0</v>
      </c>
      <c r="AA11" s="37">
        <f>IF($Z11&gt;0,VLOOKUP($J11,Ruimtegroepen[],3,FALSE)*VLOOKUP($L11,Vloersoorten[],3,FALSE)*VLOOKUP($T11,Frequenties[],3,FALSE)*VLOOKUP($A11,Locaties[],3,FALSE),0)</f>
        <v>0</v>
      </c>
      <c r="AB11" s="37">
        <f>Ruimtestaat[[#This Row],[Uitvoeringen weekend]]*Ruimtestaat[[#This Row],[Oppervlak (netto)]]</f>
        <v>0</v>
      </c>
      <c r="AC11" s="37">
        <f>IF(AA11&gt;0,Ruimtestaat[[#This Row],[Prest. (m2 /jaar) weekend]]/Ruimtestaat[[#This Row],[Norm (m2/uur) weekend]],0)</f>
        <v>0</v>
      </c>
      <c r="AD11" s="37">
        <f>Ruimtestaat[[#This Row],[uren / jaar weekend]]*Tariefsopbouw!$D$40</f>
        <v>0</v>
      </c>
      <c r="AE11" s="89">
        <f>Ruimtestaat[[#This Row],[Prest. (m2 /jaar) weekend]]+Ruimtestaat[[#This Row],[Prest. (m2 /jaar) werkdagen]]</f>
        <v>0</v>
      </c>
      <c r="AF11" s="89">
        <f>Ruimtestaat[[#This Row],[uren / jaar weekend]]+Ruimtestaat[[#This Row],[uren / jaar werkdagen]]</f>
        <v>0</v>
      </c>
      <c r="AG11" s="90">
        <f>Ruimtestaat[[#This Row],[kosten / jaar weekend]]+Ruimtestaat[[#This Row],[kosten / jaar werkdagen]]</f>
        <v>0</v>
      </c>
      <c r="AH11" s="253"/>
      <c r="AI11" s="252" t="str">
        <f>IF(Ruimtestaat[[#This Row],[Frequentie werkdagen]]="","",_xlfn.CONCAT(Ruimtestaat[[#This Row],[Ruimte code]],"-",Ruimtestaat[[#This Row],[Frequentie werkdagen]]," ",Ruimtestaat[[#This Row],[Vloer code]]))</f>
        <v/>
      </c>
      <c r="AJ11" s="247" t="str">
        <f>_xlfn.IFNA(VLOOKUP(Ruimtestaat[[#This Row],[Programmacode
Regulier]],Programma!$F$4:$Y$36148,2,0),"_")</f>
        <v>_</v>
      </c>
      <c r="AK11" s="247" t="str">
        <f>_xlfn.IFNA(VLOOKUP(Ruimtestaat[[#This Row],[Programmacode
Regulier]],Programma!$F$4:$Y$36148,3,0),"_")</f>
        <v>_</v>
      </c>
      <c r="AL11" s="247" t="str">
        <f>_xlfn.IFNA(VLOOKUP(Ruimtestaat[[#This Row],[Programmacode
Regulier]],Programma!$F$4:$Y$36148,4,0),"_")</f>
        <v>_</v>
      </c>
      <c r="AM11" s="247" t="str">
        <f>_xlfn.IFNA(VLOOKUP(Ruimtestaat[[#This Row],[Programmacode
Regulier]],Programma!$F$4:$Y$36148,5,0),"_")</f>
        <v>_</v>
      </c>
      <c r="AN11" s="247" t="str">
        <f>_xlfn.IFNA(VLOOKUP(Ruimtestaat[[#This Row],[Programmacode
Regulier]],Programma!$F$4:$Y$36148,6,0),"_")</f>
        <v>_</v>
      </c>
      <c r="AO11" s="247" t="str">
        <f>_xlfn.IFNA(VLOOKUP(Ruimtestaat[[#This Row],[Programmacode
Regulier]],Programma!$F$4:$Y$36148,7,0),"_")</f>
        <v>_</v>
      </c>
      <c r="AP11" s="247" t="str">
        <f>_xlfn.IFNA(VLOOKUP(Ruimtestaat[[#This Row],[Programmacode
Regulier]],Programma!$F$4:$Y$36148,8,0),"_")</f>
        <v>_</v>
      </c>
      <c r="AQ11" s="247" t="str">
        <f>_xlfn.IFNA(VLOOKUP(Ruimtestaat[[#This Row],[Programmacode
Regulier]],Programma!$F$4:$Y$36148,9,0),"_")</f>
        <v>_</v>
      </c>
      <c r="AR11" s="248" t="str">
        <f>_xlfn.IFNA(VLOOKUP(Ruimtestaat[[#This Row],[Programmacode
Regulier]],Programma!$F$4:$Y$36148,10,0),"_")</f>
        <v>_</v>
      </c>
      <c r="AS11" s="248" t="str">
        <f>_xlfn.IFNA(VLOOKUP(Ruimtestaat[[#This Row],[Programmacode
Regulier]],Programma!$F$4:$Y$36148,11,0),"_")</f>
        <v>_</v>
      </c>
      <c r="AT11" s="248" t="str">
        <f>_xlfn.IFNA(VLOOKUP(Ruimtestaat[[#This Row],[Programmacode
Regulier]],Programma!$F$4:$Y$36148,12,0),"_")</f>
        <v>_</v>
      </c>
      <c r="AU11" s="248" t="str">
        <f>_xlfn.IFNA(VLOOKUP(Ruimtestaat[[#This Row],[Programmacode
Regulier]],Programma!$F$4:$Y$36148,13,0),"_")</f>
        <v>_</v>
      </c>
      <c r="AV11" s="248" t="str">
        <f>_xlfn.IFNA(VLOOKUP(Ruimtestaat[[#This Row],[Programmacode
Regulier]],Programma!$F$4:$Y$36148,14,0),"_")</f>
        <v>_</v>
      </c>
      <c r="AW11" s="248" t="str">
        <f>_xlfn.IFNA(VLOOKUP(Ruimtestaat[[#This Row],[Programmacode
Regulier]],Programma!$F$4:$Y$36148,15,0),"_")</f>
        <v>_</v>
      </c>
      <c r="AX11" s="248" t="str">
        <f>_xlfn.IFNA(VLOOKUP(Ruimtestaat[[#This Row],[Programmacode
Regulier]],Programma!$F$4:$Y$36148,16,0),"_")</f>
        <v>_</v>
      </c>
      <c r="AY11" s="248" t="str">
        <f>_xlfn.IFNA(VLOOKUP(Ruimtestaat[[#This Row],[Programmacode
Regulier]],Programma!$F$4:$Y$36148,17,0),"_")</f>
        <v>_</v>
      </c>
      <c r="AZ11" s="249" t="str">
        <f>_xlfn.IFNA(VLOOKUP(Ruimtestaat[[#This Row],[Programmacode
Regulier]],Programma!$F$4:$Y$36148,18,0),"_")</f>
        <v>_</v>
      </c>
      <c r="BA11" s="249" t="str">
        <f>_xlfn.IFNA(VLOOKUP(Ruimtestaat[[#This Row],[Programmacode
Regulier]],Programma!$F$4:$Y$36148,19,0),"_")</f>
        <v>_</v>
      </c>
      <c r="BB11" s="249" t="str">
        <f>_xlfn.IFNA(VLOOKUP(Ruimtestaat[[#This Row],[Programmacode
Regulier]],Programma!$F$4:$Y$36148,20,0),"_")</f>
        <v>_</v>
      </c>
      <c r="BC11" s="250"/>
      <c r="BD11" s="212" t="str">
        <f>IF(Ruimtestaat[[#This Row],[Frequentie weekend]]="","",_xlfn.CONCAT(Ruimtestaat[[#This Row],[Ruimte code]],"-",Ruimtestaat[[#This Row],[Frequentie weekend]]," ",Ruimtestaat[[#This Row],[Vloer code]]))</f>
        <v/>
      </c>
      <c r="BE11" s="247" t="str">
        <f>_xlfn.IFNA(VLOOKUP(Ruimtestaat[[#This Row],[Code Weekend]],Programma!$F$4:$Y$36148,2,0),"_")</f>
        <v>_</v>
      </c>
      <c r="BF11" s="247" t="str">
        <f>_xlfn.IFNA(VLOOKUP(Ruimtestaat[[#This Row],[Code Weekend]],Programma!$F$4:$Y$36148,3,0),"_")</f>
        <v>_</v>
      </c>
      <c r="BG11" s="247" t="str">
        <f>_xlfn.IFNA(VLOOKUP(Ruimtestaat[[#This Row],[Code Weekend]],Programma!$F$4:$Y$36148,4,0),"_")</f>
        <v>_</v>
      </c>
      <c r="BH11" s="247" t="str">
        <f>_xlfn.IFNA(VLOOKUP(Ruimtestaat[[#This Row],[Code Weekend]],Programma!$F$4:$Y$36148,5,0),"_")</f>
        <v>_</v>
      </c>
      <c r="BI11" s="247" t="str">
        <f>_xlfn.IFNA(VLOOKUP(Ruimtestaat[[#This Row],[Code Weekend]],Programma!$F$4:$Y$36148,6,0),"_")</f>
        <v>_</v>
      </c>
      <c r="BJ11" s="247" t="str">
        <f>_xlfn.IFNA(VLOOKUP(Ruimtestaat[[#This Row],[Code Weekend]],Programma!$F$4:$Y$36148,7,0),"_")</f>
        <v>_</v>
      </c>
      <c r="BK11" s="247" t="str">
        <f>_xlfn.IFNA(VLOOKUP(Ruimtestaat[[#This Row],[Code Weekend]],Programma!$F$4:$Y$36148,8,0),"_")</f>
        <v>_</v>
      </c>
      <c r="BL11" s="247" t="str">
        <f>_xlfn.IFNA(VLOOKUP(Ruimtestaat[[#This Row],[Code Weekend]],Programma!$F$4:$Y$36148,9,0),"_")</f>
        <v>_</v>
      </c>
      <c r="BM11" s="248" t="str">
        <f>_xlfn.IFNA(VLOOKUP(Ruimtestaat[[#This Row],[Code Weekend]],Programma!$F$4:$Y$36148,10,0),"_")</f>
        <v>_</v>
      </c>
      <c r="BN11" s="248" t="str">
        <f>_xlfn.IFNA(VLOOKUP(Ruimtestaat[[#This Row],[Code Weekend]],Programma!$F$4:$Y$36148,11,0),"_")</f>
        <v>_</v>
      </c>
      <c r="BO11" s="248" t="str">
        <f>_xlfn.IFNA(VLOOKUP(Ruimtestaat[[#This Row],[Code Weekend]],Programma!$F$4:$Y$36148,12,0),"_")</f>
        <v>_</v>
      </c>
      <c r="BP11" s="248" t="str">
        <f>_xlfn.IFNA(VLOOKUP(Ruimtestaat[[#This Row],[Code Weekend]],Programma!$F$4:$Y$36148,13,0),"_")</f>
        <v>_</v>
      </c>
      <c r="BQ11" s="248" t="str">
        <f>_xlfn.IFNA(VLOOKUP(Ruimtestaat[[#This Row],[Code Weekend]],Programma!$F$4:$Y$36148,14,0),"_")</f>
        <v>_</v>
      </c>
      <c r="BR11" s="248" t="str">
        <f>_xlfn.IFNA(VLOOKUP(Ruimtestaat[[#This Row],[Code Weekend]],Programma!$F$4:$Y$36148,15,0),"_")</f>
        <v>_</v>
      </c>
      <c r="BS11" s="248" t="str">
        <f>_xlfn.IFNA(VLOOKUP(Ruimtestaat[[#This Row],[Code Weekend]],Programma!$F$4:$Y$36148,16,0),"_")</f>
        <v>_</v>
      </c>
      <c r="BT11" s="248" t="str">
        <f>_xlfn.IFNA(VLOOKUP(Ruimtestaat[[#This Row],[Code Weekend]],Programma!$F$4:$Y$36148,17,0),"_")</f>
        <v>_</v>
      </c>
      <c r="BU11" s="249" t="str">
        <f>_xlfn.IFNA(VLOOKUP(Ruimtestaat[[#This Row],[Code Weekend]],Programma!$F$4:$Y$36148,18,0),"_")</f>
        <v>_</v>
      </c>
      <c r="BV11" s="249" t="str">
        <f>_xlfn.IFNA(VLOOKUP(Ruimtestaat[[#This Row],[Code Weekend]],Programma!$F$4:$Y$36148,19,0),"_")</f>
        <v>_</v>
      </c>
      <c r="BW11" s="249" t="str">
        <f>_xlfn.IFNA(VLOOKUP(Ruimtestaat[[#This Row],[Code Weekend]],Programma!$F$4:$Y$36148,20,0),"_")</f>
        <v>_</v>
      </c>
      <c r="BX11" s="91"/>
      <c r="BY11" s="91"/>
      <c r="BZ11" s="91"/>
      <c r="CA11" s="91"/>
      <c r="CB11" s="91"/>
      <c r="CC11" s="91"/>
      <c r="CD11" s="91"/>
      <c r="CE11" s="91"/>
      <c r="CF11" s="91"/>
      <c r="CG11" s="91"/>
      <c r="CH11" s="91"/>
      <c r="CI11" s="91"/>
      <c r="CJ11" s="91"/>
      <c r="CK11" s="91"/>
      <c r="CL11" s="91"/>
      <c r="CM11" s="91"/>
      <c r="CN11" s="91"/>
      <c r="CO11" s="91"/>
      <c r="CP11" s="91"/>
      <c r="CQ11" s="91"/>
      <c r="CR11" s="91"/>
      <c r="CS11" s="91"/>
      <c r="CT11" s="91"/>
      <c r="CU11" s="91"/>
      <c r="CV11" s="91"/>
      <c r="CW11" s="91"/>
      <c r="CX11" s="91"/>
      <c r="CY11" s="91"/>
      <c r="CZ11" s="91"/>
      <c r="DA11" s="91"/>
      <c r="DB11" s="91"/>
      <c r="DC11" s="91"/>
      <c r="DD11" s="91"/>
      <c r="DE11" s="91"/>
      <c r="DF11" s="91"/>
      <c r="DG11" s="91"/>
      <c r="DH11" s="91"/>
      <c r="DI11" s="91"/>
      <c r="DJ11" s="91"/>
      <c r="DK11" s="91"/>
      <c r="DL11" s="91"/>
      <c r="DM11" s="91"/>
      <c r="DN11" s="91"/>
      <c r="DO11" s="91"/>
      <c r="DP11" s="91"/>
      <c r="DQ11" s="91"/>
      <c r="DR11" s="91"/>
      <c r="DS11" s="91"/>
      <c r="DT11" s="91"/>
      <c r="DU11" s="91"/>
      <c r="DV11" s="91"/>
      <c r="DW11" s="91"/>
      <c r="DX11" s="91"/>
      <c r="DY11" s="91"/>
      <c r="DZ11" s="91"/>
      <c r="EA11" s="91"/>
      <c r="EB11" s="91"/>
      <c r="EC11" s="91"/>
      <c r="ED11" s="91"/>
      <c r="EE11" s="91"/>
      <c r="EF11" s="91"/>
      <c r="EG11" s="91"/>
      <c r="EH11" s="91"/>
      <c r="EI11" s="91"/>
      <c r="EJ11" s="91"/>
      <c r="EK11" s="91"/>
      <c r="EL11" s="91"/>
      <c r="EM11" s="91"/>
      <c r="EN11" s="91"/>
      <c r="EO11" s="91"/>
      <c r="EP11" s="91"/>
      <c r="EQ11" s="91"/>
      <c r="ER11" s="91"/>
      <c r="ES11" s="91"/>
      <c r="ET11" s="91"/>
      <c r="EU11" s="91"/>
      <c r="EV11" s="91"/>
      <c r="EW11" s="91"/>
      <c r="EX11" s="91"/>
      <c r="EY11" s="91"/>
      <c r="EZ11" s="91"/>
      <c r="FA11" s="91"/>
      <c r="FB11" s="91"/>
      <c r="FC11" s="91"/>
      <c r="FD11" s="91"/>
      <c r="FE11" s="91"/>
      <c r="FF11" s="91"/>
      <c r="FG11" s="91"/>
      <c r="FH11" s="91"/>
      <c r="FI11" s="91"/>
      <c r="FJ11" s="91"/>
      <c r="FK11" s="91"/>
      <c r="FL11" s="91"/>
      <c r="FM11" s="91"/>
      <c r="FN11" s="91"/>
      <c r="FO11" s="91"/>
      <c r="FP11" s="91"/>
      <c r="FQ11" s="91"/>
      <c r="FR11" s="91"/>
      <c r="FS11" s="91"/>
      <c r="FT11" s="91"/>
      <c r="FU11" s="91"/>
      <c r="FV11" s="91"/>
      <c r="FW11" s="91"/>
      <c r="FX11" s="91"/>
      <c r="FY11" s="91"/>
      <c r="FZ11" s="91"/>
      <c r="GA11" s="91"/>
      <c r="GB11" s="91"/>
      <c r="GC11" s="91"/>
      <c r="GD11" s="91"/>
      <c r="GE11" s="91"/>
      <c r="GF11" s="91"/>
      <c r="GG11" s="91"/>
      <c r="GH11" s="91"/>
      <c r="GI11" s="91"/>
      <c r="GJ11" s="91"/>
      <c r="GK11" s="91"/>
      <c r="GL11" s="91"/>
      <c r="GM11" s="91"/>
      <c r="GN11" s="91"/>
      <c r="GO11" s="91"/>
      <c r="GP11" s="91"/>
      <c r="GQ11" s="91"/>
      <c r="GR11" s="91"/>
      <c r="GS11" s="91"/>
      <c r="GT11" s="91"/>
      <c r="GU11" s="91"/>
      <c r="GV11" s="91"/>
      <c r="GW11" s="91"/>
      <c r="GX11" s="91"/>
      <c r="GY11" s="91"/>
      <c r="GZ11" s="91"/>
      <c r="HA11" s="91"/>
      <c r="HB11" s="91"/>
      <c r="HC11" s="91"/>
      <c r="HD11" s="91"/>
      <c r="HE11" s="91"/>
      <c r="HF11" s="91"/>
      <c r="HG11" s="91"/>
      <c r="HH11" s="91"/>
      <c r="HI11" s="91"/>
      <c r="HJ11" s="91"/>
      <c r="HK11" s="91"/>
    </row>
    <row r="12" spans="1:219" s="8" customFormat="1" ht="12.75" customHeight="1">
      <c r="A12" s="131">
        <v>1</v>
      </c>
      <c r="B12" s="22" t="str">
        <f>VLOOKUP(Ruimtestaat[[#This Row],[Code]],Locaties[#All],2,FALSE)</f>
        <v>ESH Secondary School</v>
      </c>
      <c r="C12" s="22" t="str">
        <f>VLOOKUP(Ruimtestaat[[#This Row],[Code]],Locaties[#All],4,FALSE)</f>
        <v>Oostduinlaan 50</v>
      </c>
      <c r="D12" s="334" t="str">
        <f>VLOOKUP(Ruimtestaat[[#This Row],[Code]],Locaties[#All],5,FALSE)</f>
        <v>2596 JP</v>
      </c>
      <c r="E12" s="334" t="str">
        <f>VLOOKUP(Ruimtestaat[[#This Row],[Code]],Locaties[#All],6,FALSE)</f>
        <v>Den Haag</v>
      </c>
      <c r="F12" s="326"/>
      <c r="G12" s="324" t="s">
        <v>1610</v>
      </c>
      <c r="H12" s="324" t="s">
        <v>1579</v>
      </c>
      <c r="I12" s="327" t="s">
        <v>1612</v>
      </c>
      <c r="J12" s="328">
        <v>1</v>
      </c>
      <c r="K12" s="348" t="str">
        <f>VLOOKUP(J12,Ruimtegroepen[],2,FALSE)</f>
        <v>Magazijnen/bergingen</v>
      </c>
      <c r="L12" s="212" t="s">
        <v>123</v>
      </c>
      <c r="M12" s="334" t="s">
        <v>144</v>
      </c>
      <c r="N12" s="330">
        <v>15</v>
      </c>
      <c r="O12" s="331"/>
      <c r="P12" s="332" t="str">
        <f>VLOOKUP(Ruimtestaat[[#This Row],[Ruimte code]],Ruimtegroepen[],4,FALSE)</f>
        <v>V  (Verkeersruimte)</v>
      </c>
      <c r="Q12" s="332"/>
      <c r="R12" s="333">
        <v>40</v>
      </c>
      <c r="S12" s="333" t="s">
        <v>16</v>
      </c>
      <c r="T12" s="37"/>
      <c r="U12" s="37">
        <f>IF(R12&gt;0,IF(RIGHT(Ruimtestaat[[#This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12" s="37">
        <f>IF(U12&gt;0,VLOOKUP($J12,Ruimtegroepen[],3,FALSE)*VLOOKUP($L12,Vloersoorten[],3,FALSE)*VLOOKUP($S12,Frequenties[],3,FALSE)*VLOOKUP($A12,Locaties[],3,FALSE),0)</f>
        <v>0</v>
      </c>
      <c r="W12" s="37">
        <f>Ruimtestaat[[#This Row],[Uitvoeringen werkdagen]]*Ruimtestaat[[#This Row],[Oppervlak (netto)]]</f>
        <v>180</v>
      </c>
      <c r="X12" s="37">
        <f>IF(V12&gt;0,Ruimtestaat[[#This Row],[Prest. (m2 /jaar) werkdagen]]/Ruimtestaat[[#This Row],[Norm (m2/uur) werkdagen]],0)</f>
        <v>0</v>
      </c>
      <c r="Y12" s="37">
        <f>Ruimtestaat[[#This Row],[uren / jaar werkdagen]]*Tariefsopbouw!$D$38</f>
        <v>0</v>
      </c>
      <c r="Z12" s="37">
        <f>IF(Ruimtestaat[[#This Row],[Frequentie weekend]]&gt;0,VALUE(LEFT(T12,1))*R12,0)</f>
        <v>0</v>
      </c>
      <c r="AA12" s="37">
        <f>IF($Z12&gt;0,VLOOKUP($J12,Ruimtegroepen[],3,FALSE)*VLOOKUP($L12,Vloersoorten[],3,FALSE)*VLOOKUP($T12,Frequenties[],3,FALSE)*VLOOKUP($A12,Locaties[],3,FALSE),0)</f>
        <v>0</v>
      </c>
      <c r="AB12" s="37">
        <f>Ruimtestaat[[#This Row],[Uitvoeringen weekend]]*Ruimtestaat[[#This Row],[Oppervlak (netto)]]</f>
        <v>0</v>
      </c>
      <c r="AC12" s="37">
        <f>IF(AA12&gt;0,Ruimtestaat[[#This Row],[Prest. (m2 /jaar) weekend]]/Ruimtestaat[[#This Row],[Norm (m2/uur) weekend]],0)</f>
        <v>0</v>
      </c>
      <c r="AD12" s="37">
        <f>Ruimtestaat[[#This Row],[uren / jaar weekend]]*Tariefsopbouw!$D$40</f>
        <v>0</v>
      </c>
      <c r="AE12" s="89">
        <f>Ruimtestaat[[#This Row],[Prest. (m2 /jaar) weekend]]+Ruimtestaat[[#This Row],[Prest. (m2 /jaar) werkdagen]]</f>
        <v>180</v>
      </c>
      <c r="AF12" s="89">
        <f>Ruimtestaat[[#This Row],[uren / jaar weekend]]+Ruimtestaat[[#This Row],[uren / jaar werkdagen]]</f>
        <v>0</v>
      </c>
      <c r="AG12" s="90">
        <f>Ruimtestaat[[#This Row],[kosten / jaar weekend]]+Ruimtestaat[[#This Row],[kosten / jaar werkdagen]]</f>
        <v>0</v>
      </c>
      <c r="AH12" s="253"/>
      <c r="AI12" s="252" t="str">
        <f>IF(Ruimtestaat[[#This Row],[Frequentie werkdagen]]="","",_xlfn.CONCAT(Ruimtestaat[[#This Row],[Ruimte code]],"-",Ruimtestaat[[#This Row],[Frequentie werkdagen]]," ",Ruimtestaat[[#This Row],[Vloer code]]))</f>
        <v>1-1m P</v>
      </c>
      <c r="AJ12" s="247" t="str">
        <f>_xlfn.IFNA(VLOOKUP(Ruimtestaat[[#This Row],[Programmacode
Regulier]],Programma!$F$4:$Y$36148,2,0),"_")</f>
        <v>_</v>
      </c>
      <c r="AK12" s="247" t="str">
        <f>_xlfn.IFNA(VLOOKUP(Ruimtestaat[[#This Row],[Programmacode
Regulier]],Programma!$F$4:$Y$36148,3,0),"_")</f>
        <v>_</v>
      </c>
      <c r="AL12" s="247" t="str">
        <f>_xlfn.IFNA(VLOOKUP(Ruimtestaat[[#This Row],[Programmacode
Regulier]],Programma!$F$4:$Y$36148,4,0),"_")</f>
        <v>1m</v>
      </c>
      <c r="AM12" s="247" t="str">
        <f>_xlfn.IFNA(VLOOKUP(Ruimtestaat[[#This Row],[Programmacode
Regulier]],Programma!$F$4:$Y$36148,5,0),"_")</f>
        <v>1m</v>
      </c>
      <c r="AN12" s="247" t="str">
        <f>_xlfn.IFNA(VLOOKUP(Ruimtestaat[[#This Row],[Programmacode
Regulier]],Programma!$F$4:$Y$36148,6,0),"_")</f>
        <v>_</v>
      </c>
      <c r="AO12" s="247" t="str">
        <f>_xlfn.IFNA(VLOOKUP(Ruimtestaat[[#This Row],[Programmacode
Regulier]],Programma!$F$4:$Y$36148,7,0),"_")</f>
        <v>_</v>
      </c>
      <c r="AP12" s="247" t="str">
        <f>_xlfn.IFNA(VLOOKUP(Ruimtestaat[[#This Row],[Programmacode
Regulier]],Programma!$F$4:$Y$36148,8,0),"_")</f>
        <v>_</v>
      </c>
      <c r="AQ12" s="247" t="str">
        <f>_xlfn.IFNA(VLOOKUP(Ruimtestaat[[#This Row],[Programmacode
Regulier]],Programma!$F$4:$Y$36148,9,0),"_")</f>
        <v>_</v>
      </c>
      <c r="AR12" s="248" t="str">
        <f>_xlfn.IFNA(VLOOKUP(Ruimtestaat[[#This Row],[Programmacode
Regulier]],Programma!$F$4:$Y$36148,10,0),"_")</f>
        <v>_</v>
      </c>
      <c r="AS12" s="248" t="str">
        <f>_xlfn.IFNA(VLOOKUP(Ruimtestaat[[#This Row],[Programmacode
Regulier]],Programma!$F$4:$Y$36148,11,0),"_")</f>
        <v>_</v>
      </c>
      <c r="AT12" s="248" t="str">
        <f>_xlfn.IFNA(VLOOKUP(Ruimtestaat[[#This Row],[Programmacode
Regulier]],Programma!$F$4:$Y$36148,12,0),"_")</f>
        <v>_</v>
      </c>
      <c r="AU12" s="248" t="str">
        <f>_xlfn.IFNA(VLOOKUP(Ruimtestaat[[#This Row],[Programmacode
Regulier]],Programma!$F$4:$Y$36148,13,0),"_")</f>
        <v>_</v>
      </c>
      <c r="AV12" s="248" t="str">
        <f>_xlfn.IFNA(VLOOKUP(Ruimtestaat[[#This Row],[Programmacode
Regulier]],Programma!$F$4:$Y$36148,14,0),"_")</f>
        <v>1j</v>
      </c>
      <c r="AW12" s="248" t="str">
        <f>_xlfn.IFNA(VLOOKUP(Ruimtestaat[[#This Row],[Programmacode
Regulier]],Programma!$F$4:$Y$36148,15,0),"_")</f>
        <v>1j</v>
      </c>
      <c r="AX12" s="248" t="str">
        <f>_xlfn.IFNA(VLOOKUP(Ruimtestaat[[#This Row],[Programmacode
Regulier]],Programma!$F$4:$Y$36148,16,0),"_")</f>
        <v>1j</v>
      </c>
      <c r="AY12" s="248" t="str">
        <f>_xlfn.IFNA(VLOOKUP(Ruimtestaat[[#This Row],[Programmacode
Regulier]],Programma!$F$4:$Y$36148,17,0),"_")</f>
        <v>_</v>
      </c>
      <c r="AZ12" s="249" t="str">
        <f>_xlfn.IFNA(VLOOKUP(Ruimtestaat[[#This Row],[Programmacode
Regulier]],Programma!$F$4:$Y$36148,18,0),"_")</f>
        <v>_</v>
      </c>
      <c r="BA12" s="249" t="str">
        <f>_xlfn.IFNA(VLOOKUP(Ruimtestaat[[#This Row],[Programmacode
Regulier]],Programma!$F$4:$Y$36148,19,0),"_")</f>
        <v>_</v>
      </c>
      <c r="BB12" s="249" t="str">
        <f>_xlfn.IFNA(VLOOKUP(Ruimtestaat[[#This Row],[Programmacode
Regulier]],Programma!$F$4:$Y$36148,20,0),"_")</f>
        <v>_</v>
      </c>
      <c r="BC12" s="250"/>
      <c r="BD12" s="212" t="str">
        <f>IF(Ruimtestaat[[#This Row],[Frequentie weekend]]="","",_xlfn.CONCAT(Ruimtestaat[[#This Row],[Ruimte code]],"-",Ruimtestaat[[#This Row],[Frequentie weekend]]," ",Ruimtestaat[[#This Row],[Vloer code]]))</f>
        <v/>
      </c>
      <c r="BE12" s="247" t="str">
        <f>_xlfn.IFNA(VLOOKUP(Ruimtestaat[[#This Row],[Code Weekend]],Programma!$F$4:$Y$36148,2,0),"_")</f>
        <v>_</v>
      </c>
      <c r="BF12" s="247" t="str">
        <f>_xlfn.IFNA(VLOOKUP(Ruimtestaat[[#This Row],[Code Weekend]],Programma!$F$4:$Y$36148,3,0),"_")</f>
        <v>_</v>
      </c>
      <c r="BG12" s="247" t="str">
        <f>_xlfn.IFNA(VLOOKUP(Ruimtestaat[[#This Row],[Code Weekend]],Programma!$F$4:$Y$36148,4,0),"_")</f>
        <v>_</v>
      </c>
      <c r="BH12" s="247" t="str">
        <f>_xlfn.IFNA(VLOOKUP(Ruimtestaat[[#This Row],[Code Weekend]],Programma!$F$4:$Y$36148,5,0),"_")</f>
        <v>_</v>
      </c>
      <c r="BI12" s="247" t="str">
        <f>_xlfn.IFNA(VLOOKUP(Ruimtestaat[[#This Row],[Code Weekend]],Programma!$F$4:$Y$36148,6,0),"_")</f>
        <v>_</v>
      </c>
      <c r="BJ12" s="247" t="str">
        <f>_xlfn.IFNA(VLOOKUP(Ruimtestaat[[#This Row],[Code Weekend]],Programma!$F$4:$Y$36148,7,0),"_")</f>
        <v>_</v>
      </c>
      <c r="BK12" s="247" t="str">
        <f>_xlfn.IFNA(VLOOKUP(Ruimtestaat[[#This Row],[Code Weekend]],Programma!$F$4:$Y$36148,8,0),"_")</f>
        <v>_</v>
      </c>
      <c r="BL12" s="247" t="str">
        <f>_xlfn.IFNA(VLOOKUP(Ruimtestaat[[#This Row],[Code Weekend]],Programma!$F$4:$Y$36148,9,0),"_")</f>
        <v>_</v>
      </c>
      <c r="BM12" s="248" t="str">
        <f>_xlfn.IFNA(VLOOKUP(Ruimtestaat[[#This Row],[Code Weekend]],Programma!$F$4:$Y$36148,10,0),"_")</f>
        <v>_</v>
      </c>
      <c r="BN12" s="248" t="str">
        <f>_xlfn.IFNA(VLOOKUP(Ruimtestaat[[#This Row],[Code Weekend]],Programma!$F$4:$Y$36148,11,0),"_")</f>
        <v>_</v>
      </c>
      <c r="BO12" s="248" t="str">
        <f>_xlfn.IFNA(VLOOKUP(Ruimtestaat[[#This Row],[Code Weekend]],Programma!$F$4:$Y$36148,12,0),"_")</f>
        <v>_</v>
      </c>
      <c r="BP12" s="248" t="str">
        <f>_xlfn.IFNA(VLOOKUP(Ruimtestaat[[#This Row],[Code Weekend]],Programma!$F$4:$Y$36148,13,0),"_")</f>
        <v>_</v>
      </c>
      <c r="BQ12" s="248" t="str">
        <f>_xlfn.IFNA(VLOOKUP(Ruimtestaat[[#This Row],[Code Weekend]],Programma!$F$4:$Y$36148,14,0),"_")</f>
        <v>_</v>
      </c>
      <c r="BR12" s="248" t="str">
        <f>_xlfn.IFNA(VLOOKUP(Ruimtestaat[[#This Row],[Code Weekend]],Programma!$F$4:$Y$36148,15,0),"_")</f>
        <v>_</v>
      </c>
      <c r="BS12" s="248" t="str">
        <f>_xlfn.IFNA(VLOOKUP(Ruimtestaat[[#This Row],[Code Weekend]],Programma!$F$4:$Y$36148,16,0),"_")</f>
        <v>_</v>
      </c>
      <c r="BT12" s="248" t="str">
        <f>_xlfn.IFNA(VLOOKUP(Ruimtestaat[[#This Row],[Code Weekend]],Programma!$F$4:$Y$36148,17,0),"_")</f>
        <v>_</v>
      </c>
      <c r="BU12" s="249" t="str">
        <f>_xlfn.IFNA(VLOOKUP(Ruimtestaat[[#This Row],[Code Weekend]],Programma!$F$4:$Y$36148,18,0),"_")</f>
        <v>_</v>
      </c>
      <c r="BV12" s="249" t="str">
        <f>_xlfn.IFNA(VLOOKUP(Ruimtestaat[[#This Row],[Code Weekend]],Programma!$F$4:$Y$36148,19,0),"_")</f>
        <v>_</v>
      </c>
      <c r="BW12" s="249" t="str">
        <f>_xlfn.IFNA(VLOOKUP(Ruimtestaat[[#This Row],[Code Weekend]],Programma!$F$4:$Y$36148,20,0),"_")</f>
        <v>_</v>
      </c>
      <c r="BX12" s="91"/>
      <c r="BY12" s="91"/>
      <c r="BZ12" s="91"/>
      <c r="CA12" s="91"/>
      <c r="CB12" s="91"/>
      <c r="CC12" s="91"/>
      <c r="CD12" s="91"/>
      <c r="CE12" s="91"/>
      <c r="CF12" s="91"/>
      <c r="CG12" s="91"/>
      <c r="CH12" s="91"/>
      <c r="CI12" s="91"/>
      <c r="CJ12" s="91"/>
      <c r="CK12" s="91"/>
      <c r="CL12" s="91"/>
      <c r="CM12" s="91"/>
      <c r="CN12" s="91"/>
      <c r="CO12" s="91"/>
      <c r="CP12" s="91"/>
      <c r="CQ12" s="91"/>
      <c r="CR12" s="91"/>
      <c r="CS12" s="91"/>
      <c r="CT12" s="91"/>
      <c r="CU12" s="91"/>
      <c r="CV12" s="91"/>
      <c r="CW12" s="91"/>
      <c r="CX12" s="91"/>
      <c r="CY12" s="91"/>
      <c r="CZ12" s="91"/>
      <c r="DA12" s="91"/>
      <c r="DB12" s="91"/>
      <c r="DC12" s="91"/>
      <c r="DD12" s="91"/>
      <c r="DE12" s="91"/>
      <c r="DF12" s="91"/>
      <c r="DG12" s="91"/>
      <c r="DH12" s="91"/>
      <c r="DI12" s="91"/>
      <c r="DJ12" s="91"/>
      <c r="DK12" s="91"/>
      <c r="DL12" s="91"/>
      <c r="DM12" s="91"/>
      <c r="DN12" s="91"/>
      <c r="DO12" s="91"/>
      <c r="DP12" s="91"/>
      <c r="DQ12" s="91"/>
      <c r="DR12" s="91"/>
      <c r="DS12" s="91"/>
      <c r="DT12" s="91"/>
      <c r="DU12" s="91"/>
      <c r="DV12" s="91"/>
      <c r="DW12" s="91"/>
      <c r="DX12" s="91"/>
      <c r="DY12" s="91"/>
      <c r="DZ12" s="91"/>
      <c r="EA12" s="91"/>
      <c r="EB12" s="91"/>
      <c r="EC12" s="91"/>
      <c r="ED12" s="91"/>
      <c r="EE12" s="91"/>
      <c r="EF12" s="91"/>
      <c r="EG12" s="91"/>
      <c r="EH12" s="91"/>
      <c r="EI12" s="91"/>
      <c r="EJ12" s="91"/>
      <c r="EK12" s="91"/>
      <c r="EL12" s="91"/>
      <c r="EM12" s="91"/>
      <c r="EN12" s="91"/>
      <c r="EO12" s="91"/>
      <c r="EP12" s="91"/>
      <c r="EQ12" s="91"/>
      <c r="ER12" s="91"/>
      <c r="ES12" s="91"/>
      <c r="ET12" s="91"/>
      <c r="EU12" s="91"/>
      <c r="EV12" s="91"/>
      <c r="EW12" s="91"/>
      <c r="EX12" s="91"/>
      <c r="EY12" s="91"/>
      <c r="EZ12" s="91"/>
      <c r="FA12" s="91"/>
      <c r="FB12" s="91"/>
      <c r="FC12" s="91"/>
      <c r="FD12" s="91"/>
      <c r="FE12" s="91"/>
      <c r="FF12" s="91"/>
      <c r="FG12" s="91"/>
      <c r="FH12" s="91"/>
      <c r="FI12" s="91"/>
      <c r="FJ12" s="91"/>
      <c r="FK12" s="91"/>
      <c r="FL12" s="91"/>
      <c r="FM12" s="91"/>
      <c r="FN12" s="91"/>
      <c r="FO12" s="91"/>
      <c r="FP12" s="91"/>
      <c r="FQ12" s="91"/>
      <c r="FR12" s="91"/>
      <c r="FS12" s="91"/>
      <c r="FT12" s="91"/>
      <c r="FU12" s="91"/>
      <c r="FV12" s="91"/>
      <c r="FW12" s="91"/>
      <c r="FX12" s="91"/>
      <c r="FY12" s="91"/>
      <c r="FZ12" s="91"/>
      <c r="GA12" s="91"/>
      <c r="GB12" s="91"/>
      <c r="GC12" s="91"/>
      <c r="GD12" s="91"/>
      <c r="GE12" s="91"/>
      <c r="GF12" s="91"/>
      <c r="GG12" s="91"/>
      <c r="GH12" s="91"/>
      <c r="GI12" s="91"/>
      <c r="GJ12" s="91"/>
      <c r="GK12" s="91"/>
      <c r="GL12" s="91"/>
      <c r="GM12" s="91"/>
      <c r="GN12" s="91"/>
      <c r="GO12" s="91"/>
      <c r="GP12" s="91"/>
      <c r="GQ12" s="91"/>
      <c r="GR12" s="91"/>
      <c r="GS12" s="91"/>
      <c r="GT12" s="91"/>
      <c r="GU12" s="91"/>
      <c r="GV12" s="91"/>
      <c r="GW12" s="91"/>
      <c r="GX12" s="91"/>
      <c r="GY12" s="91"/>
      <c r="GZ12" s="91"/>
      <c r="HA12" s="91"/>
      <c r="HB12" s="91"/>
      <c r="HC12" s="91"/>
      <c r="HD12" s="91"/>
      <c r="HE12" s="91"/>
      <c r="HF12" s="91"/>
      <c r="HG12" s="91"/>
      <c r="HH12" s="91"/>
      <c r="HI12" s="91"/>
      <c r="HJ12" s="91"/>
      <c r="HK12" s="91"/>
    </row>
    <row r="13" spans="1:219" s="8" customFormat="1" ht="12.75" customHeight="1">
      <c r="A13" s="131">
        <v>1</v>
      </c>
      <c r="B13" s="22" t="str">
        <f>VLOOKUP(Ruimtestaat[[#This Row],[Code]],Locaties[#All],2,FALSE)</f>
        <v>ESH Secondary School</v>
      </c>
      <c r="C13" s="22" t="str">
        <f>VLOOKUP(Ruimtestaat[[#This Row],[Code]],Locaties[#All],4,FALSE)</f>
        <v>Oostduinlaan 50</v>
      </c>
      <c r="D13" s="334" t="str">
        <f>VLOOKUP(Ruimtestaat[[#This Row],[Code]],Locaties[#All],5,FALSE)</f>
        <v>2596 JP</v>
      </c>
      <c r="E13" s="334" t="str">
        <f>VLOOKUP(Ruimtestaat[[#This Row],[Code]],Locaties[#All],6,FALSE)</f>
        <v>Den Haag</v>
      </c>
      <c r="F13" s="326"/>
      <c r="G13" s="324" t="s">
        <v>1610</v>
      </c>
      <c r="H13" s="324" t="s">
        <v>1580</v>
      </c>
      <c r="I13" s="327" t="s">
        <v>1614</v>
      </c>
      <c r="J13" s="328">
        <v>21</v>
      </c>
      <c r="K13" s="348" t="str">
        <f>VLOOKUP(J13,Ruimtegroepen[],2,FALSE)</f>
        <v>Niet in onderhoud</v>
      </c>
      <c r="L13" s="325"/>
      <c r="M13" s="329"/>
      <c r="N13" s="330"/>
      <c r="O13" s="331">
        <v>32</v>
      </c>
      <c r="P13" s="332" t="str">
        <f>VLOOKUP(Ruimtestaat[[#This Row],[Ruimte code]],Ruimtegroepen[],4,FALSE)</f>
        <v>NIO</v>
      </c>
      <c r="Q13" s="332"/>
      <c r="R13" s="333"/>
      <c r="S13" s="333"/>
      <c r="T13" s="37"/>
      <c r="U13" s="37">
        <f>IF(R13&gt;0,IF(RIGHT(Ruimtestaat[[#This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13" s="37">
        <f>IF(U13&gt;0,VLOOKUP($J13,Ruimtegroepen[],3,FALSE)*VLOOKUP($L13,Vloersoorten[],3,FALSE)*VLOOKUP($S13,Frequenties[],3,FALSE)*VLOOKUP($A13,Locaties[],3,FALSE),0)</f>
        <v>0</v>
      </c>
      <c r="W13" s="37">
        <f>Ruimtestaat[[#This Row],[Uitvoeringen werkdagen]]*Ruimtestaat[[#This Row],[Oppervlak (netto)]]</f>
        <v>0</v>
      </c>
      <c r="X13" s="37">
        <f>IF(V13&gt;0,Ruimtestaat[[#This Row],[Prest. (m2 /jaar) werkdagen]]/Ruimtestaat[[#This Row],[Norm (m2/uur) werkdagen]],0)</f>
        <v>0</v>
      </c>
      <c r="Y13" s="37">
        <f>Ruimtestaat[[#This Row],[uren / jaar werkdagen]]*Tariefsopbouw!$D$38</f>
        <v>0</v>
      </c>
      <c r="Z13" s="37">
        <f>IF(Ruimtestaat[[#This Row],[Frequentie weekend]]&gt;0,VALUE(LEFT(T13,1))*R13,0)</f>
        <v>0</v>
      </c>
      <c r="AA13" s="37">
        <f>IF($Z13&gt;0,VLOOKUP($J13,Ruimtegroepen[],3,FALSE)*VLOOKUP($L13,Vloersoorten[],3,FALSE)*VLOOKUP($T13,Frequenties[],3,FALSE)*VLOOKUP($A13,Locaties[],3,FALSE),0)</f>
        <v>0</v>
      </c>
      <c r="AB13" s="37">
        <f>Ruimtestaat[[#This Row],[Uitvoeringen weekend]]*Ruimtestaat[[#This Row],[Oppervlak (netto)]]</f>
        <v>0</v>
      </c>
      <c r="AC13" s="37">
        <f>IF(AA13&gt;0,Ruimtestaat[[#This Row],[Prest. (m2 /jaar) weekend]]/Ruimtestaat[[#This Row],[Norm (m2/uur) weekend]],0)</f>
        <v>0</v>
      </c>
      <c r="AD13" s="37">
        <f>Ruimtestaat[[#This Row],[uren / jaar weekend]]*Tariefsopbouw!$D$40</f>
        <v>0</v>
      </c>
      <c r="AE13" s="89">
        <f>Ruimtestaat[[#This Row],[Prest. (m2 /jaar) weekend]]+Ruimtestaat[[#This Row],[Prest. (m2 /jaar) werkdagen]]</f>
        <v>0</v>
      </c>
      <c r="AF13" s="89">
        <f>Ruimtestaat[[#This Row],[uren / jaar weekend]]+Ruimtestaat[[#This Row],[uren / jaar werkdagen]]</f>
        <v>0</v>
      </c>
      <c r="AG13" s="90">
        <f>Ruimtestaat[[#This Row],[kosten / jaar weekend]]+Ruimtestaat[[#This Row],[kosten / jaar werkdagen]]</f>
        <v>0</v>
      </c>
      <c r="AH13" s="253"/>
      <c r="AI13" s="252" t="str">
        <f>IF(Ruimtestaat[[#This Row],[Frequentie werkdagen]]="","",_xlfn.CONCAT(Ruimtestaat[[#This Row],[Ruimte code]],"-",Ruimtestaat[[#This Row],[Frequentie werkdagen]]," ",Ruimtestaat[[#This Row],[Vloer code]]))</f>
        <v/>
      </c>
      <c r="AJ13" s="247" t="str">
        <f>_xlfn.IFNA(VLOOKUP(Ruimtestaat[[#This Row],[Programmacode
Regulier]],Programma!$F$4:$Y$36148,2,0),"_")</f>
        <v>_</v>
      </c>
      <c r="AK13" s="247" t="str">
        <f>_xlfn.IFNA(VLOOKUP(Ruimtestaat[[#This Row],[Programmacode
Regulier]],Programma!$F$4:$Y$36148,3,0),"_")</f>
        <v>_</v>
      </c>
      <c r="AL13" s="247" t="str">
        <f>_xlfn.IFNA(VLOOKUP(Ruimtestaat[[#This Row],[Programmacode
Regulier]],Programma!$F$4:$Y$36148,4,0),"_")</f>
        <v>_</v>
      </c>
      <c r="AM13" s="247" t="str">
        <f>_xlfn.IFNA(VLOOKUP(Ruimtestaat[[#This Row],[Programmacode
Regulier]],Programma!$F$4:$Y$36148,5,0),"_")</f>
        <v>_</v>
      </c>
      <c r="AN13" s="247" t="str">
        <f>_xlfn.IFNA(VLOOKUP(Ruimtestaat[[#This Row],[Programmacode
Regulier]],Programma!$F$4:$Y$36148,6,0),"_")</f>
        <v>_</v>
      </c>
      <c r="AO13" s="247" t="str">
        <f>_xlfn.IFNA(VLOOKUP(Ruimtestaat[[#This Row],[Programmacode
Regulier]],Programma!$F$4:$Y$36148,7,0),"_")</f>
        <v>_</v>
      </c>
      <c r="AP13" s="247" t="str">
        <f>_xlfn.IFNA(VLOOKUP(Ruimtestaat[[#This Row],[Programmacode
Regulier]],Programma!$F$4:$Y$36148,8,0),"_")</f>
        <v>_</v>
      </c>
      <c r="AQ13" s="247" t="str">
        <f>_xlfn.IFNA(VLOOKUP(Ruimtestaat[[#This Row],[Programmacode
Regulier]],Programma!$F$4:$Y$36148,9,0),"_")</f>
        <v>_</v>
      </c>
      <c r="AR13" s="248" t="str">
        <f>_xlfn.IFNA(VLOOKUP(Ruimtestaat[[#This Row],[Programmacode
Regulier]],Programma!$F$4:$Y$36148,10,0),"_")</f>
        <v>_</v>
      </c>
      <c r="AS13" s="248" t="str">
        <f>_xlfn.IFNA(VLOOKUP(Ruimtestaat[[#This Row],[Programmacode
Regulier]],Programma!$F$4:$Y$36148,11,0),"_")</f>
        <v>_</v>
      </c>
      <c r="AT13" s="248" t="str">
        <f>_xlfn.IFNA(VLOOKUP(Ruimtestaat[[#This Row],[Programmacode
Regulier]],Programma!$F$4:$Y$36148,12,0),"_")</f>
        <v>_</v>
      </c>
      <c r="AU13" s="248" t="str">
        <f>_xlfn.IFNA(VLOOKUP(Ruimtestaat[[#This Row],[Programmacode
Regulier]],Programma!$F$4:$Y$36148,13,0),"_")</f>
        <v>_</v>
      </c>
      <c r="AV13" s="248" t="str">
        <f>_xlfn.IFNA(VLOOKUP(Ruimtestaat[[#This Row],[Programmacode
Regulier]],Programma!$F$4:$Y$36148,14,0),"_")</f>
        <v>_</v>
      </c>
      <c r="AW13" s="248" t="str">
        <f>_xlfn.IFNA(VLOOKUP(Ruimtestaat[[#This Row],[Programmacode
Regulier]],Programma!$F$4:$Y$36148,15,0),"_")</f>
        <v>_</v>
      </c>
      <c r="AX13" s="248" t="str">
        <f>_xlfn.IFNA(VLOOKUP(Ruimtestaat[[#This Row],[Programmacode
Regulier]],Programma!$F$4:$Y$36148,16,0),"_")</f>
        <v>_</v>
      </c>
      <c r="AY13" s="248" t="str">
        <f>_xlfn.IFNA(VLOOKUP(Ruimtestaat[[#This Row],[Programmacode
Regulier]],Programma!$F$4:$Y$36148,17,0),"_")</f>
        <v>_</v>
      </c>
      <c r="AZ13" s="249" t="str">
        <f>_xlfn.IFNA(VLOOKUP(Ruimtestaat[[#This Row],[Programmacode
Regulier]],Programma!$F$4:$Y$36148,18,0),"_")</f>
        <v>_</v>
      </c>
      <c r="BA13" s="249" t="str">
        <f>_xlfn.IFNA(VLOOKUP(Ruimtestaat[[#This Row],[Programmacode
Regulier]],Programma!$F$4:$Y$36148,19,0),"_")</f>
        <v>_</v>
      </c>
      <c r="BB13" s="249" t="str">
        <f>_xlfn.IFNA(VLOOKUP(Ruimtestaat[[#This Row],[Programmacode
Regulier]],Programma!$F$4:$Y$36148,20,0),"_")</f>
        <v>_</v>
      </c>
      <c r="BC13" s="250"/>
      <c r="BD13" s="212" t="str">
        <f>IF(Ruimtestaat[[#This Row],[Frequentie weekend]]="","",_xlfn.CONCAT(Ruimtestaat[[#This Row],[Ruimte code]],"-",Ruimtestaat[[#This Row],[Frequentie weekend]]," ",Ruimtestaat[[#This Row],[Vloer code]]))</f>
        <v/>
      </c>
      <c r="BE13" s="247" t="str">
        <f>_xlfn.IFNA(VLOOKUP(Ruimtestaat[[#This Row],[Code Weekend]],Programma!$F$4:$Y$36148,2,0),"_")</f>
        <v>_</v>
      </c>
      <c r="BF13" s="247" t="str">
        <f>_xlfn.IFNA(VLOOKUP(Ruimtestaat[[#This Row],[Code Weekend]],Programma!$F$4:$Y$36148,3,0),"_")</f>
        <v>_</v>
      </c>
      <c r="BG13" s="247" t="str">
        <f>_xlfn.IFNA(VLOOKUP(Ruimtestaat[[#This Row],[Code Weekend]],Programma!$F$4:$Y$36148,4,0),"_")</f>
        <v>_</v>
      </c>
      <c r="BH13" s="247" t="str">
        <f>_xlfn.IFNA(VLOOKUP(Ruimtestaat[[#This Row],[Code Weekend]],Programma!$F$4:$Y$36148,5,0),"_")</f>
        <v>_</v>
      </c>
      <c r="BI13" s="247" t="str">
        <f>_xlfn.IFNA(VLOOKUP(Ruimtestaat[[#This Row],[Code Weekend]],Programma!$F$4:$Y$36148,6,0),"_")</f>
        <v>_</v>
      </c>
      <c r="BJ13" s="247" t="str">
        <f>_xlfn.IFNA(VLOOKUP(Ruimtestaat[[#This Row],[Code Weekend]],Programma!$F$4:$Y$36148,7,0),"_")</f>
        <v>_</v>
      </c>
      <c r="BK13" s="247" t="str">
        <f>_xlfn.IFNA(VLOOKUP(Ruimtestaat[[#This Row],[Code Weekend]],Programma!$F$4:$Y$36148,8,0),"_")</f>
        <v>_</v>
      </c>
      <c r="BL13" s="247" t="str">
        <f>_xlfn.IFNA(VLOOKUP(Ruimtestaat[[#This Row],[Code Weekend]],Programma!$F$4:$Y$36148,9,0),"_")</f>
        <v>_</v>
      </c>
      <c r="BM13" s="248" t="str">
        <f>_xlfn.IFNA(VLOOKUP(Ruimtestaat[[#This Row],[Code Weekend]],Programma!$F$4:$Y$36148,10,0),"_")</f>
        <v>_</v>
      </c>
      <c r="BN13" s="248" t="str">
        <f>_xlfn.IFNA(VLOOKUP(Ruimtestaat[[#This Row],[Code Weekend]],Programma!$F$4:$Y$36148,11,0),"_")</f>
        <v>_</v>
      </c>
      <c r="BO13" s="248" t="str">
        <f>_xlfn.IFNA(VLOOKUP(Ruimtestaat[[#This Row],[Code Weekend]],Programma!$F$4:$Y$36148,12,0),"_")</f>
        <v>_</v>
      </c>
      <c r="BP13" s="248" t="str">
        <f>_xlfn.IFNA(VLOOKUP(Ruimtestaat[[#This Row],[Code Weekend]],Programma!$F$4:$Y$36148,13,0),"_")</f>
        <v>_</v>
      </c>
      <c r="BQ13" s="248" t="str">
        <f>_xlfn.IFNA(VLOOKUP(Ruimtestaat[[#This Row],[Code Weekend]],Programma!$F$4:$Y$36148,14,0),"_")</f>
        <v>_</v>
      </c>
      <c r="BR13" s="248" t="str">
        <f>_xlfn.IFNA(VLOOKUP(Ruimtestaat[[#This Row],[Code Weekend]],Programma!$F$4:$Y$36148,15,0),"_")</f>
        <v>_</v>
      </c>
      <c r="BS13" s="248" t="str">
        <f>_xlfn.IFNA(VLOOKUP(Ruimtestaat[[#This Row],[Code Weekend]],Programma!$F$4:$Y$36148,16,0),"_")</f>
        <v>_</v>
      </c>
      <c r="BT13" s="248" t="str">
        <f>_xlfn.IFNA(VLOOKUP(Ruimtestaat[[#This Row],[Code Weekend]],Programma!$F$4:$Y$36148,17,0),"_")</f>
        <v>_</v>
      </c>
      <c r="BU13" s="249" t="str">
        <f>_xlfn.IFNA(VLOOKUP(Ruimtestaat[[#This Row],[Code Weekend]],Programma!$F$4:$Y$36148,18,0),"_")</f>
        <v>_</v>
      </c>
      <c r="BV13" s="249" t="str">
        <f>_xlfn.IFNA(VLOOKUP(Ruimtestaat[[#This Row],[Code Weekend]],Programma!$F$4:$Y$36148,19,0),"_")</f>
        <v>_</v>
      </c>
      <c r="BW13" s="249" t="str">
        <f>_xlfn.IFNA(VLOOKUP(Ruimtestaat[[#This Row],[Code Weekend]],Programma!$F$4:$Y$36148,20,0),"_")</f>
        <v>_</v>
      </c>
      <c r="BX13" s="91"/>
      <c r="BY13" s="91"/>
      <c r="BZ13" s="91"/>
      <c r="CA13" s="91"/>
      <c r="CB13" s="91"/>
      <c r="CC13" s="91"/>
      <c r="CD13" s="91"/>
      <c r="CE13" s="91"/>
      <c r="CF13" s="91"/>
      <c r="CG13" s="91"/>
      <c r="CH13" s="91"/>
      <c r="CI13" s="91"/>
      <c r="CJ13" s="91"/>
      <c r="CK13" s="91"/>
      <c r="CL13" s="91"/>
      <c r="CM13" s="91"/>
      <c r="CN13" s="91"/>
      <c r="CO13" s="91"/>
      <c r="CP13" s="91"/>
      <c r="CQ13" s="91"/>
      <c r="CR13" s="91"/>
      <c r="CS13" s="91"/>
      <c r="CT13" s="91"/>
      <c r="CU13" s="91"/>
      <c r="CV13" s="91"/>
      <c r="CW13" s="91"/>
      <c r="CX13" s="91"/>
      <c r="CY13" s="91"/>
      <c r="CZ13" s="91"/>
      <c r="DA13" s="91"/>
      <c r="DB13" s="91"/>
      <c r="DC13" s="91"/>
      <c r="DD13" s="91"/>
      <c r="DE13" s="91"/>
      <c r="DF13" s="91"/>
      <c r="DG13" s="91"/>
      <c r="DH13" s="91"/>
      <c r="DI13" s="91"/>
      <c r="DJ13" s="91"/>
      <c r="DK13" s="91"/>
      <c r="DL13" s="91"/>
      <c r="DM13" s="91"/>
      <c r="DN13" s="91"/>
      <c r="DO13" s="91"/>
      <c r="DP13" s="91"/>
      <c r="DQ13" s="91"/>
      <c r="DR13" s="91"/>
      <c r="DS13" s="91"/>
      <c r="DT13" s="91"/>
      <c r="DU13" s="91"/>
      <c r="DV13" s="91"/>
      <c r="DW13" s="91"/>
      <c r="DX13" s="91"/>
      <c r="DY13" s="91"/>
      <c r="DZ13" s="91"/>
      <c r="EA13" s="91"/>
      <c r="EB13" s="91"/>
      <c r="EC13" s="91"/>
      <c r="ED13" s="91"/>
      <c r="EE13" s="91"/>
      <c r="EF13" s="91"/>
      <c r="EG13" s="91"/>
      <c r="EH13" s="91"/>
      <c r="EI13" s="91"/>
      <c r="EJ13" s="91"/>
      <c r="EK13" s="91"/>
      <c r="EL13" s="91"/>
      <c r="EM13" s="91"/>
      <c r="EN13" s="91"/>
      <c r="EO13" s="91"/>
      <c r="EP13" s="91"/>
      <c r="EQ13" s="91"/>
      <c r="ER13" s="91"/>
      <c r="ES13" s="91"/>
      <c r="ET13" s="91"/>
      <c r="EU13" s="91"/>
      <c r="EV13" s="91"/>
      <c r="EW13" s="91"/>
      <c r="EX13" s="91"/>
      <c r="EY13" s="91"/>
      <c r="EZ13" s="91"/>
      <c r="FA13" s="91"/>
      <c r="FB13" s="91"/>
      <c r="FC13" s="91"/>
      <c r="FD13" s="91"/>
      <c r="FE13" s="91"/>
      <c r="FF13" s="91"/>
      <c r="FG13" s="91"/>
      <c r="FH13" s="91"/>
      <c r="FI13" s="91"/>
      <c r="FJ13" s="91"/>
      <c r="FK13" s="91"/>
      <c r="FL13" s="91"/>
      <c r="FM13" s="91"/>
      <c r="FN13" s="91"/>
      <c r="FO13" s="91"/>
      <c r="FP13" s="91"/>
      <c r="FQ13" s="91"/>
      <c r="FR13" s="91"/>
      <c r="FS13" s="91"/>
      <c r="FT13" s="91"/>
      <c r="FU13" s="91"/>
      <c r="FV13" s="91"/>
      <c r="FW13" s="91"/>
      <c r="FX13" s="91"/>
      <c r="FY13" s="91"/>
      <c r="FZ13" s="91"/>
      <c r="GA13" s="91"/>
      <c r="GB13" s="91"/>
      <c r="GC13" s="91"/>
      <c r="GD13" s="91"/>
      <c r="GE13" s="91"/>
      <c r="GF13" s="91"/>
      <c r="GG13" s="91"/>
      <c r="GH13" s="91"/>
      <c r="GI13" s="91"/>
      <c r="GJ13" s="91"/>
      <c r="GK13" s="91"/>
      <c r="GL13" s="91"/>
      <c r="GM13" s="91"/>
      <c r="GN13" s="91"/>
      <c r="GO13" s="91"/>
      <c r="GP13" s="91"/>
      <c r="GQ13" s="91"/>
      <c r="GR13" s="91"/>
      <c r="GS13" s="91"/>
      <c r="GT13" s="91"/>
      <c r="GU13" s="91"/>
      <c r="GV13" s="91"/>
      <c r="GW13" s="91"/>
      <c r="GX13" s="91"/>
      <c r="GY13" s="91"/>
      <c r="GZ13" s="91"/>
      <c r="HA13" s="91"/>
      <c r="HB13" s="91"/>
      <c r="HC13" s="91"/>
      <c r="HD13" s="91"/>
      <c r="HE13" s="91"/>
      <c r="HF13" s="91"/>
      <c r="HG13" s="91"/>
      <c r="HH13" s="91"/>
      <c r="HI13" s="91"/>
      <c r="HJ13" s="91"/>
      <c r="HK13" s="91"/>
    </row>
    <row r="14" spans="1:219" s="8" customFormat="1" ht="12.75" customHeight="1">
      <c r="A14" s="131">
        <v>1</v>
      </c>
      <c r="B14" s="22" t="str">
        <f>VLOOKUP(Ruimtestaat[[#This Row],[Code]],Locaties[#All],2,FALSE)</f>
        <v>ESH Secondary School</v>
      </c>
      <c r="C14" s="22" t="str">
        <f>VLOOKUP(Ruimtestaat[[#This Row],[Code]],Locaties[#All],4,FALSE)</f>
        <v>Oostduinlaan 50</v>
      </c>
      <c r="D14" s="334" t="str">
        <f>VLOOKUP(Ruimtestaat[[#This Row],[Code]],Locaties[#All],5,FALSE)</f>
        <v>2596 JP</v>
      </c>
      <c r="E14" s="334" t="str">
        <f>VLOOKUP(Ruimtestaat[[#This Row],[Code]],Locaties[#All],6,FALSE)</f>
        <v>Den Haag</v>
      </c>
      <c r="F14" s="326"/>
      <c r="G14" s="324" t="s">
        <v>1610</v>
      </c>
      <c r="H14" s="324" t="s">
        <v>1581</v>
      </c>
      <c r="I14" s="327" t="s">
        <v>1495</v>
      </c>
      <c r="J14" s="252" t="s">
        <v>1422</v>
      </c>
      <c r="K14" s="348" t="str">
        <f>VLOOKUP(J14,Ruimtegroepen[],2,FALSE)</f>
        <v>Gangen/hallen andere verdiepingen</v>
      </c>
      <c r="L14" s="212" t="s">
        <v>123</v>
      </c>
      <c r="M14" s="334" t="s">
        <v>144</v>
      </c>
      <c r="N14" s="330">
        <v>19</v>
      </c>
      <c r="O14" s="331"/>
      <c r="P14" s="332" t="str">
        <f>VLOOKUP(Ruimtestaat[[#This Row],[Ruimte code]],Ruimtegroepen[],4,FALSE)</f>
        <v>V  (Verkeersruimte)</v>
      </c>
      <c r="Q14" s="332"/>
      <c r="R14" s="333">
        <v>40</v>
      </c>
      <c r="S14" s="333" t="s">
        <v>2</v>
      </c>
      <c r="T14" s="37"/>
      <c r="U14" s="37">
        <f>IF(R14&gt;0,IF(RIGHT(Ruimtestaat[[#This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4" s="37">
        <f>IF(U14&gt;0,VLOOKUP($J14,Ruimtegroepen[],3,FALSE)*VLOOKUP($L14,Vloersoorten[],3,FALSE)*VLOOKUP($S14,Frequenties[],3,FALSE)*VLOOKUP($A14,Locaties[],3,FALSE),0)</f>
        <v>0</v>
      </c>
      <c r="W14" s="37">
        <f>Ruimtestaat[[#This Row],[Uitvoeringen werkdagen]]*Ruimtestaat[[#This Row],[Oppervlak (netto)]]</f>
        <v>3800</v>
      </c>
      <c r="X14" s="37">
        <f>IF(V14&gt;0,Ruimtestaat[[#This Row],[Prest. (m2 /jaar) werkdagen]]/Ruimtestaat[[#This Row],[Norm (m2/uur) werkdagen]],0)</f>
        <v>0</v>
      </c>
      <c r="Y14" s="37">
        <f>Ruimtestaat[[#This Row],[uren / jaar werkdagen]]*Tariefsopbouw!$D$38</f>
        <v>0</v>
      </c>
      <c r="Z14" s="37">
        <f>IF(Ruimtestaat[[#This Row],[Frequentie weekend]]&gt;0,VALUE(LEFT(T14,1))*R14,0)</f>
        <v>0</v>
      </c>
      <c r="AA14" s="37">
        <f>IF($Z14&gt;0,VLOOKUP($J14,Ruimtegroepen[],3,FALSE)*VLOOKUP($L14,Vloersoorten[],3,FALSE)*VLOOKUP($T14,Frequenties[],3,FALSE)*VLOOKUP($A14,Locaties[],3,FALSE),0)</f>
        <v>0</v>
      </c>
      <c r="AB14" s="37">
        <f>Ruimtestaat[[#This Row],[Uitvoeringen weekend]]*Ruimtestaat[[#This Row],[Oppervlak (netto)]]</f>
        <v>0</v>
      </c>
      <c r="AC14" s="37">
        <f>IF(AA14&gt;0,Ruimtestaat[[#This Row],[Prest. (m2 /jaar) weekend]]/Ruimtestaat[[#This Row],[Norm (m2/uur) weekend]],0)</f>
        <v>0</v>
      </c>
      <c r="AD14" s="37">
        <f>Ruimtestaat[[#This Row],[uren / jaar weekend]]*Tariefsopbouw!$D$40</f>
        <v>0</v>
      </c>
      <c r="AE14" s="89">
        <f>Ruimtestaat[[#This Row],[Prest. (m2 /jaar) weekend]]+Ruimtestaat[[#This Row],[Prest. (m2 /jaar) werkdagen]]</f>
        <v>3800</v>
      </c>
      <c r="AF14" s="89">
        <f>Ruimtestaat[[#This Row],[uren / jaar weekend]]+Ruimtestaat[[#This Row],[uren / jaar werkdagen]]</f>
        <v>0</v>
      </c>
      <c r="AG14" s="90">
        <f>Ruimtestaat[[#This Row],[kosten / jaar weekend]]+Ruimtestaat[[#This Row],[kosten / jaar werkdagen]]</f>
        <v>0</v>
      </c>
      <c r="AH14" s="253"/>
      <c r="AI14" s="252" t="str">
        <f>IF(Ruimtestaat[[#This Row],[Frequentie werkdagen]]="","",_xlfn.CONCAT(Ruimtestaat[[#This Row],[Ruimte code]],"-",Ruimtestaat[[#This Row],[Frequentie werkdagen]]," ",Ruimtestaat[[#This Row],[Vloer code]]))</f>
        <v>6a-5w P</v>
      </c>
      <c r="AJ14" s="247" t="str">
        <f>_xlfn.IFNA(VLOOKUP(Ruimtestaat[[#This Row],[Programmacode
Regulier]],Programma!$F$4:$Y$36148,2,0),"_")</f>
        <v>_</v>
      </c>
      <c r="AK14" s="247" t="str">
        <f>_xlfn.IFNA(VLOOKUP(Ruimtestaat[[#This Row],[Programmacode
Regulier]],Programma!$F$4:$Y$36148,3,0),"_")</f>
        <v>_</v>
      </c>
      <c r="AL14" s="247" t="str">
        <f>_xlfn.IFNA(VLOOKUP(Ruimtestaat[[#This Row],[Programmacode
Regulier]],Programma!$F$4:$Y$36148,4,0),"_")</f>
        <v>5w</v>
      </c>
      <c r="AM14" s="247" t="str">
        <f>_xlfn.IFNA(VLOOKUP(Ruimtestaat[[#This Row],[Programmacode
Regulier]],Programma!$F$4:$Y$36148,5,0),"_")</f>
        <v>4w</v>
      </c>
      <c r="AN14" s="247" t="str">
        <f>_xlfn.IFNA(VLOOKUP(Ruimtestaat[[#This Row],[Programmacode
Regulier]],Programma!$F$4:$Y$36148,6,0),"_")</f>
        <v>1w</v>
      </c>
      <c r="AO14" s="247" t="str">
        <f>_xlfn.IFNA(VLOOKUP(Ruimtestaat[[#This Row],[Programmacode
Regulier]],Programma!$F$4:$Y$36148,7,0),"_")</f>
        <v>_</v>
      </c>
      <c r="AP14" s="247" t="str">
        <f>_xlfn.IFNA(VLOOKUP(Ruimtestaat[[#This Row],[Programmacode
Regulier]],Programma!$F$4:$Y$36148,8,0),"_")</f>
        <v>_</v>
      </c>
      <c r="AQ14" s="247" t="str">
        <f>_xlfn.IFNA(VLOOKUP(Ruimtestaat[[#This Row],[Programmacode
Regulier]],Programma!$F$4:$Y$36148,9,0),"_")</f>
        <v>_</v>
      </c>
      <c r="AR14" s="248" t="str">
        <f>_xlfn.IFNA(VLOOKUP(Ruimtestaat[[#This Row],[Programmacode
Regulier]],Programma!$F$4:$Y$36148,10,0),"_")</f>
        <v>5w</v>
      </c>
      <c r="AS14" s="248" t="str">
        <f>_xlfn.IFNA(VLOOKUP(Ruimtestaat[[#This Row],[Programmacode
Regulier]],Programma!$F$4:$Y$36148,11,0),"_")</f>
        <v>5w</v>
      </c>
      <c r="AT14" s="248" t="str">
        <f>_xlfn.IFNA(VLOOKUP(Ruimtestaat[[#This Row],[Programmacode
Regulier]],Programma!$F$4:$Y$36148,12,0),"_")</f>
        <v>1w</v>
      </c>
      <c r="AU14" s="248" t="str">
        <f>_xlfn.IFNA(VLOOKUP(Ruimtestaat[[#This Row],[Programmacode
Regulier]],Programma!$F$4:$Y$36148,13,0),"_")</f>
        <v>1w</v>
      </c>
      <c r="AV14" s="248" t="str">
        <f>_xlfn.IFNA(VLOOKUP(Ruimtestaat[[#This Row],[Programmacode
Regulier]],Programma!$F$4:$Y$36148,14,0),"_")</f>
        <v>1m</v>
      </c>
      <c r="AW14" s="248" t="str">
        <f>_xlfn.IFNA(VLOOKUP(Ruimtestaat[[#This Row],[Programmacode
Regulier]],Programma!$F$4:$Y$36148,15,0),"_")</f>
        <v>2j</v>
      </c>
      <c r="AX14" s="248" t="str">
        <f>_xlfn.IFNA(VLOOKUP(Ruimtestaat[[#This Row],[Programmacode
Regulier]],Programma!$F$4:$Y$36148,16,0),"_")</f>
        <v>1j</v>
      </c>
      <c r="AY14" s="248" t="str">
        <f>_xlfn.IFNA(VLOOKUP(Ruimtestaat[[#This Row],[Programmacode
Regulier]],Programma!$F$4:$Y$36148,17,0),"_")</f>
        <v>_</v>
      </c>
      <c r="AZ14" s="249" t="str">
        <f>_xlfn.IFNA(VLOOKUP(Ruimtestaat[[#This Row],[Programmacode
Regulier]],Programma!$F$4:$Y$36148,18,0),"_")</f>
        <v>_</v>
      </c>
      <c r="BA14" s="249" t="str">
        <f>_xlfn.IFNA(VLOOKUP(Ruimtestaat[[#This Row],[Programmacode
Regulier]],Programma!$F$4:$Y$36148,19,0),"_")</f>
        <v>_</v>
      </c>
      <c r="BB14" s="249" t="str">
        <f>_xlfn.IFNA(VLOOKUP(Ruimtestaat[[#This Row],[Programmacode
Regulier]],Programma!$F$4:$Y$36148,20,0),"_")</f>
        <v>_</v>
      </c>
      <c r="BC14" s="250"/>
      <c r="BD14" s="212" t="str">
        <f>IF(Ruimtestaat[[#This Row],[Frequentie weekend]]="","",_xlfn.CONCAT(Ruimtestaat[[#This Row],[Ruimte code]],"-",Ruimtestaat[[#This Row],[Frequentie weekend]]," ",Ruimtestaat[[#This Row],[Vloer code]]))</f>
        <v/>
      </c>
      <c r="BE14" s="247" t="str">
        <f>_xlfn.IFNA(VLOOKUP(Ruimtestaat[[#This Row],[Code Weekend]],Programma!$F$4:$Y$36148,2,0),"_")</f>
        <v>_</v>
      </c>
      <c r="BF14" s="247" t="str">
        <f>_xlfn.IFNA(VLOOKUP(Ruimtestaat[[#This Row],[Code Weekend]],Programma!$F$4:$Y$36148,3,0),"_")</f>
        <v>_</v>
      </c>
      <c r="BG14" s="247" t="str">
        <f>_xlfn.IFNA(VLOOKUP(Ruimtestaat[[#This Row],[Code Weekend]],Programma!$F$4:$Y$36148,4,0),"_")</f>
        <v>_</v>
      </c>
      <c r="BH14" s="247" t="str">
        <f>_xlfn.IFNA(VLOOKUP(Ruimtestaat[[#This Row],[Code Weekend]],Programma!$F$4:$Y$36148,5,0),"_")</f>
        <v>_</v>
      </c>
      <c r="BI14" s="247" t="str">
        <f>_xlfn.IFNA(VLOOKUP(Ruimtestaat[[#This Row],[Code Weekend]],Programma!$F$4:$Y$36148,6,0),"_")</f>
        <v>_</v>
      </c>
      <c r="BJ14" s="247" t="str">
        <f>_xlfn.IFNA(VLOOKUP(Ruimtestaat[[#This Row],[Code Weekend]],Programma!$F$4:$Y$36148,7,0),"_")</f>
        <v>_</v>
      </c>
      <c r="BK14" s="247" t="str">
        <f>_xlfn.IFNA(VLOOKUP(Ruimtestaat[[#This Row],[Code Weekend]],Programma!$F$4:$Y$36148,8,0),"_")</f>
        <v>_</v>
      </c>
      <c r="BL14" s="247" t="str">
        <f>_xlfn.IFNA(VLOOKUP(Ruimtestaat[[#This Row],[Code Weekend]],Programma!$F$4:$Y$36148,9,0),"_")</f>
        <v>_</v>
      </c>
      <c r="BM14" s="248" t="str">
        <f>_xlfn.IFNA(VLOOKUP(Ruimtestaat[[#This Row],[Code Weekend]],Programma!$F$4:$Y$36148,10,0),"_")</f>
        <v>_</v>
      </c>
      <c r="BN14" s="248" t="str">
        <f>_xlfn.IFNA(VLOOKUP(Ruimtestaat[[#This Row],[Code Weekend]],Programma!$F$4:$Y$36148,11,0),"_")</f>
        <v>_</v>
      </c>
      <c r="BO14" s="248" t="str">
        <f>_xlfn.IFNA(VLOOKUP(Ruimtestaat[[#This Row],[Code Weekend]],Programma!$F$4:$Y$36148,12,0),"_")</f>
        <v>_</v>
      </c>
      <c r="BP14" s="248" t="str">
        <f>_xlfn.IFNA(VLOOKUP(Ruimtestaat[[#This Row],[Code Weekend]],Programma!$F$4:$Y$36148,13,0),"_")</f>
        <v>_</v>
      </c>
      <c r="BQ14" s="248" t="str">
        <f>_xlfn.IFNA(VLOOKUP(Ruimtestaat[[#This Row],[Code Weekend]],Programma!$F$4:$Y$36148,14,0),"_")</f>
        <v>_</v>
      </c>
      <c r="BR14" s="248" t="str">
        <f>_xlfn.IFNA(VLOOKUP(Ruimtestaat[[#This Row],[Code Weekend]],Programma!$F$4:$Y$36148,15,0),"_")</f>
        <v>_</v>
      </c>
      <c r="BS14" s="248" t="str">
        <f>_xlfn.IFNA(VLOOKUP(Ruimtestaat[[#This Row],[Code Weekend]],Programma!$F$4:$Y$36148,16,0),"_")</f>
        <v>_</v>
      </c>
      <c r="BT14" s="248" t="str">
        <f>_xlfn.IFNA(VLOOKUP(Ruimtestaat[[#This Row],[Code Weekend]],Programma!$F$4:$Y$36148,17,0),"_")</f>
        <v>_</v>
      </c>
      <c r="BU14" s="249" t="str">
        <f>_xlfn.IFNA(VLOOKUP(Ruimtestaat[[#This Row],[Code Weekend]],Programma!$F$4:$Y$36148,18,0),"_")</f>
        <v>_</v>
      </c>
      <c r="BV14" s="249" t="str">
        <f>_xlfn.IFNA(VLOOKUP(Ruimtestaat[[#This Row],[Code Weekend]],Programma!$F$4:$Y$36148,19,0),"_")</f>
        <v>_</v>
      </c>
      <c r="BW14" s="249" t="str">
        <f>_xlfn.IFNA(VLOOKUP(Ruimtestaat[[#This Row],[Code Weekend]],Programma!$F$4:$Y$36148,20,0),"_")</f>
        <v>_</v>
      </c>
      <c r="BX14" s="91"/>
      <c r="BY14" s="91"/>
      <c r="BZ14" s="91"/>
      <c r="CA14" s="91"/>
      <c r="CB14" s="91"/>
      <c r="CC14" s="91"/>
      <c r="CD14" s="91"/>
      <c r="CE14" s="91"/>
      <c r="CF14" s="91"/>
      <c r="CG14" s="91"/>
      <c r="CH14" s="91"/>
      <c r="CI14" s="91"/>
      <c r="CJ14" s="91"/>
      <c r="CK14" s="91"/>
      <c r="CL14" s="91"/>
      <c r="CM14" s="91"/>
      <c r="CN14" s="91"/>
      <c r="CO14" s="91"/>
      <c r="CP14" s="91"/>
      <c r="CQ14" s="91"/>
      <c r="CR14" s="91"/>
      <c r="CS14" s="91"/>
      <c r="CT14" s="91"/>
      <c r="CU14" s="91"/>
      <c r="CV14" s="91"/>
      <c r="CW14" s="91"/>
      <c r="CX14" s="91"/>
      <c r="CY14" s="91"/>
      <c r="CZ14" s="91"/>
      <c r="DA14" s="91"/>
      <c r="DB14" s="91"/>
      <c r="DC14" s="91"/>
      <c r="DD14" s="91"/>
      <c r="DE14" s="91"/>
      <c r="DF14" s="91"/>
      <c r="DG14" s="91"/>
      <c r="DH14" s="91"/>
      <c r="DI14" s="91"/>
      <c r="DJ14" s="91"/>
      <c r="DK14" s="91"/>
      <c r="DL14" s="91"/>
      <c r="DM14" s="91"/>
      <c r="DN14" s="91"/>
      <c r="DO14" s="91"/>
      <c r="DP14" s="91"/>
      <c r="DQ14" s="91"/>
      <c r="DR14" s="91"/>
      <c r="DS14" s="91"/>
      <c r="DT14" s="91"/>
      <c r="DU14" s="91"/>
      <c r="DV14" s="91"/>
      <c r="DW14" s="91"/>
      <c r="DX14" s="91"/>
      <c r="DY14" s="91"/>
      <c r="DZ14" s="91"/>
      <c r="EA14" s="91"/>
      <c r="EB14" s="91"/>
      <c r="EC14" s="91"/>
      <c r="ED14" s="91"/>
      <c r="EE14" s="91"/>
      <c r="EF14" s="91"/>
      <c r="EG14" s="91"/>
      <c r="EH14" s="91"/>
      <c r="EI14" s="91"/>
      <c r="EJ14" s="91"/>
      <c r="EK14" s="91"/>
      <c r="EL14" s="91"/>
      <c r="EM14" s="91"/>
      <c r="EN14" s="91"/>
      <c r="EO14" s="91"/>
      <c r="EP14" s="91"/>
      <c r="EQ14" s="91"/>
      <c r="ER14" s="91"/>
      <c r="ES14" s="91"/>
      <c r="ET14" s="91"/>
      <c r="EU14" s="91"/>
      <c r="EV14" s="91"/>
      <c r="EW14" s="91"/>
      <c r="EX14" s="91"/>
      <c r="EY14" s="91"/>
      <c r="EZ14" s="91"/>
      <c r="FA14" s="91"/>
      <c r="FB14" s="91"/>
      <c r="FC14" s="91"/>
      <c r="FD14" s="91"/>
      <c r="FE14" s="91"/>
      <c r="FF14" s="91"/>
      <c r="FG14" s="91"/>
      <c r="FH14" s="91"/>
      <c r="FI14" s="91"/>
      <c r="FJ14" s="91"/>
      <c r="FK14" s="91"/>
      <c r="FL14" s="91"/>
      <c r="FM14" s="91"/>
      <c r="FN14" s="91"/>
      <c r="FO14" s="91"/>
      <c r="FP14" s="91"/>
      <c r="FQ14" s="91"/>
      <c r="FR14" s="91"/>
      <c r="FS14" s="91"/>
      <c r="FT14" s="91"/>
      <c r="FU14" s="91"/>
      <c r="FV14" s="91"/>
      <c r="FW14" s="91"/>
      <c r="FX14" s="91"/>
      <c r="FY14" s="91"/>
      <c r="FZ14" s="91"/>
      <c r="GA14" s="91"/>
      <c r="GB14" s="91"/>
      <c r="GC14" s="91"/>
      <c r="GD14" s="91"/>
      <c r="GE14" s="91"/>
      <c r="GF14" s="91"/>
      <c r="GG14" s="91"/>
      <c r="GH14" s="91"/>
      <c r="GI14" s="91"/>
      <c r="GJ14" s="91"/>
      <c r="GK14" s="91"/>
      <c r="GL14" s="91"/>
      <c r="GM14" s="91"/>
      <c r="GN14" s="91"/>
      <c r="GO14" s="91"/>
      <c r="GP14" s="91"/>
      <c r="GQ14" s="91"/>
      <c r="GR14" s="91"/>
      <c r="GS14" s="91"/>
      <c r="GT14" s="91"/>
      <c r="GU14" s="91"/>
      <c r="GV14" s="91"/>
      <c r="GW14" s="91"/>
      <c r="GX14" s="91"/>
      <c r="GY14" s="91"/>
      <c r="GZ14" s="91"/>
      <c r="HA14" s="91"/>
      <c r="HB14" s="91"/>
      <c r="HC14" s="91"/>
      <c r="HD14" s="91"/>
      <c r="HE14" s="91"/>
      <c r="HF14" s="91"/>
      <c r="HG14" s="91"/>
      <c r="HH14" s="91"/>
      <c r="HI14" s="91"/>
      <c r="HJ14" s="91"/>
      <c r="HK14" s="91"/>
    </row>
    <row r="15" spans="1:219" s="8" customFormat="1" ht="12.75" customHeight="1">
      <c r="A15" s="131">
        <v>1</v>
      </c>
      <c r="B15" s="22" t="str">
        <f>VLOOKUP(Ruimtestaat[[#This Row],[Code]],Locaties[#All],2,FALSE)</f>
        <v>ESH Secondary School</v>
      </c>
      <c r="C15" s="22" t="str">
        <f>VLOOKUP(Ruimtestaat[[#This Row],[Code]],Locaties[#All],4,FALSE)</f>
        <v>Oostduinlaan 50</v>
      </c>
      <c r="D15" s="334" t="str">
        <f>VLOOKUP(Ruimtestaat[[#This Row],[Code]],Locaties[#All],5,FALSE)</f>
        <v>2596 JP</v>
      </c>
      <c r="E15" s="334" t="str">
        <f>VLOOKUP(Ruimtestaat[[#This Row],[Code]],Locaties[#All],6,FALSE)</f>
        <v>Den Haag</v>
      </c>
      <c r="F15" s="326"/>
      <c r="G15" s="324" t="s">
        <v>1610</v>
      </c>
      <c r="H15" s="324" t="s">
        <v>1582</v>
      </c>
      <c r="I15" s="327" t="s">
        <v>1495</v>
      </c>
      <c r="J15" s="252" t="s">
        <v>1422</v>
      </c>
      <c r="K15" s="348" t="str">
        <f>VLOOKUP(J15,Ruimtegroepen[],2,FALSE)</f>
        <v>Gangen/hallen andere verdiepingen</v>
      </c>
      <c r="L15" s="212" t="s">
        <v>123</v>
      </c>
      <c r="M15" s="334" t="s">
        <v>144</v>
      </c>
      <c r="N15" s="330">
        <v>7</v>
      </c>
      <c r="O15" s="331"/>
      <c r="P15" s="332" t="str">
        <f>VLOOKUP(Ruimtestaat[[#This Row],[Ruimte code]],Ruimtegroepen[],4,FALSE)</f>
        <v>V  (Verkeersruimte)</v>
      </c>
      <c r="Q15" s="332"/>
      <c r="R15" s="333">
        <v>40</v>
      </c>
      <c r="S15" s="333" t="s">
        <v>2</v>
      </c>
      <c r="T15" s="37"/>
      <c r="U15" s="37">
        <f>IF(R15&gt;0,IF(RIGHT(Ruimtestaat[[#This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5" s="37">
        <f>IF(U15&gt;0,VLOOKUP($J15,Ruimtegroepen[],3,FALSE)*VLOOKUP($L15,Vloersoorten[],3,FALSE)*VLOOKUP($S15,Frequenties[],3,FALSE)*VLOOKUP($A15,Locaties[],3,FALSE),0)</f>
        <v>0</v>
      </c>
      <c r="W15" s="37">
        <f>Ruimtestaat[[#This Row],[Uitvoeringen werkdagen]]*Ruimtestaat[[#This Row],[Oppervlak (netto)]]</f>
        <v>1400</v>
      </c>
      <c r="X15" s="37">
        <f>IF(V15&gt;0,Ruimtestaat[[#This Row],[Prest. (m2 /jaar) werkdagen]]/Ruimtestaat[[#This Row],[Norm (m2/uur) werkdagen]],0)</f>
        <v>0</v>
      </c>
      <c r="Y15" s="37">
        <f>Ruimtestaat[[#This Row],[uren / jaar werkdagen]]*Tariefsopbouw!$D$38</f>
        <v>0</v>
      </c>
      <c r="Z15" s="37">
        <f>IF(Ruimtestaat[[#This Row],[Frequentie weekend]]&gt;0,VALUE(LEFT(T15,1))*R15,0)</f>
        <v>0</v>
      </c>
      <c r="AA15" s="37">
        <f>IF($Z15&gt;0,VLOOKUP($J15,Ruimtegroepen[],3,FALSE)*VLOOKUP($L15,Vloersoorten[],3,FALSE)*VLOOKUP($T15,Frequenties[],3,FALSE)*VLOOKUP($A15,Locaties[],3,FALSE),0)</f>
        <v>0</v>
      </c>
      <c r="AB15" s="37">
        <f>Ruimtestaat[[#This Row],[Uitvoeringen weekend]]*Ruimtestaat[[#This Row],[Oppervlak (netto)]]</f>
        <v>0</v>
      </c>
      <c r="AC15" s="37">
        <f>IF(AA15&gt;0,Ruimtestaat[[#This Row],[Prest. (m2 /jaar) weekend]]/Ruimtestaat[[#This Row],[Norm (m2/uur) weekend]],0)</f>
        <v>0</v>
      </c>
      <c r="AD15" s="37">
        <f>Ruimtestaat[[#This Row],[uren / jaar weekend]]*Tariefsopbouw!$D$40</f>
        <v>0</v>
      </c>
      <c r="AE15" s="89">
        <f>Ruimtestaat[[#This Row],[Prest. (m2 /jaar) weekend]]+Ruimtestaat[[#This Row],[Prest. (m2 /jaar) werkdagen]]</f>
        <v>1400</v>
      </c>
      <c r="AF15" s="89">
        <f>Ruimtestaat[[#This Row],[uren / jaar weekend]]+Ruimtestaat[[#This Row],[uren / jaar werkdagen]]</f>
        <v>0</v>
      </c>
      <c r="AG15" s="90">
        <f>Ruimtestaat[[#This Row],[kosten / jaar weekend]]+Ruimtestaat[[#This Row],[kosten / jaar werkdagen]]</f>
        <v>0</v>
      </c>
      <c r="AH15" s="253"/>
      <c r="AI15" s="252" t="str">
        <f>IF(Ruimtestaat[[#This Row],[Frequentie werkdagen]]="","",_xlfn.CONCAT(Ruimtestaat[[#This Row],[Ruimte code]],"-",Ruimtestaat[[#This Row],[Frequentie werkdagen]]," ",Ruimtestaat[[#This Row],[Vloer code]]))</f>
        <v>6a-5w P</v>
      </c>
      <c r="AJ15" s="247" t="str">
        <f>_xlfn.IFNA(VLOOKUP(Ruimtestaat[[#This Row],[Programmacode
Regulier]],Programma!$F$4:$Y$36148,2,0),"_")</f>
        <v>_</v>
      </c>
      <c r="AK15" s="247" t="str">
        <f>_xlfn.IFNA(VLOOKUP(Ruimtestaat[[#This Row],[Programmacode
Regulier]],Programma!$F$4:$Y$36148,3,0),"_")</f>
        <v>_</v>
      </c>
      <c r="AL15" s="247" t="str">
        <f>_xlfn.IFNA(VLOOKUP(Ruimtestaat[[#This Row],[Programmacode
Regulier]],Programma!$F$4:$Y$36148,4,0),"_")</f>
        <v>5w</v>
      </c>
      <c r="AM15" s="247" t="str">
        <f>_xlfn.IFNA(VLOOKUP(Ruimtestaat[[#This Row],[Programmacode
Regulier]],Programma!$F$4:$Y$36148,5,0),"_")</f>
        <v>4w</v>
      </c>
      <c r="AN15" s="247" t="str">
        <f>_xlfn.IFNA(VLOOKUP(Ruimtestaat[[#This Row],[Programmacode
Regulier]],Programma!$F$4:$Y$36148,6,0),"_")</f>
        <v>1w</v>
      </c>
      <c r="AO15" s="247" t="str">
        <f>_xlfn.IFNA(VLOOKUP(Ruimtestaat[[#This Row],[Programmacode
Regulier]],Programma!$F$4:$Y$36148,7,0),"_")</f>
        <v>_</v>
      </c>
      <c r="AP15" s="247" t="str">
        <f>_xlfn.IFNA(VLOOKUP(Ruimtestaat[[#This Row],[Programmacode
Regulier]],Programma!$F$4:$Y$36148,8,0),"_")</f>
        <v>_</v>
      </c>
      <c r="AQ15" s="247" t="str">
        <f>_xlfn.IFNA(VLOOKUP(Ruimtestaat[[#This Row],[Programmacode
Regulier]],Programma!$F$4:$Y$36148,9,0),"_")</f>
        <v>_</v>
      </c>
      <c r="AR15" s="248" t="str">
        <f>_xlfn.IFNA(VLOOKUP(Ruimtestaat[[#This Row],[Programmacode
Regulier]],Programma!$F$4:$Y$36148,10,0),"_")</f>
        <v>5w</v>
      </c>
      <c r="AS15" s="248" t="str">
        <f>_xlfn.IFNA(VLOOKUP(Ruimtestaat[[#This Row],[Programmacode
Regulier]],Programma!$F$4:$Y$36148,11,0),"_")</f>
        <v>5w</v>
      </c>
      <c r="AT15" s="248" t="str">
        <f>_xlfn.IFNA(VLOOKUP(Ruimtestaat[[#This Row],[Programmacode
Regulier]],Programma!$F$4:$Y$36148,12,0),"_")</f>
        <v>1w</v>
      </c>
      <c r="AU15" s="248" t="str">
        <f>_xlfn.IFNA(VLOOKUP(Ruimtestaat[[#This Row],[Programmacode
Regulier]],Programma!$F$4:$Y$36148,13,0),"_")</f>
        <v>1w</v>
      </c>
      <c r="AV15" s="248" t="str">
        <f>_xlfn.IFNA(VLOOKUP(Ruimtestaat[[#This Row],[Programmacode
Regulier]],Programma!$F$4:$Y$36148,14,0),"_")</f>
        <v>1m</v>
      </c>
      <c r="AW15" s="248" t="str">
        <f>_xlfn.IFNA(VLOOKUP(Ruimtestaat[[#This Row],[Programmacode
Regulier]],Programma!$F$4:$Y$36148,15,0),"_")</f>
        <v>2j</v>
      </c>
      <c r="AX15" s="248" t="str">
        <f>_xlfn.IFNA(VLOOKUP(Ruimtestaat[[#This Row],[Programmacode
Regulier]],Programma!$F$4:$Y$36148,16,0),"_")</f>
        <v>1j</v>
      </c>
      <c r="AY15" s="248" t="str">
        <f>_xlfn.IFNA(VLOOKUP(Ruimtestaat[[#This Row],[Programmacode
Regulier]],Programma!$F$4:$Y$36148,17,0),"_")</f>
        <v>_</v>
      </c>
      <c r="AZ15" s="249" t="str">
        <f>_xlfn.IFNA(VLOOKUP(Ruimtestaat[[#This Row],[Programmacode
Regulier]],Programma!$F$4:$Y$36148,18,0),"_")</f>
        <v>_</v>
      </c>
      <c r="BA15" s="249" t="str">
        <f>_xlfn.IFNA(VLOOKUP(Ruimtestaat[[#This Row],[Programmacode
Regulier]],Programma!$F$4:$Y$36148,19,0),"_")</f>
        <v>_</v>
      </c>
      <c r="BB15" s="249" t="str">
        <f>_xlfn.IFNA(VLOOKUP(Ruimtestaat[[#This Row],[Programmacode
Regulier]],Programma!$F$4:$Y$36148,20,0),"_")</f>
        <v>_</v>
      </c>
      <c r="BC15" s="250"/>
      <c r="BD15" s="212" t="str">
        <f>IF(Ruimtestaat[[#This Row],[Frequentie weekend]]="","",_xlfn.CONCAT(Ruimtestaat[[#This Row],[Ruimte code]],"-",Ruimtestaat[[#This Row],[Frequentie weekend]]," ",Ruimtestaat[[#This Row],[Vloer code]]))</f>
        <v/>
      </c>
      <c r="BE15" s="247" t="str">
        <f>_xlfn.IFNA(VLOOKUP(Ruimtestaat[[#This Row],[Code Weekend]],Programma!$F$4:$Y$36148,2,0),"_")</f>
        <v>_</v>
      </c>
      <c r="BF15" s="247" t="str">
        <f>_xlfn.IFNA(VLOOKUP(Ruimtestaat[[#This Row],[Code Weekend]],Programma!$F$4:$Y$36148,3,0),"_")</f>
        <v>_</v>
      </c>
      <c r="BG15" s="247" t="str">
        <f>_xlfn.IFNA(VLOOKUP(Ruimtestaat[[#This Row],[Code Weekend]],Programma!$F$4:$Y$36148,4,0),"_")</f>
        <v>_</v>
      </c>
      <c r="BH15" s="247" t="str">
        <f>_xlfn.IFNA(VLOOKUP(Ruimtestaat[[#This Row],[Code Weekend]],Programma!$F$4:$Y$36148,5,0),"_")</f>
        <v>_</v>
      </c>
      <c r="BI15" s="247" t="str">
        <f>_xlfn.IFNA(VLOOKUP(Ruimtestaat[[#This Row],[Code Weekend]],Programma!$F$4:$Y$36148,6,0),"_")</f>
        <v>_</v>
      </c>
      <c r="BJ15" s="247" t="str">
        <f>_xlfn.IFNA(VLOOKUP(Ruimtestaat[[#This Row],[Code Weekend]],Programma!$F$4:$Y$36148,7,0),"_")</f>
        <v>_</v>
      </c>
      <c r="BK15" s="247" t="str">
        <f>_xlfn.IFNA(VLOOKUP(Ruimtestaat[[#This Row],[Code Weekend]],Programma!$F$4:$Y$36148,8,0),"_")</f>
        <v>_</v>
      </c>
      <c r="BL15" s="247" t="str">
        <f>_xlfn.IFNA(VLOOKUP(Ruimtestaat[[#This Row],[Code Weekend]],Programma!$F$4:$Y$36148,9,0),"_")</f>
        <v>_</v>
      </c>
      <c r="BM15" s="248" t="str">
        <f>_xlfn.IFNA(VLOOKUP(Ruimtestaat[[#This Row],[Code Weekend]],Programma!$F$4:$Y$36148,10,0),"_")</f>
        <v>_</v>
      </c>
      <c r="BN15" s="248" t="str">
        <f>_xlfn.IFNA(VLOOKUP(Ruimtestaat[[#This Row],[Code Weekend]],Programma!$F$4:$Y$36148,11,0),"_")</f>
        <v>_</v>
      </c>
      <c r="BO15" s="248" t="str">
        <f>_xlfn.IFNA(VLOOKUP(Ruimtestaat[[#This Row],[Code Weekend]],Programma!$F$4:$Y$36148,12,0),"_")</f>
        <v>_</v>
      </c>
      <c r="BP15" s="248" t="str">
        <f>_xlfn.IFNA(VLOOKUP(Ruimtestaat[[#This Row],[Code Weekend]],Programma!$F$4:$Y$36148,13,0),"_")</f>
        <v>_</v>
      </c>
      <c r="BQ15" s="248" t="str">
        <f>_xlfn.IFNA(VLOOKUP(Ruimtestaat[[#This Row],[Code Weekend]],Programma!$F$4:$Y$36148,14,0),"_")</f>
        <v>_</v>
      </c>
      <c r="BR15" s="248" t="str">
        <f>_xlfn.IFNA(VLOOKUP(Ruimtestaat[[#This Row],[Code Weekend]],Programma!$F$4:$Y$36148,15,0),"_")</f>
        <v>_</v>
      </c>
      <c r="BS15" s="248" t="str">
        <f>_xlfn.IFNA(VLOOKUP(Ruimtestaat[[#This Row],[Code Weekend]],Programma!$F$4:$Y$36148,16,0),"_")</f>
        <v>_</v>
      </c>
      <c r="BT15" s="248" t="str">
        <f>_xlfn.IFNA(VLOOKUP(Ruimtestaat[[#This Row],[Code Weekend]],Programma!$F$4:$Y$36148,17,0),"_")</f>
        <v>_</v>
      </c>
      <c r="BU15" s="249" t="str">
        <f>_xlfn.IFNA(VLOOKUP(Ruimtestaat[[#This Row],[Code Weekend]],Programma!$F$4:$Y$36148,18,0),"_")</f>
        <v>_</v>
      </c>
      <c r="BV15" s="249" t="str">
        <f>_xlfn.IFNA(VLOOKUP(Ruimtestaat[[#This Row],[Code Weekend]],Programma!$F$4:$Y$36148,19,0),"_")</f>
        <v>_</v>
      </c>
      <c r="BW15" s="249" t="str">
        <f>_xlfn.IFNA(VLOOKUP(Ruimtestaat[[#This Row],[Code Weekend]],Programma!$F$4:$Y$36148,20,0),"_")</f>
        <v>_</v>
      </c>
      <c r="BX15" s="91"/>
      <c r="BY15" s="91"/>
      <c r="BZ15" s="91"/>
      <c r="CA15" s="91"/>
      <c r="CB15" s="91"/>
      <c r="CC15" s="91"/>
      <c r="CD15" s="91"/>
      <c r="CE15" s="91"/>
      <c r="CF15" s="91"/>
      <c r="CG15" s="91"/>
      <c r="CH15" s="91"/>
      <c r="CI15" s="91"/>
      <c r="CJ15" s="91"/>
      <c r="CK15" s="91"/>
      <c r="CL15" s="91"/>
      <c r="CM15" s="91"/>
      <c r="CN15" s="91"/>
      <c r="CO15" s="91"/>
      <c r="CP15" s="91"/>
      <c r="CQ15" s="91"/>
      <c r="CR15" s="91"/>
      <c r="CS15" s="91"/>
      <c r="CT15" s="91"/>
      <c r="CU15" s="91"/>
      <c r="CV15" s="91"/>
      <c r="CW15" s="91"/>
      <c r="CX15" s="91"/>
      <c r="CY15" s="91"/>
      <c r="CZ15" s="91"/>
      <c r="DA15" s="91"/>
      <c r="DB15" s="91"/>
      <c r="DC15" s="91"/>
      <c r="DD15" s="91"/>
      <c r="DE15" s="91"/>
      <c r="DF15" s="91"/>
      <c r="DG15" s="91"/>
      <c r="DH15" s="91"/>
      <c r="DI15" s="91"/>
      <c r="DJ15" s="91"/>
      <c r="DK15" s="91"/>
      <c r="DL15" s="91"/>
      <c r="DM15" s="91"/>
      <c r="DN15" s="91"/>
      <c r="DO15" s="91"/>
      <c r="DP15" s="91"/>
      <c r="DQ15" s="91"/>
      <c r="DR15" s="91"/>
      <c r="DS15" s="91"/>
      <c r="DT15" s="91"/>
      <c r="DU15" s="91"/>
      <c r="DV15" s="91"/>
      <c r="DW15" s="91"/>
      <c r="DX15" s="91"/>
      <c r="DY15" s="91"/>
      <c r="DZ15" s="91"/>
      <c r="EA15" s="91"/>
      <c r="EB15" s="91"/>
      <c r="EC15" s="91"/>
      <c r="ED15" s="91"/>
      <c r="EE15" s="91"/>
      <c r="EF15" s="91"/>
      <c r="EG15" s="91"/>
      <c r="EH15" s="91"/>
      <c r="EI15" s="91"/>
      <c r="EJ15" s="91"/>
      <c r="EK15" s="91"/>
      <c r="EL15" s="91"/>
      <c r="EM15" s="91"/>
      <c r="EN15" s="91"/>
      <c r="EO15" s="91"/>
      <c r="EP15" s="91"/>
      <c r="EQ15" s="91"/>
      <c r="ER15" s="91"/>
      <c r="ES15" s="91"/>
      <c r="ET15" s="91"/>
      <c r="EU15" s="91"/>
      <c r="EV15" s="91"/>
      <c r="EW15" s="91"/>
      <c r="EX15" s="91"/>
      <c r="EY15" s="91"/>
      <c r="EZ15" s="91"/>
      <c r="FA15" s="91"/>
      <c r="FB15" s="91"/>
      <c r="FC15" s="91"/>
      <c r="FD15" s="91"/>
      <c r="FE15" s="91"/>
      <c r="FF15" s="91"/>
      <c r="FG15" s="91"/>
      <c r="FH15" s="91"/>
      <c r="FI15" s="91"/>
      <c r="FJ15" s="91"/>
      <c r="FK15" s="91"/>
      <c r="FL15" s="91"/>
      <c r="FM15" s="91"/>
      <c r="FN15" s="91"/>
      <c r="FO15" s="91"/>
      <c r="FP15" s="91"/>
      <c r="FQ15" s="91"/>
      <c r="FR15" s="91"/>
      <c r="FS15" s="91"/>
      <c r="FT15" s="91"/>
      <c r="FU15" s="91"/>
      <c r="FV15" s="91"/>
      <c r="FW15" s="91"/>
      <c r="FX15" s="91"/>
      <c r="FY15" s="91"/>
      <c r="FZ15" s="91"/>
      <c r="GA15" s="91"/>
      <c r="GB15" s="91"/>
      <c r="GC15" s="91"/>
      <c r="GD15" s="91"/>
      <c r="GE15" s="91"/>
      <c r="GF15" s="91"/>
      <c r="GG15" s="91"/>
      <c r="GH15" s="91"/>
      <c r="GI15" s="91"/>
      <c r="GJ15" s="91"/>
      <c r="GK15" s="91"/>
      <c r="GL15" s="91"/>
      <c r="GM15" s="91"/>
      <c r="GN15" s="91"/>
      <c r="GO15" s="91"/>
      <c r="GP15" s="91"/>
      <c r="GQ15" s="91"/>
      <c r="GR15" s="91"/>
      <c r="GS15" s="91"/>
      <c r="GT15" s="91"/>
      <c r="GU15" s="91"/>
      <c r="GV15" s="91"/>
      <c r="GW15" s="91"/>
      <c r="GX15" s="91"/>
      <c r="GY15" s="91"/>
      <c r="GZ15" s="91"/>
      <c r="HA15" s="91"/>
      <c r="HB15" s="91"/>
      <c r="HC15" s="91"/>
      <c r="HD15" s="91"/>
      <c r="HE15" s="91"/>
      <c r="HF15" s="91"/>
      <c r="HG15" s="91"/>
      <c r="HH15" s="91"/>
      <c r="HI15" s="91"/>
      <c r="HJ15" s="91"/>
      <c r="HK15" s="91"/>
    </row>
    <row r="16" spans="1:219" s="8" customFormat="1" ht="12.75" customHeight="1">
      <c r="A16" s="131">
        <v>1</v>
      </c>
      <c r="B16" s="22" t="str">
        <f>VLOOKUP(Ruimtestaat[[#This Row],[Code]],Locaties[#All],2,FALSE)</f>
        <v>ESH Secondary School</v>
      </c>
      <c r="C16" s="22" t="str">
        <f>VLOOKUP(Ruimtestaat[[#This Row],[Code]],Locaties[#All],4,FALSE)</f>
        <v>Oostduinlaan 50</v>
      </c>
      <c r="D16" s="334" t="str">
        <f>VLOOKUP(Ruimtestaat[[#This Row],[Code]],Locaties[#All],5,FALSE)</f>
        <v>2596 JP</v>
      </c>
      <c r="E16" s="334" t="str">
        <f>VLOOKUP(Ruimtestaat[[#This Row],[Code]],Locaties[#All],6,FALSE)</f>
        <v>Den Haag</v>
      </c>
      <c r="F16" s="326"/>
      <c r="G16" s="324" t="s">
        <v>1610</v>
      </c>
      <c r="H16" s="324" t="s">
        <v>1583</v>
      </c>
      <c r="I16" s="327" t="s">
        <v>1495</v>
      </c>
      <c r="J16" s="252" t="s">
        <v>1422</v>
      </c>
      <c r="K16" s="348" t="str">
        <f>VLOOKUP(J16,Ruimtegroepen[],2,FALSE)</f>
        <v>Gangen/hallen andere verdiepingen</v>
      </c>
      <c r="L16" s="212" t="s">
        <v>123</v>
      </c>
      <c r="M16" s="334" t="s">
        <v>144</v>
      </c>
      <c r="N16" s="330">
        <v>11</v>
      </c>
      <c r="O16" s="331"/>
      <c r="P16" s="332" t="str">
        <f>VLOOKUP(Ruimtestaat[[#This Row],[Ruimte code]],Ruimtegroepen[],4,FALSE)</f>
        <v>V  (Verkeersruimte)</v>
      </c>
      <c r="Q16" s="332"/>
      <c r="R16" s="333">
        <v>40</v>
      </c>
      <c r="S16" s="333" t="s">
        <v>2</v>
      </c>
      <c r="T16" s="37"/>
      <c r="U16" s="37">
        <f>IF(R16&gt;0,IF(RIGHT(Ruimtestaat[[#This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6" s="37">
        <f>IF(U16&gt;0,VLOOKUP($J16,Ruimtegroepen[],3,FALSE)*VLOOKUP($L16,Vloersoorten[],3,FALSE)*VLOOKUP($S16,Frequenties[],3,FALSE)*VLOOKUP($A16,Locaties[],3,FALSE),0)</f>
        <v>0</v>
      </c>
      <c r="W16" s="37">
        <f>Ruimtestaat[[#This Row],[Uitvoeringen werkdagen]]*Ruimtestaat[[#This Row],[Oppervlak (netto)]]</f>
        <v>2200</v>
      </c>
      <c r="X16" s="37">
        <f>IF(V16&gt;0,Ruimtestaat[[#This Row],[Prest. (m2 /jaar) werkdagen]]/Ruimtestaat[[#This Row],[Norm (m2/uur) werkdagen]],0)</f>
        <v>0</v>
      </c>
      <c r="Y16" s="37">
        <f>Ruimtestaat[[#This Row],[uren / jaar werkdagen]]*Tariefsopbouw!$D$38</f>
        <v>0</v>
      </c>
      <c r="Z16" s="37">
        <f>IF(Ruimtestaat[[#This Row],[Frequentie weekend]]&gt;0,VALUE(LEFT(T16,1))*R16,0)</f>
        <v>0</v>
      </c>
      <c r="AA16" s="37">
        <f>IF($Z16&gt;0,VLOOKUP($J16,Ruimtegroepen[],3,FALSE)*VLOOKUP($L16,Vloersoorten[],3,FALSE)*VLOOKUP($T16,Frequenties[],3,FALSE)*VLOOKUP($A16,Locaties[],3,FALSE),0)</f>
        <v>0</v>
      </c>
      <c r="AB16" s="37">
        <f>Ruimtestaat[[#This Row],[Uitvoeringen weekend]]*Ruimtestaat[[#This Row],[Oppervlak (netto)]]</f>
        <v>0</v>
      </c>
      <c r="AC16" s="37">
        <f>IF(AA16&gt;0,Ruimtestaat[[#This Row],[Prest. (m2 /jaar) weekend]]/Ruimtestaat[[#This Row],[Norm (m2/uur) weekend]],0)</f>
        <v>0</v>
      </c>
      <c r="AD16" s="37">
        <f>Ruimtestaat[[#This Row],[uren / jaar weekend]]*Tariefsopbouw!$D$40</f>
        <v>0</v>
      </c>
      <c r="AE16" s="89">
        <f>Ruimtestaat[[#This Row],[Prest. (m2 /jaar) weekend]]+Ruimtestaat[[#This Row],[Prest. (m2 /jaar) werkdagen]]</f>
        <v>2200</v>
      </c>
      <c r="AF16" s="89">
        <f>Ruimtestaat[[#This Row],[uren / jaar weekend]]+Ruimtestaat[[#This Row],[uren / jaar werkdagen]]</f>
        <v>0</v>
      </c>
      <c r="AG16" s="90">
        <f>Ruimtestaat[[#This Row],[kosten / jaar weekend]]+Ruimtestaat[[#This Row],[kosten / jaar werkdagen]]</f>
        <v>0</v>
      </c>
      <c r="AH16" s="253"/>
      <c r="AI16" s="252" t="str">
        <f>IF(Ruimtestaat[[#This Row],[Frequentie werkdagen]]="","",_xlfn.CONCAT(Ruimtestaat[[#This Row],[Ruimte code]],"-",Ruimtestaat[[#This Row],[Frequentie werkdagen]]," ",Ruimtestaat[[#This Row],[Vloer code]]))</f>
        <v>6a-5w P</v>
      </c>
      <c r="AJ16" s="247" t="str">
        <f>_xlfn.IFNA(VLOOKUP(Ruimtestaat[[#This Row],[Programmacode
Regulier]],Programma!$F$4:$Y$36148,2,0),"_")</f>
        <v>_</v>
      </c>
      <c r="AK16" s="247" t="str">
        <f>_xlfn.IFNA(VLOOKUP(Ruimtestaat[[#This Row],[Programmacode
Regulier]],Programma!$F$4:$Y$36148,3,0),"_")</f>
        <v>_</v>
      </c>
      <c r="AL16" s="247" t="str">
        <f>_xlfn.IFNA(VLOOKUP(Ruimtestaat[[#This Row],[Programmacode
Regulier]],Programma!$F$4:$Y$36148,4,0),"_")</f>
        <v>5w</v>
      </c>
      <c r="AM16" s="247" t="str">
        <f>_xlfn.IFNA(VLOOKUP(Ruimtestaat[[#This Row],[Programmacode
Regulier]],Programma!$F$4:$Y$36148,5,0),"_")</f>
        <v>4w</v>
      </c>
      <c r="AN16" s="247" t="str">
        <f>_xlfn.IFNA(VLOOKUP(Ruimtestaat[[#This Row],[Programmacode
Regulier]],Programma!$F$4:$Y$36148,6,0),"_")</f>
        <v>1w</v>
      </c>
      <c r="AO16" s="247" t="str">
        <f>_xlfn.IFNA(VLOOKUP(Ruimtestaat[[#This Row],[Programmacode
Regulier]],Programma!$F$4:$Y$36148,7,0),"_")</f>
        <v>_</v>
      </c>
      <c r="AP16" s="247" t="str">
        <f>_xlfn.IFNA(VLOOKUP(Ruimtestaat[[#This Row],[Programmacode
Regulier]],Programma!$F$4:$Y$36148,8,0),"_")</f>
        <v>_</v>
      </c>
      <c r="AQ16" s="247" t="str">
        <f>_xlfn.IFNA(VLOOKUP(Ruimtestaat[[#This Row],[Programmacode
Regulier]],Programma!$F$4:$Y$36148,9,0),"_")</f>
        <v>_</v>
      </c>
      <c r="AR16" s="248" t="str">
        <f>_xlfn.IFNA(VLOOKUP(Ruimtestaat[[#This Row],[Programmacode
Regulier]],Programma!$F$4:$Y$36148,10,0),"_")</f>
        <v>5w</v>
      </c>
      <c r="AS16" s="248" t="str">
        <f>_xlfn.IFNA(VLOOKUP(Ruimtestaat[[#This Row],[Programmacode
Regulier]],Programma!$F$4:$Y$36148,11,0),"_")</f>
        <v>5w</v>
      </c>
      <c r="AT16" s="248" t="str">
        <f>_xlfn.IFNA(VLOOKUP(Ruimtestaat[[#This Row],[Programmacode
Regulier]],Programma!$F$4:$Y$36148,12,0),"_")</f>
        <v>1w</v>
      </c>
      <c r="AU16" s="248" t="str">
        <f>_xlfn.IFNA(VLOOKUP(Ruimtestaat[[#This Row],[Programmacode
Regulier]],Programma!$F$4:$Y$36148,13,0),"_")</f>
        <v>1w</v>
      </c>
      <c r="AV16" s="248" t="str">
        <f>_xlfn.IFNA(VLOOKUP(Ruimtestaat[[#This Row],[Programmacode
Regulier]],Programma!$F$4:$Y$36148,14,0),"_")</f>
        <v>1m</v>
      </c>
      <c r="AW16" s="248" t="str">
        <f>_xlfn.IFNA(VLOOKUP(Ruimtestaat[[#This Row],[Programmacode
Regulier]],Programma!$F$4:$Y$36148,15,0),"_")</f>
        <v>2j</v>
      </c>
      <c r="AX16" s="248" t="str">
        <f>_xlfn.IFNA(VLOOKUP(Ruimtestaat[[#This Row],[Programmacode
Regulier]],Programma!$F$4:$Y$36148,16,0),"_")</f>
        <v>1j</v>
      </c>
      <c r="AY16" s="248" t="str">
        <f>_xlfn.IFNA(VLOOKUP(Ruimtestaat[[#This Row],[Programmacode
Regulier]],Programma!$F$4:$Y$36148,17,0),"_")</f>
        <v>_</v>
      </c>
      <c r="AZ16" s="249" t="str">
        <f>_xlfn.IFNA(VLOOKUP(Ruimtestaat[[#This Row],[Programmacode
Regulier]],Programma!$F$4:$Y$36148,18,0),"_")</f>
        <v>_</v>
      </c>
      <c r="BA16" s="249" t="str">
        <f>_xlfn.IFNA(VLOOKUP(Ruimtestaat[[#This Row],[Programmacode
Regulier]],Programma!$F$4:$Y$36148,19,0),"_")</f>
        <v>_</v>
      </c>
      <c r="BB16" s="249" t="str">
        <f>_xlfn.IFNA(VLOOKUP(Ruimtestaat[[#This Row],[Programmacode
Regulier]],Programma!$F$4:$Y$36148,20,0),"_")</f>
        <v>_</v>
      </c>
      <c r="BC16" s="250"/>
      <c r="BD16" s="212" t="str">
        <f>IF(Ruimtestaat[[#This Row],[Frequentie weekend]]="","",_xlfn.CONCAT(Ruimtestaat[[#This Row],[Ruimte code]],"-",Ruimtestaat[[#This Row],[Frequentie weekend]]," ",Ruimtestaat[[#This Row],[Vloer code]]))</f>
        <v/>
      </c>
      <c r="BE16" s="247" t="str">
        <f>_xlfn.IFNA(VLOOKUP(Ruimtestaat[[#This Row],[Code Weekend]],Programma!$F$4:$Y$36148,2,0),"_")</f>
        <v>_</v>
      </c>
      <c r="BF16" s="247" t="str">
        <f>_xlfn.IFNA(VLOOKUP(Ruimtestaat[[#This Row],[Code Weekend]],Programma!$F$4:$Y$36148,3,0),"_")</f>
        <v>_</v>
      </c>
      <c r="BG16" s="247" t="str">
        <f>_xlfn.IFNA(VLOOKUP(Ruimtestaat[[#This Row],[Code Weekend]],Programma!$F$4:$Y$36148,4,0),"_")</f>
        <v>_</v>
      </c>
      <c r="BH16" s="247" t="str">
        <f>_xlfn.IFNA(VLOOKUP(Ruimtestaat[[#This Row],[Code Weekend]],Programma!$F$4:$Y$36148,5,0),"_")</f>
        <v>_</v>
      </c>
      <c r="BI16" s="247" t="str">
        <f>_xlfn.IFNA(VLOOKUP(Ruimtestaat[[#This Row],[Code Weekend]],Programma!$F$4:$Y$36148,6,0),"_")</f>
        <v>_</v>
      </c>
      <c r="BJ16" s="247" t="str">
        <f>_xlfn.IFNA(VLOOKUP(Ruimtestaat[[#This Row],[Code Weekend]],Programma!$F$4:$Y$36148,7,0),"_")</f>
        <v>_</v>
      </c>
      <c r="BK16" s="247" t="str">
        <f>_xlfn.IFNA(VLOOKUP(Ruimtestaat[[#This Row],[Code Weekend]],Programma!$F$4:$Y$36148,8,0),"_")</f>
        <v>_</v>
      </c>
      <c r="BL16" s="247" t="str">
        <f>_xlfn.IFNA(VLOOKUP(Ruimtestaat[[#This Row],[Code Weekend]],Programma!$F$4:$Y$36148,9,0),"_")</f>
        <v>_</v>
      </c>
      <c r="BM16" s="248" t="str">
        <f>_xlfn.IFNA(VLOOKUP(Ruimtestaat[[#This Row],[Code Weekend]],Programma!$F$4:$Y$36148,10,0),"_")</f>
        <v>_</v>
      </c>
      <c r="BN16" s="248" t="str">
        <f>_xlfn.IFNA(VLOOKUP(Ruimtestaat[[#This Row],[Code Weekend]],Programma!$F$4:$Y$36148,11,0),"_")</f>
        <v>_</v>
      </c>
      <c r="BO16" s="248" t="str">
        <f>_xlfn.IFNA(VLOOKUP(Ruimtestaat[[#This Row],[Code Weekend]],Programma!$F$4:$Y$36148,12,0),"_")</f>
        <v>_</v>
      </c>
      <c r="BP16" s="248" t="str">
        <f>_xlfn.IFNA(VLOOKUP(Ruimtestaat[[#This Row],[Code Weekend]],Programma!$F$4:$Y$36148,13,0),"_")</f>
        <v>_</v>
      </c>
      <c r="BQ16" s="248" t="str">
        <f>_xlfn.IFNA(VLOOKUP(Ruimtestaat[[#This Row],[Code Weekend]],Programma!$F$4:$Y$36148,14,0),"_")</f>
        <v>_</v>
      </c>
      <c r="BR16" s="248" t="str">
        <f>_xlfn.IFNA(VLOOKUP(Ruimtestaat[[#This Row],[Code Weekend]],Programma!$F$4:$Y$36148,15,0),"_")</f>
        <v>_</v>
      </c>
      <c r="BS16" s="248" t="str">
        <f>_xlfn.IFNA(VLOOKUP(Ruimtestaat[[#This Row],[Code Weekend]],Programma!$F$4:$Y$36148,16,0),"_")</f>
        <v>_</v>
      </c>
      <c r="BT16" s="248" t="str">
        <f>_xlfn.IFNA(VLOOKUP(Ruimtestaat[[#This Row],[Code Weekend]],Programma!$F$4:$Y$36148,17,0),"_")</f>
        <v>_</v>
      </c>
      <c r="BU16" s="249" t="str">
        <f>_xlfn.IFNA(VLOOKUP(Ruimtestaat[[#This Row],[Code Weekend]],Programma!$F$4:$Y$36148,18,0),"_")</f>
        <v>_</v>
      </c>
      <c r="BV16" s="249" t="str">
        <f>_xlfn.IFNA(VLOOKUP(Ruimtestaat[[#This Row],[Code Weekend]],Programma!$F$4:$Y$36148,19,0),"_")</f>
        <v>_</v>
      </c>
      <c r="BW16" s="249" t="str">
        <f>_xlfn.IFNA(VLOOKUP(Ruimtestaat[[#This Row],[Code Weekend]],Programma!$F$4:$Y$36148,20,0),"_")</f>
        <v>_</v>
      </c>
      <c r="BX16" s="91"/>
      <c r="BY16" s="91"/>
      <c r="BZ16" s="91"/>
      <c r="CA16" s="91"/>
      <c r="CB16" s="91"/>
      <c r="CC16" s="91"/>
      <c r="CD16" s="91"/>
      <c r="CE16" s="91"/>
      <c r="CF16" s="91"/>
      <c r="CG16" s="91"/>
      <c r="CH16" s="91"/>
      <c r="CI16" s="91"/>
      <c r="CJ16" s="91"/>
      <c r="CK16" s="91"/>
      <c r="CL16" s="91"/>
      <c r="CM16" s="91"/>
      <c r="CN16" s="91"/>
      <c r="CO16" s="91"/>
      <c r="CP16" s="91"/>
      <c r="CQ16" s="91"/>
      <c r="CR16" s="91"/>
      <c r="CS16" s="91"/>
      <c r="CT16" s="91"/>
      <c r="CU16" s="91"/>
      <c r="CV16" s="91"/>
      <c r="CW16" s="91"/>
      <c r="CX16" s="91"/>
      <c r="CY16" s="91"/>
      <c r="CZ16" s="91"/>
      <c r="DA16" s="91"/>
      <c r="DB16" s="91"/>
      <c r="DC16" s="91"/>
      <c r="DD16" s="91"/>
      <c r="DE16" s="91"/>
      <c r="DF16" s="91"/>
      <c r="DG16" s="91"/>
      <c r="DH16" s="91"/>
      <c r="DI16" s="91"/>
      <c r="DJ16" s="91"/>
      <c r="DK16" s="91"/>
      <c r="DL16" s="91"/>
      <c r="DM16" s="91"/>
      <c r="DN16" s="91"/>
      <c r="DO16" s="91"/>
      <c r="DP16" s="91"/>
      <c r="DQ16" s="91"/>
      <c r="DR16" s="91"/>
      <c r="DS16" s="91"/>
      <c r="DT16" s="91"/>
      <c r="DU16" s="91"/>
      <c r="DV16" s="91"/>
      <c r="DW16" s="91"/>
      <c r="DX16" s="91"/>
      <c r="DY16" s="91"/>
      <c r="DZ16" s="91"/>
      <c r="EA16" s="91"/>
      <c r="EB16" s="91"/>
      <c r="EC16" s="91"/>
      <c r="ED16" s="91"/>
      <c r="EE16" s="91"/>
      <c r="EF16" s="91"/>
      <c r="EG16" s="91"/>
      <c r="EH16" s="91"/>
      <c r="EI16" s="91"/>
      <c r="EJ16" s="91"/>
      <c r="EK16" s="91"/>
      <c r="EL16" s="91"/>
      <c r="EM16" s="91"/>
      <c r="EN16" s="91"/>
      <c r="EO16" s="91"/>
      <c r="EP16" s="91"/>
      <c r="EQ16" s="91"/>
      <c r="ER16" s="91"/>
      <c r="ES16" s="91"/>
      <c r="ET16" s="91"/>
      <c r="EU16" s="91"/>
      <c r="EV16" s="91"/>
      <c r="EW16" s="91"/>
      <c r="EX16" s="91"/>
      <c r="EY16" s="91"/>
      <c r="EZ16" s="91"/>
      <c r="FA16" s="91"/>
      <c r="FB16" s="91"/>
      <c r="FC16" s="91"/>
      <c r="FD16" s="91"/>
      <c r="FE16" s="91"/>
      <c r="FF16" s="91"/>
      <c r="FG16" s="91"/>
      <c r="FH16" s="91"/>
      <c r="FI16" s="91"/>
      <c r="FJ16" s="91"/>
      <c r="FK16" s="91"/>
      <c r="FL16" s="91"/>
      <c r="FM16" s="91"/>
      <c r="FN16" s="91"/>
      <c r="FO16" s="91"/>
      <c r="FP16" s="91"/>
      <c r="FQ16" s="91"/>
      <c r="FR16" s="91"/>
      <c r="FS16" s="91"/>
      <c r="FT16" s="91"/>
      <c r="FU16" s="91"/>
      <c r="FV16" s="91"/>
      <c r="FW16" s="91"/>
      <c r="FX16" s="91"/>
      <c r="FY16" s="91"/>
      <c r="FZ16" s="91"/>
      <c r="GA16" s="91"/>
      <c r="GB16" s="91"/>
      <c r="GC16" s="91"/>
      <c r="GD16" s="91"/>
      <c r="GE16" s="91"/>
      <c r="GF16" s="91"/>
      <c r="GG16" s="91"/>
      <c r="GH16" s="91"/>
      <c r="GI16" s="91"/>
      <c r="GJ16" s="91"/>
      <c r="GK16" s="91"/>
      <c r="GL16" s="91"/>
      <c r="GM16" s="91"/>
      <c r="GN16" s="91"/>
      <c r="GO16" s="91"/>
      <c r="GP16" s="91"/>
      <c r="GQ16" s="91"/>
      <c r="GR16" s="91"/>
      <c r="GS16" s="91"/>
      <c r="GT16" s="91"/>
      <c r="GU16" s="91"/>
      <c r="GV16" s="91"/>
      <c r="GW16" s="91"/>
      <c r="GX16" s="91"/>
      <c r="GY16" s="91"/>
      <c r="GZ16" s="91"/>
      <c r="HA16" s="91"/>
      <c r="HB16" s="91"/>
      <c r="HC16" s="91"/>
      <c r="HD16" s="91"/>
      <c r="HE16" s="91"/>
      <c r="HF16" s="91"/>
      <c r="HG16" s="91"/>
      <c r="HH16" s="91"/>
      <c r="HI16" s="91"/>
      <c r="HJ16" s="91"/>
      <c r="HK16" s="91"/>
    </row>
    <row r="17" spans="1:219" s="8" customFormat="1" ht="12.75" customHeight="1">
      <c r="A17" s="131">
        <v>1</v>
      </c>
      <c r="B17" s="22" t="str">
        <f>VLOOKUP(Ruimtestaat[[#This Row],[Code]],Locaties[#All],2,FALSE)</f>
        <v>ESH Secondary School</v>
      </c>
      <c r="C17" s="22" t="str">
        <f>VLOOKUP(Ruimtestaat[[#This Row],[Code]],Locaties[#All],4,FALSE)</f>
        <v>Oostduinlaan 50</v>
      </c>
      <c r="D17" s="334" t="str">
        <f>VLOOKUP(Ruimtestaat[[#This Row],[Code]],Locaties[#All],5,FALSE)</f>
        <v>2596 JP</v>
      </c>
      <c r="E17" s="334" t="str">
        <f>VLOOKUP(Ruimtestaat[[#This Row],[Code]],Locaties[#All],6,FALSE)</f>
        <v>Den Haag</v>
      </c>
      <c r="F17" s="326"/>
      <c r="G17" s="324" t="s">
        <v>1610</v>
      </c>
      <c r="H17" s="324" t="s">
        <v>1584</v>
      </c>
      <c r="I17" s="327" t="s">
        <v>1615</v>
      </c>
      <c r="J17" s="328">
        <v>19</v>
      </c>
      <c r="K17" s="348" t="str">
        <f>VLOOKUP(J17,Ruimtegroepen[],2,FALSE)</f>
        <v>Kleedruimten</v>
      </c>
      <c r="L17" s="212" t="s">
        <v>122</v>
      </c>
      <c r="M17" s="334" t="s">
        <v>1764</v>
      </c>
      <c r="N17" s="330">
        <v>24</v>
      </c>
      <c r="O17" s="331"/>
      <c r="P17" s="332" t="str">
        <f>VLOOKUP(Ruimtestaat[[#This Row],[Ruimte code]],Ruimtegroepen[],4,FALSE)</f>
        <v>V  (Verkeersruimte)</v>
      </c>
      <c r="Q17" s="332"/>
      <c r="R17" s="333">
        <v>40</v>
      </c>
      <c r="S17" s="333" t="s">
        <v>2</v>
      </c>
      <c r="T17" s="37"/>
      <c r="U17" s="37">
        <f>IF(R17&gt;0,IF(RIGHT(Ruimtestaat[[#This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7" s="37">
        <f>IF(U17&gt;0,VLOOKUP($J17,Ruimtegroepen[],3,FALSE)*VLOOKUP($L17,Vloersoorten[],3,FALSE)*VLOOKUP($S17,Frequenties[],3,FALSE)*VLOOKUP($A17,Locaties[],3,FALSE),0)</f>
        <v>0</v>
      </c>
      <c r="W17" s="37">
        <f>Ruimtestaat[[#This Row],[Uitvoeringen werkdagen]]*Ruimtestaat[[#This Row],[Oppervlak (netto)]]</f>
        <v>4800</v>
      </c>
      <c r="X17" s="37">
        <f>IF(V17&gt;0,Ruimtestaat[[#This Row],[Prest. (m2 /jaar) werkdagen]]/Ruimtestaat[[#This Row],[Norm (m2/uur) werkdagen]],0)</f>
        <v>0</v>
      </c>
      <c r="Y17" s="37">
        <f>Ruimtestaat[[#This Row],[uren / jaar werkdagen]]*Tariefsopbouw!$D$38</f>
        <v>0</v>
      </c>
      <c r="Z17" s="37">
        <f>IF(Ruimtestaat[[#This Row],[Frequentie weekend]]&gt;0,VALUE(LEFT(T17,1))*R17,0)</f>
        <v>0</v>
      </c>
      <c r="AA17" s="37">
        <f>IF($Z17&gt;0,VLOOKUP($J17,Ruimtegroepen[],3,FALSE)*VLOOKUP($L17,Vloersoorten[],3,FALSE)*VLOOKUP($T17,Frequenties[],3,FALSE)*VLOOKUP($A17,Locaties[],3,FALSE),0)</f>
        <v>0</v>
      </c>
      <c r="AB17" s="37">
        <f>Ruimtestaat[[#This Row],[Uitvoeringen weekend]]*Ruimtestaat[[#This Row],[Oppervlak (netto)]]</f>
        <v>0</v>
      </c>
      <c r="AC17" s="37">
        <f>IF(AA17&gt;0,Ruimtestaat[[#This Row],[Prest. (m2 /jaar) weekend]]/Ruimtestaat[[#This Row],[Norm (m2/uur) weekend]],0)</f>
        <v>0</v>
      </c>
      <c r="AD17" s="37">
        <f>Ruimtestaat[[#This Row],[uren / jaar weekend]]*Tariefsopbouw!$D$40</f>
        <v>0</v>
      </c>
      <c r="AE17" s="89">
        <f>Ruimtestaat[[#This Row],[Prest. (m2 /jaar) weekend]]+Ruimtestaat[[#This Row],[Prest. (m2 /jaar) werkdagen]]</f>
        <v>4800</v>
      </c>
      <c r="AF17" s="89">
        <f>Ruimtestaat[[#This Row],[uren / jaar weekend]]+Ruimtestaat[[#This Row],[uren / jaar werkdagen]]</f>
        <v>0</v>
      </c>
      <c r="AG17" s="90">
        <f>Ruimtestaat[[#This Row],[kosten / jaar weekend]]+Ruimtestaat[[#This Row],[kosten / jaar werkdagen]]</f>
        <v>0</v>
      </c>
      <c r="AH17" s="253"/>
      <c r="AI17" s="252" t="str">
        <f>IF(Ruimtestaat[[#This Row],[Frequentie werkdagen]]="","",_xlfn.CONCAT(Ruimtestaat[[#This Row],[Ruimte code]],"-",Ruimtestaat[[#This Row],[Frequentie werkdagen]]," ",Ruimtestaat[[#This Row],[Vloer code]]))</f>
        <v>19-5w S</v>
      </c>
      <c r="AJ17" s="247" t="str">
        <f>_xlfn.IFNA(VLOOKUP(Ruimtestaat[[#This Row],[Programmacode
Regulier]],Programma!$F$4:$Y$36148,2,0),"_")</f>
        <v>_</v>
      </c>
      <c r="AK17" s="247" t="str">
        <f>_xlfn.IFNA(VLOOKUP(Ruimtestaat[[#This Row],[Programmacode
Regulier]],Programma!$F$4:$Y$36148,3,0),"_")</f>
        <v>_</v>
      </c>
      <c r="AL17" s="247" t="str">
        <f>_xlfn.IFNA(VLOOKUP(Ruimtestaat[[#This Row],[Programmacode
Regulier]],Programma!$F$4:$Y$36148,4,0),"_")</f>
        <v>5w</v>
      </c>
      <c r="AM17" s="247" t="str">
        <f>_xlfn.IFNA(VLOOKUP(Ruimtestaat[[#This Row],[Programmacode
Regulier]],Programma!$F$4:$Y$36148,5,0),"_")</f>
        <v>4w</v>
      </c>
      <c r="AN17" s="247" t="str">
        <f>_xlfn.IFNA(VLOOKUP(Ruimtestaat[[#This Row],[Programmacode
Regulier]],Programma!$F$4:$Y$36148,6,0),"_")</f>
        <v>1w</v>
      </c>
      <c r="AO17" s="247" t="str">
        <f>_xlfn.IFNA(VLOOKUP(Ruimtestaat[[#This Row],[Programmacode
Regulier]],Programma!$F$4:$Y$36148,7,0),"_")</f>
        <v>_</v>
      </c>
      <c r="AP17" s="247" t="str">
        <f>_xlfn.IFNA(VLOOKUP(Ruimtestaat[[#This Row],[Programmacode
Regulier]],Programma!$F$4:$Y$36148,8,0),"_")</f>
        <v>_</v>
      </c>
      <c r="AQ17" s="247" t="str">
        <f>_xlfn.IFNA(VLOOKUP(Ruimtestaat[[#This Row],[Programmacode
Regulier]],Programma!$F$4:$Y$36148,9,0),"_")</f>
        <v>_</v>
      </c>
      <c r="AR17" s="248" t="str">
        <f>_xlfn.IFNA(VLOOKUP(Ruimtestaat[[#This Row],[Programmacode
Regulier]],Programma!$F$4:$Y$36148,10,0),"_")</f>
        <v>_</v>
      </c>
      <c r="AS17" s="248" t="str">
        <f>_xlfn.IFNA(VLOOKUP(Ruimtestaat[[#This Row],[Programmacode
Regulier]],Programma!$F$4:$Y$36148,11,0),"_")</f>
        <v>_</v>
      </c>
      <c r="AT17" s="248" t="str">
        <f>_xlfn.IFNA(VLOOKUP(Ruimtestaat[[#This Row],[Programmacode
Regulier]],Programma!$F$4:$Y$36148,12,0),"_")</f>
        <v>_</v>
      </c>
      <c r="AU17" s="248" t="str">
        <f>_xlfn.IFNA(VLOOKUP(Ruimtestaat[[#This Row],[Programmacode
Regulier]],Programma!$F$4:$Y$36148,13,0),"_")</f>
        <v>5w</v>
      </c>
      <c r="AV17" s="248" t="str">
        <f>_xlfn.IFNA(VLOOKUP(Ruimtestaat[[#This Row],[Programmacode
Regulier]],Programma!$F$4:$Y$36148,14,0),"_")</f>
        <v>1w</v>
      </c>
      <c r="AW17" s="248" t="str">
        <f>_xlfn.IFNA(VLOOKUP(Ruimtestaat[[#This Row],[Programmacode
Regulier]],Programma!$F$4:$Y$36148,15,0),"_")</f>
        <v>_</v>
      </c>
      <c r="AX17" s="248" t="str">
        <f>_xlfn.IFNA(VLOOKUP(Ruimtestaat[[#This Row],[Programmacode
Regulier]],Programma!$F$4:$Y$36148,16,0),"_")</f>
        <v>_</v>
      </c>
      <c r="AY17" s="248" t="str">
        <f>_xlfn.IFNA(VLOOKUP(Ruimtestaat[[#This Row],[Programmacode
Regulier]],Programma!$F$4:$Y$36148,17,0),"_")</f>
        <v>_</v>
      </c>
      <c r="AZ17" s="249" t="str">
        <f>_xlfn.IFNA(VLOOKUP(Ruimtestaat[[#This Row],[Programmacode
Regulier]],Programma!$F$4:$Y$36148,18,0),"_")</f>
        <v>5w</v>
      </c>
      <c r="BA17" s="249" t="str">
        <f>_xlfn.IFNA(VLOOKUP(Ruimtestaat[[#This Row],[Programmacode
Regulier]],Programma!$F$4:$Y$36148,19,0),"_")</f>
        <v>1m</v>
      </c>
      <c r="BB17" s="249" t="str">
        <f>_xlfn.IFNA(VLOOKUP(Ruimtestaat[[#This Row],[Programmacode
Regulier]],Programma!$F$4:$Y$36148,20,0),"_")</f>
        <v>_</v>
      </c>
      <c r="BC17" s="250"/>
      <c r="BD17" s="212" t="str">
        <f>IF(Ruimtestaat[[#This Row],[Frequentie weekend]]="","",_xlfn.CONCAT(Ruimtestaat[[#This Row],[Ruimte code]],"-",Ruimtestaat[[#This Row],[Frequentie weekend]]," ",Ruimtestaat[[#This Row],[Vloer code]]))</f>
        <v/>
      </c>
      <c r="BE17" s="247" t="str">
        <f>_xlfn.IFNA(VLOOKUP(Ruimtestaat[[#This Row],[Code Weekend]],Programma!$F$4:$Y$36148,2,0),"_")</f>
        <v>_</v>
      </c>
      <c r="BF17" s="247" t="str">
        <f>_xlfn.IFNA(VLOOKUP(Ruimtestaat[[#This Row],[Code Weekend]],Programma!$F$4:$Y$36148,3,0),"_")</f>
        <v>_</v>
      </c>
      <c r="BG17" s="247" t="str">
        <f>_xlfn.IFNA(VLOOKUP(Ruimtestaat[[#This Row],[Code Weekend]],Programma!$F$4:$Y$36148,4,0),"_")</f>
        <v>_</v>
      </c>
      <c r="BH17" s="247" t="str">
        <f>_xlfn.IFNA(VLOOKUP(Ruimtestaat[[#This Row],[Code Weekend]],Programma!$F$4:$Y$36148,5,0),"_")</f>
        <v>_</v>
      </c>
      <c r="BI17" s="247" t="str">
        <f>_xlfn.IFNA(VLOOKUP(Ruimtestaat[[#This Row],[Code Weekend]],Programma!$F$4:$Y$36148,6,0),"_")</f>
        <v>_</v>
      </c>
      <c r="BJ17" s="247" t="str">
        <f>_xlfn.IFNA(VLOOKUP(Ruimtestaat[[#This Row],[Code Weekend]],Programma!$F$4:$Y$36148,7,0),"_")</f>
        <v>_</v>
      </c>
      <c r="BK17" s="247" t="str">
        <f>_xlfn.IFNA(VLOOKUP(Ruimtestaat[[#This Row],[Code Weekend]],Programma!$F$4:$Y$36148,8,0),"_")</f>
        <v>_</v>
      </c>
      <c r="BL17" s="247" t="str">
        <f>_xlfn.IFNA(VLOOKUP(Ruimtestaat[[#This Row],[Code Weekend]],Programma!$F$4:$Y$36148,9,0),"_")</f>
        <v>_</v>
      </c>
      <c r="BM17" s="248" t="str">
        <f>_xlfn.IFNA(VLOOKUP(Ruimtestaat[[#This Row],[Code Weekend]],Programma!$F$4:$Y$36148,10,0),"_")</f>
        <v>_</v>
      </c>
      <c r="BN17" s="248" t="str">
        <f>_xlfn.IFNA(VLOOKUP(Ruimtestaat[[#This Row],[Code Weekend]],Programma!$F$4:$Y$36148,11,0),"_")</f>
        <v>_</v>
      </c>
      <c r="BO17" s="248" t="str">
        <f>_xlfn.IFNA(VLOOKUP(Ruimtestaat[[#This Row],[Code Weekend]],Programma!$F$4:$Y$36148,12,0),"_")</f>
        <v>_</v>
      </c>
      <c r="BP17" s="248" t="str">
        <f>_xlfn.IFNA(VLOOKUP(Ruimtestaat[[#This Row],[Code Weekend]],Programma!$F$4:$Y$36148,13,0),"_")</f>
        <v>_</v>
      </c>
      <c r="BQ17" s="248" t="str">
        <f>_xlfn.IFNA(VLOOKUP(Ruimtestaat[[#This Row],[Code Weekend]],Programma!$F$4:$Y$36148,14,0),"_")</f>
        <v>_</v>
      </c>
      <c r="BR17" s="248" t="str">
        <f>_xlfn.IFNA(VLOOKUP(Ruimtestaat[[#This Row],[Code Weekend]],Programma!$F$4:$Y$36148,15,0),"_")</f>
        <v>_</v>
      </c>
      <c r="BS17" s="248" t="str">
        <f>_xlfn.IFNA(VLOOKUP(Ruimtestaat[[#This Row],[Code Weekend]],Programma!$F$4:$Y$36148,16,0),"_")</f>
        <v>_</v>
      </c>
      <c r="BT17" s="248" t="str">
        <f>_xlfn.IFNA(VLOOKUP(Ruimtestaat[[#This Row],[Code Weekend]],Programma!$F$4:$Y$36148,17,0),"_")</f>
        <v>_</v>
      </c>
      <c r="BU17" s="249" t="str">
        <f>_xlfn.IFNA(VLOOKUP(Ruimtestaat[[#This Row],[Code Weekend]],Programma!$F$4:$Y$36148,18,0),"_")</f>
        <v>_</v>
      </c>
      <c r="BV17" s="249" t="str">
        <f>_xlfn.IFNA(VLOOKUP(Ruimtestaat[[#This Row],[Code Weekend]],Programma!$F$4:$Y$36148,19,0),"_")</f>
        <v>_</v>
      </c>
      <c r="BW17" s="249" t="str">
        <f>_xlfn.IFNA(VLOOKUP(Ruimtestaat[[#This Row],[Code Weekend]],Programma!$F$4:$Y$36148,20,0),"_")</f>
        <v>_</v>
      </c>
      <c r="BX17" s="91"/>
      <c r="BY17" s="91"/>
      <c r="BZ17" s="91"/>
      <c r="CA17" s="91"/>
      <c r="CB17" s="91"/>
      <c r="CC17" s="91"/>
      <c r="CD17" s="91"/>
      <c r="CE17" s="91"/>
      <c r="CF17" s="91"/>
      <c r="CG17" s="91"/>
      <c r="CH17" s="91"/>
      <c r="CI17" s="91"/>
      <c r="CJ17" s="91"/>
      <c r="CK17" s="91"/>
      <c r="CL17" s="91"/>
      <c r="CM17" s="91"/>
      <c r="CN17" s="91"/>
      <c r="CO17" s="91"/>
      <c r="CP17" s="91"/>
      <c r="CQ17" s="91"/>
      <c r="CR17" s="91"/>
      <c r="CS17" s="91"/>
      <c r="CT17" s="91"/>
      <c r="CU17" s="91"/>
      <c r="CV17" s="91"/>
      <c r="CW17" s="91"/>
      <c r="CX17" s="91"/>
      <c r="CY17" s="91"/>
      <c r="CZ17" s="91"/>
      <c r="DA17" s="91"/>
      <c r="DB17" s="91"/>
      <c r="DC17" s="91"/>
      <c r="DD17" s="91"/>
      <c r="DE17" s="91"/>
      <c r="DF17" s="91"/>
      <c r="DG17" s="91"/>
      <c r="DH17" s="91"/>
      <c r="DI17" s="91"/>
      <c r="DJ17" s="91"/>
      <c r="DK17" s="91"/>
      <c r="DL17" s="91"/>
      <c r="DM17" s="91"/>
      <c r="DN17" s="91"/>
      <c r="DO17" s="91"/>
      <c r="DP17" s="91"/>
      <c r="DQ17" s="91"/>
      <c r="DR17" s="91"/>
      <c r="DS17" s="91"/>
      <c r="DT17" s="91"/>
      <c r="DU17" s="91"/>
      <c r="DV17" s="91"/>
      <c r="DW17" s="91"/>
      <c r="DX17" s="91"/>
      <c r="DY17" s="91"/>
      <c r="DZ17" s="91"/>
      <c r="EA17" s="91"/>
      <c r="EB17" s="91"/>
      <c r="EC17" s="91"/>
      <c r="ED17" s="91"/>
      <c r="EE17" s="91"/>
      <c r="EF17" s="91"/>
      <c r="EG17" s="91"/>
      <c r="EH17" s="91"/>
      <c r="EI17" s="91"/>
      <c r="EJ17" s="91"/>
      <c r="EK17" s="91"/>
      <c r="EL17" s="91"/>
      <c r="EM17" s="91"/>
      <c r="EN17" s="91"/>
      <c r="EO17" s="91"/>
      <c r="EP17" s="91"/>
      <c r="EQ17" s="91"/>
      <c r="ER17" s="91"/>
      <c r="ES17" s="91"/>
      <c r="ET17" s="91"/>
      <c r="EU17" s="91"/>
      <c r="EV17" s="91"/>
      <c r="EW17" s="91"/>
      <c r="EX17" s="91"/>
      <c r="EY17" s="91"/>
      <c r="EZ17" s="91"/>
      <c r="FA17" s="91"/>
      <c r="FB17" s="91"/>
      <c r="FC17" s="91"/>
      <c r="FD17" s="91"/>
      <c r="FE17" s="91"/>
      <c r="FF17" s="91"/>
      <c r="FG17" s="91"/>
      <c r="FH17" s="91"/>
      <c r="FI17" s="91"/>
      <c r="FJ17" s="91"/>
      <c r="FK17" s="91"/>
      <c r="FL17" s="91"/>
      <c r="FM17" s="91"/>
      <c r="FN17" s="91"/>
      <c r="FO17" s="91"/>
      <c r="FP17" s="91"/>
      <c r="FQ17" s="91"/>
      <c r="FR17" s="91"/>
      <c r="FS17" s="91"/>
      <c r="FT17" s="91"/>
      <c r="FU17" s="91"/>
      <c r="FV17" s="91"/>
      <c r="FW17" s="91"/>
      <c r="FX17" s="91"/>
      <c r="FY17" s="91"/>
      <c r="FZ17" s="91"/>
      <c r="GA17" s="91"/>
      <c r="GB17" s="91"/>
      <c r="GC17" s="91"/>
      <c r="GD17" s="91"/>
      <c r="GE17" s="91"/>
      <c r="GF17" s="91"/>
      <c r="GG17" s="91"/>
      <c r="GH17" s="91"/>
      <c r="GI17" s="91"/>
      <c r="GJ17" s="91"/>
      <c r="GK17" s="91"/>
      <c r="GL17" s="91"/>
      <c r="GM17" s="91"/>
      <c r="GN17" s="91"/>
      <c r="GO17" s="91"/>
      <c r="GP17" s="91"/>
      <c r="GQ17" s="91"/>
      <c r="GR17" s="91"/>
      <c r="GS17" s="91"/>
      <c r="GT17" s="91"/>
      <c r="GU17" s="91"/>
      <c r="GV17" s="91"/>
      <c r="GW17" s="91"/>
      <c r="GX17" s="91"/>
      <c r="GY17" s="91"/>
      <c r="GZ17" s="91"/>
      <c r="HA17" s="91"/>
      <c r="HB17" s="91"/>
      <c r="HC17" s="91"/>
      <c r="HD17" s="91"/>
      <c r="HE17" s="91"/>
      <c r="HF17" s="91"/>
      <c r="HG17" s="91"/>
      <c r="HH17" s="91"/>
      <c r="HI17" s="91"/>
      <c r="HJ17" s="91"/>
      <c r="HK17" s="91"/>
    </row>
    <row r="18" spans="1:219" s="8" customFormat="1" ht="12.75" customHeight="1">
      <c r="A18" s="131">
        <v>1</v>
      </c>
      <c r="B18" s="22" t="str">
        <f>VLOOKUP(Ruimtestaat[[#This Row],[Code]],Locaties[#All],2,FALSE)</f>
        <v>ESH Secondary School</v>
      </c>
      <c r="C18" s="22" t="str">
        <f>VLOOKUP(Ruimtestaat[[#This Row],[Code]],Locaties[#All],4,FALSE)</f>
        <v>Oostduinlaan 50</v>
      </c>
      <c r="D18" s="334" t="str">
        <f>VLOOKUP(Ruimtestaat[[#This Row],[Code]],Locaties[#All],5,FALSE)</f>
        <v>2596 JP</v>
      </c>
      <c r="E18" s="334" t="str">
        <f>VLOOKUP(Ruimtestaat[[#This Row],[Code]],Locaties[#All],6,FALSE)</f>
        <v>Den Haag</v>
      </c>
      <c r="F18" s="326"/>
      <c r="G18" s="324" t="s">
        <v>1610</v>
      </c>
      <c r="H18" s="324" t="s">
        <v>1585</v>
      </c>
      <c r="I18" s="327" t="s">
        <v>1612</v>
      </c>
      <c r="J18" s="328">
        <v>1</v>
      </c>
      <c r="K18" s="348" t="str">
        <f>VLOOKUP(J18,Ruimtegroepen[],2,FALSE)</f>
        <v>Magazijnen/bergingen</v>
      </c>
      <c r="L18" s="212" t="s">
        <v>123</v>
      </c>
      <c r="M18" s="334" t="s">
        <v>144</v>
      </c>
      <c r="N18" s="330">
        <v>128</v>
      </c>
      <c r="O18" s="331"/>
      <c r="P18" s="332" t="str">
        <f>VLOOKUP(Ruimtestaat[[#This Row],[Ruimte code]],Ruimtegroepen[],4,FALSE)</f>
        <v>V  (Verkeersruimte)</v>
      </c>
      <c r="Q18" s="332"/>
      <c r="R18" s="333">
        <v>40</v>
      </c>
      <c r="S18" s="333" t="s">
        <v>16</v>
      </c>
      <c r="T18" s="37"/>
      <c r="U18" s="37">
        <f>IF(R18&gt;0,IF(RIGHT(Ruimtestaat[[#This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18" s="37">
        <f>IF(U18&gt;0,VLOOKUP($J18,Ruimtegroepen[],3,FALSE)*VLOOKUP($L18,Vloersoorten[],3,FALSE)*VLOOKUP($S18,Frequenties[],3,FALSE)*VLOOKUP($A18,Locaties[],3,FALSE),0)</f>
        <v>0</v>
      </c>
      <c r="W18" s="37">
        <f>Ruimtestaat[[#This Row],[Uitvoeringen werkdagen]]*Ruimtestaat[[#This Row],[Oppervlak (netto)]]</f>
        <v>1536</v>
      </c>
      <c r="X18" s="37">
        <f>IF(V18&gt;0,Ruimtestaat[[#This Row],[Prest. (m2 /jaar) werkdagen]]/Ruimtestaat[[#This Row],[Norm (m2/uur) werkdagen]],0)</f>
        <v>0</v>
      </c>
      <c r="Y18" s="37">
        <f>Ruimtestaat[[#This Row],[uren / jaar werkdagen]]*Tariefsopbouw!$D$38</f>
        <v>0</v>
      </c>
      <c r="Z18" s="37">
        <f>IF(Ruimtestaat[[#This Row],[Frequentie weekend]]&gt;0,VALUE(LEFT(T18,1))*R18,0)</f>
        <v>0</v>
      </c>
      <c r="AA18" s="37">
        <f>IF($Z18&gt;0,VLOOKUP($J18,Ruimtegroepen[],3,FALSE)*VLOOKUP($L18,Vloersoorten[],3,FALSE)*VLOOKUP($T18,Frequenties[],3,FALSE)*VLOOKUP($A18,Locaties[],3,FALSE),0)</f>
        <v>0</v>
      </c>
      <c r="AB18" s="37">
        <f>Ruimtestaat[[#This Row],[Uitvoeringen weekend]]*Ruimtestaat[[#This Row],[Oppervlak (netto)]]</f>
        <v>0</v>
      </c>
      <c r="AC18" s="37">
        <f>IF(AA18&gt;0,Ruimtestaat[[#This Row],[Prest. (m2 /jaar) weekend]]/Ruimtestaat[[#This Row],[Norm (m2/uur) weekend]],0)</f>
        <v>0</v>
      </c>
      <c r="AD18" s="37">
        <f>Ruimtestaat[[#This Row],[uren / jaar weekend]]*Tariefsopbouw!$D$40</f>
        <v>0</v>
      </c>
      <c r="AE18" s="89">
        <f>Ruimtestaat[[#This Row],[Prest. (m2 /jaar) weekend]]+Ruimtestaat[[#This Row],[Prest. (m2 /jaar) werkdagen]]</f>
        <v>1536</v>
      </c>
      <c r="AF18" s="89">
        <f>Ruimtestaat[[#This Row],[uren / jaar weekend]]+Ruimtestaat[[#This Row],[uren / jaar werkdagen]]</f>
        <v>0</v>
      </c>
      <c r="AG18" s="90">
        <f>Ruimtestaat[[#This Row],[kosten / jaar weekend]]+Ruimtestaat[[#This Row],[kosten / jaar werkdagen]]</f>
        <v>0</v>
      </c>
      <c r="AH18" s="253"/>
      <c r="AI18" s="252" t="str">
        <f>IF(Ruimtestaat[[#This Row],[Frequentie werkdagen]]="","",_xlfn.CONCAT(Ruimtestaat[[#This Row],[Ruimte code]],"-",Ruimtestaat[[#This Row],[Frequentie werkdagen]]," ",Ruimtestaat[[#This Row],[Vloer code]]))</f>
        <v>1-1m P</v>
      </c>
      <c r="AJ18" s="247" t="str">
        <f>_xlfn.IFNA(VLOOKUP(Ruimtestaat[[#This Row],[Programmacode
Regulier]],Programma!$F$4:$Y$36148,2,0),"_")</f>
        <v>_</v>
      </c>
      <c r="AK18" s="247" t="str">
        <f>_xlfn.IFNA(VLOOKUP(Ruimtestaat[[#This Row],[Programmacode
Regulier]],Programma!$F$4:$Y$36148,3,0),"_")</f>
        <v>_</v>
      </c>
      <c r="AL18" s="247" t="str">
        <f>_xlfn.IFNA(VLOOKUP(Ruimtestaat[[#This Row],[Programmacode
Regulier]],Programma!$F$4:$Y$36148,4,0),"_")</f>
        <v>1m</v>
      </c>
      <c r="AM18" s="247" t="str">
        <f>_xlfn.IFNA(VLOOKUP(Ruimtestaat[[#This Row],[Programmacode
Regulier]],Programma!$F$4:$Y$36148,5,0),"_")</f>
        <v>1m</v>
      </c>
      <c r="AN18" s="247" t="str">
        <f>_xlfn.IFNA(VLOOKUP(Ruimtestaat[[#This Row],[Programmacode
Regulier]],Programma!$F$4:$Y$36148,6,0),"_")</f>
        <v>_</v>
      </c>
      <c r="AO18" s="247" t="str">
        <f>_xlfn.IFNA(VLOOKUP(Ruimtestaat[[#This Row],[Programmacode
Regulier]],Programma!$F$4:$Y$36148,7,0),"_")</f>
        <v>_</v>
      </c>
      <c r="AP18" s="247" t="str">
        <f>_xlfn.IFNA(VLOOKUP(Ruimtestaat[[#This Row],[Programmacode
Regulier]],Programma!$F$4:$Y$36148,8,0),"_")</f>
        <v>_</v>
      </c>
      <c r="AQ18" s="247" t="str">
        <f>_xlfn.IFNA(VLOOKUP(Ruimtestaat[[#This Row],[Programmacode
Regulier]],Programma!$F$4:$Y$36148,9,0),"_")</f>
        <v>_</v>
      </c>
      <c r="AR18" s="248" t="str">
        <f>_xlfn.IFNA(VLOOKUP(Ruimtestaat[[#This Row],[Programmacode
Regulier]],Programma!$F$4:$Y$36148,10,0),"_")</f>
        <v>_</v>
      </c>
      <c r="AS18" s="248" t="str">
        <f>_xlfn.IFNA(VLOOKUP(Ruimtestaat[[#This Row],[Programmacode
Regulier]],Programma!$F$4:$Y$36148,11,0),"_")</f>
        <v>_</v>
      </c>
      <c r="AT18" s="248" t="str">
        <f>_xlfn.IFNA(VLOOKUP(Ruimtestaat[[#This Row],[Programmacode
Regulier]],Programma!$F$4:$Y$36148,12,0),"_")</f>
        <v>_</v>
      </c>
      <c r="AU18" s="248" t="str">
        <f>_xlfn.IFNA(VLOOKUP(Ruimtestaat[[#This Row],[Programmacode
Regulier]],Programma!$F$4:$Y$36148,13,0),"_")</f>
        <v>_</v>
      </c>
      <c r="AV18" s="248" t="str">
        <f>_xlfn.IFNA(VLOOKUP(Ruimtestaat[[#This Row],[Programmacode
Regulier]],Programma!$F$4:$Y$36148,14,0),"_")</f>
        <v>1j</v>
      </c>
      <c r="AW18" s="248" t="str">
        <f>_xlfn.IFNA(VLOOKUP(Ruimtestaat[[#This Row],[Programmacode
Regulier]],Programma!$F$4:$Y$36148,15,0),"_")</f>
        <v>1j</v>
      </c>
      <c r="AX18" s="248" t="str">
        <f>_xlfn.IFNA(VLOOKUP(Ruimtestaat[[#This Row],[Programmacode
Regulier]],Programma!$F$4:$Y$36148,16,0),"_")</f>
        <v>1j</v>
      </c>
      <c r="AY18" s="248" t="str">
        <f>_xlfn.IFNA(VLOOKUP(Ruimtestaat[[#This Row],[Programmacode
Regulier]],Programma!$F$4:$Y$36148,17,0),"_")</f>
        <v>_</v>
      </c>
      <c r="AZ18" s="249" t="str">
        <f>_xlfn.IFNA(VLOOKUP(Ruimtestaat[[#This Row],[Programmacode
Regulier]],Programma!$F$4:$Y$36148,18,0),"_")</f>
        <v>_</v>
      </c>
      <c r="BA18" s="249" t="str">
        <f>_xlfn.IFNA(VLOOKUP(Ruimtestaat[[#This Row],[Programmacode
Regulier]],Programma!$F$4:$Y$36148,19,0),"_")</f>
        <v>_</v>
      </c>
      <c r="BB18" s="249" t="str">
        <f>_xlfn.IFNA(VLOOKUP(Ruimtestaat[[#This Row],[Programmacode
Regulier]],Programma!$F$4:$Y$36148,20,0),"_")</f>
        <v>_</v>
      </c>
      <c r="BC18" s="250"/>
      <c r="BD18" s="212" t="str">
        <f>IF(Ruimtestaat[[#This Row],[Frequentie weekend]]="","",_xlfn.CONCAT(Ruimtestaat[[#This Row],[Ruimte code]],"-",Ruimtestaat[[#This Row],[Frequentie weekend]]," ",Ruimtestaat[[#This Row],[Vloer code]]))</f>
        <v/>
      </c>
      <c r="BE18" s="247" t="str">
        <f>_xlfn.IFNA(VLOOKUP(Ruimtestaat[[#This Row],[Code Weekend]],Programma!$F$4:$Y$36148,2,0),"_")</f>
        <v>_</v>
      </c>
      <c r="BF18" s="247" t="str">
        <f>_xlfn.IFNA(VLOOKUP(Ruimtestaat[[#This Row],[Code Weekend]],Programma!$F$4:$Y$36148,3,0),"_")</f>
        <v>_</v>
      </c>
      <c r="BG18" s="247" t="str">
        <f>_xlfn.IFNA(VLOOKUP(Ruimtestaat[[#This Row],[Code Weekend]],Programma!$F$4:$Y$36148,4,0),"_")</f>
        <v>_</v>
      </c>
      <c r="BH18" s="247" t="str">
        <f>_xlfn.IFNA(VLOOKUP(Ruimtestaat[[#This Row],[Code Weekend]],Programma!$F$4:$Y$36148,5,0),"_")</f>
        <v>_</v>
      </c>
      <c r="BI18" s="247" t="str">
        <f>_xlfn.IFNA(VLOOKUP(Ruimtestaat[[#This Row],[Code Weekend]],Programma!$F$4:$Y$36148,6,0),"_")</f>
        <v>_</v>
      </c>
      <c r="BJ18" s="247" t="str">
        <f>_xlfn.IFNA(VLOOKUP(Ruimtestaat[[#This Row],[Code Weekend]],Programma!$F$4:$Y$36148,7,0),"_")</f>
        <v>_</v>
      </c>
      <c r="BK18" s="247" t="str">
        <f>_xlfn.IFNA(VLOOKUP(Ruimtestaat[[#This Row],[Code Weekend]],Programma!$F$4:$Y$36148,8,0),"_")</f>
        <v>_</v>
      </c>
      <c r="BL18" s="247" t="str">
        <f>_xlfn.IFNA(VLOOKUP(Ruimtestaat[[#This Row],[Code Weekend]],Programma!$F$4:$Y$36148,9,0),"_")</f>
        <v>_</v>
      </c>
      <c r="BM18" s="248" t="str">
        <f>_xlfn.IFNA(VLOOKUP(Ruimtestaat[[#This Row],[Code Weekend]],Programma!$F$4:$Y$36148,10,0),"_")</f>
        <v>_</v>
      </c>
      <c r="BN18" s="248" t="str">
        <f>_xlfn.IFNA(VLOOKUP(Ruimtestaat[[#This Row],[Code Weekend]],Programma!$F$4:$Y$36148,11,0),"_")</f>
        <v>_</v>
      </c>
      <c r="BO18" s="248" t="str">
        <f>_xlfn.IFNA(VLOOKUP(Ruimtestaat[[#This Row],[Code Weekend]],Programma!$F$4:$Y$36148,12,0),"_")</f>
        <v>_</v>
      </c>
      <c r="BP18" s="248" t="str">
        <f>_xlfn.IFNA(VLOOKUP(Ruimtestaat[[#This Row],[Code Weekend]],Programma!$F$4:$Y$36148,13,0),"_")</f>
        <v>_</v>
      </c>
      <c r="BQ18" s="248" t="str">
        <f>_xlfn.IFNA(VLOOKUP(Ruimtestaat[[#This Row],[Code Weekend]],Programma!$F$4:$Y$36148,14,0),"_")</f>
        <v>_</v>
      </c>
      <c r="BR18" s="248" t="str">
        <f>_xlfn.IFNA(VLOOKUP(Ruimtestaat[[#This Row],[Code Weekend]],Programma!$F$4:$Y$36148,15,0),"_")</f>
        <v>_</v>
      </c>
      <c r="BS18" s="248" t="str">
        <f>_xlfn.IFNA(VLOOKUP(Ruimtestaat[[#This Row],[Code Weekend]],Programma!$F$4:$Y$36148,16,0),"_")</f>
        <v>_</v>
      </c>
      <c r="BT18" s="248" t="str">
        <f>_xlfn.IFNA(VLOOKUP(Ruimtestaat[[#This Row],[Code Weekend]],Programma!$F$4:$Y$36148,17,0),"_")</f>
        <v>_</v>
      </c>
      <c r="BU18" s="249" t="str">
        <f>_xlfn.IFNA(VLOOKUP(Ruimtestaat[[#This Row],[Code Weekend]],Programma!$F$4:$Y$36148,18,0),"_")</f>
        <v>_</v>
      </c>
      <c r="BV18" s="249" t="str">
        <f>_xlfn.IFNA(VLOOKUP(Ruimtestaat[[#This Row],[Code Weekend]],Programma!$F$4:$Y$36148,19,0),"_")</f>
        <v>_</v>
      </c>
      <c r="BW18" s="249" t="str">
        <f>_xlfn.IFNA(VLOOKUP(Ruimtestaat[[#This Row],[Code Weekend]],Programma!$F$4:$Y$36148,20,0),"_")</f>
        <v>_</v>
      </c>
      <c r="BX18" s="91"/>
      <c r="BY18" s="91"/>
      <c r="BZ18" s="91"/>
      <c r="CA18" s="91"/>
      <c r="CB18" s="91"/>
      <c r="CC18" s="91"/>
      <c r="CD18" s="91"/>
      <c r="CE18" s="91"/>
      <c r="CF18" s="91"/>
      <c r="CG18" s="91"/>
      <c r="CH18" s="91"/>
      <c r="CI18" s="91"/>
      <c r="CJ18" s="91"/>
      <c r="CK18" s="91"/>
      <c r="CL18" s="91"/>
      <c r="CM18" s="91"/>
      <c r="CN18" s="91"/>
      <c r="CO18" s="91"/>
      <c r="CP18" s="91"/>
      <c r="CQ18" s="91"/>
      <c r="CR18" s="91"/>
      <c r="CS18" s="91"/>
      <c r="CT18" s="91"/>
      <c r="CU18" s="91"/>
      <c r="CV18" s="91"/>
      <c r="CW18" s="91"/>
      <c r="CX18" s="91"/>
      <c r="CY18" s="91"/>
      <c r="CZ18" s="91"/>
      <c r="DA18" s="91"/>
      <c r="DB18" s="91"/>
      <c r="DC18" s="91"/>
      <c r="DD18" s="91"/>
      <c r="DE18" s="91"/>
      <c r="DF18" s="91"/>
      <c r="DG18" s="91"/>
      <c r="DH18" s="91"/>
      <c r="DI18" s="91"/>
      <c r="DJ18" s="91"/>
      <c r="DK18" s="91"/>
      <c r="DL18" s="91"/>
      <c r="DM18" s="91"/>
      <c r="DN18" s="91"/>
      <c r="DO18" s="91"/>
      <c r="DP18" s="91"/>
      <c r="DQ18" s="91"/>
      <c r="DR18" s="91"/>
      <c r="DS18" s="91"/>
      <c r="DT18" s="91"/>
      <c r="DU18" s="91"/>
      <c r="DV18" s="91"/>
      <c r="DW18" s="91"/>
      <c r="DX18" s="91"/>
      <c r="DY18" s="91"/>
      <c r="DZ18" s="91"/>
      <c r="EA18" s="91"/>
      <c r="EB18" s="91"/>
      <c r="EC18" s="91"/>
      <c r="ED18" s="91"/>
      <c r="EE18" s="91"/>
      <c r="EF18" s="91"/>
      <c r="EG18" s="91"/>
      <c r="EH18" s="91"/>
      <c r="EI18" s="91"/>
      <c r="EJ18" s="91"/>
      <c r="EK18" s="91"/>
      <c r="EL18" s="91"/>
      <c r="EM18" s="91"/>
      <c r="EN18" s="91"/>
      <c r="EO18" s="91"/>
      <c r="EP18" s="91"/>
      <c r="EQ18" s="91"/>
      <c r="ER18" s="91"/>
      <c r="ES18" s="91"/>
      <c r="ET18" s="91"/>
      <c r="EU18" s="91"/>
      <c r="EV18" s="91"/>
      <c r="EW18" s="91"/>
      <c r="EX18" s="91"/>
      <c r="EY18" s="91"/>
      <c r="EZ18" s="91"/>
      <c r="FA18" s="91"/>
      <c r="FB18" s="91"/>
      <c r="FC18" s="91"/>
      <c r="FD18" s="91"/>
      <c r="FE18" s="91"/>
      <c r="FF18" s="91"/>
      <c r="FG18" s="91"/>
      <c r="FH18" s="91"/>
      <c r="FI18" s="91"/>
      <c r="FJ18" s="91"/>
      <c r="FK18" s="91"/>
      <c r="FL18" s="91"/>
      <c r="FM18" s="91"/>
      <c r="FN18" s="91"/>
      <c r="FO18" s="91"/>
      <c r="FP18" s="91"/>
      <c r="FQ18" s="91"/>
      <c r="FR18" s="91"/>
      <c r="FS18" s="91"/>
      <c r="FT18" s="91"/>
      <c r="FU18" s="91"/>
      <c r="FV18" s="91"/>
      <c r="FW18" s="91"/>
      <c r="FX18" s="91"/>
      <c r="FY18" s="91"/>
      <c r="FZ18" s="91"/>
      <c r="GA18" s="91"/>
      <c r="GB18" s="91"/>
      <c r="GC18" s="91"/>
      <c r="GD18" s="91"/>
      <c r="GE18" s="91"/>
      <c r="GF18" s="91"/>
      <c r="GG18" s="91"/>
      <c r="GH18" s="91"/>
      <c r="GI18" s="91"/>
      <c r="GJ18" s="91"/>
      <c r="GK18" s="91"/>
      <c r="GL18" s="91"/>
      <c r="GM18" s="91"/>
      <c r="GN18" s="91"/>
      <c r="GO18" s="91"/>
      <c r="GP18" s="91"/>
      <c r="GQ18" s="91"/>
      <c r="GR18" s="91"/>
      <c r="GS18" s="91"/>
      <c r="GT18" s="91"/>
      <c r="GU18" s="91"/>
      <c r="GV18" s="91"/>
      <c r="GW18" s="91"/>
      <c r="GX18" s="91"/>
      <c r="GY18" s="91"/>
      <c r="GZ18" s="91"/>
      <c r="HA18" s="91"/>
      <c r="HB18" s="91"/>
      <c r="HC18" s="91"/>
      <c r="HD18" s="91"/>
      <c r="HE18" s="91"/>
      <c r="HF18" s="91"/>
      <c r="HG18" s="91"/>
      <c r="HH18" s="91"/>
      <c r="HI18" s="91"/>
      <c r="HJ18" s="91"/>
      <c r="HK18" s="91"/>
    </row>
    <row r="19" spans="1:219" s="8" customFormat="1" ht="12.75" customHeight="1">
      <c r="A19" s="131">
        <v>1</v>
      </c>
      <c r="B19" s="22" t="str">
        <f>VLOOKUP(Ruimtestaat[[#This Row],[Code]],Locaties[#All],2,FALSE)</f>
        <v>ESH Secondary School</v>
      </c>
      <c r="C19" s="22" t="str">
        <f>VLOOKUP(Ruimtestaat[[#This Row],[Code]],Locaties[#All],4,FALSE)</f>
        <v>Oostduinlaan 50</v>
      </c>
      <c r="D19" s="334" t="str">
        <f>VLOOKUP(Ruimtestaat[[#This Row],[Code]],Locaties[#All],5,FALSE)</f>
        <v>2596 JP</v>
      </c>
      <c r="E19" s="334" t="str">
        <f>VLOOKUP(Ruimtestaat[[#This Row],[Code]],Locaties[#All],6,FALSE)</f>
        <v>Den Haag</v>
      </c>
      <c r="F19" s="326"/>
      <c r="G19" s="324" t="s">
        <v>1610</v>
      </c>
      <c r="H19" s="324" t="s">
        <v>1586</v>
      </c>
      <c r="I19" s="327" t="s">
        <v>1485</v>
      </c>
      <c r="J19" s="328">
        <v>21</v>
      </c>
      <c r="K19" s="348" t="str">
        <f>VLOOKUP(J19,Ruimtegroepen[],2,FALSE)</f>
        <v>Niet in onderhoud</v>
      </c>
      <c r="L19" s="325"/>
      <c r="M19" s="329"/>
      <c r="N19" s="330"/>
      <c r="O19" s="331">
        <v>15</v>
      </c>
      <c r="P19" s="332" t="str">
        <f>VLOOKUP(Ruimtestaat[[#This Row],[Ruimte code]],Ruimtegroepen[],4,FALSE)</f>
        <v>NIO</v>
      </c>
      <c r="Q19" s="332"/>
      <c r="R19" s="333"/>
      <c r="S19" s="333"/>
      <c r="T19" s="37"/>
      <c r="U19" s="37">
        <f>IF(R19&gt;0,IF(RIGHT(Ruimtestaat[[#This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19" s="37">
        <f>IF(U19&gt;0,VLOOKUP($J19,Ruimtegroepen[],3,FALSE)*VLOOKUP($L19,Vloersoorten[],3,FALSE)*VLOOKUP($S19,Frequenties[],3,FALSE)*VLOOKUP($A19,Locaties[],3,FALSE),0)</f>
        <v>0</v>
      </c>
      <c r="W19" s="37">
        <f>Ruimtestaat[[#This Row],[Uitvoeringen werkdagen]]*Ruimtestaat[[#This Row],[Oppervlak (netto)]]</f>
        <v>0</v>
      </c>
      <c r="X19" s="37">
        <f>IF(V19&gt;0,Ruimtestaat[[#This Row],[Prest. (m2 /jaar) werkdagen]]/Ruimtestaat[[#This Row],[Norm (m2/uur) werkdagen]],0)</f>
        <v>0</v>
      </c>
      <c r="Y19" s="37">
        <f>Ruimtestaat[[#This Row],[uren / jaar werkdagen]]*Tariefsopbouw!$D$38</f>
        <v>0</v>
      </c>
      <c r="Z19" s="37">
        <f>IF(Ruimtestaat[[#This Row],[Frequentie weekend]]&gt;0,VALUE(LEFT(T19,1))*R19,0)</f>
        <v>0</v>
      </c>
      <c r="AA19" s="37">
        <f>IF($Z19&gt;0,VLOOKUP($J19,Ruimtegroepen[],3,FALSE)*VLOOKUP($L19,Vloersoorten[],3,FALSE)*VLOOKUP($T19,Frequenties[],3,FALSE)*VLOOKUP($A19,Locaties[],3,FALSE),0)</f>
        <v>0</v>
      </c>
      <c r="AB19" s="37">
        <f>Ruimtestaat[[#This Row],[Uitvoeringen weekend]]*Ruimtestaat[[#This Row],[Oppervlak (netto)]]</f>
        <v>0</v>
      </c>
      <c r="AC19" s="37">
        <f>IF(AA19&gt;0,Ruimtestaat[[#This Row],[Prest. (m2 /jaar) weekend]]/Ruimtestaat[[#This Row],[Norm (m2/uur) weekend]],0)</f>
        <v>0</v>
      </c>
      <c r="AD19" s="37">
        <f>Ruimtestaat[[#This Row],[uren / jaar weekend]]*Tariefsopbouw!$D$40</f>
        <v>0</v>
      </c>
      <c r="AE19" s="89">
        <f>Ruimtestaat[[#This Row],[Prest. (m2 /jaar) weekend]]+Ruimtestaat[[#This Row],[Prest. (m2 /jaar) werkdagen]]</f>
        <v>0</v>
      </c>
      <c r="AF19" s="89">
        <f>Ruimtestaat[[#This Row],[uren / jaar weekend]]+Ruimtestaat[[#This Row],[uren / jaar werkdagen]]</f>
        <v>0</v>
      </c>
      <c r="AG19" s="90">
        <f>Ruimtestaat[[#This Row],[kosten / jaar weekend]]+Ruimtestaat[[#This Row],[kosten / jaar werkdagen]]</f>
        <v>0</v>
      </c>
      <c r="AH19" s="253"/>
      <c r="AI19" s="252" t="str">
        <f>IF(Ruimtestaat[[#This Row],[Frequentie werkdagen]]="","",_xlfn.CONCAT(Ruimtestaat[[#This Row],[Ruimte code]],"-",Ruimtestaat[[#This Row],[Frequentie werkdagen]]," ",Ruimtestaat[[#This Row],[Vloer code]]))</f>
        <v/>
      </c>
      <c r="AJ19" s="247" t="str">
        <f>_xlfn.IFNA(VLOOKUP(Ruimtestaat[[#This Row],[Programmacode
Regulier]],Programma!$F$4:$Y$36148,2,0),"_")</f>
        <v>_</v>
      </c>
      <c r="AK19" s="247" t="str">
        <f>_xlfn.IFNA(VLOOKUP(Ruimtestaat[[#This Row],[Programmacode
Regulier]],Programma!$F$4:$Y$36148,3,0),"_")</f>
        <v>_</v>
      </c>
      <c r="AL19" s="247" t="str">
        <f>_xlfn.IFNA(VLOOKUP(Ruimtestaat[[#This Row],[Programmacode
Regulier]],Programma!$F$4:$Y$36148,4,0),"_")</f>
        <v>_</v>
      </c>
      <c r="AM19" s="247" t="str">
        <f>_xlfn.IFNA(VLOOKUP(Ruimtestaat[[#This Row],[Programmacode
Regulier]],Programma!$F$4:$Y$36148,5,0),"_")</f>
        <v>_</v>
      </c>
      <c r="AN19" s="247" t="str">
        <f>_xlfn.IFNA(VLOOKUP(Ruimtestaat[[#This Row],[Programmacode
Regulier]],Programma!$F$4:$Y$36148,6,0),"_")</f>
        <v>_</v>
      </c>
      <c r="AO19" s="247" t="str">
        <f>_xlfn.IFNA(VLOOKUP(Ruimtestaat[[#This Row],[Programmacode
Regulier]],Programma!$F$4:$Y$36148,7,0),"_")</f>
        <v>_</v>
      </c>
      <c r="AP19" s="247" t="str">
        <f>_xlfn.IFNA(VLOOKUP(Ruimtestaat[[#This Row],[Programmacode
Regulier]],Programma!$F$4:$Y$36148,8,0),"_")</f>
        <v>_</v>
      </c>
      <c r="AQ19" s="247" t="str">
        <f>_xlfn.IFNA(VLOOKUP(Ruimtestaat[[#This Row],[Programmacode
Regulier]],Programma!$F$4:$Y$36148,9,0),"_")</f>
        <v>_</v>
      </c>
      <c r="AR19" s="248" t="str">
        <f>_xlfn.IFNA(VLOOKUP(Ruimtestaat[[#This Row],[Programmacode
Regulier]],Programma!$F$4:$Y$36148,10,0),"_")</f>
        <v>_</v>
      </c>
      <c r="AS19" s="248" t="str">
        <f>_xlfn.IFNA(VLOOKUP(Ruimtestaat[[#This Row],[Programmacode
Regulier]],Programma!$F$4:$Y$36148,11,0),"_")</f>
        <v>_</v>
      </c>
      <c r="AT19" s="248" t="str">
        <f>_xlfn.IFNA(VLOOKUP(Ruimtestaat[[#This Row],[Programmacode
Regulier]],Programma!$F$4:$Y$36148,12,0),"_")</f>
        <v>_</v>
      </c>
      <c r="AU19" s="248" t="str">
        <f>_xlfn.IFNA(VLOOKUP(Ruimtestaat[[#This Row],[Programmacode
Regulier]],Programma!$F$4:$Y$36148,13,0),"_")</f>
        <v>_</v>
      </c>
      <c r="AV19" s="248" t="str">
        <f>_xlfn.IFNA(VLOOKUP(Ruimtestaat[[#This Row],[Programmacode
Regulier]],Programma!$F$4:$Y$36148,14,0),"_")</f>
        <v>_</v>
      </c>
      <c r="AW19" s="248" t="str">
        <f>_xlfn.IFNA(VLOOKUP(Ruimtestaat[[#This Row],[Programmacode
Regulier]],Programma!$F$4:$Y$36148,15,0),"_")</f>
        <v>_</v>
      </c>
      <c r="AX19" s="248" t="str">
        <f>_xlfn.IFNA(VLOOKUP(Ruimtestaat[[#This Row],[Programmacode
Regulier]],Programma!$F$4:$Y$36148,16,0),"_")</f>
        <v>_</v>
      </c>
      <c r="AY19" s="248" t="str">
        <f>_xlfn.IFNA(VLOOKUP(Ruimtestaat[[#This Row],[Programmacode
Regulier]],Programma!$F$4:$Y$36148,17,0),"_")</f>
        <v>_</v>
      </c>
      <c r="AZ19" s="249" t="str">
        <f>_xlfn.IFNA(VLOOKUP(Ruimtestaat[[#This Row],[Programmacode
Regulier]],Programma!$F$4:$Y$36148,18,0),"_")</f>
        <v>_</v>
      </c>
      <c r="BA19" s="249" t="str">
        <f>_xlfn.IFNA(VLOOKUP(Ruimtestaat[[#This Row],[Programmacode
Regulier]],Programma!$F$4:$Y$36148,19,0),"_")</f>
        <v>_</v>
      </c>
      <c r="BB19" s="249" t="str">
        <f>_xlfn.IFNA(VLOOKUP(Ruimtestaat[[#This Row],[Programmacode
Regulier]],Programma!$F$4:$Y$36148,20,0),"_")</f>
        <v>_</v>
      </c>
      <c r="BC19" s="250"/>
      <c r="BD19" s="212" t="str">
        <f>IF(Ruimtestaat[[#This Row],[Frequentie weekend]]="","",_xlfn.CONCAT(Ruimtestaat[[#This Row],[Ruimte code]],"-",Ruimtestaat[[#This Row],[Frequentie weekend]]," ",Ruimtestaat[[#This Row],[Vloer code]]))</f>
        <v/>
      </c>
      <c r="BE19" s="247" t="str">
        <f>_xlfn.IFNA(VLOOKUP(Ruimtestaat[[#This Row],[Code Weekend]],Programma!$F$4:$Y$36148,2,0),"_")</f>
        <v>_</v>
      </c>
      <c r="BF19" s="247" t="str">
        <f>_xlfn.IFNA(VLOOKUP(Ruimtestaat[[#This Row],[Code Weekend]],Programma!$F$4:$Y$36148,3,0),"_")</f>
        <v>_</v>
      </c>
      <c r="BG19" s="247" t="str">
        <f>_xlfn.IFNA(VLOOKUP(Ruimtestaat[[#This Row],[Code Weekend]],Programma!$F$4:$Y$36148,4,0),"_")</f>
        <v>_</v>
      </c>
      <c r="BH19" s="247" t="str">
        <f>_xlfn.IFNA(VLOOKUP(Ruimtestaat[[#This Row],[Code Weekend]],Programma!$F$4:$Y$36148,5,0),"_")</f>
        <v>_</v>
      </c>
      <c r="BI19" s="247" t="str">
        <f>_xlfn.IFNA(VLOOKUP(Ruimtestaat[[#This Row],[Code Weekend]],Programma!$F$4:$Y$36148,6,0),"_")</f>
        <v>_</v>
      </c>
      <c r="BJ19" s="247" t="str">
        <f>_xlfn.IFNA(VLOOKUP(Ruimtestaat[[#This Row],[Code Weekend]],Programma!$F$4:$Y$36148,7,0),"_")</f>
        <v>_</v>
      </c>
      <c r="BK19" s="247" t="str">
        <f>_xlfn.IFNA(VLOOKUP(Ruimtestaat[[#This Row],[Code Weekend]],Programma!$F$4:$Y$36148,8,0),"_")</f>
        <v>_</v>
      </c>
      <c r="BL19" s="247" t="str">
        <f>_xlfn.IFNA(VLOOKUP(Ruimtestaat[[#This Row],[Code Weekend]],Programma!$F$4:$Y$36148,9,0),"_")</f>
        <v>_</v>
      </c>
      <c r="BM19" s="248" t="str">
        <f>_xlfn.IFNA(VLOOKUP(Ruimtestaat[[#This Row],[Code Weekend]],Programma!$F$4:$Y$36148,10,0),"_")</f>
        <v>_</v>
      </c>
      <c r="BN19" s="248" t="str">
        <f>_xlfn.IFNA(VLOOKUP(Ruimtestaat[[#This Row],[Code Weekend]],Programma!$F$4:$Y$36148,11,0),"_")</f>
        <v>_</v>
      </c>
      <c r="BO19" s="248" t="str">
        <f>_xlfn.IFNA(VLOOKUP(Ruimtestaat[[#This Row],[Code Weekend]],Programma!$F$4:$Y$36148,12,0),"_")</f>
        <v>_</v>
      </c>
      <c r="BP19" s="248" t="str">
        <f>_xlfn.IFNA(VLOOKUP(Ruimtestaat[[#This Row],[Code Weekend]],Programma!$F$4:$Y$36148,13,0),"_")</f>
        <v>_</v>
      </c>
      <c r="BQ19" s="248" t="str">
        <f>_xlfn.IFNA(VLOOKUP(Ruimtestaat[[#This Row],[Code Weekend]],Programma!$F$4:$Y$36148,14,0),"_")</f>
        <v>_</v>
      </c>
      <c r="BR19" s="248" t="str">
        <f>_xlfn.IFNA(VLOOKUP(Ruimtestaat[[#This Row],[Code Weekend]],Programma!$F$4:$Y$36148,15,0),"_")</f>
        <v>_</v>
      </c>
      <c r="BS19" s="248" t="str">
        <f>_xlfn.IFNA(VLOOKUP(Ruimtestaat[[#This Row],[Code Weekend]],Programma!$F$4:$Y$36148,16,0),"_")</f>
        <v>_</v>
      </c>
      <c r="BT19" s="248" t="str">
        <f>_xlfn.IFNA(VLOOKUP(Ruimtestaat[[#This Row],[Code Weekend]],Programma!$F$4:$Y$36148,17,0),"_")</f>
        <v>_</v>
      </c>
      <c r="BU19" s="249" t="str">
        <f>_xlfn.IFNA(VLOOKUP(Ruimtestaat[[#This Row],[Code Weekend]],Programma!$F$4:$Y$36148,18,0),"_")</f>
        <v>_</v>
      </c>
      <c r="BV19" s="249" t="str">
        <f>_xlfn.IFNA(VLOOKUP(Ruimtestaat[[#This Row],[Code Weekend]],Programma!$F$4:$Y$36148,19,0),"_")</f>
        <v>_</v>
      </c>
      <c r="BW19" s="249" t="str">
        <f>_xlfn.IFNA(VLOOKUP(Ruimtestaat[[#This Row],[Code Weekend]],Programma!$F$4:$Y$36148,20,0),"_")</f>
        <v>_</v>
      </c>
      <c r="BX19" s="91"/>
      <c r="BY19" s="91"/>
      <c r="BZ19" s="91"/>
      <c r="CA19" s="91"/>
      <c r="CB19" s="91"/>
      <c r="CC19" s="91"/>
      <c r="CD19" s="91"/>
      <c r="CE19" s="91"/>
      <c r="CF19" s="91"/>
      <c r="CG19" s="91"/>
      <c r="CH19" s="91"/>
      <c r="CI19" s="91"/>
      <c r="CJ19" s="91"/>
      <c r="CK19" s="91"/>
      <c r="CL19" s="91"/>
      <c r="CM19" s="91"/>
      <c r="CN19" s="91"/>
      <c r="CO19" s="91"/>
      <c r="CP19" s="91"/>
      <c r="CQ19" s="91"/>
      <c r="CR19" s="91"/>
      <c r="CS19" s="91"/>
      <c r="CT19" s="91"/>
      <c r="CU19" s="91"/>
      <c r="CV19" s="91"/>
      <c r="CW19" s="91"/>
      <c r="CX19" s="91"/>
      <c r="CY19" s="91"/>
      <c r="CZ19" s="91"/>
      <c r="DA19" s="91"/>
      <c r="DB19" s="91"/>
      <c r="DC19" s="91"/>
      <c r="DD19" s="91"/>
      <c r="DE19" s="91"/>
      <c r="DF19" s="91"/>
      <c r="DG19" s="91"/>
      <c r="DH19" s="91"/>
      <c r="DI19" s="91"/>
      <c r="DJ19" s="91"/>
      <c r="DK19" s="91"/>
      <c r="DL19" s="91"/>
      <c r="DM19" s="91"/>
      <c r="DN19" s="91"/>
      <c r="DO19" s="91"/>
      <c r="DP19" s="91"/>
      <c r="DQ19" s="91"/>
      <c r="DR19" s="91"/>
      <c r="DS19" s="91"/>
      <c r="DT19" s="91"/>
      <c r="DU19" s="91"/>
      <c r="DV19" s="91"/>
      <c r="DW19" s="91"/>
      <c r="DX19" s="91"/>
      <c r="DY19" s="91"/>
      <c r="DZ19" s="91"/>
      <c r="EA19" s="91"/>
      <c r="EB19" s="91"/>
      <c r="EC19" s="91"/>
      <c r="ED19" s="91"/>
      <c r="EE19" s="91"/>
      <c r="EF19" s="91"/>
      <c r="EG19" s="91"/>
      <c r="EH19" s="91"/>
      <c r="EI19" s="91"/>
      <c r="EJ19" s="91"/>
      <c r="EK19" s="91"/>
      <c r="EL19" s="91"/>
      <c r="EM19" s="91"/>
      <c r="EN19" s="91"/>
      <c r="EO19" s="91"/>
      <c r="EP19" s="91"/>
      <c r="EQ19" s="91"/>
      <c r="ER19" s="91"/>
      <c r="ES19" s="91"/>
      <c r="ET19" s="91"/>
      <c r="EU19" s="91"/>
      <c r="EV19" s="91"/>
      <c r="EW19" s="91"/>
      <c r="EX19" s="91"/>
      <c r="EY19" s="91"/>
      <c r="EZ19" s="91"/>
      <c r="FA19" s="91"/>
      <c r="FB19" s="91"/>
      <c r="FC19" s="91"/>
      <c r="FD19" s="91"/>
      <c r="FE19" s="91"/>
      <c r="FF19" s="91"/>
      <c r="FG19" s="91"/>
      <c r="FH19" s="91"/>
      <c r="FI19" s="91"/>
      <c r="FJ19" s="91"/>
      <c r="FK19" s="91"/>
      <c r="FL19" s="91"/>
      <c r="FM19" s="91"/>
      <c r="FN19" s="91"/>
      <c r="FO19" s="91"/>
      <c r="FP19" s="91"/>
      <c r="FQ19" s="91"/>
      <c r="FR19" s="91"/>
      <c r="FS19" s="91"/>
      <c r="FT19" s="91"/>
      <c r="FU19" s="91"/>
      <c r="FV19" s="91"/>
      <c r="FW19" s="91"/>
      <c r="FX19" s="91"/>
      <c r="FY19" s="91"/>
      <c r="FZ19" s="91"/>
      <c r="GA19" s="91"/>
      <c r="GB19" s="91"/>
      <c r="GC19" s="91"/>
      <c r="GD19" s="91"/>
      <c r="GE19" s="91"/>
      <c r="GF19" s="91"/>
      <c r="GG19" s="91"/>
      <c r="GH19" s="91"/>
      <c r="GI19" s="91"/>
      <c r="GJ19" s="91"/>
      <c r="GK19" s="91"/>
      <c r="GL19" s="91"/>
      <c r="GM19" s="91"/>
      <c r="GN19" s="91"/>
      <c r="GO19" s="91"/>
      <c r="GP19" s="91"/>
      <c r="GQ19" s="91"/>
      <c r="GR19" s="91"/>
      <c r="GS19" s="91"/>
      <c r="GT19" s="91"/>
      <c r="GU19" s="91"/>
      <c r="GV19" s="91"/>
      <c r="GW19" s="91"/>
      <c r="GX19" s="91"/>
      <c r="GY19" s="91"/>
      <c r="GZ19" s="91"/>
      <c r="HA19" s="91"/>
      <c r="HB19" s="91"/>
      <c r="HC19" s="91"/>
      <c r="HD19" s="91"/>
      <c r="HE19" s="91"/>
      <c r="HF19" s="91"/>
      <c r="HG19" s="91"/>
      <c r="HH19" s="91"/>
      <c r="HI19" s="91"/>
      <c r="HJ19" s="91"/>
      <c r="HK19" s="91"/>
    </row>
    <row r="20" spans="1:219" s="8" customFormat="1" ht="12.75" customHeight="1">
      <c r="A20" s="131">
        <v>1</v>
      </c>
      <c r="B20" s="22" t="str">
        <f>VLOOKUP(Ruimtestaat[[#This Row],[Code]],Locaties[#All],2,FALSE)</f>
        <v>ESH Secondary School</v>
      </c>
      <c r="C20" s="22" t="str">
        <f>VLOOKUP(Ruimtestaat[[#This Row],[Code]],Locaties[#All],4,FALSE)</f>
        <v>Oostduinlaan 50</v>
      </c>
      <c r="D20" s="334" t="str">
        <f>VLOOKUP(Ruimtestaat[[#This Row],[Code]],Locaties[#All],5,FALSE)</f>
        <v>2596 JP</v>
      </c>
      <c r="E20" s="334" t="str">
        <f>VLOOKUP(Ruimtestaat[[#This Row],[Code]],Locaties[#All],6,FALSE)</f>
        <v>Den Haag</v>
      </c>
      <c r="F20" s="326"/>
      <c r="G20" s="324" t="s">
        <v>1610</v>
      </c>
      <c r="H20" s="324" t="s">
        <v>1587</v>
      </c>
      <c r="I20" s="327" t="s">
        <v>1395</v>
      </c>
      <c r="J20" s="252" t="s">
        <v>1422</v>
      </c>
      <c r="K20" s="348" t="str">
        <f>VLOOKUP(J20,Ruimtegroepen[],2,FALSE)</f>
        <v>Gangen/hallen andere verdiepingen</v>
      </c>
      <c r="L20" s="212" t="s">
        <v>123</v>
      </c>
      <c r="M20" s="334" t="s">
        <v>144</v>
      </c>
      <c r="N20" s="330">
        <v>149</v>
      </c>
      <c r="O20" s="331"/>
      <c r="P20" s="332" t="str">
        <f>VLOOKUP(Ruimtestaat[[#This Row],[Ruimte code]],Ruimtegroepen[],4,FALSE)</f>
        <v>V  (Verkeersruimte)</v>
      </c>
      <c r="Q20" s="332"/>
      <c r="R20" s="333">
        <v>40</v>
      </c>
      <c r="S20" s="333" t="s">
        <v>2</v>
      </c>
      <c r="T20" s="37"/>
      <c r="U20" s="37">
        <f>IF(R20&gt;0,IF(RIGHT(Ruimtestaat[[#This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0" s="37">
        <f>IF(U20&gt;0,VLOOKUP($J20,Ruimtegroepen[],3,FALSE)*VLOOKUP($L20,Vloersoorten[],3,FALSE)*VLOOKUP($S20,Frequenties[],3,FALSE)*VLOOKUP($A20,Locaties[],3,FALSE),0)</f>
        <v>0</v>
      </c>
      <c r="W20" s="37">
        <f>Ruimtestaat[[#This Row],[Uitvoeringen werkdagen]]*Ruimtestaat[[#This Row],[Oppervlak (netto)]]</f>
        <v>29800</v>
      </c>
      <c r="X20" s="37">
        <f>IF(V20&gt;0,Ruimtestaat[[#This Row],[Prest. (m2 /jaar) werkdagen]]/Ruimtestaat[[#This Row],[Norm (m2/uur) werkdagen]],0)</f>
        <v>0</v>
      </c>
      <c r="Y20" s="37">
        <f>Ruimtestaat[[#This Row],[uren / jaar werkdagen]]*Tariefsopbouw!$D$38</f>
        <v>0</v>
      </c>
      <c r="Z20" s="37">
        <f>IF(Ruimtestaat[[#This Row],[Frequentie weekend]]&gt;0,VALUE(LEFT(T20,1))*R20,0)</f>
        <v>0</v>
      </c>
      <c r="AA20" s="37">
        <f>IF($Z20&gt;0,VLOOKUP($J20,Ruimtegroepen[],3,FALSE)*VLOOKUP($L20,Vloersoorten[],3,FALSE)*VLOOKUP($T20,Frequenties[],3,FALSE)*VLOOKUP($A20,Locaties[],3,FALSE),0)</f>
        <v>0</v>
      </c>
      <c r="AB20" s="37">
        <f>Ruimtestaat[[#This Row],[Uitvoeringen weekend]]*Ruimtestaat[[#This Row],[Oppervlak (netto)]]</f>
        <v>0</v>
      </c>
      <c r="AC20" s="37">
        <f>IF(AA20&gt;0,Ruimtestaat[[#This Row],[Prest. (m2 /jaar) weekend]]/Ruimtestaat[[#This Row],[Norm (m2/uur) weekend]],0)</f>
        <v>0</v>
      </c>
      <c r="AD20" s="37">
        <f>Ruimtestaat[[#This Row],[uren / jaar weekend]]*Tariefsopbouw!$D$40</f>
        <v>0</v>
      </c>
      <c r="AE20" s="89">
        <f>Ruimtestaat[[#This Row],[Prest. (m2 /jaar) weekend]]+Ruimtestaat[[#This Row],[Prest. (m2 /jaar) werkdagen]]</f>
        <v>29800</v>
      </c>
      <c r="AF20" s="89">
        <f>Ruimtestaat[[#This Row],[uren / jaar weekend]]+Ruimtestaat[[#This Row],[uren / jaar werkdagen]]</f>
        <v>0</v>
      </c>
      <c r="AG20" s="90">
        <f>Ruimtestaat[[#This Row],[kosten / jaar weekend]]+Ruimtestaat[[#This Row],[kosten / jaar werkdagen]]</f>
        <v>0</v>
      </c>
      <c r="AH20" s="253"/>
      <c r="AI20" s="252" t="str">
        <f>IF(Ruimtestaat[[#This Row],[Frequentie werkdagen]]="","",_xlfn.CONCAT(Ruimtestaat[[#This Row],[Ruimte code]],"-",Ruimtestaat[[#This Row],[Frequentie werkdagen]]," ",Ruimtestaat[[#This Row],[Vloer code]]))</f>
        <v>6a-5w P</v>
      </c>
      <c r="AJ20" s="247" t="str">
        <f>_xlfn.IFNA(VLOOKUP(Ruimtestaat[[#This Row],[Programmacode
Regulier]],Programma!$F$4:$Y$36148,2,0),"_")</f>
        <v>_</v>
      </c>
      <c r="AK20" s="247" t="str">
        <f>_xlfn.IFNA(VLOOKUP(Ruimtestaat[[#This Row],[Programmacode
Regulier]],Programma!$F$4:$Y$36148,3,0),"_")</f>
        <v>_</v>
      </c>
      <c r="AL20" s="247" t="str">
        <f>_xlfn.IFNA(VLOOKUP(Ruimtestaat[[#This Row],[Programmacode
Regulier]],Programma!$F$4:$Y$36148,4,0),"_")</f>
        <v>5w</v>
      </c>
      <c r="AM20" s="247" t="str">
        <f>_xlfn.IFNA(VLOOKUP(Ruimtestaat[[#This Row],[Programmacode
Regulier]],Programma!$F$4:$Y$36148,5,0),"_")</f>
        <v>4w</v>
      </c>
      <c r="AN20" s="247" t="str">
        <f>_xlfn.IFNA(VLOOKUP(Ruimtestaat[[#This Row],[Programmacode
Regulier]],Programma!$F$4:$Y$36148,6,0),"_")</f>
        <v>1w</v>
      </c>
      <c r="AO20" s="247" t="str">
        <f>_xlfn.IFNA(VLOOKUP(Ruimtestaat[[#This Row],[Programmacode
Regulier]],Programma!$F$4:$Y$36148,7,0),"_")</f>
        <v>_</v>
      </c>
      <c r="AP20" s="247" t="str">
        <f>_xlfn.IFNA(VLOOKUP(Ruimtestaat[[#This Row],[Programmacode
Regulier]],Programma!$F$4:$Y$36148,8,0),"_")</f>
        <v>_</v>
      </c>
      <c r="AQ20" s="247" t="str">
        <f>_xlfn.IFNA(VLOOKUP(Ruimtestaat[[#This Row],[Programmacode
Regulier]],Programma!$F$4:$Y$36148,9,0),"_")</f>
        <v>_</v>
      </c>
      <c r="AR20" s="248" t="str">
        <f>_xlfn.IFNA(VLOOKUP(Ruimtestaat[[#This Row],[Programmacode
Regulier]],Programma!$F$4:$Y$36148,10,0),"_")</f>
        <v>5w</v>
      </c>
      <c r="AS20" s="248" t="str">
        <f>_xlfn.IFNA(VLOOKUP(Ruimtestaat[[#This Row],[Programmacode
Regulier]],Programma!$F$4:$Y$36148,11,0),"_")</f>
        <v>5w</v>
      </c>
      <c r="AT20" s="248" t="str">
        <f>_xlfn.IFNA(VLOOKUP(Ruimtestaat[[#This Row],[Programmacode
Regulier]],Programma!$F$4:$Y$36148,12,0),"_")</f>
        <v>1w</v>
      </c>
      <c r="AU20" s="248" t="str">
        <f>_xlfn.IFNA(VLOOKUP(Ruimtestaat[[#This Row],[Programmacode
Regulier]],Programma!$F$4:$Y$36148,13,0),"_")</f>
        <v>1w</v>
      </c>
      <c r="AV20" s="248" t="str">
        <f>_xlfn.IFNA(VLOOKUP(Ruimtestaat[[#This Row],[Programmacode
Regulier]],Programma!$F$4:$Y$36148,14,0),"_")</f>
        <v>1m</v>
      </c>
      <c r="AW20" s="248" t="str">
        <f>_xlfn.IFNA(VLOOKUP(Ruimtestaat[[#This Row],[Programmacode
Regulier]],Programma!$F$4:$Y$36148,15,0),"_")</f>
        <v>2j</v>
      </c>
      <c r="AX20" s="248" t="str">
        <f>_xlfn.IFNA(VLOOKUP(Ruimtestaat[[#This Row],[Programmacode
Regulier]],Programma!$F$4:$Y$36148,16,0),"_")</f>
        <v>1j</v>
      </c>
      <c r="AY20" s="248" t="str">
        <f>_xlfn.IFNA(VLOOKUP(Ruimtestaat[[#This Row],[Programmacode
Regulier]],Programma!$F$4:$Y$36148,17,0),"_")</f>
        <v>_</v>
      </c>
      <c r="AZ20" s="249" t="str">
        <f>_xlfn.IFNA(VLOOKUP(Ruimtestaat[[#This Row],[Programmacode
Regulier]],Programma!$F$4:$Y$36148,18,0),"_")</f>
        <v>_</v>
      </c>
      <c r="BA20" s="249" t="str">
        <f>_xlfn.IFNA(VLOOKUP(Ruimtestaat[[#This Row],[Programmacode
Regulier]],Programma!$F$4:$Y$36148,19,0),"_")</f>
        <v>_</v>
      </c>
      <c r="BB20" s="249" t="str">
        <f>_xlfn.IFNA(VLOOKUP(Ruimtestaat[[#This Row],[Programmacode
Regulier]],Programma!$F$4:$Y$36148,20,0),"_")</f>
        <v>_</v>
      </c>
      <c r="BC20" s="250"/>
      <c r="BD20" s="212" t="str">
        <f>IF(Ruimtestaat[[#This Row],[Frequentie weekend]]="","",_xlfn.CONCAT(Ruimtestaat[[#This Row],[Ruimte code]],"-",Ruimtestaat[[#This Row],[Frequentie weekend]]," ",Ruimtestaat[[#This Row],[Vloer code]]))</f>
        <v/>
      </c>
      <c r="BE20" s="247" t="str">
        <f>_xlfn.IFNA(VLOOKUP(Ruimtestaat[[#This Row],[Code Weekend]],Programma!$F$4:$Y$36148,2,0),"_")</f>
        <v>_</v>
      </c>
      <c r="BF20" s="247" t="str">
        <f>_xlfn.IFNA(VLOOKUP(Ruimtestaat[[#This Row],[Code Weekend]],Programma!$F$4:$Y$36148,3,0),"_")</f>
        <v>_</v>
      </c>
      <c r="BG20" s="247" t="str">
        <f>_xlfn.IFNA(VLOOKUP(Ruimtestaat[[#This Row],[Code Weekend]],Programma!$F$4:$Y$36148,4,0),"_")</f>
        <v>_</v>
      </c>
      <c r="BH20" s="247" t="str">
        <f>_xlfn.IFNA(VLOOKUP(Ruimtestaat[[#This Row],[Code Weekend]],Programma!$F$4:$Y$36148,5,0),"_")</f>
        <v>_</v>
      </c>
      <c r="BI20" s="247" t="str">
        <f>_xlfn.IFNA(VLOOKUP(Ruimtestaat[[#This Row],[Code Weekend]],Programma!$F$4:$Y$36148,6,0),"_")</f>
        <v>_</v>
      </c>
      <c r="BJ20" s="247" t="str">
        <f>_xlfn.IFNA(VLOOKUP(Ruimtestaat[[#This Row],[Code Weekend]],Programma!$F$4:$Y$36148,7,0),"_")</f>
        <v>_</v>
      </c>
      <c r="BK20" s="247" t="str">
        <f>_xlfn.IFNA(VLOOKUP(Ruimtestaat[[#This Row],[Code Weekend]],Programma!$F$4:$Y$36148,8,0),"_")</f>
        <v>_</v>
      </c>
      <c r="BL20" s="247" t="str">
        <f>_xlfn.IFNA(VLOOKUP(Ruimtestaat[[#This Row],[Code Weekend]],Programma!$F$4:$Y$36148,9,0),"_")</f>
        <v>_</v>
      </c>
      <c r="BM20" s="248" t="str">
        <f>_xlfn.IFNA(VLOOKUP(Ruimtestaat[[#This Row],[Code Weekend]],Programma!$F$4:$Y$36148,10,0),"_")</f>
        <v>_</v>
      </c>
      <c r="BN20" s="248" t="str">
        <f>_xlfn.IFNA(VLOOKUP(Ruimtestaat[[#This Row],[Code Weekend]],Programma!$F$4:$Y$36148,11,0),"_")</f>
        <v>_</v>
      </c>
      <c r="BO20" s="248" t="str">
        <f>_xlfn.IFNA(VLOOKUP(Ruimtestaat[[#This Row],[Code Weekend]],Programma!$F$4:$Y$36148,12,0),"_")</f>
        <v>_</v>
      </c>
      <c r="BP20" s="248" t="str">
        <f>_xlfn.IFNA(VLOOKUP(Ruimtestaat[[#This Row],[Code Weekend]],Programma!$F$4:$Y$36148,13,0),"_")</f>
        <v>_</v>
      </c>
      <c r="BQ20" s="248" t="str">
        <f>_xlfn.IFNA(VLOOKUP(Ruimtestaat[[#This Row],[Code Weekend]],Programma!$F$4:$Y$36148,14,0),"_")</f>
        <v>_</v>
      </c>
      <c r="BR20" s="248" t="str">
        <f>_xlfn.IFNA(VLOOKUP(Ruimtestaat[[#This Row],[Code Weekend]],Programma!$F$4:$Y$36148,15,0),"_")</f>
        <v>_</v>
      </c>
      <c r="BS20" s="248" t="str">
        <f>_xlfn.IFNA(VLOOKUP(Ruimtestaat[[#This Row],[Code Weekend]],Programma!$F$4:$Y$36148,16,0),"_")</f>
        <v>_</v>
      </c>
      <c r="BT20" s="248" t="str">
        <f>_xlfn.IFNA(VLOOKUP(Ruimtestaat[[#This Row],[Code Weekend]],Programma!$F$4:$Y$36148,17,0),"_")</f>
        <v>_</v>
      </c>
      <c r="BU20" s="249" t="str">
        <f>_xlfn.IFNA(VLOOKUP(Ruimtestaat[[#This Row],[Code Weekend]],Programma!$F$4:$Y$36148,18,0),"_")</f>
        <v>_</v>
      </c>
      <c r="BV20" s="249" t="str">
        <f>_xlfn.IFNA(VLOOKUP(Ruimtestaat[[#This Row],[Code Weekend]],Programma!$F$4:$Y$36148,19,0),"_")</f>
        <v>_</v>
      </c>
      <c r="BW20" s="249" t="str">
        <f>_xlfn.IFNA(VLOOKUP(Ruimtestaat[[#This Row],[Code Weekend]],Programma!$F$4:$Y$36148,20,0),"_")</f>
        <v>_</v>
      </c>
      <c r="BX20" s="91"/>
      <c r="BY20" s="91"/>
      <c r="BZ20" s="91"/>
      <c r="CA20" s="91"/>
      <c r="CB20" s="91"/>
      <c r="CC20" s="91"/>
      <c r="CD20" s="91"/>
      <c r="CE20" s="91"/>
      <c r="CF20" s="91"/>
      <c r="CG20" s="91"/>
      <c r="CH20" s="91"/>
      <c r="CI20" s="91"/>
      <c r="CJ20" s="91"/>
      <c r="CK20" s="91"/>
      <c r="CL20" s="91"/>
      <c r="CM20" s="91"/>
      <c r="CN20" s="91"/>
      <c r="CO20" s="91"/>
      <c r="CP20" s="91"/>
      <c r="CQ20" s="91"/>
      <c r="CR20" s="91"/>
      <c r="CS20" s="91"/>
      <c r="CT20" s="91"/>
      <c r="CU20" s="91"/>
      <c r="CV20" s="91"/>
      <c r="CW20" s="91"/>
      <c r="CX20" s="91"/>
      <c r="CY20" s="91"/>
      <c r="CZ20" s="91"/>
      <c r="DA20" s="91"/>
      <c r="DB20" s="91"/>
      <c r="DC20" s="91"/>
      <c r="DD20" s="91"/>
      <c r="DE20" s="91"/>
      <c r="DF20" s="91"/>
      <c r="DG20" s="91"/>
      <c r="DH20" s="91"/>
      <c r="DI20" s="91"/>
      <c r="DJ20" s="91"/>
      <c r="DK20" s="91"/>
      <c r="DL20" s="91"/>
      <c r="DM20" s="91"/>
      <c r="DN20" s="91"/>
      <c r="DO20" s="91"/>
      <c r="DP20" s="91"/>
      <c r="DQ20" s="91"/>
      <c r="DR20" s="91"/>
      <c r="DS20" s="91"/>
      <c r="DT20" s="91"/>
      <c r="DU20" s="91"/>
      <c r="DV20" s="91"/>
      <c r="DW20" s="91"/>
      <c r="DX20" s="91"/>
      <c r="DY20" s="91"/>
      <c r="DZ20" s="91"/>
      <c r="EA20" s="91"/>
      <c r="EB20" s="91"/>
      <c r="EC20" s="91"/>
      <c r="ED20" s="91"/>
      <c r="EE20" s="91"/>
      <c r="EF20" s="91"/>
      <c r="EG20" s="91"/>
      <c r="EH20" s="91"/>
      <c r="EI20" s="91"/>
      <c r="EJ20" s="91"/>
      <c r="EK20" s="91"/>
      <c r="EL20" s="91"/>
      <c r="EM20" s="91"/>
      <c r="EN20" s="91"/>
      <c r="EO20" s="91"/>
      <c r="EP20" s="91"/>
      <c r="EQ20" s="91"/>
      <c r="ER20" s="91"/>
      <c r="ES20" s="91"/>
      <c r="ET20" s="91"/>
      <c r="EU20" s="91"/>
      <c r="EV20" s="91"/>
      <c r="EW20" s="91"/>
      <c r="EX20" s="91"/>
      <c r="EY20" s="91"/>
      <c r="EZ20" s="91"/>
      <c r="FA20" s="91"/>
      <c r="FB20" s="91"/>
      <c r="FC20" s="91"/>
      <c r="FD20" s="91"/>
      <c r="FE20" s="91"/>
      <c r="FF20" s="91"/>
      <c r="FG20" s="91"/>
      <c r="FH20" s="91"/>
      <c r="FI20" s="91"/>
      <c r="FJ20" s="91"/>
      <c r="FK20" s="91"/>
      <c r="FL20" s="91"/>
      <c r="FM20" s="91"/>
      <c r="FN20" s="91"/>
      <c r="FO20" s="91"/>
      <c r="FP20" s="91"/>
      <c r="FQ20" s="91"/>
      <c r="FR20" s="91"/>
      <c r="FS20" s="91"/>
      <c r="FT20" s="91"/>
      <c r="FU20" s="91"/>
      <c r="FV20" s="91"/>
      <c r="FW20" s="91"/>
      <c r="FX20" s="91"/>
      <c r="FY20" s="91"/>
      <c r="FZ20" s="91"/>
      <c r="GA20" s="91"/>
      <c r="GB20" s="91"/>
      <c r="GC20" s="91"/>
      <c r="GD20" s="91"/>
      <c r="GE20" s="91"/>
      <c r="GF20" s="91"/>
      <c r="GG20" s="91"/>
      <c r="GH20" s="91"/>
      <c r="GI20" s="91"/>
      <c r="GJ20" s="91"/>
      <c r="GK20" s="91"/>
      <c r="GL20" s="91"/>
      <c r="GM20" s="91"/>
      <c r="GN20" s="91"/>
      <c r="GO20" s="91"/>
      <c r="GP20" s="91"/>
      <c r="GQ20" s="91"/>
      <c r="GR20" s="91"/>
      <c r="GS20" s="91"/>
      <c r="GT20" s="91"/>
      <c r="GU20" s="91"/>
      <c r="GV20" s="91"/>
      <c r="GW20" s="91"/>
      <c r="GX20" s="91"/>
      <c r="GY20" s="91"/>
      <c r="GZ20" s="91"/>
      <c r="HA20" s="91"/>
      <c r="HB20" s="91"/>
      <c r="HC20" s="91"/>
      <c r="HD20" s="91"/>
      <c r="HE20" s="91"/>
      <c r="HF20" s="91"/>
      <c r="HG20" s="91"/>
      <c r="HH20" s="91"/>
      <c r="HI20" s="91"/>
      <c r="HJ20" s="91"/>
      <c r="HK20" s="91"/>
    </row>
    <row r="21" spans="1:219" s="8" customFormat="1" ht="12.75" customHeight="1">
      <c r="A21" s="131">
        <v>1</v>
      </c>
      <c r="B21" s="22" t="str">
        <f>VLOOKUP(Ruimtestaat[[#This Row],[Code]],Locaties[#All],2,FALSE)</f>
        <v>ESH Secondary School</v>
      </c>
      <c r="C21" s="22" t="str">
        <f>VLOOKUP(Ruimtestaat[[#This Row],[Code]],Locaties[#All],4,FALSE)</f>
        <v>Oostduinlaan 50</v>
      </c>
      <c r="D21" s="334" t="str">
        <f>VLOOKUP(Ruimtestaat[[#This Row],[Code]],Locaties[#All],5,FALSE)</f>
        <v>2596 JP</v>
      </c>
      <c r="E21" s="334" t="str">
        <f>VLOOKUP(Ruimtestaat[[#This Row],[Code]],Locaties[#All],6,FALSE)</f>
        <v>Den Haag</v>
      </c>
      <c r="F21" s="326"/>
      <c r="G21" s="324" t="s">
        <v>1610</v>
      </c>
      <c r="H21" s="324" t="s">
        <v>1588</v>
      </c>
      <c r="I21" s="327" t="s">
        <v>1616</v>
      </c>
      <c r="J21" s="328">
        <v>15</v>
      </c>
      <c r="K21" s="348" t="str">
        <f>VLOOKUP(J21,Ruimtegroepen[],2,FALSE)</f>
        <v>Keuken/pantry</v>
      </c>
      <c r="L21" s="212" t="s">
        <v>123</v>
      </c>
      <c r="M21" s="334" t="s">
        <v>144</v>
      </c>
      <c r="N21" s="330">
        <v>38</v>
      </c>
      <c r="O21" s="331"/>
      <c r="P21" s="332" t="str">
        <f>VLOOKUP(Ruimtestaat[[#This Row],[Ruimte code]],Ruimtegroepen[],4,FALSE)</f>
        <v>V  (Verkeersruimte)</v>
      </c>
      <c r="Q21" s="332"/>
      <c r="R21" s="333">
        <v>40</v>
      </c>
      <c r="S21" s="333" t="s">
        <v>19</v>
      </c>
      <c r="T21" s="37"/>
      <c r="U21" s="37">
        <f>IF(R21&gt;0,IF(RIGHT(Ruimtestaat[[#This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21" s="37">
        <f>IF(U21&gt;0,VLOOKUP($J21,Ruimtegroepen[],3,FALSE)*VLOOKUP($L21,Vloersoorten[],3,FALSE)*VLOOKUP($S21,Frequenties[],3,FALSE)*VLOOKUP($A21,Locaties[],3,FALSE),0)</f>
        <v>0</v>
      </c>
      <c r="W21" s="37">
        <f>Ruimtestaat[[#This Row],[Uitvoeringen werkdagen]]*Ruimtestaat[[#This Row],[Oppervlak (netto)]]</f>
        <v>15200</v>
      </c>
      <c r="X21" s="37">
        <f>IF(V21&gt;0,Ruimtestaat[[#This Row],[Prest. (m2 /jaar) werkdagen]]/Ruimtestaat[[#This Row],[Norm (m2/uur) werkdagen]],0)</f>
        <v>0</v>
      </c>
      <c r="Y21" s="37">
        <f>Ruimtestaat[[#This Row],[uren / jaar werkdagen]]*Tariefsopbouw!$D$38</f>
        <v>0</v>
      </c>
      <c r="Z21" s="37">
        <f>IF(Ruimtestaat[[#This Row],[Frequentie weekend]]&gt;0,VALUE(LEFT(T21,1))*R21,0)</f>
        <v>0</v>
      </c>
      <c r="AA21" s="37">
        <f>IF($Z21&gt;0,VLOOKUP($J21,Ruimtegroepen[],3,FALSE)*VLOOKUP($L21,Vloersoorten[],3,FALSE)*VLOOKUP($T21,Frequenties[],3,FALSE)*VLOOKUP($A21,Locaties[],3,FALSE),0)</f>
        <v>0</v>
      </c>
      <c r="AB21" s="37">
        <f>Ruimtestaat[[#This Row],[Uitvoeringen weekend]]*Ruimtestaat[[#This Row],[Oppervlak (netto)]]</f>
        <v>0</v>
      </c>
      <c r="AC21" s="37">
        <f>IF(AA21&gt;0,Ruimtestaat[[#This Row],[Prest. (m2 /jaar) weekend]]/Ruimtestaat[[#This Row],[Norm (m2/uur) weekend]],0)</f>
        <v>0</v>
      </c>
      <c r="AD21" s="37">
        <f>Ruimtestaat[[#This Row],[uren / jaar weekend]]*Tariefsopbouw!$D$40</f>
        <v>0</v>
      </c>
      <c r="AE21" s="89">
        <f>Ruimtestaat[[#This Row],[Prest. (m2 /jaar) weekend]]+Ruimtestaat[[#This Row],[Prest. (m2 /jaar) werkdagen]]</f>
        <v>15200</v>
      </c>
      <c r="AF21" s="89">
        <f>Ruimtestaat[[#This Row],[uren / jaar weekend]]+Ruimtestaat[[#This Row],[uren / jaar werkdagen]]</f>
        <v>0</v>
      </c>
      <c r="AG21" s="90">
        <f>Ruimtestaat[[#This Row],[kosten / jaar weekend]]+Ruimtestaat[[#This Row],[kosten / jaar werkdagen]]</f>
        <v>0</v>
      </c>
      <c r="AH21" s="253"/>
      <c r="AI21" s="252" t="str">
        <f>IF(Ruimtestaat[[#This Row],[Frequentie werkdagen]]="","",_xlfn.CONCAT(Ruimtestaat[[#This Row],[Ruimte code]],"-",Ruimtestaat[[#This Row],[Frequentie werkdagen]]," ",Ruimtestaat[[#This Row],[Vloer code]]))</f>
        <v>15-10w P</v>
      </c>
      <c r="AJ21" s="247" t="str">
        <f>_xlfn.IFNA(VLOOKUP(Ruimtestaat[[#This Row],[Programmacode
Regulier]],Programma!$F$4:$Y$36148,2,0),"_")</f>
        <v>_</v>
      </c>
      <c r="AK21" s="247" t="str">
        <f>_xlfn.IFNA(VLOOKUP(Ruimtestaat[[#This Row],[Programmacode
Regulier]],Programma!$F$4:$Y$36148,3,0),"_")</f>
        <v>_</v>
      </c>
      <c r="AL21" s="247" t="str">
        <f>_xlfn.IFNA(VLOOKUP(Ruimtestaat[[#This Row],[Programmacode
Regulier]],Programma!$F$4:$Y$36148,4,0),"_")</f>
        <v>5w</v>
      </c>
      <c r="AM21" s="247" t="str">
        <f>_xlfn.IFNA(VLOOKUP(Ruimtestaat[[#This Row],[Programmacode
Regulier]],Programma!$F$4:$Y$36148,5,0),"_")</f>
        <v>4w</v>
      </c>
      <c r="AN21" s="247" t="str">
        <f>_xlfn.IFNA(VLOOKUP(Ruimtestaat[[#This Row],[Programmacode
Regulier]],Programma!$F$4:$Y$36148,6,0),"_")</f>
        <v>1w</v>
      </c>
      <c r="AO21" s="247" t="str">
        <f>_xlfn.IFNA(VLOOKUP(Ruimtestaat[[#This Row],[Programmacode
Regulier]],Programma!$F$4:$Y$36148,7,0),"_")</f>
        <v>_</v>
      </c>
      <c r="AP21" s="247" t="str">
        <f>_xlfn.IFNA(VLOOKUP(Ruimtestaat[[#This Row],[Programmacode
Regulier]],Programma!$F$4:$Y$36148,8,0),"_")</f>
        <v>_</v>
      </c>
      <c r="AQ21" s="247" t="str">
        <f>_xlfn.IFNA(VLOOKUP(Ruimtestaat[[#This Row],[Programmacode
Regulier]],Programma!$F$4:$Y$36148,9,0),"_")</f>
        <v>5w</v>
      </c>
      <c r="AR21" s="248" t="str">
        <f>_xlfn.IFNA(VLOOKUP(Ruimtestaat[[#This Row],[Programmacode
Regulier]],Programma!$F$4:$Y$36148,10,0),"_")</f>
        <v>5w</v>
      </c>
      <c r="AS21" s="248" t="str">
        <f>_xlfn.IFNA(VLOOKUP(Ruimtestaat[[#This Row],[Programmacode
Regulier]],Programma!$F$4:$Y$36148,11,0),"_")</f>
        <v>5w</v>
      </c>
      <c r="AT21" s="248" t="str">
        <f>_xlfn.IFNA(VLOOKUP(Ruimtestaat[[#This Row],[Programmacode
Regulier]],Programma!$F$4:$Y$36148,12,0),"_")</f>
        <v>1w</v>
      </c>
      <c r="AU21" s="248" t="str">
        <f>_xlfn.IFNA(VLOOKUP(Ruimtestaat[[#This Row],[Programmacode
Regulier]],Programma!$F$4:$Y$36148,13,0),"_")</f>
        <v>1w</v>
      </c>
      <c r="AV21" s="248" t="str">
        <f>_xlfn.IFNA(VLOOKUP(Ruimtestaat[[#This Row],[Programmacode
Regulier]],Programma!$F$4:$Y$36148,14,0),"_")</f>
        <v>1m</v>
      </c>
      <c r="AW21" s="248" t="str">
        <f>_xlfn.IFNA(VLOOKUP(Ruimtestaat[[#This Row],[Programmacode
Regulier]],Programma!$F$4:$Y$36148,15,0),"_")</f>
        <v>2j</v>
      </c>
      <c r="AX21" s="248" t="str">
        <f>_xlfn.IFNA(VLOOKUP(Ruimtestaat[[#This Row],[Programmacode
Regulier]],Programma!$F$4:$Y$36148,16,0),"_")</f>
        <v>1j</v>
      </c>
      <c r="AY21" s="248" t="str">
        <f>_xlfn.IFNA(VLOOKUP(Ruimtestaat[[#This Row],[Programmacode
Regulier]],Programma!$F$4:$Y$36148,17,0),"_")</f>
        <v>5w</v>
      </c>
      <c r="AZ21" s="249" t="str">
        <f>_xlfn.IFNA(VLOOKUP(Ruimtestaat[[#This Row],[Programmacode
Regulier]],Programma!$F$4:$Y$36148,18,0),"_")</f>
        <v>_</v>
      </c>
      <c r="BA21" s="249" t="str">
        <f>_xlfn.IFNA(VLOOKUP(Ruimtestaat[[#This Row],[Programmacode
Regulier]],Programma!$F$4:$Y$36148,19,0),"_")</f>
        <v>_</v>
      </c>
      <c r="BB21" s="249" t="str">
        <f>_xlfn.IFNA(VLOOKUP(Ruimtestaat[[#This Row],[Programmacode
Regulier]],Programma!$F$4:$Y$36148,20,0),"_")</f>
        <v>_</v>
      </c>
      <c r="BC21" s="250"/>
      <c r="BD21" s="212" t="str">
        <f>IF(Ruimtestaat[[#This Row],[Frequentie weekend]]="","",_xlfn.CONCAT(Ruimtestaat[[#This Row],[Ruimte code]],"-",Ruimtestaat[[#This Row],[Frequentie weekend]]," ",Ruimtestaat[[#This Row],[Vloer code]]))</f>
        <v/>
      </c>
      <c r="BE21" s="247" t="str">
        <f>_xlfn.IFNA(VLOOKUP(Ruimtestaat[[#This Row],[Code Weekend]],Programma!$F$4:$Y$36148,2,0),"_")</f>
        <v>_</v>
      </c>
      <c r="BF21" s="247" t="str">
        <f>_xlfn.IFNA(VLOOKUP(Ruimtestaat[[#This Row],[Code Weekend]],Programma!$F$4:$Y$36148,3,0),"_")</f>
        <v>_</v>
      </c>
      <c r="BG21" s="247" t="str">
        <f>_xlfn.IFNA(VLOOKUP(Ruimtestaat[[#This Row],[Code Weekend]],Programma!$F$4:$Y$36148,4,0),"_")</f>
        <v>_</v>
      </c>
      <c r="BH21" s="247" t="str">
        <f>_xlfn.IFNA(VLOOKUP(Ruimtestaat[[#This Row],[Code Weekend]],Programma!$F$4:$Y$36148,5,0),"_")</f>
        <v>_</v>
      </c>
      <c r="BI21" s="247" t="str">
        <f>_xlfn.IFNA(VLOOKUP(Ruimtestaat[[#This Row],[Code Weekend]],Programma!$F$4:$Y$36148,6,0),"_")</f>
        <v>_</v>
      </c>
      <c r="BJ21" s="247" t="str">
        <f>_xlfn.IFNA(VLOOKUP(Ruimtestaat[[#This Row],[Code Weekend]],Programma!$F$4:$Y$36148,7,0),"_")</f>
        <v>_</v>
      </c>
      <c r="BK21" s="247" t="str">
        <f>_xlfn.IFNA(VLOOKUP(Ruimtestaat[[#This Row],[Code Weekend]],Programma!$F$4:$Y$36148,8,0),"_")</f>
        <v>_</v>
      </c>
      <c r="BL21" s="247" t="str">
        <f>_xlfn.IFNA(VLOOKUP(Ruimtestaat[[#This Row],[Code Weekend]],Programma!$F$4:$Y$36148,9,0),"_")</f>
        <v>_</v>
      </c>
      <c r="BM21" s="248" t="str">
        <f>_xlfn.IFNA(VLOOKUP(Ruimtestaat[[#This Row],[Code Weekend]],Programma!$F$4:$Y$36148,10,0),"_")</f>
        <v>_</v>
      </c>
      <c r="BN21" s="248" t="str">
        <f>_xlfn.IFNA(VLOOKUP(Ruimtestaat[[#This Row],[Code Weekend]],Programma!$F$4:$Y$36148,11,0),"_")</f>
        <v>_</v>
      </c>
      <c r="BO21" s="248" t="str">
        <f>_xlfn.IFNA(VLOOKUP(Ruimtestaat[[#This Row],[Code Weekend]],Programma!$F$4:$Y$36148,12,0),"_")</f>
        <v>_</v>
      </c>
      <c r="BP21" s="248" t="str">
        <f>_xlfn.IFNA(VLOOKUP(Ruimtestaat[[#This Row],[Code Weekend]],Programma!$F$4:$Y$36148,13,0),"_")</f>
        <v>_</v>
      </c>
      <c r="BQ21" s="248" t="str">
        <f>_xlfn.IFNA(VLOOKUP(Ruimtestaat[[#This Row],[Code Weekend]],Programma!$F$4:$Y$36148,14,0),"_")</f>
        <v>_</v>
      </c>
      <c r="BR21" s="248" t="str">
        <f>_xlfn.IFNA(VLOOKUP(Ruimtestaat[[#This Row],[Code Weekend]],Programma!$F$4:$Y$36148,15,0),"_")</f>
        <v>_</v>
      </c>
      <c r="BS21" s="248" t="str">
        <f>_xlfn.IFNA(VLOOKUP(Ruimtestaat[[#This Row],[Code Weekend]],Programma!$F$4:$Y$36148,16,0),"_")</f>
        <v>_</v>
      </c>
      <c r="BT21" s="248" t="str">
        <f>_xlfn.IFNA(VLOOKUP(Ruimtestaat[[#This Row],[Code Weekend]],Programma!$F$4:$Y$36148,17,0),"_")</f>
        <v>_</v>
      </c>
      <c r="BU21" s="249" t="str">
        <f>_xlfn.IFNA(VLOOKUP(Ruimtestaat[[#This Row],[Code Weekend]],Programma!$F$4:$Y$36148,18,0),"_")</f>
        <v>_</v>
      </c>
      <c r="BV21" s="249" t="str">
        <f>_xlfn.IFNA(VLOOKUP(Ruimtestaat[[#This Row],[Code Weekend]],Programma!$F$4:$Y$36148,19,0),"_")</f>
        <v>_</v>
      </c>
      <c r="BW21" s="249" t="str">
        <f>_xlfn.IFNA(VLOOKUP(Ruimtestaat[[#This Row],[Code Weekend]],Programma!$F$4:$Y$36148,20,0),"_")</f>
        <v>_</v>
      </c>
      <c r="BX21" s="91"/>
      <c r="BY21" s="91"/>
      <c r="BZ21" s="91"/>
      <c r="CA21" s="91"/>
      <c r="CB21" s="91"/>
      <c r="CC21" s="91"/>
      <c r="CD21" s="91"/>
      <c r="CE21" s="91"/>
      <c r="CF21" s="91"/>
      <c r="CG21" s="91"/>
      <c r="CH21" s="91"/>
      <c r="CI21" s="91"/>
      <c r="CJ21" s="91"/>
      <c r="CK21" s="91"/>
      <c r="CL21" s="91"/>
      <c r="CM21" s="91"/>
      <c r="CN21" s="91"/>
      <c r="CO21" s="91"/>
      <c r="CP21" s="91"/>
      <c r="CQ21" s="91"/>
      <c r="CR21" s="91"/>
      <c r="CS21" s="91"/>
      <c r="CT21" s="91"/>
      <c r="CU21" s="91"/>
      <c r="CV21" s="91"/>
      <c r="CW21" s="91"/>
      <c r="CX21" s="91"/>
      <c r="CY21" s="91"/>
      <c r="CZ21" s="91"/>
      <c r="DA21" s="91"/>
      <c r="DB21" s="91"/>
      <c r="DC21" s="91"/>
      <c r="DD21" s="91"/>
      <c r="DE21" s="91"/>
      <c r="DF21" s="91"/>
      <c r="DG21" s="91"/>
      <c r="DH21" s="91"/>
      <c r="DI21" s="91"/>
      <c r="DJ21" s="91"/>
      <c r="DK21" s="91"/>
      <c r="DL21" s="91"/>
      <c r="DM21" s="91"/>
      <c r="DN21" s="91"/>
      <c r="DO21" s="91"/>
      <c r="DP21" s="91"/>
      <c r="DQ21" s="91"/>
      <c r="DR21" s="91"/>
      <c r="DS21" s="91"/>
      <c r="DT21" s="91"/>
      <c r="DU21" s="91"/>
      <c r="DV21" s="91"/>
      <c r="DW21" s="91"/>
      <c r="DX21" s="91"/>
      <c r="DY21" s="91"/>
      <c r="DZ21" s="91"/>
      <c r="EA21" s="91"/>
      <c r="EB21" s="91"/>
      <c r="EC21" s="91"/>
      <c r="ED21" s="91"/>
      <c r="EE21" s="91"/>
      <c r="EF21" s="91"/>
      <c r="EG21" s="91"/>
      <c r="EH21" s="91"/>
      <c r="EI21" s="91"/>
      <c r="EJ21" s="91"/>
      <c r="EK21" s="91"/>
      <c r="EL21" s="91"/>
      <c r="EM21" s="91"/>
      <c r="EN21" s="91"/>
      <c r="EO21" s="91"/>
      <c r="EP21" s="91"/>
      <c r="EQ21" s="91"/>
      <c r="ER21" s="91"/>
      <c r="ES21" s="91"/>
      <c r="ET21" s="91"/>
      <c r="EU21" s="91"/>
      <c r="EV21" s="91"/>
      <c r="EW21" s="91"/>
      <c r="EX21" s="91"/>
      <c r="EY21" s="91"/>
      <c r="EZ21" s="91"/>
      <c r="FA21" s="91"/>
      <c r="FB21" s="91"/>
      <c r="FC21" s="91"/>
      <c r="FD21" s="91"/>
      <c r="FE21" s="91"/>
      <c r="FF21" s="91"/>
      <c r="FG21" s="91"/>
      <c r="FH21" s="91"/>
      <c r="FI21" s="91"/>
      <c r="FJ21" s="91"/>
      <c r="FK21" s="91"/>
      <c r="FL21" s="91"/>
      <c r="FM21" s="91"/>
      <c r="FN21" s="91"/>
      <c r="FO21" s="91"/>
      <c r="FP21" s="91"/>
      <c r="FQ21" s="91"/>
      <c r="FR21" s="91"/>
      <c r="FS21" s="91"/>
      <c r="FT21" s="91"/>
      <c r="FU21" s="91"/>
      <c r="FV21" s="91"/>
      <c r="FW21" s="91"/>
      <c r="FX21" s="91"/>
      <c r="FY21" s="91"/>
      <c r="FZ21" s="91"/>
      <c r="GA21" s="91"/>
      <c r="GB21" s="91"/>
      <c r="GC21" s="91"/>
      <c r="GD21" s="91"/>
      <c r="GE21" s="91"/>
      <c r="GF21" s="91"/>
      <c r="GG21" s="91"/>
      <c r="GH21" s="91"/>
      <c r="GI21" s="91"/>
      <c r="GJ21" s="91"/>
      <c r="GK21" s="91"/>
      <c r="GL21" s="91"/>
      <c r="GM21" s="91"/>
      <c r="GN21" s="91"/>
      <c r="GO21" s="91"/>
      <c r="GP21" s="91"/>
      <c r="GQ21" s="91"/>
      <c r="GR21" s="91"/>
      <c r="GS21" s="91"/>
      <c r="GT21" s="91"/>
      <c r="GU21" s="91"/>
      <c r="GV21" s="91"/>
      <c r="GW21" s="91"/>
      <c r="GX21" s="91"/>
      <c r="GY21" s="91"/>
      <c r="GZ21" s="91"/>
      <c r="HA21" s="91"/>
      <c r="HB21" s="91"/>
      <c r="HC21" s="91"/>
      <c r="HD21" s="91"/>
      <c r="HE21" s="91"/>
      <c r="HF21" s="91"/>
      <c r="HG21" s="91"/>
      <c r="HH21" s="91"/>
      <c r="HI21" s="91"/>
      <c r="HJ21" s="91"/>
      <c r="HK21" s="91"/>
    </row>
    <row r="22" spans="1:219" s="8" customFormat="1" ht="12.75" customHeight="1">
      <c r="A22" s="131">
        <v>1</v>
      </c>
      <c r="B22" s="22" t="str">
        <f>VLOOKUP(Ruimtestaat[[#This Row],[Code]],Locaties[#All],2,FALSE)</f>
        <v>ESH Secondary School</v>
      </c>
      <c r="C22" s="22" t="str">
        <f>VLOOKUP(Ruimtestaat[[#This Row],[Code]],Locaties[#All],4,FALSE)</f>
        <v>Oostduinlaan 50</v>
      </c>
      <c r="D22" s="334" t="str">
        <f>VLOOKUP(Ruimtestaat[[#This Row],[Code]],Locaties[#All],5,FALSE)</f>
        <v>2596 JP</v>
      </c>
      <c r="E22" s="334" t="str">
        <f>VLOOKUP(Ruimtestaat[[#This Row],[Code]],Locaties[#All],6,FALSE)</f>
        <v>Den Haag</v>
      </c>
      <c r="F22" s="326"/>
      <c r="G22" s="324" t="s">
        <v>1610</v>
      </c>
      <c r="H22" s="324" t="s">
        <v>1589</v>
      </c>
      <c r="I22" s="327" t="s">
        <v>42</v>
      </c>
      <c r="J22" s="328">
        <v>12</v>
      </c>
      <c r="K22" s="348" t="str">
        <f>VLOOKUP(J22,Ruimtegroepen[],2,FALSE)</f>
        <v>Kantine</v>
      </c>
      <c r="L22" s="212" t="s">
        <v>123</v>
      </c>
      <c r="M22" s="334" t="s">
        <v>144</v>
      </c>
      <c r="N22" s="330">
        <v>261</v>
      </c>
      <c r="O22" s="331"/>
      <c r="P22" s="332" t="str">
        <f>VLOOKUP(Ruimtestaat[[#This Row],[Ruimte code]],Ruimtegroepen[],4,FALSE)</f>
        <v>V  (Verkeersruimte)</v>
      </c>
      <c r="Q22" s="332"/>
      <c r="R22" s="333">
        <v>40</v>
      </c>
      <c r="S22" s="333" t="s">
        <v>2</v>
      </c>
      <c r="T22" s="37"/>
      <c r="U22" s="37">
        <f>IF(R22&gt;0,IF(RIGHT(Ruimtestaat[[#This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2" s="37">
        <f>IF(U22&gt;0,VLOOKUP($J22,Ruimtegroepen[],3,FALSE)*VLOOKUP($L22,Vloersoorten[],3,FALSE)*VLOOKUP($S22,Frequenties[],3,FALSE)*VLOOKUP($A22,Locaties[],3,FALSE),0)</f>
        <v>0</v>
      </c>
      <c r="W22" s="37">
        <f>Ruimtestaat[[#This Row],[Uitvoeringen werkdagen]]*Ruimtestaat[[#This Row],[Oppervlak (netto)]]</f>
        <v>52200</v>
      </c>
      <c r="X22" s="37">
        <f>IF(V22&gt;0,Ruimtestaat[[#This Row],[Prest. (m2 /jaar) werkdagen]]/Ruimtestaat[[#This Row],[Norm (m2/uur) werkdagen]],0)</f>
        <v>0</v>
      </c>
      <c r="Y22" s="37">
        <f>Ruimtestaat[[#This Row],[uren / jaar werkdagen]]*Tariefsopbouw!$D$38</f>
        <v>0</v>
      </c>
      <c r="Z22" s="37">
        <f>IF(Ruimtestaat[[#This Row],[Frequentie weekend]]&gt;0,VALUE(LEFT(T22,1))*R22,0)</f>
        <v>0</v>
      </c>
      <c r="AA22" s="37">
        <f>IF($Z22&gt;0,VLOOKUP($J22,Ruimtegroepen[],3,FALSE)*VLOOKUP($L22,Vloersoorten[],3,FALSE)*VLOOKUP($T22,Frequenties[],3,FALSE)*VLOOKUP($A22,Locaties[],3,FALSE),0)</f>
        <v>0</v>
      </c>
      <c r="AB22" s="37">
        <f>Ruimtestaat[[#This Row],[Uitvoeringen weekend]]*Ruimtestaat[[#This Row],[Oppervlak (netto)]]</f>
        <v>0</v>
      </c>
      <c r="AC22" s="37">
        <f>IF(AA22&gt;0,Ruimtestaat[[#This Row],[Prest. (m2 /jaar) weekend]]/Ruimtestaat[[#This Row],[Norm (m2/uur) weekend]],0)</f>
        <v>0</v>
      </c>
      <c r="AD22" s="37">
        <f>Ruimtestaat[[#This Row],[uren / jaar weekend]]*Tariefsopbouw!$D$40</f>
        <v>0</v>
      </c>
      <c r="AE22" s="89">
        <f>Ruimtestaat[[#This Row],[Prest. (m2 /jaar) weekend]]+Ruimtestaat[[#This Row],[Prest. (m2 /jaar) werkdagen]]</f>
        <v>52200</v>
      </c>
      <c r="AF22" s="89">
        <f>Ruimtestaat[[#This Row],[uren / jaar weekend]]+Ruimtestaat[[#This Row],[uren / jaar werkdagen]]</f>
        <v>0</v>
      </c>
      <c r="AG22" s="90">
        <f>Ruimtestaat[[#This Row],[kosten / jaar weekend]]+Ruimtestaat[[#This Row],[kosten / jaar werkdagen]]</f>
        <v>0</v>
      </c>
      <c r="AH22" s="253"/>
      <c r="AI22" s="252" t="str">
        <f>IF(Ruimtestaat[[#This Row],[Frequentie werkdagen]]="","",_xlfn.CONCAT(Ruimtestaat[[#This Row],[Ruimte code]],"-",Ruimtestaat[[#This Row],[Frequentie werkdagen]]," ",Ruimtestaat[[#This Row],[Vloer code]]))</f>
        <v>12-5w P</v>
      </c>
      <c r="AJ22" s="247" t="str">
        <f>_xlfn.IFNA(VLOOKUP(Ruimtestaat[[#This Row],[Programmacode
Regulier]],Programma!$F$4:$Y$36148,2,0),"_")</f>
        <v>_</v>
      </c>
      <c r="AK22" s="247" t="str">
        <f>_xlfn.IFNA(VLOOKUP(Ruimtestaat[[#This Row],[Programmacode
Regulier]],Programma!$F$4:$Y$36148,3,0),"_")</f>
        <v>_</v>
      </c>
      <c r="AL22" s="247" t="str">
        <f>_xlfn.IFNA(VLOOKUP(Ruimtestaat[[#This Row],[Programmacode
Regulier]],Programma!$F$4:$Y$36148,4,0),"_")</f>
        <v>5w</v>
      </c>
      <c r="AM22" s="247" t="str">
        <f>_xlfn.IFNA(VLOOKUP(Ruimtestaat[[#This Row],[Programmacode
Regulier]],Programma!$F$4:$Y$36148,5,0),"_")</f>
        <v>_</v>
      </c>
      <c r="AN22" s="247" t="str">
        <f>_xlfn.IFNA(VLOOKUP(Ruimtestaat[[#This Row],[Programmacode
Regulier]],Programma!$F$4:$Y$36148,6,0),"_")</f>
        <v>5w</v>
      </c>
      <c r="AO22" s="247" t="str">
        <f>_xlfn.IFNA(VLOOKUP(Ruimtestaat[[#This Row],[Programmacode
Regulier]],Programma!$F$4:$Y$36148,7,0),"_")</f>
        <v>_</v>
      </c>
      <c r="AP22" s="247" t="str">
        <f>_xlfn.IFNA(VLOOKUP(Ruimtestaat[[#This Row],[Programmacode
Regulier]],Programma!$F$4:$Y$36148,8,0),"_")</f>
        <v>_</v>
      </c>
      <c r="AQ22" s="247" t="str">
        <f>_xlfn.IFNA(VLOOKUP(Ruimtestaat[[#This Row],[Programmacode
Regulier]],Programma!$F$4:$Y$36148,9,0),"_")</f>
        <v>_</v>
      </c>
      <c r="AR22" s="248" t="str">
        <f>_xlfn.IFNA(VLOOKUP(Ruimtestaat[[#This Row],[Programmacode
Regulier]],Programma!$F$4:$Y$36148,10,0),"_")</f>
        <v>_</v>
      </c>
      <c r="AS22" s="248" t="str">
        <f>_xlfn.IFNA(VLOOKUP(Ruimtestaat[[#This Row],[Programmacode
Regulier]],Programma!$F$4:$Y$36148,11,0),"_")</f>
        <v>_</v>
      </c>
      <c r="AT22" s="248" t="str">
        <f>_xlfn.IFNA(VLOOKUP(Ruimtestaat[[#This Row],[Programmacode
Regulier]],Programma!$F$4:$Y$36148,12,0),"_")</f>
        <v>_</v>
      </c>
      <c r="AU22" s="248" t="str">
        <f>_xlfn.IFNA(VLOOKUP(Ruimtestaat[[#This Row],[Programmacode
Regulier]],Programma!$F$4:$Y$36148,13,0),"_")</f>
        <v>_</v>
      </c>
      <c r="AV22" s="248" t="str">
        <f>_xlfn.IFNA(VLOOKUP(Ruimtestaat[[#This Row],[Programmacode
Regulier]],Programma!$F$4:$Y$36148,14,0),"_")</f>
        <v>_</v>
      </c>
      <c r="AW22" s="248" t="str">
        <f>_xlfn.IFNA(VLOOKUP(Ruimtestaat[[#This Row],[Programmacode
Regulier]],Programma!$F$4:$Y$36148,15,0),"_")</f>
        <v>_</v>
      </c>
      <c r="AX22" s="248" t="str">
        <f>_xlfn.IFNA(VLOOKUP(Ruimtestaat[[#This Row],[Programmacode
Regulier]],Programma!$F$4:$Y$36148,16,0),"_")</f>
        <v>_</v>
      </c>
      <c r="AY22" s="248" t="str">
        <f>_xlfn.IFNA(VLOOKUP(Ruimtestaat[[#This Row],[Programmacode
Regulier]],Programma!$F$4:$Y$36148,17,0),"_")</f>
        <v>_</v>
      </c>
      <c r="AZ22" s="249" t="str">
        <f>_xlfn.IFNA(VLOOKUP(Ruimtestaat[[#This Row],[Programmacode
Regulier]],Programma!$F$4:$Y$36148,18,0),"_")</f>
        <v>_</v>
      </c>
      <c r="BA22" s="249" t="str">
        <f>_xlfn.IFNA(VLOOKUP(Ruimtestaat[[#This Row],[Programmacode
Regulier]],Programma!$F$4:$Y$36148,19,0),"_")</f>
        <v>_</v>
      </c>
      <c r="BB22" s="249" t="str">
        <f>_xlfn.IFNA(VLOOKUP(Ruimtestaat[[#This Row],[Programmacode
Regulier]],Programma!$F$4:$Y$36148,20,0),"_")</f>
        <v>_</v>
      </c>
      <c r="BC22" s="250"/>
      <c r="BD22" s="212" t="str">
        <f>IF(Ruimtestaat[[#This Row],[Frequentie weekend]]="","",_xlfn.CONCAT(Ruimtestaat[[#This Row],[Ruimte code]],"-",Ruimtestaat[[#This Row],[Frequentie weekend]]," ",Ruimtestaat[[#This Row],[Vloer code]]))</f>
        <v/>
      </c>
      <c r="BE22" s="247" t="str">
        <f>_xlfn.IFNA(VLOOKUP(Ruimtestaat[[#This Row],[Code Weekend]],Programma!$F$4:$Y$36148,2,0),"_")</f>
        <v>_</v>
      </c>
      <c r="BF22" s="247" t="str">
        <f>_xlfn.IFNA(VLOOKUP(Ruimtestaat[[#This Row],[Code Weekend]],Programma!$F$4:$Y$36148,3,0),"_")</f>
        <v>_</v>
      </c>
      <c r="BG22" s="247" t="str">
        <f>_xlfn.IFNA(VLOOKUP(Ruimtestaat[[#This Row],[Code Weekend]],Programma!$F$4:$Y$36148,4,0),"_")</f>
        <v>_</v>
      </c>
      <c r="BH22" s="247" t="str">
        <f>_xlfn.IFNA(VLOOKUP(Ruimtestaat[[#This Row],[Code Weekend]],Programma!$F$4:$Y$36148,5,0),"_")</f>
        <v>_</v>
      </c>
      <c r="BI22" s="247" t="str">
        <f>_xlfn.IFNA(VLOOKUP(Ruimtestaat[[#This Row],[Code Weekend]],Programma!$F$4:$Y$36148,6,0),"_")</f>
        <v>_</v>
      </c>
      <c r="BJ22" s="247" t="str">
        <f>_xlfn.IFNA(VLOOKUP(Ruimtestaat[[#This Row],[Code Weekend]],Programma!$F$4:$Y$36148,7,0),"_")</f>
        <v>_</v>
      </c>
      <c r="BK22" s="247" t="str">
        <f>_xlfn.IFNA(VLOOKUP(Ruimtestaat[[#This Row],[Code Weekend]],Programma!$F$4:$Y$36148,8,0),"_")</f>
        <v>_</v>
      </c>
      <c r="BL22" s="247" t="str">
        <f>_xlfn.IFNA(VLOOKUP(Ruimtestaat[[#This Row],[Code Weekend]],Programma!$F$4:$Y$36148,9,0),"_")</f>
        <v>_</v>
      </c>
      <c r="BM22" s="248" t="str">
        <f>_xlfn.IFNA(VLOOKUP(Ruimtestaat[[#This Row],[Code Weekend]],Programma!$F$4:$Y$36148,10,0),"_")</f>
        <v>_</v>
      </c>
      <c r="BN22" s="248" t="str">
        <f>_xlfn.IFNA(VLOOKUP(Ruimtestaat[[#This Row],[Code Weekend]],Programma!$F$4:$Y$36148,11,0),"_")</f>
        <v>_</v>
      </c>
      <c r="BO22" s="248" t="str">
        <f>_xlfn.IFNA(VLOOKUP(Ruimtestaat[[#This Row],[Code Weekend]],Programma!$F$4:$Y$36148,12,0),"_")</f>
        <v>_</v>
      </c>
      <c r="BP22" s="248" t="str">
        <f>_xlfn.IFNA(VLOOKUP(Ruimtestaat[[#This Row],[Code Weekend]],Programma!$F$4:$Y$36148,13,0),"_")</f>
        <v>_</v>
      </c>
      <c r="BQ22" s="248" t="str">
        <f>_xlfn.IFNA(VLOOKUP(Ruimtestaat[[#This Row],[Code Weekend]],Programma!$F$4:$Y$36148,14,0),"_")</f>
        <v>_</v>
      </c>
      <c r="BR22" s="248" t="str">
        <f>_xlfn.IFNA(VLOOKUP(Ruimtestaat[[#This Row],[Code Weekend]],Programma!$F$4:$Y$36148,15,0),"_")</f>
        <v>_</v>
      </c>
      <c r="BS22" s="248" t="str">
        <f>_xlfn.IFNA(VLOOKUP(Ruimtestaat[[#This Row],[Code Weekend]],Programma!$F$4:$Y$36148,16,0),"_")</f>
        <v>_</v>
      </c>
      <c r="BT22" s="248" t="str">
        <f>_xlfn.IFNA(VLOOKUP(Ruimtestaat[[#This Row],[Code Weekend]],Programma!$F$4:$Y$36148,17,0),"_")</f>
        <v>_</v>
      </c>
      <c r="BU22" s="249" t="str">
        <f>_xlfn.IFNA(VLOOKUP(Ruimtestaat[[#This Row],[Code Weekend]],Programma!$F$4:$Y$36148,18,0),"_")</f>
        <v>_</v>
      </c>
      <c r="BV22" s="249" t="str">
        <f>_xlfn.IFNA(VLOOKUP(Ruimtestaat[[#This Row],[Code Weekend]],Programma!$F$4:$Y$36148,19,0),"_")</f>
        <v>_</v>
      </c>
      <c r="BW22" s="249" t="str">
        <f>_xlfn.IFNA(VLOOKUP(Ruimtestaat[[#This Row],[Code Weekend]],Programma!$F$4:$Y$36148,20,0),"_")</f>
        <v>_</v>
      </c>
      <c r="BX22" s="91"/>
      <c r="BY22" s="91"/>
      <c r="BZ22" s="91"/>
      <c r="CA22" s="91"/>
      <c r="CB22" s="91"/>
      <c r="CC22" s="91"/>
      <c r="CD22" s="91"/>
      <c r="CE22" s="91"/>
      <c r="CF22" s="91"/>
      <c r="CG22" s="91"/>
      <c r="CH22" s="91"/>
      <c r="CI22" s="91"/>
      <c r="CJ22" s="91"/>
      <c r="CK22" s="91"/>
      <c r="CL22" s="91"/>
      <c r="CM22" s="91"/>
      <c r="CN22" s="91"/>
      <c r="CO22" s="91"/>
      <c r="CP22" s="91"/>
      <c r="CQ22" s="91"/>
      <c r="CR22" s="91"/>
      <c r="CS22" s="91"/>
      <c r="CT22" s="91"/>
      <c r="CU22" s="91"/>
      <c r="CV22" s="91"/>
      <c r="CW22" s="91"/>
      <c r="CX22" s="91"/>
      <c r="CY22" s="91"/>
      <c r="CZ22" s="91"/>
      <c r="DA22" s="91"/>
      <c r="DB22" s="91"/>
      <c r="DC22" s="91"/>
      <c r="DD22" s="91"/>
      <c r="DE22" s="91"/>
      <c r="DF22" s="91"/>
      <c r="DG22" s="91"/>
      <c r="DH22" s="91"/>
      <c r="DI22" s="91"/>
      <c r="DJ22" s="91"/>
      <c r="DK22" s="91"/>
      <c r="DL22" s="91"/>
      <c r="DM22" s="91"/>
      <c r="DN22" s="91"/>
      <c r="DO22" s="91"/>
      <c r="DP22" s="91"/>
      <c r="DQ22" s="91"/>
      <c r="DR22" s="91"/>
      <c r="DS22" s="91"/>
      <c r="DT22" s="91"/>
      <c r="DU22" s="91"/>
      <c r="DV22" s="91"/>
      <c r="DW22" s="91"/>
      <c r="DX22" s="91"/>
      <c r="DY22" s="91"/>
      <c r="DZ22" s="91"/>
      <c r="EA22" s="91"/>
      <c r="EB22" s="91"/>
      <c r="EC22" s="91"/>
      <c r="ED22" s="91"/>
      <c r="EE22" s="91"/>
      <c r="EF22" s="91"/>
      <c r="EG22" s="91"/>
      <c r="EH22" s="91"/>
      <c r="EI22" s="91"/>
      <c r="EJ22" s="91"/>
      <c r="EK22" s="91"/>
      <c r="EL22" s="91"/>
      <c r="EM22" s="91"/>
      <c r="EN22" s="91"/>
      <c r="EO22" s="91"/>
      <c r="EP22" s="91"/>
      <c r="EQ22" s="91"/>
      <c r="ER22" s="91"/>
      <c r="ES22" s="91"/>
      <c r="ET22" s="91"/>
      <c r="EU22" s="91"/>
      <c r="EV22" s="91"/>
      <c r="EW22" s="91"/>
      <c r="EX22" s="91"/>
      <c r="EY22" s="91"/>
      <c r="EZ22" s="91"/>
      <c r="FA22" s="91"/>
      <c r="FB22" s="91"/>
      <c r="FC22" s="91"/>
      <c r="FD22" s="91"/>
      <c r="FE22" s="91"/>
      <c r="FF22" s="91"/>
      <c r="FG22" s="91"/>
      <c r="FH22" s="91"/>
      <c r="FI22" s="91"/>
      <c r="FJ22" s="91"/>
      <c r="FK22" s="91"/>
      <c r="FL22" s="91"/>
      <c r="FM22" s="91"/>
      <c r="FN22" s="91"/>
      <c r="FO22" s="91"/>
      <c r="FP22" s="91"/>
      <c r="FQ22" s="91"/>
      <c r="FR22" s="91"/>
      <c r="FS22" s="91"/>
      <c r="FT22" s="91"/>
      <c r="FU22" s="91"/>
      <c r="FV22" s="91"/>
      <c r="FW22" s="91"/>
      <c r="FX22" s="91"/>
      <c r="FY22" s="91"/>
      <c r="FZ22" s="91"/>
      <c r="GA22" s="91"/>
      <c r="GB22" s="91"/>
      <c r="GC22" s="91"/>
      <c r="GD22" s="91"/>
      <c r="GE22" s="91"/>
      <c r="GF22" s="91"/>
      <c r="GG22" s="91"/>
      <c r="GH22" s="91"/>
      <c r="GI22" s="91"/>
      <c r="GJ22" s="91"/>
      <c r="GK22" s="91"/>
      <c r="GL22" s="91"/>
      <c r="GM22" s="91"/>
      <c r="GN22" s="91"/>
      <c r="GO22" s="91"/>
      <c r="GP22" s="91"/>
      <c r="GQ22" s="91"/>
      <c r="GR22" s="91"/>
      <c r="GS22" s="91"/>
      <c r="GT22" s="91"/>
      <c r="GU22" s="91"/>
      <c r="GV22" s="91"/>
      <c r="GW22" s="91"/>
      <c r="GX22" s="91"/>
      <c r="GY22" s="91"/>
      <c r="GZ22" s="91"/>
      <c r="HA22" s="91"/>
      <c r="HB22" s="91"/>
      <c r="HC22" s="91"/>
      <c r="HD22" s="91"/>
      <c r="HE22" s="91"/>
      <c r="HF22" s="91"/>
      <c r="HG22" s="91"/>
      <c r="HH22" s="91"/>
      <c r="HI22" s="91"/>
      <c r="HJ22" s="91"/>
      <c r="HK22" s="91"/>
    </row>
    <row r="23" spans="1:219" s="8" customFormat="1" ht="12.75" customHeight="1">
      <c r="A23" s="131">
        <v>1</v>
      </c>
      <c r="B23" s="22" t="str">
        <f>VLOOKUP(Ruimtestaat[[#This Row],[Code]],Locaties[#All],2,FALSE)</f>
        <v>ESH Secondary School</v>
      </c>
      <c r="C23" s="22" t="str">
        <f>VLOOKUP(Ruimtestaat[[#This Row],[Code]],Locaties[#All],4,FALSE)</f>
        <v>Oostduinlaan 50</v>
      </c>
      <c r="D23" s="334" t="str">
        <f>VLOOKUP(Ruimtestaat[[#This Row],[Code]],Locaties[#All],5,FALSE)</f>
        <v>2596 JP</v>
      </c>
      <c r="E23" s="334" t="str">
        <f>VLOOKUP(Ruimtestaat[[#This Row],[Code]],Locaties[#All],6,FALSE)</f>
        <v>Den Haag</v>
      </c>
      <c r="F23" s="326"/>
      <c r="G23" s="324" t="s">
        <v>1610</v>
      </c>
      <c r="H23" s="324" t="s">
        <v>1590</v>
      </c>
      <c r="I23" s="327" t="s">
        <v>1395</v>
      </c>
      <c r="J23" s="252" t="s">
        <v>1422</v>
      </c>
      <c r="K23" s="348" t="str">
        <f>VLOOKUP(J23,Ruimtegroepen[],2,FALSE)</f>
        <v>Gangen/hallen andere verdiepingen</v>
      </c>
      <c r="L23" s="212" t="s">
        <v>123</v>
      </c>
      <c r="M23" s="334" t="s">
        <v>144</v>
      </c>
      <c r="N23" s="330">
        <v>21</v>
      </c>
      <c r="O23" s="331"/>
      <c r="P23" s="332" t="str">
        <f>VLOOKUP(Ruimtestaat[[#This Row],[Ruimte code]],Ruimtegroepen[],4,FALSE)</f>
        <v>V  (Verkeersruimte)</v>
      </c>
      <c r="Q23" s="332"/>
      <c r="R23" s="333">
        <v>40</v>
      </c>
      <c r="S23" s="333" t="s">
        <v>2</v>
      </c>
      <c r="T23" s="37"/>
      <c r="U23" s="37">
        <f>IF(R23&gt;0,IF(RIGHT(Ruimtestaat[[#This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3" s="37">
        <f>IF(U23&gt;0,VLOOKUP($J23,Ruimtegroepen[],3,FALSE)*VLOOKUP($L23,Vloersoorten[],3,FALSE)*VLOOKUP($S23,Frequenties[],3,FALSE)*VLOOKUP($A23,Locaties[],3,FALSE),0)</f>
        <v>0</v>
      </c>
      <c r="W23" s="37">
        <f>Ruimtestaat[[#This Row],[Uitvoeringen werkdagen]]*Ruimtestaat[[#This Row],[Oppervlak (netto)]]</f>
        <v>4200</v>
      </c>
      <c r="X23" s="37">
        <f>IF(V23&gt;0,Ruimtestaat[[#This Row],[Prest. (m2 /jaar) werkdagen]]/Ruimtestaat[[#This Row],[Norm (m2/uur) werkdagen]],0)</f>
        <v>0</v>
      </c>
      <c r="Y23" s="37">
        <f>Ruimtestaat[[#This Row],[uren / jaar werkdagen]]*Tariefsopbouw!$D$38</f>
        <v>0</v>
      </c>
      <c r="Z23" s="37">
        <f>IF(Ruimtestaat[[#This Row],[Frequentie weekend]]&gt;0,VALUE(LEFT(T23,1))*R23,0)</f>
        <v>0</v>
      </c>
      <c r="AA23" s="37">
        <f>IF($Z23&gt;0,VLOOKUP($J23,Ruimtegroepen[],3,FALSE)*VLOOKUP($L23,Vloersoorten[],3,FALSE)*VLOOKUP($T23,Frequenties[],3,FALSE)*VLOOKUP($A23,Locaties[],3,FALSE),0)</f>
        <v>0</v>
      </c>
      <c r="AB23" s="37">
        <f>Ruimtestaat[[#This Row],[Uitvoeringen weekend]]*Ruimtestaat[[#This Row],[Oppervlak (netto)]]</f>
        <v>0</v>
      </c>
      <c r="AC23" s="37">
        <f>IF(AA23&gt;0,Ruimtestaat[[#This Row],[Prest. (m2 /jaar) weekend]]/Ruimtestaat[[#This Row],[Norm (m2/uur) weekend]],0)</f>
        <v>0</v>
      </c>
      <c r="AD23" s="37">
        <f>Ruimtestaat[[#This Row],[uren / jaar weekend]]*Tariefsopbouw!$D$40</f>
        <v>0</v>
      </c>
      <c r="AE23" s="89">
        <f>Ruimtestaat[[#This Row],[Prest. (m2 /jaar) weekend]]+Ruimtestaat[[#This Row],[Prest. (m2 /jaar) werkdagen]]</f>
        <v>4200</v>
      </c>
      <c r="AF23" s="89">
        <f>Ruimtestaat[[#This Row],[uren / jaar weekend]]+Ruimtestaat[[#This Row],[uren / jaar werkdagen]]</f>
        <v>0</v>
      </c>
      <c r="AG23" s="90">
        <f>Ruimtestaat[[#This Row],[kosten / jaar weekend]]+Ruimtestaat[[#This Row],[kosten / jaar werkdagen]]</f>
        <v>0</v>
      </c>
      <c r="AH23" s="253"/>
      <c r="AI23" s="252" t="str">
        <f>IF(Ruimtestaat[[#This Row],[Frequentie werkdagen]]="","",_xlfn.CONCAT(Ruimtestaat[[#This Row],[Ruimte code]],"-",Ruimtestaat[[#This Row],[Frequentie werkdagen]]," ",Ruimtestaat[[#This Row],[Vloer code]]))</f>
        <v>6a-5w P</v>
      </c>
      <c r="AJ23" s="247" t="str">
        <f>_xlfn.IFNA(VLOOKUP(Ruimtestaat[[#This Row],[Programmacode
Regulier]],Programma!$F$4:$Y$36148,2,0),"_")</f>
        <v>_</v>
      </c>
      <c r="AK23" s="247" t="str">
        <f>_xlfn.IFNA(VLOOKUP(Ruimtestaat[[#This Row],[Programmacode
Regulier]],Programma!$F$4:$Y$36148,3,0),"_")</f>
        <v>_</v>
      </c>
      <c r="AL23" s="247" t="str">
        <f>_xlfn.IFNA(VLOOKUP(Ruimtestaat[[#This Row],[Programmacode
Regulier]],Programma!$F$4:$Y$36148,4,0),"_")</f>
        <v>5w</v>
      </c>
      <c r="AM23" s="247" t="str">
        <f>_xlfn.IFNA(VLOOKUP(Ruimtestaat[[#This Row],[Programmacode
Regulier]],Programma!$F$4:$Y$36148,5,0),"_")</f>
        <v>4w</v>
      </c>
      <c r="AN23" s="247" t="str">
        <f>_xlfn.IFNA(VLOOKUP(Ruimtestaat[[#This Row],[Programmacode
Regulier]],Programma!$F$4:$Y$36148,6,0),"_")</f>
        <v>1w</v>
      </c>
      <c r="AO23" s="247" t="str">
        <f>_xlfn.IFNA(VLOOKUP(Ruimtestaat[[#This Row],[Programmacode
Regulier]],Programma!$F$4:$Y$36148,7,0),"_")</f>
        <v>_</v>
      </c>
      <c r="AP23" s="247" t="str">
        <f>_xlfn.IFNA(VLOOKUP(Ruimtestaat[[#This Row],[Programmacode
Regulier]],Programma!$F$4:$Y$36148,8,0),"_")</f>
        <v>_</v>
      </c>
      <c r="AQ23" s="247" t="str">
        <f>_xlfn.IFNA(VLOOKUP(Ruimtestaat[[#This Row],[Programmacode
Regulier]],Programma!$F$4:$Y$36148,9,0),"_")</f>
        <v>_</v>
      </c>
      <c r="AR23" s="248" t="str">
        <f>_xlfn.IFNA(VLOOKUP(Ruimtestaat[[#This Row],[Programmacode
Regulier]],Programma!$F$4:$Y$36148,10,0),"_")</f>
        <v>5w</v>
      </c>
      <c r="AS23" s="248" t="str">
        <f>_xlfn.IFNA(VLOOKUP(Ruimtestaat[[#This Row],[Programmacode
Regulier]],Programma!$F$4:$Y$36148,11,0),"_")</f>
        <v>5w</v>
      </c>
      <c r="AT23" s="248" t="str">
        <f>_xlfn.IFNA(VLOOKUP(Ruimtestaat[[#This Row],[Programmacode
Regulier]],Programma!$F$4:$Y$36148,12,0),"_")</f>
        <v>1w</v>
      </c>
      <c r="AU23" s="248" t="str">
        <f>_xlfn.IFNA(VLOOKUP(Ruimtestaat[[#This Row],[Programmacode
Regulier]],Programma!$F$4:$Y$36148,13,0),"_")</f>
        <v>1w</v>
      </c>
      <c r="AV23" s="248" t="str">
        <f>_xlfn.IFNA(VLOOKUP(Ruimtestaat[[#This Row],[Programmacode
Regulier]],Programma!$F$4:$Y$36148,14,0),"_")</f>
        <v>1m</v>
      </c>
      <c r="AW23" s="248" t="str">
        <f>_xlfn.IFNA(VLOOKUP(Ruimtestaat[[#This Row],[Programmacode
Regulier]],Programma!$F$4:$Y$36148,15,0),"_")</f>
        <v>2j</v>
      </c>
      <c r="AX23" s="248" t="str">
        <f>_xlfn.IFNA(VLOOKUP(Ruimtestaat[[#This Row],[Programmacode
Regulier]],Programma!$F$4:$Y$36148,16,0),"_")</f>
        <v>1j</v>
      </c>
      <c r="AY23" s="248" t="str">
        <f>_xlfn.IFNA(VLOOKUP(Ruimtestaat[[#This Row],[Programmacode
Regulier]],Programma!$F$4:$Y$36148,17,0),"_")</f>
        <v>_</v>
      </c>
      <c r="AZ23" s="249" t="str">
        <f>_xlfn.IFNA(VLOOKUP(Ruimtestaat[[#This Row],[Programmacode
Regulier]],Programma!$F$4:$Y$36148,18,0),"_")</f>
        <v>_</v>
      </c>
      <c r="BA23" s="249" t="str">
        <f>_xlfn.IFNA(VLOOKUP(Ruimtestaat[[#This Row],[Programmacode
Regulier]],Programma!$F$4:$Y$36148,19,0),"_")</f>
        <v>_</v>
      </c>
      <c r="BB23" s="249" t="str">
        <f>_xlfn.IFNA(VLOOKUP(Ruimtestaat[[#This Row],[Programmacode
Regulier]],Programma!$F$4:$Y$36148,20,0),"_")</f>
        <v>_</v>
      </c>
      <c r="BC23" s="250"/>
      <c r="BD23" s="212" t="str">
        <f>IF(Ruimtestaat[[#This Row],[Frequentie weekend]]="","",_xlfn.CONCAT(Ruimtestaat[[#This Row],[Ruimte code]],"-",Ruimtestaat[[#This Row],[Frequentie weekend]]," ",Ruimtestaat[[#This Row],[Vloer code]]))</f>
        <v/>
      </c>
      <c r="BE23" s="247" t="str">
        <f>_xlfn.IFNA(VLOOKUP(Ruimtestaat[[#This Row],[Code Weekend]],Programma!$F$4:$Y$36148,2,0),"_")</f>
        <v>_</v>
      </c>
      <c r="BF23" s="247" t="str">
        <f>_xlfn.IFNA(VLOOKUP(Ruimtestaat[[#This Row],[Code Weekend]],Programma!$F$4:$Y$36148,3,0),"_")</f>
        <v>_</v>
      </c>
      <c r="BG23" s="247" t="str">
        <f>_xlfn.IFNA(VLOOKUP(Ruimtestaat[[#This Row],[Code Weekend]],Programma!$F$4:$Y$36148,4,0),"_")</f>
        <v>_</v>
      </c>
      <c r="BH23" s="247" t="str">
        <f>_xlfn.IFNA(VLOOKUP(Ruimtestaat[[#This Row],[Code Weekend]],Programma!$F$4:$Y$36148,5,0),"_")</f>
        <v>_</v>
      </c>
      <c r="BI23" s="247" t="str">
        <f>_xlfn.IFNA(VLOOKUP(Ruimtestaat[[#This Row],[Code Weekend]],Programma!$F$4:$Y$36148,6,0),"_")</f>
        <v>_</v>
      </c>
      <c r="BJ23" s="247" t="str">
        <f>_xlfn.IFNA(VLOOKUP(Ruimtestaat[[#This Row],[Code Weekend]],Programma!$F$4:$Y$36148,7,0),"_")</f>
        <v>_</v>
      </c>
      <c r="BK23" s="247" t="str">
        <f>_xlfn.IFNA(VLOOKUP(Ruimtestaat[[#This Row],[Code Weekend]],Programma!$F$4:$Y$36148,8,0),"_")</f>
        <v>_</v>
      </c>
      <c r="BL23" s="247" t="str">
        <f>_xlfn.IFNA(VLOOKUP(Ruimtestaat[[#This Row],[Code Weekend]],Programma!$F$4:$Y$36148,9,0),"_")</f>
        <v>_</v>
      </c>
      <c r="BM23" s="248" t="str">
        <f>_xlfn.IFNA(VLOOKUP(Ruimtestaat[[#This Row],[Code Weekend]],Programma!$F$4:$Y$36148,10,0),"_")</f>
        <v>_</v>
      </c>
      <c r="BN23" s="248" t="str">
        <f>_xlfn.IFNA(VLOOKUP(Ruimtestaat[[#This Row],[Code Weekend]],Programma!$F$4:$Y$36148,11,0),"_")</f>
        <v>_</v>
      </c>
      <c r="BO23" s="248" t="str">
        <f>_xlfn.IFNA(VLOOKUP(Ruimtestaat[[#This Row],[Code Weekend]],Programma!$F$4:$Y$36148,12,0),"_")</f>
        <v>_</v>
      </c>
      <c r="BP23" s="248" t="str">
        <f>_xlfn.IFNA(VLOOKUP(Ruimtestaat[[#This Row],[Code Weekend]],Programma!$F$4:$Y$36148,13,0),"_")</f>
        <v>_</v>
      </c>
      <c r="BQ23" s="248" t="str">
        <f>_xlfn.IFNA(VLOOKUP(Ruimtestaat[[#This Row],[Code Weekend]],Programma!$F$4:$Y$36148,14,0),"_")</f>
        <v>_</v>
      </c>
      <c r="BR23" s="248" t="str">
        <f>_xlfn.IFNA(VLOOKUP(Ruimtestaat[[#This Row],[Code Weekend]],Programma!$F$4:$Y$36148,15,0),"_")</f>
        <v>_</v>
      </c>
      <c r="BS23" s="248" t="str">
        <f>_xlfn.IFNA(VLOOKUP(Ruimtestaat[[#This Row],[Code Weekend]],Programma!$F$4:$Y$36148,16,0),"_")</f>
        <v>_</v>
      </c>
      <c r="BT23" s="248" t="str">
        <f>_xlfn.IFNA(VLOOKUP(Ruimtestaat[[#This Row],[Code Weekend]],Programma!$F$4:$Y$36148,17,0),"_")</f>
        <v>_</v>
      </c>
      <c r="BU23" s="249" t="str">
        <f>_xlfn.IFNA(VLOOKUP(Ruimtestaat[[#This Row],[Code Weekend]],Programma!$F$4:$Y$36148,18,0),"_")</f>
        <v>_</v>
      </c>
      <c r="BV23" s="249" t="str">
        <f>_xlfn.IFNA(VLOOKUP(Ruimtestaat[[#This Row],[Code Weekend]],Programma!$F$4:$Y$36148,19,0),"_")</f>
        <v>_</v>
      </c>
      <c r="BW23" s="249" t="str">
        <f>_xlfn.IFNA(VLOOKUP(Ruimtestaat[[#This Row],[Code Weekend]],Programma!$F$4:$Y$36148,20,0),"_")</f>
        <v>_</v>
      </c>
      <c r="BX23" s="91"/>
      <c r="BY23" s="91"/>
      <c r="BZ23" s="91"/>
      <c r="CA23" s="91"/>
      <c r="CB23" s="91"/>
      <c r="CC23" s="91"/>
      <c r="CD23" s="91"/>
      <c r="CE23" s="91"/>
      <c r="CF23" s="91"/>
      <c r="CG23" s="91"/>
      <c r="CH23" s="91"/>
      <c r="CI23" s="91"/>
      <c r="CJ23" s="91"/>
      <c r="CK23" s="91"/>
      <c r="CL23" s="91"/>
      <c r="CM23" s="91"/>
      <c r="CN23" s="91"/>
      <c r="CO23" s="91"/>
      <c r="CP23" s="91"/>
      <c r="CQ23" s="91"/>
      <c r="CR23" s="91"/>
      <c r="CS23" s="91"/>
      <c r="CT23" s="91"/>
      <c r="CU23" s="91"/>
      <c r="CV23" s="91"/>
      <c r="CW23" s="91"/>
      <c r="CX23" s="91"/>
      <c r="CY23" s="91"/>
      <c r="CZ23" s="91"/>
      <c r="DA23" s="91"/>
      <c r="DB23" s="91"/>
      <c r="DC23" s="91"/>
      <c r="DD23" s="91"/>
      <c r="DE23" s="91"/>
      <c r="DF23" s="91"/>
      <c r="DG23" s="91"/>
      <c r="DH23" s="91"/>
      <c r="DI23" s="91"/>
      <c r="DJ23" s="91"/>
      <c r="DK23" s="91"/>
      <c r="DL23" s="91"/>
      <c r="DM23" s="91"/>
      <c r="DN23" s="91"/>
      <c r="DO23" s="91"/>
      <c r="DP23" s="91"/>
      <c r="DQ23" s="91"/>
      <c r="DR23" s="91"/>
      <c r="DS23" s="91"/>
      <c r="DT23" s="91"/>
      <c r="DU23" s="91"/>
      <c r="DV23" s="91"/>
      <c r="DW23" s="91"/>
      <c r="DX23" s="91"/>
      <c r="DY23" s="91"/>
      <c r="DZ23" s="91"/>
      <c r="EA23" s="91"/>
      <c r="EB23" s="91"/>
      <c r="EC23" s="91"/>
      <c r="ED23" s="91"/>
      <c r="EE23" s="91"/>
      <c r="EF23" s="91"/>
      <c r="EG23" s="91"/>
      <c r="EH23" s="91"/>
      <c r="EI23" s="91"/>
      <c r="EJ23" s="91"/>
      <c r="EK23" s="91"/>
      <c r="EL23" s="91"/>
      <c r="EM23" s="91"/>
      <c r="EN23" s="91"/>
      <c r="EO23" s="91"/>
      <c r="EP23" s="91"/>
      <c r="EQ23" s="91"/>
      <c r="ER23" s="91"/>
      <c r="ES23" s="91"/>
      <c r="ET23" s="91"/>
      <c r="EU23" s="91"/>
      <c r="EV23" s="91"/>
      <c r="EW23" s="91"/>
      <c r="EX23" s="91"/>
      <c r="EY23" s="91"/>
      <c r="EZ23" s="91"/>
      <c r="FA23" s="91"/>
      <c r="FB23" s="91"/>
      <c r="FC23" s="91"/>
      <c r="FD23" s="91"/>
      <c r="FE23" s="91"/>
      <c r="FF23" s="91"/>
      <c r="FG23" s="91"/>
      <c r="FH23" s="91"/>
      <c r="FI23" s="91"/>
      <c r="FJ23" s="91"/>
      <c r="FK23" s="91"/>
      <c r="FL23" s="91"/>
      <c r="FM23" s="91"/>
      <c r="FN23" s="91"/>
      <c r="FO23" s="91"/>
      <c r="FP23" s="91"/>
      <c r="FQ23" s="91"/>
      <c r="FR23" s="91"/>
      <c r="FS23" s="91"/>
      <c r="FT23" s="91"/>
      <c r="FU23" s="91"/>
      <c r="FV23" s="91"/>
      <c r="FW23" s="91"/>
      <c r="FX23" s="91"/>
      <c r="FY23" s="91"/>
      <c r="FZ23" s="91"/>
      <c r="GA23" s="91"/>
      <c r="GB23" s="91"/>
      <c r="GC23" s="91"/>
      <c r="GD23" s="91"/>
      <c r="GE23" s="91"/>
      <c r="GF23" s="91"/>
      <c r="GG23" s="91"/>
      <c r="GH23" s="91"/>
      <c r="GI23" s="91"/>
      <c r="GJ23" s="91"/>
      <c r="GK23" s="91"/>
      <c r="GL23" s="91"/>
      <c r="GM23" s="91"/>
      <c r="GN23" s="91"/>
      <c r="GO23" s="91"/>
      <c r="GP23" s="91"/>
      <c r="GQ23" s="91"/>
      <c r="GR23" s="91"/>
      <c r="GS23" s="91"/>
      <c r="GT23" s="91"/>
      <c r="GU23" s="91"/>
      <c r="GV23" s="91"/>
      <c r="GW23" s="91"/>
      <c r="GX23" s="91"/>
      <c r="GY23" s="91"/>
      <c r="GZ23" s="91"/>
      <c r="HA23" s="91"/>
      <c r="HB23" s="91"/>
      <c r="HC23" s="91"/>
      <c r="HD23" s="91"/>
      <c r="HE23" s="91"/>
      <c r="HF23" s="91"/>
      <c r="HG23" s="91"/>
      <c r="HH23" s="91"/>
      <c r="HI23" s="91"/>
      <c r="HJ23" s="91"/>
      <c r="HK23" s="91"/>
    </row>
    <row r="24" spans="1:219" s="8" customFormat="1" ht="12.75" customHeight="1">
      <c r="A24" s="131">
        <v>1</v>
      </c>
      <c r="B24" s="22" t="str">
        <f>VLOOKUP(Ruimtestaat[[#This Row],[Code]],Locaties[#All],2,FALSE)</f>
        <v>ESH Secondary School</v>
      </c>
      <c r="C24" s="22" t="str">
        <f>VLOOKUP(Ruimtestaat[[#This Row],[Code]],Locaties[#All],4,FALSE)</f>
        <v>Oostduinlaan 50</v>
      </c>
      <c r="D24" s="334" t="str">
        <f>VLOOKUP(Ruimtestaat[[#This Row],[Code]],Locaties[#All],5,FALSE)</f>
        <v>2596 JP</v>
      </c>
      <c r="E24" s="334" t="str">
        <f>VLOOKUP(Ruimtestaat[[#This Row],[Code]],Locaties[#All],6,FALSE)</f>
        <v>Den Haag</v>
      </c>
      <c r="F24" s="326"/>
      <c r="G24" s="324" t="s">
        <v>1610</v>
      </c>
      <c r="H24" s="324" t="s">
        <v>1591</v>
      </c>
      <c r="I24" s="327" t="s">
        <v>1395</v>
      </c>
      <c r="J24" s="252" t="s">
        <v>1422</v>
      </c>
      <c r="K24" s="348" t="str">
        <f>VLOOKUP(J24,Ruimtegroepen[],2,FALSE)</f>
        <v>Gangen/hallen andere verdiepingen</v>
      </c>
      <c r="L24" s="212" t="s">
        <v>123</v>
      </c>
      <c r="M24" s="334" t="s">
        <v>144</v>
      </c>
      <c r="N24" s="330">
        <v>161</v>
      </c>
      <c r="O24" s="331"/>
      <c r="P24" s="332" t="str">
        <f>VLOOKUP(Ruimtestaat[[#This Row],[Ruimte code]],Ruimtegroepen[],4,FALSE)</f>
        <v>V  (Verkeersruimte)</v>
      </c>
      <c r="Q24" s="332"/>
      <c r="R24" s="333">
        <v>40</v>
      </c>
      <c r="S24" s="333" t="s">
        <v>2</v>
      </c>
      <c r="T24" s="37"/>
      <c r="U24" s="37">
        <f>IF(R24&gt;0,IF(RIGHT(Ruimtestaat[[#This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4" s="37">
        <f>IF(U24&gt;0,VLOOKUP($J24,Ruimtegroepen[],3,FALSE)*VLOOKUP($L24,Vloersoorten[],3,FALSE)*VLOOKUP($S24,Frequenties[],3,FALSE)*VLOOKUP($A24,Locaties[],3,FALSE),0)</f>
        <v>0</v>
      </c>
      <c r="W24" s="37">
        <f>Ruimtestaat[[#This Row],[Uitvoeringen werkdagen]]*Ruimtestaat[[#This Row],[Oppervlak (netto)]]</f>
        <v>32200</v>
      </c>
      <c r="X24" s="37">
        <f>IF(V24&gt;0,Ruimtestaat[[#This Row],[Prest. (m2 /jaar) werkdagen]]/Ruimtestaat[[#This Row],[Norm (m2/uur) werkdagen]],0)</f>
        <v>0</v>
      </c>
      <c r="Y24" s="37">
        <f>Ruimtestaat[[#This Row],[uren / jaar werkdagen]]*Tariefsopbouw!$D$38</f>
        <v>0</v>
      </c>
      <c r="Z24" s="37">
        <f>IF(Ruimtestaat[[#This Row],[Frequentie weekend]]&gt;0,VALUE(LEFT(T24,1))*R24,0)</f>
        <v>0</v>
      </c>
      <c r="AA24" s="37">
        <f>IF($Z24&gt;0,VLOOKUP($J24,Ruimtegroepen[],3,FALSE)*VLOOKUP($L24,Vloersoorten[],3,FALSE)*VLOOKUP($T24,Frequenties[],3,FALSE)*VLOOKUP($A24,Locaties[],3,FALSE),0)</f>
        <v>0</v>
      </c>
      <c r="AB24" s="37">
        <f>Ruimtestaat[[#This Row],[Uitvoeringen weekend]]*Ruimtestaat[[#This Row],[Oppervlak (netto)]]</f>
        <v>0</v>
      </c>
      <c r="AC24" s="37">
        <f>IF(AA24&gt;0,Ruimtestaat[[#This Row],[Prest. (m2 /jaar) weekend]]/Ruimtestaat[[#This Row],[Norm (m2/uur) weekend]],0)</f>
        <v>0</v>
      </c>
      <c r="AD24" s="37">
        <f>Ruimtestaat[[#This Row],[uren / jaar weekend]]*Tariefsopbouw!$D$40</f>
        <v>0</v>
      </c>
      <c r="AE24" s="89">
        <f>Ruimtestaat[[#This Row],[Prest. (m2 /jaar) weekend]]+Ruimtestaat[[#This Row],[Prest. (m2 /jaar) werkdagen]]</f>
        <v>32200</v>
      </c>
      <c r="AF24" s="89">
        <f>Ruimtestaat[[#This Row],[uren / jaar weekend]]+Ruimtestaat[[#This Row],[uren / jaar werkdagen]]</f>
        <v>0</v>
      </c>
      <c r="AG24" s="90">
        <f>Ruimtestaat[[#This Row],[kosten / jaar weekend]]+Ruimtestaat[[#This Row],[kosten / jaar werkdagen]]</f>
        <v>0</v>
      </c>
      <c r="AH24" s="253"/>
      <c r="AI24" s="252" t="str">
        <f>IF(Ruimtestaat[[#This Row],[Frequentie werkdagen]]="","",_xlfn.CONCAT(Ruimtestaat[[#This Row],[Ruimte code]],"-",Ruimtestaat[[#This Row],[Frequentie werkdagen]]," ",Ruimtestaat[[#This Row],[Vloer code]]))</f>
        <v>6a-5w P</v>
      </c>
      <c r="AJ24" s="247" t="str">
        <f>_xlfn.IFNA(VLOOKUP(Ruimtestaat[[#This Row],[Programmacode
Regulier]],Programma!$F$4:$Y$36148,2,0),"_")</f>
        <v>_</v>
      </c>
      <c r="AK24" s="247" t="str">
        <f>_xlfn.IFNA(VLOOKUP(Ruimtestaat[[#This Row],[Programmacode
Regulier]],Programma!$F$4:$Y$36148,3,0),"_")</f>
        <v>_</v>
      </c>
      <c r="AL24" s="247" t="str">
        <f>_xlfn.IFNA(VLOOKUP(Ruimtestaat[[#This Row],[Programmacode
Regulier]],Programma!$F$4:$Y$36148,4,0),"_")</f>
        <v>5w</v>
      </c>
      <c r="AM24" s="247" t="str">
        <f>_xlfn.IFNA(VLOOKUP(Ruimtestaat[[#This Row],[Programmacode
Regulier]],Programma!$F$4:$Y$36148,5,0),"_")</f>
        <v>4w</v>
      </c>
      <c r="AN24" s="247" t="str">
        <f>_xlfn.IFNA(VLOOKUP(Ruimtestaat[[#This Row],[Programmacode
Regulier]],Programma!$F$4:$Y$36148,6,0),"_")</f>
        <v>1w</v>
      </c>
      <c r="AO24" s="247" t="str">
        <f>_xlfn.IFNA(VLOOKUP(Ruimtestaat[[#This Row],[Programmacode
Regulier]],Programma!$F$4:$Y$36148,7,0),"_")</f>
        <v>_</v>
      </c>
      <c r="AP24" s="247" t="str">
        <f>_xlfn.IFNA(VLOOKUP(Ruimtestaat[[#This Row],[Programmacode
Regulier]],Programma!$F$4:$Y$36148,8,0),"_")</f>
        <v>_</v>
      </c>
      <c r="AQ24" s="247" t="str">
        <f>_xlfn.IFNA(VLOOKUP(Ruimtestaat[[#This Row],[Programmacode
Regulier]],Programma!$F$4:$Y$36148,9,0),"_")</f>
        <v>_</v>
      </c>
      <c r="AR24" s="248" t="str">
        <f>_xlfn.IFNA(VLOOKUP(Ruimtestaat[[#This Row],[Programmacode
Regulier]],Programma!$F$4:$Y$36148,10,0),"_")</f>
        <v>5w</v>
      </c>
      <c r="AS24" s="248" t="str">
        <f>_xlfn.IFNA(VLOOKUP(Ruimtestaat[[#This Row],[Programmacode
Regulier]],Programma!$F$4:$Y$36148,11,0),"_")</f>
        <v>5w</v>
      </c>
      <c r="AT24" s="248" t="str">
        <f>_xlfn.IFNA(VLOOKUP(Ruimtestaat[[#This Row],[Programmacode
Regulier]],Programma!$F$4:$Y$36148,12,0),"_")</f>
        <v>1w</v>
      </c>
      <c r="AU24" s="248" t="str">
        <f>_xlfn.IFNA(VLOOKUP(Ruimtestaat[[#This Row],[Programmacode
Regulier]],Programma!$F$4:$Y$36148,13,0),"_")</f>
        <v>1w</v>
      </c>
      <c r="AV24" s="248" t="str">
        <f>_xlfn.IFNA(VLOOKUP(Ruimtestaat[[#This Row],[Programmacode
Regulier]],Programma!$F$4:$Y$36148,14,0),"_")</f>
        <v>1m</v>
      </c>
      <c r="AW24" s="248" t="str">
        <f>_xlfn.IFNA(VLOOKUP(Ruimtestaat[[#This Row],[Programmacode
Regulier]],Programma!$F$4:$Y$36148,15,0),"_")</f>
        <v>2j</v>
      </c>
      <c r="AX24" s="248" t="str">
        <f>_xlfn.IFNA(VLOOKUP(Ruimtestaat[[#This Row],[Programmacode
Regulier]],Programma!$F$4:$Y$36148,16,0),"_")</f>
        <v>1j</v>
      </c>
      <c r="AY24" s="248" t="str">
        <f>_xlfn.IFNA(VLOOKUP(Ruimtestaat[[#This Row],[Programmacode
Regulier]],Programma!$F$4:$Y$36148,17,0),"_")</f>
        <v>_</v>
      </c>
      <c r="AZ24" s="249" t="str">
        <f>_xlfn.IFNA(VLOOKUP(Ruimtestaat[[#This Row],[Programmacode
Regulier]],Programma!$F$4:$Y$36148,18,0),"_")</f>
        <v>_</v>
      </c>
      <c r="BA24" s="249" t="str">
        <f>_xlfn.IFNA(VLOOKUP(Ruimtestaat[[#This Row],[Programmacode
Regulier]],Programma!$F$4:$Y$36148,19,0),"_")</f>
        <v>_</v>
      </c>
      <c r="BB24" s="249" t="str">
        <f>_xlfn.IFNA(VLOOKUP(Ruimtestaat[[#This Row],[Programmacode
Regulier]],Programma!$F$4:$Y$36148,20,0),"_")</f>
        <v>_</v>
      </c>
      <c r="BC24" s="250"/>
      <c r="BD24" s="212" t="str">
        <f>IF(Ruimtestaat[[#This Row],[Frequentie weekend]]="","",_xlfn.CONCAT(Ruimtestaat[[#This Row],[Ruimte code]],"-",Ruimtestaat[[#This Row],[Frequentie weekend]]," ",Ruimtestaat[[#This Row],[Vloer code]]))</f>
        <v/>
      </c>
      <c r="BE24" s="247" t="str">
        <f>_xlfn.IFNA(VLOOKUP(Ruimtestaat[[#This Row],[Code Weekend]],Programma!$F$4:$Y$36148,2,0),"_")</f>
        <v>_</v>
      </c>
      <c r="BF24" s="247" t="str">
        <f>_xlfn.IFNA(VLOOKUP(Ruimtestaat[[#This Row],[Code Weekend]],Programma!$F$4:$Y$36148,3,0),"_")</f>
        <v>_</v>
      </c>
      <c r="BG24" s="247" t="str">
        <f>_xlfn.IFNA(VLOOKUP(Ruimtestaat[[#This Row],[Code Weekend]],Programma!$F$4:$Y$36148,4,0),"_")</f>
        <v>_</v>
      </c>
      <c r="BH24" s="247" t="str">
        <f>_xlfn.IFNA(VLOOKUP(Ruimtestaat[[#This Row],[Code Weekend]],Programma!$F$4:$Y$36148,5,0),"_")</f>
        <v>_</v>
      </c>
      <c r="BI24" s="247" t="str">
        <f>_xlfn.IFNA(VLOOKUP(Ruimtestaat[[#This Row],[Code Weekend]],Programma!$F$4:$Y$36148,6,0),"_")</f>
        <v>_</v>
      </c>
      <c r="BJ24" s="247" t="str">
        <f>_xlfn.IFNA(VLOOKUP(Ruimtestaat[[#This Row],[Code Weekend]],Programma!$F$4:$Y$36148,7,0),"_")</f>
        <v>_</v>
      </c>
      <c r="BK24" s="247" t="str">
        <f>_xlfn.IFNA(VLOOKUP(Ruimtestaat[[#This Row],[Code Weekend]],Programma!$F$4:$Y$36148,8,0),"_")</f>
        <v>_</v>
      </c>
      <c r="BL24" s="247" t="str">
        <f>_xlfn.IFNA(VLOOKUP(Ruimtestaat[[#This Row],[Code Weekend]],Programma!$F$4:$Y$36148,9,0),"_")</f>
        <v>_</v>
      </c>
      <c r="BM24" s="248" t="str">
        <f>_xlfn.IFNA(VLOOKUP(Ruimtestaat[[#This Row],[Code Weekend]],Programma!$F$4:$Y$36148,10,0),"_")</f>
        <v>_</v>
      </c>
      <c r="BN24" s="248" t="str">
        <f>_xlfn.IFNA(VLOOKUP(Ruimtestaat[[#This Row],[Code Weekend]],Programma!$F$4:$Y$36148,11,0),"_")</f>
        <v>_</v>
      </c>
      <c r="BO24" s="248" t="str">
        <f>_xlfn.IFNA(VLOOKUP(Ruimtestaat[[#This Row],[Code Weekend]],Programma!$F$4:$Y$36148,12,0),"_")</f>
        <v>_</v>
      </c>
      <c r="BP24" s="248" t="str">
        <f>_xlfn.IFNA(VLOOKUP(Ruimtestaat[[#This Row],[Code Weekend]],Programma!$F$4:$Y$36148,13,0),"_")</f>
        <v>_</v>
      </c>
      <c r="BQ24" s="248" t="str">
        <f>_xlfn.IFNA(VLOOKUP(Ruimtestaat[[#This Row],[Code Weekend]],Programma!$F$4:$Y$36148,14,0),"_")</f>
        <v>_</v>
      </c>
      <c r="BR24" s="248" t="str">
        <f>_xlfn.IFNA(VLOOKUP(Ruimtestaat[[#This Row],[Code Weekend]],Programma!$F$4:$Y$36148,15,0),"_")</f>
        <v>_</v>
      </c>
      <c r="BS24" s="248" t="str">
        <f>_xlfn.IFNA(VLOOKUP(Ruimtestaat[[#This Row],[Code Weekend]],Programma!$F$4:$Y$36148,16,0),"_")</f>
        <v>_</v>
      </c>
      <c r="BT24" s="248" t="str">
        <f>_xlfn.IFNA(VLOOKUP(Ruimtestaat[[#This Row],[Code Weekend]],Programma!$F$4:$Y$36148,17,0),"_")</f>
        <v>_</v>
      </c>
      <c r="BU24" s="249" t="str">
        <f>_xlfn.IFNA(VLOOKUP(Ruimtestaat[[#This Row],[Code Weekend]],Programma!$F$4:$Y$36148,18,0),"_")</f>
        <v>_</v>
      </c>
      <c r="BV24" s="249" t="str">
        <f>_xlfn.IFNA(VLOOKUP(Ruimtestaat[[#This Row],[Code Weekend]],Programma!$F$4:$Y$36148,19,0),"_")</f>
        <v>_</v>
      </c>
      <c r="BW24" s="249" t="str">
        <f>_xlfn.IFNA(VLOOKUP(Ruimtestaat[[#This Row],[Code Weekend]],Programma!$F$4:$Y$36148,20,0),"_")</f>
        <v>_</v>
      </c>
      <c r="BX24" s="91"/>
      <c r="BY24" s="91"/>
      <c r="BZ24" s="91"/>
      <c r="CA24" s="91"/>
      <c r="CB24" s="91"/>
      <c r="CC24" s="91"/>
      <c r="CD24" s="91"/>
      <c r="CE24" s="91"/>
      <c r="CF24" s="91"/>
      <c r="CG24" s="91"/>
      <c r="CH24" s="91"/>
      <c r="CI24" s="91"/>
      <c r="CJ24" s="91"/>
      <c r="CK24" s="91"/>
      <c r="CL24" s="91"/>
      <c r="CM24" s="91"/>
      <c r="CN24" s="91"/>
      <c r="CO24" s="91"/>
      <c r="CP24" s="91"/>
      <c r="CQ24" s="91"/>
      <c r="CR24" s="91"/>
      <c r="CS24" s="91"/>
      <c r="CT24" s="91"/>
      <c r="CU24" s="91"/>
      <c r="CV24" s="91"/>
      <c r="CW24" s="91"/>
      <c r="CX24" s="91"/>
      <c r="CY24" s="91"/>
      <c r="CZ24" s="91"/>
      <c r="DA24" s="91"/>
      <c r="DB24" s="91"/>
      <c r="DC24" s="91"/>
      <c r="DD24" s="91"/>
      <c r="DE24" s="91"/>
      <c r="DF24" s="91"/>
      <c r="DG24" s="91"/>
      <c r="DH24" s="91"/>
      <c r="DI24" s="91"/>
      <c r="DJ24" s="91"/>
      <c r="DK24" s="91"/>
      <c r="DL24" s="91"/>
      <c r="DM24" s="91"/>
      <c r="DN24" s="91"/>
      <c r="DO24" s="91"/>
      <c r="DP24" s="91"/>
      <c r="DQ24" s="91"/>
      <c r="DR24" s="91"/>
      <c r="DS24" s="91"/>
      <c r="DT24" s="91"/>
      <c r="DU24" s="91"/>
      <c r="DV24" s="91"/>
      <c r="DW24" s="91"/>
      <c r="DX24" s="91"/>
      <c r="DY24" s="91"/>
      <c r="DZ24" s="91"/>
      <c r="EA24" s="91"/>
      <c r="EB24" s="91"/>
      <c r="EC24" s="91"/>
      <c r="ED24" s="91"/>
      <c r="EE24" s="91"/>
      <c r="EF24" s="91"/>
      <c r="EG24" s="91"/>
      <c r="EH24" s="91"/>
      <c r="EI24" s="91"/>
      <c r="EJ24" s="91"/>
      <c r="EK24" s="91"/>
      <c r="EL24" s="91"/>
      <c r="EM24" s="91"/>
      <c r="EN24" s="91"/>
      <c r="EO24" s="91"/>
      <c r="EP24" s="91"/>
      <c r="EQ24" s="91"/>
      <c r="ER24" s="91"/>
      <c r="ES24" s="91"/>
      <c r="ET24" s="91"/>
      <c r="EU24" s="91"/>
      <c r="EV24" s="91"/>
      <c r="EW24" s="91"/>
      <c r="EX24" s="91"/>
      <c r="EY24" s="91"/>
      <c r="EZ24" s="91"/>
      <c r="FA24" s="91"/>
      <c r="FB24" s="91"/>
      <c r="FC24" s="91"/>
      <c r="FD24" s="91"/>
      <c r="FE24" s="91"/>
      <c r="FF24" s="91"/>
      <c r="FG24" s="91"/>
      <c r="FH24" s="91"/>
      <c r="FI24" s="91"/>
      <c r="FJ24" s="91"/>
      <c r="FK24" s="91"/>
      <c r="FL24" s="91"/>
      <c r="FM24" s="91"/>
      <c r="FN24" s="91"/>
      <c r="FO24" s="91"/>
      <c r="FP24" s="91"/>
      <c r="FQ24" s="91"/>
      <c r="FR24" s="91"/>
      <c r="FS24" s="91"/>
      <c r="FT24" s="91"/>
      <c r="FU24" s="91"/>
      <c r="FV24" s="91"/>
      <c r="FW24" s="91"/>
      <c r="FX24" s="91"/>
      <c r="FY24" s="91"/>
      <c r="FZ24" s="91"/>
      <c r="GA24" s="91"/>
      <c r="GB24" s="91"/>
      <c r="GC24" s="91"/>
      <c r="GD24" s="91"/>
      <c r="GE24" s="91"/>
      <c r="GF24" s="91"/>
      <c r="GG24" s="91"/>
      <c r="GH24" s="91"/>
      <c r="GI24" s="91"/>
      <c r="GJ24" s="91"/>
      <c r="GK24" s="91"/>
      <c r="GL24" s="91"/>
      <c r="GM24" s="91"/>
      <c r="GN24" s="91"/>
      <c r="GO24" s="91"/>
      <c r="GP24" s="91"/>
      <c r="GQ24" s="91"/>
      <c r="GR24" s="91"/>
      <c r="GS24" s="91"/>
      <c r="GT24" s="91"/>
      <c r="GU24" s="91"/>
      <c r="GV24" s="91"/>
      <c r="GW24" s="91"/>
      <c r="GX24" s="91"/>
      <c r="GY24" s="91"/>
      <c r="GZ24" s="91"/>
      <c r="HA24" s="91"/>
      <c r="HB24" s="91"/>
      <c r="HC24" s="91"/>
      <c r="HD24" s="91"/>
      <c r="HE24" s="91"/>
      <c r="HF24" s="91"/>
      <c r="HG24" s="91"/>
      <c r="HH24" s="91"/>
      <c r="HI24" s="91"/>
      <c r="HJ24" s="91"/>
      <c r="HK24" s="91"/>
    </row>
    <row r="25" spans="1:219" s="8" customFormat="1" ht="12.75" customHeight="1">
      <c r="A25" s="131">
        <v>1</v>
      </c>
      <c r="B25" s="22" t="str">
        <f>VLOOKUP(Ruimtestaat[[#This Row],[Code]],Locaties[#All],2,FALSE)</f>
        <v>ESH Secondary School</v>
      </c>
      <c r="C25" s="22" t="str">
        <f>VLOOKUP(Ruimtestaat[[#This Row],[Code]],Locaties[#All],4,FALSE)</f>
        <v>Oostduinlaan 50</v>
      </c>
      <c r="D25" s="334" t="str">
        <f>VLOOKUP(Ruimtestaat[[#This Row],[Code]],Locaties[#All],5,FALSE)</f>
        <v>2596 JP</v>
      </c>
      <c r="E25" s="334" t="str">
        <f>VLOOKUP(Ruimtestaat[[#This Row],[Code]],Locaties[#All],6,FALSE)</f>
        <v>Den Haag</v>
      </c>
      <c r="F25" s="326"/>
      <c r="G25" s="324" t="s">
        <v>1610</v>
      </c>
      <c r="H25" s="324" t="s">
        <v>1592</v>
      </c>
      <c r="I25" s="327" t="s">
        <v>1396</v>
      </c>
      <c r="J25" s="328">
        <v>21</v>
      </c>
      <c r="K25" s="348" t="str">
        <f>VLOOKUP(J25,Ruimtegroepen[],2,FALSE)</f>
        <v>Niet in onderhoud</v>
      </c>
      <c r="L25" s="325"/>
      <c r="M25" s="329"/>
      <c r="N25" s="330"/>
      <c r="O25" s="331">
        <v>2</v>
      </c>
      <c r="P25" s="332" t="str">
        <f>VLOOKUP(Ruimtestaat[[#This Row],[Ruimte code]],Ruimtegroepen[],4,FALSE)</f>
        <v>NIO</v>
      </c>
      <c r="Q25" s="332"/>
      <c r="R25" s="333"/>
      <c r="S25" s="333"/>
      <c r="T25" s="37"/>
      <c r="U25" s="37">
        <f>IF(R25&gt;0,IF(RIGHT(Ruimtestaat[[#This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25" s="37">
        <f>IF(U25&gt;0,VLOOKUP($J25,Ruimtegroepen[],3,FALSE)*VLOOKUP($L25,Vloersoorten[],3,FALSE)*VLOOKUP($S25,Frequenties[],3,FALSE)*VLOOKUP($A25,Locaties[],3,FALSE),0)</f>
        <v>0</v>
      </c>
      <c r="W25" s="37">
        <f>Ruimtestaat[[#This Row],[Uitvoeringen werkdagen]]*Ruimtestaat[[#This Row],[Oppervlak (netto)]]</f>
        <v>0</v>
      </c>
      <c r="X25" s="37">
        <f>IF(V25&gt;0,Ruimtestaat[[#This Row],[Prest. (m2 /jaar) werkdagen]]/Ruimtestaat[[#This Row],[Norm (m2/uur) werkdagen]],0)</f>
        <v>0</v>
      </c>
      <c r="Y25" s="37">
        <f>Ruimtestaat[[#This Row],[uren / jaar werkdagen]]*Tariefsopbouw!$D$38</f>
        <v>0</v>
      </c>
      <c r="Z25" s="37">
        <f>IF(Ruimtestaat[[#This Row],[Frequentie weekend]]&gt;0,VALUE(LEFT(T25,1))*R25,0)</f>
        <v>0</v>
      </c>
      <c r="AA25" s="37">
        <f>IF($Z25&gt;0,VLOOKUP($J25,Ruimtegroepen[],3,FALSE)*VLOOKUP($L25,Vloersoorten[],3,FALSE)*VLOOKUP($T25,Frequenties[],3,FALSE)*VLOOKUP($A25,Locaties[],3,FALSE),0)</f>
        <v>0</v>
      </c>
      <c r="AB25" s="37">
        <f>Ruimtestaat[[#This Row],[Uitvoeringen weekend]]*Ruimtestaat[[#This Row],[Oppervlak (netto)]]</f>
        <v>0</v>
      </c>
      <c r="AC25" s="37">
        <f>IF(AA25&gt;0,Ruimtestaat[[#This Row],[Prest. (m2 /jaar) weekend]]/Ruimtestaat[[#This Row],[Norm (m2/uur) weekend]],0)</f>
        <v>0</v>
      </c>
      <c r="AD25" s="37">
        <f>Ruimtestaat[[#This Row],[uren / jaar weekend]]*Tariefsopbouw!$D$40</f>
        <v>0</v>
      </c>
      <c r="AE25" s="89">
        <f>Ruimtestaat[[#This Row],[Prest. (m2 /jaar) weekend]]+Ruimtestaat[[#This Row],[Prest. (m2 /jaar) werkdagen]]</f>
        <v>0</v>
      </c>
      <c r="AF25" s="89">
        <f>Ruimtestaat[[#This Row],[uren / jaar weekend]]+Ruimtestaat[[#This Row],[uren / jaar werkdagen]]</f>
        <v>0</v>
      </c>
      <c r="AG25" s="90">
        <f>Ruimtestaat[[#This Row],[kosten / jaar weekend]]+Ruimtestaat[[#This Row],[kosten / jaar werkdagen]]</f>
        <v>0</v>
      </c>
      <c r="AH25" s="253"/>
      <c r="AI25" s="252" t="str">
        <f>IF(Ruimtestaat[[#This Row],[Frequentie werkdagen]]="","",_xlfn.CONCAT(Ruimtestaat[[#This Row],[Ruimte code]],"-",Ruimtestaat[[#This Row],[Frequentie werkdagen]]," ",Ruimtestaat[[#This Row],[Vloer code]]))</f>
        <v/>
      </c>
      <c r="AJ25" s="247" t="str">
        <f>_xlfn.IFNA(VLOOKUP(Ruimtestaat[[#This Row],[Programmacode
Regulier]],Programma!$F$4:$Y$36148,2,0),"_")</f>
        <v>_</v>
      </c>
      <c r="AK25" s="247" t="str">
        <f>_xlfn.IFNA(VLOOKUP(Ruimtestaat[[#This Row],[Programmacode
Regulier]],Programma!$F$4:$Y$36148,3,0),"_")</f>
        <v>_</v>
      </c>
      <c r="AL25" s="247" t="str">
        <f>_xlfn.IFNA(VLOOKUP(Ruimtestaat[[#This Row],[Programmacode
Regulier]],Programma!$F$4:$Y$36148,4,0),"_")</f>
        <v>_</v>
      </c>
      <c r="AM25" s="247" t="str">
        <f>_xlfn.IFNA(VLOOKUP(Ruimtestaat[[#This Row],[Programmacode
Regulier]],Programma!$F$4:$Y$36148,5,0),"_")</f>
        <v>_</v>
      </c>
      <c r="AN25" s="247" t="str">
        <f>_xlfn.IFNA(VLOOKUP(Ruimtestaat[[#This Row],[Programmacode
Regulier]],Programma!$F$4:$Y$36148,6,0),"_")</f>
        <v>_</v>
      </c>
      <c r="AO25" s="247" t="str">
        <f>_xlfn.IFNA(VLOOKUP(Ruimtestaat[[#This Row],[Programmacode
Regulier]],Programma!$F$4:$Y$36148,7,0),"_")</f>
        <v>_</v>
      </c>
      <c r="AP25" s="247" t="str">
        <f>_xlfn.IFNA(VLOOKUP(Ruimtestaat[[#This Row],[Programmacode
Regulier]],Programma!$F$4:$Y$36148,8,0),"_")</f>
        <v>_</v>
      </c>
      <c r="AQ25" s="247" t="str">
        <f>_xlfn.IFNA(VLOOKUP(Ruimtestaat[[#This Row],[Programmacode
Regulier]],Programma!$F$4:$Y$36148,9,0),"_")</f>
        <v>_</v>
      </c>
      <c r="AR25" s="248" t="str">
        <f>_xlfn.IFNA(VLOOKUP(Ruimtestaat[[#This Row],[Programmacode
Regulier]],Programma!$F$4:$Y$36148,10,0),"_")</f>
        <v>_</v>
      </c>
      <c r="AS25" s="248" t="str">
        <f>_xlfn.IFNA(VLOOKUP(Ruimtestaat[[#This Row],[Programmacode
Regulier]],Programma!$F$4:$Y$36148,11,0),"_")</f>
        <v>_</v>
      </c>
      <c r="AT25" s="248" t="str">
        <f>_xlfn.IFNA(VLOOKUP(Ruimtestaat[[#This Row],[Programmacode
Regulier]],Programma!$F$4:$Y$36148,12,0),"_")</f>
        <v>_</v>
      </c>
      <c r="AU25" s="248" t="str">
        <f>_xlfn.IFNA(VLOOKUP(Ruimtestaat[[#This Row],[Programmacode
Regulier]],Programma!$F$4:$Y$36148,13,0),"_")</f>
        <v>_</v>
      </c>
      <c r="AV25" s="248" t="str">
        <f>_xlfn.IFNA(VLOOKUP(Ruimtestaat[[#This Row],[Programmacode
Regulier]],Programma!$F$4:$Y$36148,14,0),"_")</f>
        <v>_</v>
      </c>
      <c r="AW25" s="248" t="str">
        <f>_xlfn.IFNA(VLOOKUP(Ruimtestaat[[#This Row],[Programmacode
Regulier]],Programma!$F$4:$Y$36148,15,0),"_")</f>
        <v>_</v>
      </c>
      <c r="AX25" s="248" t="str">
        <f>_xlfn.IFNA(VLOOKUP(Ruimtestaat[[#This Row],[Programmacode
Regulier]],Programma!$F$4:$Y$36148,16,0),"_")</f>
        <v>_</v>
      </c>
      <c r="AY25" s="248" t="str">
        <f>_xlfn.IFNA(VLOOKUP(Ruimtestaat[[#This Row],[Programmacode
Regulier]],Programma!$F$4:$Y$36148,17,0),"_")</f>
        <v>_</v>
      </c>
      <c r="AZ25" s="249" t="str">
        <f>_xlfn.IFNA(VLOOKUP(Ruimtestaat[[#This Row],[Programmacode
Regulier]],Programma!$F$4:$Y$36148,18,0),"_")</f>
        <v>_</v>
      </c>
      <c r="BA25" s="249" t="str">
        <f>_xlfn.IFNA(VLOOKUP(Ruimtestaat[[#This Row],[Programmacode
Regulier]],Programma!$F$4:$Y$36148,19,0),"_")</f>
        <v>_</v>
      </c>
      <c r="BB25" s="249" t="str">
        <f>_xlfn.IFNA(VLOOKUP(Ruimtestaat[[#This Row],[Programmacode
Regulier]],Programma!$F$4:$Y$36148,20,0),"_")</f>
        <v>_</v>
      </c>
      <c r="BC25" s="250"/>
      <c r="BD25" s="212" t="str">
        <f>IF(Ruimtestaat[[#This Row],[Frequentie weekend]]="","",_xlfn.CONCAT(Ruimtestaat[[#This Row],[Ruimte code]],"-",Ruimtestaat[[#This Row],[Frequentie weekend]]," ",Ruimtestaat[[#This Row],[Vloer code]]))</f>
        <v/>
      </c>
      <c r="BE25" s="247" t="str">
        <f>_xlfn.IFNA(VLOOKUP(Ruimtestaat[[#This Row],[Code Weekend]],Programma!$F$4:$Y$36148,2,0),"_")</f>
        <v>_</v>
      </c>
      <c r="BF25" s="247" t="str">
        <f>_xlfn.IFNA(VLOOKUP(Ruimtestaat[[#This Row],[Code Weekend]],Programma!$F$4:$Y$36148,3,0),"_")</f>
        <v>_</v>
      </c>
      <c r="BG25" s="247" t="str">
        <f>_xlfn.IFNA(VLOOKUP(Ruimtestaat[[#This Row],[Code Weekend]],Programma!$F$4:$Y$36148,4,0),"_")</f>
        <v>_</v>
      </c>
      <c r="BH25" s="247" t="str">
        <f>_xlfn.IFNA(VLOOKUP(Ruimtestaat[[#This Row],[Code Weekend]],Programma!$F$4:$Y$36148,5,0),"_")</f>
        <v>_</v>
      </c>
      <c r="BI25" s="247" t="str">
        <f>_xlfn.IFNA(VLOOKUP(Ruimtestaat[[#This Row],[Code Weekend]],Programma!$F$4:$Y$36148,6,0),"_")</f>
        <v>_</v>
      </c>
      <c r="BJ25" s="247" t="str">
        <f>_xlfn.IFNA(VLOOKUP(Ruimtestaat[[#This Row],[Code Weekend]],Programma!$F$4:$Y$36148,7,0),"_")</f>
        <v>_</v>
      </c>
      <c r="BK25" s="247" t="str">
        <f>_xlfn.IFNA(VLOOKUP(Ruimtestaat[[#This Row],[Code Weekend]],Programma!$F$4:$Y$36148,8,0),"_")</f>
        <v>_</v>
      </c>
      <c r="BL25" s="247" t="str">
        <f>_xlfn.IFNA(VLOOKUP(Ruimtestaat[[#This Row],[Code Weekend]],Programma!$F$4:$Y$36148,9,0),"_")</f>
        <v>_</v>
      </c>
      <c r="BM25" s="248" t="str">
        <f>_xlfn.IFNA(VLOOKUP(Ruimtestaat[[#This Row],[Code Weekend]],Programma!$F$4:$Y$36148,10,0),"_")</f>
        <v>_</v>
      </c>
      <c r="BN25" s="248" t="str">
        <f>_xlfn.IFNA(VLOOKUP(Ruimtestaat[[#This Row],[Code Weekend]],Programma!$F$4:$Y$36148,11,0),"_")</f>
        <v>_</v>
      </c>
      <c r="BO25" s="248" t="str">
        <f>_xlfn.IFNA(VLOOKUP(Ruimtestaat[[#This Row],[Code Weekend]],Programma!$F$4:$Y$36148,12,0),"_")</f>
        <v>_</v>
      </c>
      <c r="BP25" s="248" t="str">
        <f>_xlfn.IFNA(VLOOKUP(Ruimtestaat[[#This Row],[Code Weekend]],Programma!$F$4:$Y$36148,13,0),"_")</f>
        <v>_</v>
      </c>
      <c r="BQ25" s="248" t="str">
        <f>_xlfn.IFNA(VLOOKUP(Ruimtestaat[[#This Row],[Code Weekend]],Programma!$F$4:$Y$36148,14,0),"_")</f>
        <v>_</v>
      </c>
      <c r="BR25" s="248" t="str">
        <f>_xlfn.IFNA(VLOOKUP(Ruimtestaat[[#This Row],[Code Weekend]],Programma!$F$4:$Y$36148,15,0),"_")</f>
        <v>_</v>
      </c>
      <c r="BS25" s="248" t="str">
        <f>_xlfn.IFNA(VLOOKUP(Ruimtestaat[[#This Row],[Code Weekend]],Programma!$F$4:$Y$36148,16,0),"_")</f>
        <v>_</v>
      </c>
      <c r="BT25" s="248" t="str">
        <f>_xlfn.IFNA(VLOOKUP(Ruimtestaat[[#This Row],[Code Weekend]],Programma!$F$4:$Y$36148,17,0),"_")</f>
        <v>_</v>
      </c>
      <c r="BU25" s="249" t="str">
        <f>_xlfn.IFNA(VLOOKUP(Ruimtestaat[[#This Row],[Code Weekend]],Programma!$F$4:$Y$36148,18,0),"_")</f>
        <v>_</v>
      </c>
      <c r="BV25" s="249" t="str">
        <f>_xlfn.IFNA(VLOOKUP(Ruimtestaat[[#This Row],[Code Weekend]],Programma!$F$4:$Y$36148,19,0),"_")</f>
        <v>_</v>
      </c>
      <c r="BW25" s="249" t="str">
        <f>_xlfn.IFNA(VLOOKUP(Ruimtestaat[[#This Row],[Code Weekend]],Programma!$F$4:$Y$36148,20,0),"_")</f>
        <v>_</v>
      </c>
      <c r="BX25" s="91"/>
      <c r="BY25" s="91"/>
      <c r="BZ25" s="91"/>
      <c r="CA25" s="91"/>
      <c r="CB25" s="91"/>
      <c r="CC25" s="91"/>
      <c r="CD25" s="91"/>
      <c r="CE25" s="91"/>
      <c r="CF25" s="91"/>
      <c r="CG25" s="91"/>
      <c r="CH25" s="91"/>
      <c r="CI25" s="91"/>
      <c r="CJ25" s="91"/>
      <c r="CK25" s="91"/>
      <c r="CL25" s="91"/>
      <c r="CM25" s="91"/>
      <c r="CN25" s="91"/>
      <c r="CO25" s="91"/>
      <c r="CP25" s="91"/>
      <c r="CQ25" s="91"/>
      <c r="CR25" s="91"/>
      <c r="CS25" s="91"/>
      <c r="CT25" s="91"/>
      <c r="CU25" s="91"/>
      <c r="CV25" s="91"/>
      <c r="CW25" s="91"/>
      <c r="CX25" s="91"/>
      <c r="CY25" s="91"/>
      <c r="CZ25" s="91"/>
      <c r="DA25" s="91"/>
      <c r="DB25" s="91"/>
      <c r="DC25" s="91"/>
      <c r="DD25" s="91"/>
      <c r="DE25" s="91"/>
      <c r="DF25" s="91"/>
      <c r="DG25" s="91"/>
      <c r="DH25" s="91"/>
      <c r="DI25" s="91"/>
      <c r="DJ25" s="91"/>
      <c r="DK25" s="91"/>
      <c r="DL25" s="91"/>
      <c r="DM25" s="91"/>
      <c r="DN25" s="91"/>
      <c r="DO25" s="91"/>
      <c r="DP25" s="91"/>
      <c r="DQ25" s="91"/>
      <c r="DR25" s="91"/>
      <c r="DS25" s="91"/>
      <c r="DT25" s="91"/>
      <c r="DU25" s="91"/>
      <c r="DV25" s="91"/>
      <c r="DW25" s="91"/>
      <c r="DX25" s="91"/>
      <c r="DY25" s="91"/>
      <c r="DZ25" s="91"/>
      <c r="EA25" s="91"/>
      <c r="EB25" s="91"/>
      <c r="EC25" s="91"/>
      <c r="ED25" s="91"/>
      <c r="EE25" s="91"/>
      <c r="EF25" s="91"/>
      <c r="EG25" s="91"/>
      <c r="EH25" s="91"/>
      <c r="EI25" s="91"/>
      <c r="EJ25" s="91"/>
      <c r="EK25" s="91"/>
      <c r="EL25" s="91"/>
      <c r="EM25" s="91"/>
      <c r="EN25" s="91"/>
      <c r="EO25" s="91"/>
      <c r="EP25" s="91"/>
      <c r="EQ25" s="91"/>
      <c r="ER25" s="91"/>
      <c r="ES25" s="91"/>
      <c r="ET25" s="91"/>
      <c r="EU25" s="91"/>
      <c r="EV25" s="91"/>
      <c r="EW25" s="91"/>
      <c r="EX25" s="91"/>
      <c r="EY25" s="91"/>
      <c r="EZ25" s="91"/>
      <c r="FA25" s="91"/>
      <c r="FB25" s="91"/>
      <c r="FC25" s="91"/>
      <c r="FD25" s="91"/>
      <c r="FE25" s="91"/>
      <c r="FF25" s="91"/>
      <c r="FG25" s="91"/>
      <c r="FH25" s="91"/>
      <c r="FI25" s="91"/>
      <c r="FJ25" s="91"/>
      <c r="FK25" s="91"/>
      <c r="FL25" s="91"/>
      <c r="FM25" s="91"/>
      <c r="FN25" s="91"/>
      <c r="FO25" s="91"/>
      <c r="FP25" s="91"/>
      <c r="FQ25" s="91"/>
      <c r="FR25" s="91"/>
      <c r="FS25" s="91"/>
      <c r="FT25" s="91"/>
      <c r="FU25" s="91"/>
      <c r="FV25" s="91"/>
      <c r="FW25" s="91"/>
      <c r="FX25" s="91"/>
      <c r="FY25" s="91"/>
      <c r="FZ25" s="91"/>
      <c r="GA25" s="91"/>
      <c r="GB25" s="91"/>
      <c r="GC25" s="91"/>
      <c r="GD25" s="91"/>
      <c r="GE25" s="91"/>
      <c r="GF25" s="91"/>
      <c r="GG25" s="91"/>
      <c r="GH25" s="91"/>
      <c r="GI25" s="91"/>
      <c r="GJ25" s="91"/>
      <c r="GK25" s="91"/>
      <c r="GL25" s="91"/>
      <c r="GM25" s="91"/>
      <c r="GN25" s="91"/>
      <c r="GO25" s="91"/>
      <c r="GP25" s="91"/>
      <c r="GQ25" s="91"/>
      <c r="GR25" s="91"/>
      <c r="GS25" s="91"/>
      <c r="GT25" s="91"/>
      <c r="GU25" s="91"/>
      <c r="GV25" s="91"/>
      <c r="GW25" s="91"/>
      <c r="GX25" s="91"/>
      <c r="GY25" s="91"/>
      <c r="GZ25" s="91"/>
      <c r="HA25" s="91"/>
      <c r="HB25" s="91"/>
      <c r="HC25" s="91"/>
      <c r="HD25" s="91"/>
      <c r="HE25" s="91"/>
      <c r="HF25" s="91"/>
      <c r="HG25" s="91"/>
      <c r="HH25" s="91"/>
      <c r="HI25" s="91"/>
      <c r="HJ25" s="91"/>
      <c r="HK25" s="91"/>
    </row>
    <row r="26" spans="1:219" s="8" customFormat="1" ht="12.75" customHeight="1">
      <c r="A26" s="131">
        <v>1</v>
      </c>
      <c r="B26" s="22" t="str">
        <f>VLOOKUP(Ruimtestaat[[#This Row],[Code]],Locaties[#All],2,FALSE)</f>
        <v>ESH Secondary School</v>
      </c>
      <c r="C26" s="22" t="str">
        <f>VLOOKUP(Ruimtestaat[[#This Row],[Code]],Locaties[#All],4,FALSE)</f>
        <v>Oostduinlaan 50</v>
      </c>
      <c r="D26" s="334" t="str">
        <f>VLOOKUP(Ruimtestaat[[#This Row],[Code]],Locaties[#All],5,FALSE)</f>
        <v>2596 JP</v>
      </c>
      <c r="E26" s="334" t="str">
        <f>VLOOKUP(Ruimtestaat[[#This Row],[Code]],Locaties[#All],6,FALSE)</f>
        <v>Den Haag</v>
      </c>
      <c r="F26" s="326"/>
      <c r="G26" s="324" t="s">
        <v>1610</v>
      </c>
      <c r="H26" s="324" t="s">
        <v>1593</v>
      </c>
      <c r="I26" s="327" t="s">
        <v>1394</v>
      </c>
      <c r="J26" s="328">
        <v>10</v>
      </c>
      <c r="K26" s="348" t="str">
        <f>VLOOKUP(J26,Ruimtegroepen[],2,FALSE)</f>
        <v>Trappenhuizen/lift</v>
      </c>
      <c r="L26" s="212" t="s">
        <v>123</v>
      </c>
      <c r="M26" s="334" t="s">
        <v>144</v>
      </c>
      <c r="N26" s="330">
        <v>9</v>
      </c>
      <c r="O26" s="331"/>
      <c r="P26" s="332" t="str">
        <f>VLOOKUP(Ruimtestaat[[#This Row],[Ruimte code]],Ruimtegroepen[],4,FALSE)</f>
        <v>V  (Verkeersruimte)</v>
      </c>
      <c r="Q26" s="332"/>
      <c r="R26" s="333">
        <v>40</v>
      </c>
      <c r="S26" s="333" t="s">
        <v>2</v>
      </c>
      <c r="T26" s="37"/>
      <c r="U26" s="37">
        <f>IF(R26&gt;0,IF(RIGHT(Ruimtestaat[[#This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6" s="37">
        <f>IF(U26&gt;0,VLOOKUP($J26,Ruimtegroepen[],3,FALSE)*VLOOKUP($L26,Vloersoorten[],3,FALSE)*VLOOKUP($S26,Frequenties[],3,FALSE)*VLOOKUP($A26,Locaties[],3,FALSE),0)</f>
        <v>0</v>
      </c>
      <c r="W26" s="37">
        <f>Ruimtestaat[[#This Row],[Uitvoeringen werkdagen]]*Ruimtestaat[[#This Row],[Oppervlak (netto)]]</f>
        <v>1800</v>
      </c>
      <c r="X26" s="37">
        <f>IF(V26&gt;0,Ruimtestaat[[#This Row],[Prest. (m2 /jaar) werkdagen]]/Ruimtestaat[[#This Row],[Norm (m2/uur) werkdagen]],0)</f>
        <v>0</v>
      </c>
      <c r="Y26" s="37">
        <f>Ruimtestaat[[#This Row],[uren / jaar werkdagen]]*Tariefsopbouw!$D$38</f>
        <v>0</v>
      </c>
      <c r="Z26" s="37">
        <f>IF(Ruimtestaat[[#This Row],[Frequentie weekend]]&gt;0,VALUE(LEFT(T26,1))*R26,0)</f>
        <v>0</v>
      </c>
      <c r="AA26" s="37">
        <f>IF($Z26&gt;0,VLOOKUP($J26,Ruimtegroepen[],3,FALSE)*VLOOKUP($L26,Vloersoorten[],3,FALSE)*VLOOKUP($T26,Frequenties[],3,FALSE)*VLOOKUP($A26,Locaties[],3,FALSE),0)</f>
        <v>0</v>
      </c>
      <c r="AB26" s="37">
        <f>Ruimtestaat[[#This Row],[Uitvoeringen weekend]]*Ruimtestaat[[#This Row],[Oppervlak (netto)]]</f>
        <v>0</v>
      </c>
      <c r="AC26" s="37">
        <f>IF(AA26&gt;0,Ruimtestaat[[#This Row],[Prest. (m2 /jaar) weekend]]/Ruimtestaat[[#This Row],[Norm (m2/uur) weekend]],0)</f>
        <v>0</v>
      </c>
      <c r="AD26" s="37">
        <f>Ruimtestaat[[#This Row],[uren / jaar weekend]]*Tariefsopbouw!$D$40</f>
        <v>0</v>
      </c>
      <c r="AE26" s="89">
        <f>Ruimtestaat[[#This Row],[Prest. (m2 /jaar) weekend]]+Ruimtestaat[[#This Row],[Prest. (m2 /jaar) werkdagen]]</f>
        <v>1800</v>
      </c>
      <c r="AF26" s="89">
        <f>Ruimtestaat[[#This Row],[uren / jaar weekend]]+Ruimtestaat[[#This Row],[uren / jaar werkdagen]]</f>
        <v>0</v>
      </c>
      <c r="AG26" s="90">
        <f>Ruimtestaat[[#This Row],[kosten / jaar weekend]]+Ruimtestaat[[#This Row],[kosten / jaar werkdagen]]</f>
        <v>0</v>
      </c>
      <c r="AH26" s="253"/>
      <c r="AI26" s="252" t="str">
        <f>IF(Ruimtestaat[[#This Row],[Frequentie werkdagen]]="","",_xlfn.CONCAT(Ruimtestaat[[#This Row],[Ruimte code]],"-",Ruimtestaat[[#This Row],[Frequentie werkdagen]]," ",Ruimtestaat[[#This Row],[Vloer code]]))</f>
        <v>10-5w P</v>
      </c>
      <c r="AJ26" s="247" t="str">
        <f>_xlfn.IFNA(VLOOKUP(Ruimtestaat[[#This Row],[Programmacode
Regulier]],Programma!$F$4:$Y$36148,2,0),"_")</f>
        <v>_</v>
      </c>
      <c r="AK26" s="247" t="str">
        <f>_xlfn.IFNA(VLOOKUP(Ruimtestaat[[#This Row],[Programmacode
Regulier]],Programma!$F$4:$Y$36148,3,0),"_")</f>
        <v>5w</v>
      </c>
      <c r="AL26" s="247" t="str">
        <f>_xlfn.IFNA(VLOOKUP(Ruimtestaat[[#This Row],[Programmacode
Regulier]],Programma!$F$4:$Y$36148,4,0),"_")</f>
        <v>_</v>
      </c>
      <c r="AM26" s="247" t="str">
        <f>_xlfn.IFNA(VLOOKUP(Ruimtestaat[[#This Row],[Programmacode
Regulier]],Programma!$F$4:$Y$36148,5,0),"_")</f>
        <v>5w</v>
      </c>
      <c r="AN26" s="247" t="str">
        <f>_xlfn.IFNA(VLOOKUP(Ruimtestaat[[#This Row],[Programmacode
Regulier]],Programma!$F$4:$Y$36148,6,0),"_")</f>
        <v>1m</v>
      </c>
      <c r="AO26" s="247" t="str">
        <f>_xlfn.IFNA(VLOOKUP(Ruimtestaat[[#This Row],[Programmacode
Regulier]],Programma!$F$4:$Y$36148,7,0),"_")</f>
        <v>_</v>
      </c>
      <c r="AP26" s="247" t="str">
        <f>_xlfn.IFNA(VLOOKUP(Ruimtestaat[[#This Row],[Programmacode
Regulier]],Programma!$F$4:$Y$36148,8,0),"_")</f>
        <v>_</v>
      </c>
      <c r="AQ26" s="247" t="str">
        <f>_xlfn.IFNA(VLOOKUP(Ruimtestaat[[#This Row],[Programmacode
Regulier]],Programma!$F$4:$Y$36148,9,0),"_")</f>
        <v>_</v>
      </c>
      <c r="AR26" s="248" t="str">
        <f>_xlfn.IFNA(VLOOKUP(Ruimtestaat[[#This Row],[Programmacode
Regulier]],Programma!$F$4:$Y$36148,10,0),"_")</f>
        <v>5w</v>
      </c>
      <c r="AS26" s="248" t="str">
        <f>_xlfn.IFNA(VLOOKUP(Ruimtestaat[[#This Row],[Programmacode
Regulier]],Programma!$F$4:$Y$36148,11,0),"_")</f>
        <v>5w</v>
      </c>
      <c r="AT26" s="248" t="str">
        <f>_xlfn.IFNA(VLOOKUP(Ruimtestaat[[#This Row],[Programmacode
Regulier]],Programma!$F$4:$Y$36148,12,0),"_")</f>
        <v>1w</v>
      </c>
      <c r="AU26" s="248" t="str">
        <f>_xlfn.IFNA(VLOOKUP(Ruimtestaat[[#This Row],[Programmacode
Regulier]],Programma!$F$4:$Y$36148,13,0),"_")</f>
        <v>1w</v>
      </c>
      <c r="AV26" s="248" t="str">
        <f>_xlfn.IFNA(VLOOKUP(Ruimtestaat[[#This Row],[Programmacode
Regulier]],Programma!$F$4:$Y$36148,14,0),"_")</f>
        <v>1m</v>
      </c>
      <c r="AW26" s="248" t="str">
        <f>_xlfn.IFNA(VLOOKUP(Ruimtestaat[[#This Row],[Programmacode
Regulier]],Programma!$F$4:$Y$36148,15,0),"_")</f>
        <v>2j</v>
      </c>
      <c r="AX26" s="248" t="str">
        <f>_xlfn.IFNA(VLOOKUP(Ruimtestaat[[#This Row],[Programmacode
Regulier]],Programma!$F$4:$Y$36148,16,0),"_")</f>
        <v>1j</v>
      </c>
      <c r="AY26" s="248" t="str">
        <f>_xlfn.IFNA(VLOOKUP(Ruimtestaat[[#This Row],[Programmacode
Regulier]],Programma!$F$4:$Y$36148,17,0),"_")</f>
        <v>_</v>
      </c>
      <c r="AZ26" s="249" t="str">
        <f>_xlfn.IFNA(VLOOKUP(Ruimtestaat[[#This Row],[Programmacode
Regulier]],Programma!$F$4:$Y$36148,18,0),"_")</f>
        <v>_</v>
      </c>
      <c r="BA26" s="249" t="str">
        <f>_xlfn.IFNA(VLOOKUP(Ruimtestaat[[#This Row],[Programmacode
Regulier]],Programma!$F$4:$Y$36148,19,0),"_")</f>
        <v>_</v>
      </c>
      <c r="BB26" s="249" t="str">
        <f>_xlfn.IFNA(VLOOKUP(Ruimtestaat[[#This Row],[Programmacode
Regulier]],Programma!$F$4:$Y$36148,20,0),"_")</f>
        <v>_</v>
      </c>
      <c r="BC26" s="250"/>
      <c r="BD26" s="212" t="str">
        <f>IF(Ruimtestaat[[#This Row],[Frequentie weekend]]="","",_xlfn.CONCAT(Ruimtestaat[[#This Row],[Ruimte code]],"-",Ruimtestaat[[#This Row],[Frequentie weekend]]," ",Ruimtestaat[[#This Row],[Vloer code]]))</f>
        <v/>
      </c>
      <c r="BE26" s="247" t="str">
        <f>_xlfn.IFNA(VLOOKUP(Ruimtestaat[[#This Row],[Code Weekend]],Programma!$F$4:$Y$36148,2,0),"_")</f>
        <v>_</v>
      </c>
      <c r="BF26" s="247" t="str">
        <f>_xlfn.IFNA(VLOOKUP(Ruimtestaat[[#This Row],[Code Weekend]],Programma!$F$4:$Y$36148,3,0),"_")</f>
        <v>_</v>
      </c>
      <c r="BG26" s="247" t="str">
        <f>_xlfn.IFNA(VLOOKUP(Ruimtestaat[[#This Row],[Code Weekend]],Programma!$F$4:$Y$36148,4,0),"_")</f>
        <v>_</v>
      </c>
      <c r="BH26" s="247" t="str">
        <f>_xlfn.IFNA(VLOOKUP(Ruimtestaat[[#This Row],[Code Weekend]],Programma!$F$4:$Y$36148,5,0),"_")</f>
        <v>_</v>
      </c>
      <c r="BI26" s="247" t="str">
        <f>_xlfn.IFNA(VLOOKUP(Ruimtestaat[[#This Row],[Code Weekend]],Programma!$F$4:$Y$36148,6,0),"_")</f>
        <v>_</v>
      </c>
      <c r="BJ26" s="247" t="str">
        <f>_xlfn.IFNA(VLOOKUP(Ruimtestaat[[#This Row],[Code Weekend]],Programma!$F$4:$Y$36148,7,0),"_")</f>
        <v>_</v>
      </c>
      <c r="BK26" s="247" t="str">
        <f>_xlfn.IFNA(VLOOKUP(Ruimtestaat[[#This Row],[Code Weekend]],Programma!$F$4:$Y$36148,8,0),"_")</f>
        <v>_</v>
      </c>
      <c r="BL26" s="247" t="str">
        <f>_xlfn.IFNA(VLOOKUP(Ruimtestaat[[#This Row],[Code Weekend]],Programma!$F$4:$Y$36148,9,0),"_")</f>
        <v>_</v>
      </c>
      <c r="BM26" s="248" t="str">
        <f>_xlfn.IFNA(VLOOKUP(Ruimtestaat[[#This Row],[Code Weekend]],Programma!$F$4:$Y$36148,10,0),"_")</f>
        <v>_</v>
      </c>
      <c r="BN26" s="248" t="str">
        <f>_xlfn.IFNA(VLOOKUP(Ruimtestaat[[#This Row],[Code Weekend]],Programma!$F$4:$Y$36148,11,0),"_")</f>
        <v>_</v>
      </c>
      <c r="BO26" s="248" t="str">
        <f>_xlfn.IFNA(VLOOKUP(Ruimtestaat[[#This Row],[Code Weekend]],Programma!$F$4:$Y$36148,12,0),"_")</f>
        <v>_</v>
      </c>
      <c r="BP26" s="248" t="str">
        <f>_xlfn.IFNA(VLOOKUP(Ruimtestaat[[#This Row],[Code Weekend]],Programma!$F$4:$Y$36148,13,0),"_")</f>
        <v>_</v>
      </c>
      <c r="BQ26" s="248" t="str">
        <f>_xlfn.IFNA(VLOOKUP(Ruimtestaat[[#This Row],[Code Weekend]],Programma!$F$4:$Y$36148,14,0),"_")</f>
        <v>_</v>
      </c>
      <c r="BR26" s="248" t="str">
        <f>_xlfn.IFNA(VLOOKUP(Ruimtestaat[[#This Row],[Code Weekend]],Programma!$F$4:$Y$36148,15,0),"_")</f>
        <v>_</v>
      </c>
      <c r="BS26" s="248" t="str">
        <f>_xlfn.IFNA(VLOOKUP(Ruimtestaat[[#This Row],[Code Weekend]],Programma!$F$4:$Y$36148,16,0),"_")</f>
        <v>_</v>
      </c>
      <c r="BT26" s="248" t="str">
        <f>_xlfn.IFNA(VLOOKUP(Ruimtestaat[[#This Row],[Code Weekend]],Programma!$F$4:$Y$36148,17,0),"_")</f>
        <v>_</v>
      </c>
      <c r="BU26" s="249" t="str">
        <f>_xlfn.IFNA(VLOOKUP(Ruimtestaat[[#This Row],[Code Weekend]],Programma!$F$4:$Y$36148,18,0),"_")</f>
        <v>_</v>
      </c>
      <c r="BV26" s="249" t="str">
        <f>_xlfn.IFNA(VLOOKUP(Ruimtestaat[[#This Row],[Code Weekend]],Programma!$F$4:$Y$36148,19,0),"_")</f>
        <v>_</v>
      </c>
      <c r="BW26" s="249" t="str">
        <f>_xlfn.IFNA(VLOOKUP(Ruimtestaat[[#This Row],[Code Weekend]],Programma!$F$4:$Y$36148,20,0),"_")</f>
        <v>_</v>
      </c>
      <c r="BX26" s="91"/>
      <c r="BY26" s="91"/>
      <c r="BZ26" s="91"/>
      <c r="CA26" s="91"/>
      <c r="CB26" s="91"/>
      <c r="CC26" s="91"/>
      <c r="CD26" s="91"/>
      <c r="CE26" s="91"/>
      <c r="CF26" s="91"/>
      <c r="CG26" s="91"/>
      <c r="CH26" s="91"/>
      <c r="CI26" s="91"/>
      <c r="CJ26" s="91"/>
      <c r="CK26" s="91"/>
      <c r="CL26" s="91"/>
      <c r="CM26" s="91"/>
      <c r="CN26" s="91"/>
      <c r="CO26" s="91"/>
      <c r="CP26" s="91"/>
      <c r="CQ26" s="91"/>
      <c r="CR26" s="91"/>
      <c r="CS26" s="91"/>
      <c r="CT26" s="91"/>
      <c r="CU26" s="91"/>
      <c r="CV26" s="91"/>
      <c r="CW26" s="91"/>
      <c r="CX26" s="91"/>
      <c r="CY26" s="91"/>
      <c r="CZ26" s="91"/>
      <c r="DA26" s="91"/>
      <c r="DB26" s="91"/>
      <c r="DC26" s="91"/>
      <c r="DD26" s="91"/>
      <c r="DE26" s="91"/>
      <c r="DF26" s="91"/>
      <c r="DG26" s="91"/>
      <c r="DH26" s="91"/>
      <c r="DI26" s="91"/>
      <c r="DJ26" s="91"/>
      <c r="DK26" s="91"/>
      <c r="DL26" s="91"/>
      <c r="DM26" s="91"/>
      <c r="DN26" s="91"/>
      <c r="DO26" s="91"/>
      <c r="DP26" s="91"/>
      <c r="DQ26" s="91"/>
      <c r="DR26" s="91"/>
      <c r="DS26" s="91"/>
      <c r="DT26" s="91"/>
      <c r="DU26" s="91"/>
      <c r="DV26" s="91"/>
      <c r="DW26" s="91"/>
      <c r="DX26" s="91"/>
      <c r="DY26" s="91"/>
      <c r="DZ26" s="91"/>
      <c r="EA26" s="91"/>
      <c r="EB26" s="91"/>
      <c r="EC26" s="91"/>
      <c r="ED26" s="91"/>
      <c r="EE26" s="91"/>
      <c r="EF26" s="91"/>
      <c r="EG26" s="91"/>
      <c r="EH26" s="91"/>
      <c r="EI26" s="91"/>
      <c r="EJ26" s="91"/>
      <c r="EK26" s="91"/>
      <c r="EL26" s="91"/>
      <c r="EM26" s="91"/>
      <c r="EN26" s="91"/>
      <c r="EO26" s="91"/>
      <c r="EP26" s="91"/>
      <c r="EQ26" s="91"/>
      <c r="ER26" s="91"/>
      <c r="ES26" s="91"/>
      <c r="ET26" s="91"/>
      <c r="EU26" s="91"/>
      <c r="EV26" s="91"/>
      <c r="EW26" s="91"/>
      <c r="EX26" s="91"/>
      <c r="EY26" s="91"/>
      <c r="EZ26" s="91"/>
      <c r="FA26" s="91"/>
      <c r="FB26" s="91"/>
      <c r="FC26" s="91"/>
      <c r="FD26" s="91"/>
      <c r="FE26" s="91"/>
      <c r="FF26" s="91"/>
      <c r="FG26" s="91"/>
      <c r="FH26" s="91"/>
      <c r="FI26" s="91"/>
      <c r="FJ26" s="91"/>
      <c r="FK26" s="91"/>
      <c r="FL26" s="91"/>
      <c r="FM26" s="91"/>
      <c r="FN26" s="91"/>
      <c r="FO26" s="91"/>
      <c r="FP26" s="91"/>
      <c r="FQ26" s="91"/>
      <c r="FR26" s="91"/>
      <c r="FS26" s="91"/>
      <c r="FT26" s="91"/>
      <c r="FU26" s="91"/>
      <c r="FV26" s="91"/>
      <c r="FW26" s="91"/>
      <c r="FX26" s="91"/>
      <c r="FY26" s="91"/>
      <c r="FZ26" s="91"/>
      <c r="GA26" s="91"/>
      <c r="GB26" s="91"/>
      <c r="GC26" s="91"/>
      <c r="GD26" s="91"/>
      <c r="GE26" s="91"/>
      <c r="GF26" s="91"/>
      <c r="GG26" s="91"/>
      <c r="GH26" s="91"/>
      <c r="GI26" s="91"/>
      <c r="GJ26" s="91"/>
      <c r="GK26" s="91"/>
      <c r="GL26" s="91"/>
      <c r="GM26" s="91"/>
      <c r="GN26" s="91"/>
      <c r="GO26" s="91"/>
      <c r="GP26" s="91"/>
      <c r="GQ26" s="91"/>
      <c r="GR26" s="91"/>
      <c r="GS26" s="91"/>
      <c r="GT26" s="91"/>
      <c r="GU26" s="91"/>
      <c r="GV26" s="91"/>
      <c r="GW26" s="91"/>
      <c r="GX26" s="91"/>
      <c r="GY26" s="91"/>
      <c r="GZ26" s="91"/>
      <c r="HA26" s="91"/>
      <c r="HB26" s="91"/>
      <c r="HC26" s="91"/>
      <c r="HD26" s="91"/>
      <c r="HE26" s="91"/>
      <c r="HF26" s="91"/>
      <c r="HG26" s="91"/>
      <c r="HH26" s="91"/>
      <c r="HI26" s="91"/>
      <c r="HJ26" s="91"/>
      <c r="HK26" s="91"/>
    </row>
    <row r="27" spans="1:219" s="8" customFormat="1" ht="12.75" customHeight="1">
      <c r="A27" s="131">
        <v>1</v>
      </c>
      <c r="B27" s="22" t="str">
        <f>VLOOKUP(Ruimtestaat[[#This Row],[Code]],Locaties[#All],2,FALSE)</f>
        <v>ESH Secondary School</v>
      </c>
      <c r="C27" s="22" t="str">
        <f>VLOOKUP(Ruimtestaat[[#This Row],[Code]],Locaties[#All],4,FALSE)</f>
        <v>Oostduinlaan 50</v>
      </c>
      <c r="D27" s="334" t="str">
        <f>VLOOKUP(Ruimtestaat[[#This Row],[Code]],Locaties[#All],5,FALSE)</f>
        <v>2596 JP</v>
      </c>
      <c r="E27" s="334" t="str">
        <f>VLOOKUP(Ruimtestaat[[#This Row],[Code]],Locaties[#All],6,FALSE)</f>
        <v>Den Haag</v>
      </c>
      <c r="F27" s="326"/>
      <c r="G27" s="324" t="s">
        <v>1610</v>
      </c>
      <c r="H27" s="324" t="s">
        <v>1594</v>
      </c>
      <c r="I27" s="327" t="s">
        <v>1494</v>
      </c>
      <c r="J27" s="328">
        <v>5</v>
      </c>
      <c r="K27" s="348" t="str">
        <f>VLOOKUP(J27,Ruimtegroepen[],2,FALSE)</f>
        <v>Sanitair</v>
      </c>
      <c r="L27" s="212" t="s">
        <v>123</v>
      </c>
      <c r="M27" s="334" t="s">
        <v>144</v>
      </c>
      <c r="N27" s="330">
        <v>18</v>
      </c>
      <c r="O27" s="331"/>
      <c r="P27" s="332" t="str">
        <f>VLOOKUP(Ruimtestaat[[#This Row],[Ruimte code]],Ruimtegroepen[],4,FALSE)</f>
        <v>S  (Sanitair)</v>
      </c>
      <c r="Q27" s="332"/>
      <c r="R27" s="333">
        <v>40</v>
      </c>
      <c r="S27" s="333" t="s">
        <v>19</v>
      </c>
      <c r="T27" s="37"/>
      <c r="U27" s="37">
        <f>IF(R27&gt;0,IF(RIGHT(Ruimtestaat[[#This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27" s="37">
        <f>IF(U27&gt;0,VLOOKUP($J27,Ruimtegroepen[],3,FALSE)*VLOOKUP($L27,Vloersoorten[],3,FALSE)*VLOOKUP($S27,Frequenties[],3,FALSE)*VLOOKUP($A27,Locaties[],3,FALSE),0)</f>
        <v>0</v>
      </c>
      <c r="W27" s="37">
        <f>Ruimtestaat[[#This Row],[Uitvoeringen werkdagen]]*Ruimtestaat[[#This Row],[Oppervlak (netto)]]</f>
        <v>7200</v>
      </c>
      <c r="X27" s="37">
        <f>IF(V27&gt;0,Ruimtestaat[[#This Row],[Prest. (m2 /jaar) werkdagen]]/Ruimtestaat[[#This Row],[Norm (m2/uur) werkdagen]],0)</f>
        <v>0</v>
      </c>
      <c r="Y27" s="37">
        <f>Ruimtestaat[[#This Row],[uren / jaar werkdagen]]*Tariefsopbouw!$D$38</f>
        <v>0</v>
      </c>
      <c r="Z27" s="37">
        <f>IF(Ruimtestaat[[#This Row],[Frequentie weekend]]&gt;0,VALUE(LEFT(T27,1))*R27,0)</f>
        <v>0</v>
      </c>
      <c r="AA27" s="37">
        <f>IF($Z27&gt;0,VLOOKUP($J27,Ruimtegroepen[],3,FALSE)*VLOOKUP($L27,Vloersoorten[],3,FALSE)*VLOOKUP($T27,Frequenties[],3,FALSE)*VLOOKUP($A27,Locaties[],3,FALSE),0)</f>
        <v>0</v>
      </c>
      <c r="AB27" s="37">
        <f>Ruimtestaat[[#This Row],[Uitvoeringen weekend]]*Ruimtestaat[[#This Row],[Oppervlak (netto)]]</f>
        <v>0</v>
      </c>
      <c r="AC27" s="37">
        <f>IF(AA27&gt;0,Ruimtestaat[[#This Row],[Prest. (m2 /jaar) weekend]]/Ruimtestaat[[#This Row],[Norm (m2/uur) weekend]],0)</f>
        <v>0</v>
      </c>
      <c r="AD27" s="37">
        <f>Ruimtestaat[[#This Row],[uren / jaar weekend]]*Tariefsopbouw!$D$40</f>
        <v>0</v>
      </c>
      <c r="AE27" s="89">
        <f>Ruimtestaat[[#This Row],[Prest. (m2 /jaar) weekend]]+Ruimtestaat[[#This Row],[Prest. (m2 /jaar) werkdagen]]</f>
        <v>7200</v>
      </c>
      <c r="AF27" s="89">
        <f>Ruimtestaat[[#This Row],[uren / jaar weekend]]+Ruimtestaat[[#This Row],[uren / jaar werkdagen]]</f>
        <v>0</v>
      </c>
      <c r="AG27" s="90">
        <f>Ruimtestaat[[#This Row],[kosten / jaar weekend]]+Ruimtestaat[[#This Row],[kosten / jaar werkdagen]]</f>
        <v>0</v>
      </c>
      <c r="AH27" s="253"/>
      <c r="AI27" s="252" t="str">
        <f>IF(Ruimtestaat[[#This Row],[Frequentie werkdagen]]="","",_xlfn.CONCAT(Ruimtestaat[[#This Row],[Ruimte code]],"-",Ruimtestaat[[#This Row],[Frequentie werkdagen]]," ",Ruimtestaat[[#This Row],[Vloer code]]))</f>
        <v>5-10w P</v>
      </c>
      <c r="AJ27" s="247" t="str">
        <f>_xlfn.IFNA(VLOOKUP(Ruimtestaat[[#This Row],[Programmacode
Regulier]],Programma!$F$4:$Y$36148,2,0),"_")</f>
        <v>_</v>
      </c>
      <c r="AK27" s="247" t="str">
        <f>_xlfn.IFNA(VLOOKUP(Ruimtestaat[[#This Row],[Programmacode
Regulier]],Programma!$F$4:$Y$36148,3,0),"_")</f>
        <v>_</v>
      </c>
      <c r="AL27" s="247" t="str">
        <f>_xlfn.IFNA(VLOOKUP(Ruimtestaat[[#This Row],[Programmacode
Regulier]],Programma!$F$4:$Y$36148,4,0),"_")</f>
        <v>_</v>
      </c>
      <c r="AM27" s="247" t="str">
        <f>_xlfn.IFNA(VLOOKUP(Ruimtestaat[[#This Row],[Programmacode
Regulier]],Programma!$F$4:$Y$36148,5,0),"_")</f>
        <v>4w</v>
      </c>
      <c r="AN27" s="247" t="str">
        <f>_xlfn.IFNA(VLOOKUP(Ruimtestaat[[#This Row],[Programmacode
Regulier]],Programma!$F$4:$Y$36148,6,0),"_")</f>
        <v>1w</v>
      </c>
      <c r="AO27" s="247" t="str">
        <f>_xlfn.IFNA(VLOOKUP(Ruimtestaat[[#This Row],[Programmacode
Regulier]],Programma!$F$4:$Y$36148,7,0),"_")</f>
        <v>_</v>
      </c>
      <c r="AP27" s="247" t="str">
        <f>_xlfn.IFNA(VLOOKUP(Ruimtestaat[[#This Row],[Programmacode
Regulier]],Programma!$F$4:$Y$36148,8,0),"_")</f>
        <v>_</v>
      </c>
      <c r="AQ27" s="247" t="str">
        <f>_xlfn.IFNA(VLOOKUP(Ruimtestaat[[#This Row],[Programmacode
Regulier]],Programma!$F$4:$Y$36148,9,0),"_")</f>
        <v>5w</v>
      </c>
      <c r="AR27" s="248" t="str">
        <f>_xlfn.IFNA(VLOOKUP(Ruimtestaat[[#This Row],[Programmacode
Regulier]],Programma!$F$4:$Y$36148,10,0),"_")</f>
        <v>_</v>
      </c>
      <c r="AS27" s="248" t="str">
        <f>_xlfn.IFNA(VLOOKUP(Ruimtestaat[[#This Row],[Programmacode
Regulier]],Programma!$F$4:$Y$36148,11,0),"_")</f>
        <v>_</v>
      </c>
      <c r="AT27" s="248" t="str">
        <f>_xlfn.IFNA(VLOOKUP(Ruimtestaat[[#This Row],[Programmacode
Regulier]],Programma!$F$4:$Y$36148,12,0),"_")</f>
        <v>_</v>
      </c>
      <c r="AU27" s="248" t="str">
        <f>_xlfn.IFNA(VLOOKUP(Ruimtestaat[[#This Row],[Programmacode
Regulier]],Programma!$F$4:$Y$36148,13,0),"_")</f>
        <v>_</v>
      </c>
      <c r="AV27" s="248" t="str">
        <f>_xlfn.IFNA(VLOOKUP(Ruimtestaat[[#This Row],[Programmacode
Regulier]],Programma!$F$4:$Y$36148,14,0),"_")</f>
        <v>_</v>
      </c>
      <c r="AW27" s="248" t="str">
        <f>_xlfn.IFNA(VLOOKUP(Ruimtestaat[[#This Row],[Programmacode
Regulier]],Programma!$F$4:$Y$36148,15,0),"_")</f>
        <v>_</v>
      </c>
      <c r="AX27" s="248" t="str">
        <f>_xlfn.IFNA(VLOOKUP(Ruimtestaat[[#This Row],[Programmacode
Regulier]],Programma!$F$4:$Y$36148,16,0),"_")</f>
        <v>_</v>
      </c>
      <c r="AY27" s="248" t="str">
        <f>_xlfn.IFNA(VLOOKUP(Ruimtestaat[[#This Row],[Programmacode
Regulier]],Programma!$F$4:$Y$36148,17,0),"_")</f>
        <v>_</v>
      </c>
      <c r="AZ27" s="249" t="str">
        <f>_xlfn.IFNA(VLOOKUP(Ruimtestaat[[#This Row],[Programmacode
Regulier]],Programma!$F$4:$Y$36148,18,0),"_")</f>
        <v>4w</v>
      </c>
      <c r="BA27" s="249" t="str">
        <f>_xlfn.IFNA(VLOOKUP(Ruimtestaat[[#This Row],[Programmacode
Regulier]],Programma!$F$4:$Y$36148,19,0),"_")</f>
        <v>1w</v>
      </c>
      <c r="BB27" s="249" t="str">
        <f>_xlfn.IFNA(VLOOKUP(Ruimtestaat[[#This Row],[Programmacode
Regulier]],Programma!$F$4:$Y$36148,20,0),"_")</f>
        <v>5w</v>
      </c>
      <c r="BC27" s="250"/>
      <c r="BD27" s="212" t="str">
        <f>IF(Ruimtestaat[[#This Row],[Frequentie weekend]]="","",_xlfn.CONCAT(Ruimtestaat[[#This Row],[Ruimte code]],"-",Ruimtestaat[[#This Row],[Frequentie weekend]]," ",Ruimtestaat[[#This Row],[Vloer code]]))</f>
        <v/>
      </c>
      <c r="BE27" s="247" t="str">
        <f>_xlfn.IFNA(VLOOKUP(Ruimtestaat[[#This Row],[Code Weekend]],Programma!$F$4:$Y$36148,2,0),"_")</f>
        <v>_</v>
      </c>
      <c r="BF27" s="247" t="str">
        <f>_xlfn.IFNA(VLOOKUP(Ruimtestaat[[#This Row],[Code Weekend]],Programma!$F$4:$Y$36148,3,0),"_")</f>
        <v>_</v>
      </c>
      <c r="BG27" s="247" t="str">
        <f>_xlfn.IFNA(VLOOKUP(Ruimtestaat[[#This Row],[Code Weekend]],Programma!$F$4:$Y$36148,4,0),"_")</f>
        <v>_</v>
      </c>
      <c r="BH27" s="247" t="str">
        <f>_xlfn.IFNA(VLOOKUP(Ruimtestaat[[#This Row],[Code Weekend]],Programma!$F$4:$Y$36148,5,0),"_")</f>
        <v>_</v>
      </c>
      <c r="BI27" s="247" t="str">
        <f>_xlfn.IFNA(VLOOKUP(Ruimtestaat[[#This Row],[Code Weekend]],Programma!$F$4:$Y$36148,6,0),"_")</f>
        <v>_</v>
      </c>
      <c r="BJ27" s="247" t="str">
        <f>_xlfn.IFNA(VLOOKUP(Ruimtestaat[[#This Row],[Code Weekend]],Programma!$F$4:$Y$36148,7,0),"_")</f>
        <v>_</v>
      </c>
      <c r="BK27" s="247" t="str">
        <f>_xlfn.IFNA(VLOOKUP(Ruimtestaat[[#This Row],[Code Weekend]],Programma!$F$4:$Y$36148,8,0),"_")</f>
        <v>_</v>
      </c>
      <c r="BL27" s="247" t="str">
        <f>_xlfn.IFNA(VLOOKUP(Ruimtestaat[[#This Row],[Code Weekend]],Programma!$F$4:$Y$36148,9,0),"_")</f>
        <v>_</v>
      </c>
      <c r="BM27" s="248" t="str">
        <f>_xlfn.IFNA(VLOOKUP(Ruimtestaat[[#This Row],[Code Weekend]],Programma!$F$4:$Y$36148,10,0),"_")</f>
        <v>_</v>
      </c>
      <c r="BN27" s="248" t="str">
        <f>_xlfn.IFNA(VLOOKUP(Ruimtestaat[[#This Row],[Code Weekend]],Programma!$F$4:$Y$36148,11,0),"_")</f>
        <v>_</v>
      </c>
      <c r="BO27" s="248" t="str">
        <f>_xlfn.IFNA(VLOOKUP(Ruimtestaat[[#This Row],[Code Weekend]],Programma!$F$4:$Y$36148,12,0),"_")</f>
        <v>_</v>
      </c>
      <c r="BP27" s="248" t="str">
        <f>_xlfn.IFNA(VLOOKUP(Ruimtestaat[[#This Row],[Code Weekend]],Programma!$F$4:$Y$36148,13,0),"_")</f>
        <v>_</v>
      </c>
      <c r="BQ27" s="248" t="str">
        <f>_xlfn.IFNA(VLOOKUP(Ruimtestaat[[#This Row],[Code Weekend]],Programma!$F$4:$Y$36148,14,0),"_")</f>
        <v>_</v>
      </c>
      <c r="BR27" s="248" t="str">
        <f>_xlfn.IFNA(VLOOKUP(Ruimtestaat[[#This Row],[Code Weekend]],Programma!$F$4:$Y$36148,15,0),"_")</f>
        <v>_</v>
      </c>
      <c r="BS27" s="248" t="str">
        <f>_xlfn.IFNA(VLOOKUP(Ruimtestaat[[#This Row],[Code Weekend]],Programma!$F$4:$Y$36148,16,0),"_")</f>
        <v>_</v>
      </c>
      <c r="BT27" s="248" t="str">
        <f>_xlfn.IFNA(VLOOKUP(Ruimtestaat[[#This Row],[Code Weekend]],Programma!$F$4:$Y$36148,17,0),"_")</f>
        <v>_</v>
      </c>
      <c r="BU27" s="249" t="str">
        <f>_xlfn.IFNA(VLOOKUP(Ruimtestaat[[#This Row],[Code Weekend]],Programma!$F$4:$Y$36148,18,0),"_")</f>
        <v>_</v>
      </c>
      <c r="BV27" s="249" t="str">
        <f>_xlfn.IFNA(VLOOKUP(Ruimtestaat[[#This Row],[Code Weekend]],Programma!$F$4:$Y$36148,19,0),"_")</f>
        <v>_</v>
      </c>
      <c r="BW27" s="249" t="str">
        <f>_xlfn.IFNA(VLOOKUP(Ruimtestaat[[#This Row],[Code Weekend]],Programma!$F$4:$Y$36148,20,0),"_")</f>
        <v>_</v>
      </c>
      <c r="BX27" s="91"/>
      <c r="BY27" s="91"/>
      <c r="BZ27" s="91"/>
      <c r="CA27" s="91"/>
      <c r="CB27" s="91"/>
      <c r="CC27" s="91"/>
      <c r="CD27" s="91"/>
      <c r="CE27" s="91"/>
      <c r="CF27" s="91"/>
      <c r="CG27" s="91"/>
      <c r="CH27" s="91"/>
      <c r="CI27" s="91"/>
      <c r="CJ27" s="91"/>
      <c r="CK27" s="91"/>
      <c r="CL27" s="91"/>
      <c r="CM27" s="91"/>
      <c r="CN27" s="91"/>
      <c r="CO27" s="91"/>
      <c r="CP27" s="91"/>
      <c r="CQ27" s="91"/>
      <c r="CR27" s="91"/>
      <c r="CS27" s="91"/>
      <c r="CT27" s="91"/>
      <c r="CU27" s="91"/>
      <c r="CV27" s="91"/>
      <c r="CW27" s="91"/>
      <c r="CX27" s="91"/>
      <c r="CY27" s="91"/>
      <c r="CZ27" s="91"/>
      <c r="DA27" s="91"/>
      <c r="DB27" s="91"/>
      <c r="DC27" s="91"/>
      <c r="DD27" s="91"/>
      <c r="DE27" s="91"/>
      <c r="DF27" s="91"/>
      <c r="DG27" s="91"/>
      <c r="DH27" s="91"/>
      <c r="DI27" s="91"/>
      <c r="DJ27" s="91"/>
      <c r="DK27" s="91"/>
      <c r="DL27" s="91"/>
      <c r="DM27" s="91"/>
      <c r="DN27" s="91"/>
      <c r="DO27" s="91"/>
      <c r="DP27" s="91"/>
      <c r="DQ27" s="91"/>
      <c r="DR27" s="91"/>
      <c r="DS27" s="91"/>
      <c r="DT27" s="91"/>
      <c r="DU27" s="91"/>
      <c r="DV27" s="91"/>
      <c r="DW27" s="91"/>
      <c r="DX27" s="91"/>
      <c r="DY27" s="91"/>
      <c r="DZ27" s="91"/>
      <c r="EA27" s="91"/>
      <c r="EB27" s="91"/>
      <c r="EC27" s="91"/>
      <c r="ED27" s="91"/>
      <c r="EE27" s="91"/>
      <c r="EF27" s="91"/>
      <c r="EG27" s="91"/>
      <c r="EH27" s="91"/>
      <c r="EI27" s="91"/>
      <c r="EJ27" s="91"/>
      <c r="EK27" s="91"/>
      <c r="EL27" s="91"/>
      <c r="EM27" s="91"/>
      <c r="EN27" s="91"/>
      <c r="EO27" s="91"/>
      <c r="EP27" s="91"/>
      <c r="EQ27" s="91"/>
      <c r="ER27" s="91"/>
      <c r="ES27" s="91"/>
      <c r="ET27" s="91"/>
      <c r="EU27" s="91"/>
      <c r="EV27" s="91"/>
      <c r="EW27" s="91"/>
      <c r="EX27" s="91"/>
      <c r="EY27" s="91"/>
      <c r="EZ27" s="91"/>
      <c r="FA27" s="91"/>
      <c r="FB27" s="91"/>
      <c r="FC27" s="91"/>
      <c r="FD27" s="91"/>
      <c r="FE27" s="91"/>
      <c r="FF27" s="91"/>
      <c r="FG27" s="91"/>
      <c r="FH27" s="91"/>
      <c r="FI27" s="91"/>
      <c r="FJ27" s="91"/>
      <c r="FK27" s="91"/>
      <c r="FL27" s="91"/>
      <c r="FM27" s="91"/>
      <c r="FN27" s="91"/>
      <c r="FO27" s="91"/>
      <c r="FP27" s="91"/>
      <c r="FQ27" s="91"/>
      <c r="FR27" s="91"/>
      <c r="FS27" s="91"/>
      <c r="FT27" s="91"/>
      <c r="FU27" s="91"/>
      <c r="FV27" s="91"/>
      <c r="FW27" s="91"/>
      <c r="FX27" s="91"/>
      <c r="FY27" s="91"/>
      <c r="FZ27" s="91"/>
      <c r="GA27" s="91"/>
      <c r="GB27" s="91"/>
      <c r="GC27" s="91"/>
      <c r="GD27" s="91"/>
      <c r="GE27" s="91"/>
      <c r="GF27" s="91"/>
      <c r="GG27" s="91"/>
      <c r="GH27" s="91"/>
      <c r="GI27" s="91"/>
      <c r="GJ27" s="91"/>
      <c r="GK27" s="91"/>
      <c r="GL27" s="91"/>
      <c r="GM27" s="91"/>
      <c r="GN27" s="91"/>
      <c r="GO27" s="91"/>
      <c r="GP27" s="91"/>
      <c r="GQ27" s="91"/>
      <c r="GR27" s="91"/>
      <c r="GS27" s="91"/>
      <c r="GT27" s="91"/>
      <c r="GU27" s="91"/>
      <c r="GV27" s="91"/>
      <c r="GW27" s="91"/>
      <c r="GX27" s="91"/>
      <c r="GY27" s="91"/>
      <c r="GZ27" s="91"/>
      <c r="HA27" s="91"/>
      <c r="HB27" s="91"/>
      <c r="HC27" s="91"/>
      <c r="HD27" s="91"/>
      <c r="HE27" s="91"/>
      <c r="HF27" s="91"/>
      <c r="HG27" s="91"/>
      <c r="HH27" s="91"/>
      <c r="HI27" s="91"/>
      <c r="HJ27" s="91"/>
      <c r="HK27" s="91"/>
    </row>
    <row r="28" spans="1:219" s="8" customFormat="1" ht="12.75" customHeight="1">
      <c r="A28" s="131">
        <v>1</v>
      </c>
      <c r="B28" s="22" t="str">
        <f>VLOOKUP(Ruimtestaat[[#This Row],[Code]],Locaties[#All],2,FALSE)</f>
        <v>ESH Secondary School</v>
      </c>
      <c r="C28" s="22" t="str">
        <f>VLOOKUP(Ruimtestaat[[#This Row],[Code]],Locaties[#All],4,FALSE)</f>
        <v>Oostduinlaan 50</v>
      </c>
      <c r="D28" s="334" t="str">
        <f>VLOOKUP(Ruimtestaat[[#This Row],[Code]],Locaties[#All],5,FALSE)</f>
        <v>2596 JP</v>
      </c>
      <c r="E28" s="334" t="str">
        <f>VLOOKUP(Ruimtestaat[[#This Row],[Code]],Locaties[#All],6,FALSE)</f>
        <v>Den Haag</v>
      </c>
      <c r="F28" s="326"/>
      <c r="G28" s="324" t="s">
        <v>1610</v>
      </c>
      <c r="H28" s="324" t="s">
        <v>1595</v>
      </c>
      <c r="I28" s="327" t="s">
        <v>1493</v>
      </c>
      <c r="J28" s="328">
        <v>5</v>
      </c>
      <c r="K28" s="348" t="str">
        <f>VLOOKUP(J28,Ruimtegroepen[],2,FALSE)</f>
        <v>Sanitair</v>
      </c>
      <c r="L28" s="212" t="s">
        <v>123</v>
      </c>
      <c r="M28" s="334" t="s">
        <v>144</v>
      </c>
      <c r="N28" s="330">
        <v>17</v>
      </c>
      <c r="O28" s="331"/>
      <c r="P28" s="332" t="str">
        <f>VLOOKUP(Ruimtestaat[[#This Row],[Ruimte code]],Ruimtegroepen[],4,FALSE)</f>
        <v>S  (Sanitair)</v>
      </c>
      <c r="Q28" s="332"/>
      <c r="R28" s="333">
        <v>40</v>
      </c>
      <c r="S28" s="333" t="s">
        <v>19</v>
      </c>
      <c r="T28" s="37"/>
      <c r="U28" s="37">
        <f>IF(R28&gt;0,IF(RIGHT(Ruimtestaat[[#This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28" s="37">
        <f>IF(U28&gt;0,VLOOKUP($J28,Ruimtegroepen[],3,FALSE)*VLOOKUP($L28,Vloersoorten[],3,FALSE)*VLOOKUP($S28,Frequenties[],3,FALSE)*VLOOKUP($A28,Locaties[],3,FALSE),0)</f>
        <v>0</v>
      </c>
      <c r="W28" s="37">
        <f>Ruimtestaat[[#This Row],[Uitvoeringen werkdagen]]*Ruimtestaat[[#This Row],[Oppervlak (netto)]]</f>
        <v>6800</v>
      </c>
      <c r="X28" s="37">
        <f>IF(V28&gt;0,Ruimtestaat[[#This Row],[Prest. (m2 /jaar) werkdagen]]/Ruimtestaat[[#This Row],[Norm (m2/uur) werkdagen]],0)</f>
        <v>0</v>
      </c>
      <c r="Y28" s="37">
        <f>Ruimtestaat[[#This Row],[uren / jaar werkdagen]]*Tariefsopbouw!$D$38</f>
        <v>0</v>
      </c>
      <c r="Z28" s="37">
        <f>IF(Ruimtestaat[[#This Row],[Frequentie weekend]]&gt;0,VALUE(LEFT(T28,1))*R28,0)</f>
        <v>0</v>
      </c>
      <c r="AA28" s="37">
        <f>IF($Z28&gt;0,VLOOKUP($J28,Ruimtegroepen[],3,FALSE)*VLOOKUP($L28,Vloersoorten[],3,FALSE)*VLOOKUP($T28,Frequenties[],3,FALSE)*VLOOKUP($A28,Locaties[],3,FALSE),0)</f>
        <v>0</v>
      </c>
      <c r="AB28" s="37">
        <f>Ruimtestaat[[#This Row],[Uitvoeringen weekend]]*Ruimtestaat[[#This Row],[Oppervlak (netto)]]</f>
        <v>0</v>
      </c>
      <c r="AC28" s="37">
        <f>IF(AA28&gt;0,Ruimtestaat[[#This Row],[Prest. (m2 /jaar) weekend]]/Ruimtestaat[[#This Row],[Norm (m2/uur) weekend]],0)</f>
        <v>0</v>
      </c>
      <c r="AD28" s="37">
        <f>Ruimtestaat[[#This Row],[uren / jaar weekend]]*Tariefsopbouw!$D$40</f>
        <v>0</v>
      </c>
      <c r="AE28" s="89">
        <f>Ruimtestaat[[#This Row],[Prest. (m2 /jaar) weekend]]+Ruimtestaat[[#This Row],[Prest. (m2 /jaar) werkdagen]]</f>
        <v>6800</v>
      </c>
      <c r="AF28" s="89">
        <f>Ruimtestaat[[#This Row],[uren / jaar weekend]]+Ruimtestaat[[#This Row],[uren / jaar werkdagen]]</f>
        <v>0</v>
      </c>
      <c r="AG28" s="90">
        <f>Ruimtestaat[[#This Row],[kosten / jaar weekend]]+Ruimtestaat[[#This Row],[kosten / jaar werkdagen]]</f>
        <v>0</v>
      </c>
      <c r="AH28" s="253"/>
      <c r="AI28" s="252" t="str">
        <f>IF(Ruimtestaat[[#This Row],[Frequentie werkdagen]]="","",_xlfn.CONCAT(Ruimtestaat[[#This Row],[Ruimte code]],"-",Ruimtestaat[[#This Row],[Frequentie werkdagen]]," ",Ruimtestaat[[#This Row],[Vloer code]]))</f>
        <v>5-10w P</v>
      </c>
      <c r="AJ28" s="247" t="str">
        <f>_xlfn.IFNA(VLOOKUP(Ruimtestaat[[#This Row],[Programmacode
Regulier]],Programma!$F$4:$Y$36148,2,0),"_")</f>
        <v>_</v>
      </c>
      <c r="AK28" s="247" t="str">
        <f>_xlfn.IFNA(VLOOKUP(Ruimtestaat[[#This Row],[Programmacode
Regulier]],Programma!$F$4:$Y$36148,3,0),"_")</f>
        <v>_</v>
      </c>
      <c r="AL28" s="247" t="str">
        <f>_xlfn.IFNA(VLOOKUP(Ruimtestaat[[#This Row],[Programmacode
Regulier]],Programma!$F$4:$Y$36148,4,0),"_")</f>
        <v>_</v>
      </c>
      <c r="AM28" s="247" t="str">
        <f>_xlfn.IFNA(VLOOKUP(Ruimtestaat[[#This Row],[Programmacode
Regulier]],Programma!$F$4:$Y$36148,5,0),"_")</f>
        <v>4w</v>
      </c>
      <c r="AN28" s="247" t="str">
        <f>_xlfn.IFNA(VLOOKUP(Ruimtestaat[[#This Row],[Programmacode
Regulier]],Programma!$F$4:$Y$36148,6,0),"_")</f>
        <v>1w</v>
      </c>
      <c r="AO28" s="247" t="str">
        <f>_xlfn.IFNA(VLOOKUP(Ruimtestaat[[#This Row],[Programmacode
Regulier]],Programma!$F$4:$Y$36148,7,0),"_")</f>
        <v>_</v>
      </c>
      <c r="AP28" s="247" t="str">
        <f>_xlfn.IFNA(VLOOKUP(Ruimtestaat[[#This Row],[Programmacode
Regulier]],Programma!$F$4:$Y$36148,8,0),"_")</f>
        <v>_</v>
      </c>
      <c r="AQ28" s="247" t="str">
        <f>_xlfn.IFNA(VLOOKUP(Ruimtestaat[[#This Row],[Programmacode
Regulier]],Programma!$F$4:$Y$36148,9,0),"_")</f>
        <v>5w</v>
      </c>
      <c r="AR28" s="248" t="str">
        <f>_xlfn.IFNA(VLOOKUP(Ruimtestaat[[#This Row],[Programmacode
Regulier]],Programma!$F$4:$Y$36148,10,0),"_")</f>
        <v>_</v>
      </c>
      <c r="AS28" s="248" t="str">
        <f>_xlfn.IFNA(VLOOKUP(Ruimtestaat[[#This Row],[Programmacode
Regulier]],Programma!$F$4:$Y$36148,11,0),"_")</f>
        <v>_</v>
      </c>
      <c r="AT28" s="248" t="str">
        <f>_xlfn.IFNA(VLOOKUP(Ruimtestaat[[#This Row],[Programmacode
Regulier]],Programma!$F$4:$Y$36148,12,0),"_")</f>
        <v>_</v>
      </c>
      <c r="AU28" s="248" t="str">
        <f>_xlfn.IFNA(VLOOKUP(Ruimtestaat[[#This Row],[Programmacode
Regulier]],Programma!$F$4:$Y$36148,13,0),"_")</f>
        <v>_</v>
      </c>
      <c r="AV28" s="248" t="str">
        <f>_xlfn.IFNA(VLOOKUP(Ruimtestaat[[#This Row],[Programmacode
Regulier]],Programma!$F$4:$Y$36148,14,0),"_")</f>
        <v>_</v>
      </c>
      <c r="AW28" s="248" t="str">
        <f>_xlfn.IFNA(VLOOKUP(Ruimtestaat[[#This Row],[Programmacode
Regulier]],Programma!$F$4:$Y$36148,15,0),"_")</f>
        <v>_</v>
      </c>
      <c r="AX28" s="248" t="str">
        <f>_xlfn.IFNA(VLOOKUP(Ruimtestaat[[#This Row],[Programmacode
Regulier]],Programma!$F$4:$Y$36148,16,0),"_")</f>
        <v>_</v>
      </c>
      <c r="AY28" s="248" t="str">
        <f>_xlfn.IFNA(VLOOKUP(Ruimtestaat[[#This Row],[Programmacode
Regulier]],Programma!$F$4:$Y$36148,17,0),"_")</f>
        <v>_</v>
      </c>
      <c r="AZ28" s="249" t="str">
        <f>_xlfn.IFNA(VLOOKUP(Ruimtestaat[[#This Row],[Programmacode
Regulier]],Programma!$F$4:$Y$36148,18,0),"_")</f>
        <v>4w</v>
      </c>
      <c r="BA28" s="249" t="str">
        <f>_xlfn.IFNA(VLOOKUP(Ruimtestaat[[#This Row],[Programmacode
Regulier]],Programma!$F$4:$Y$36148,19,0),"_")</f>
        <v>1w</v>
      </c>
      <c r="BB28" s="249" t="str">
        <f>_xlfn.IFNA(VLOOKUP(Ruimtestaat[[#This Row],[Programmacode
Regulier]],Programma!$F$4:$Y$36148,20,0),"_")</f>
        <v>5w</v>
      </c>
      <c r="BC28" s="250"/>
      <c r="BD28" s="212" t="str">
        <f>IF(Ruimtestaat[[#This Row],[Frequentie weekend]]="","",_xlfn.CONCAT(Ruimtestaat[[#This Row],[Ruimte code]],"-",Ruimtestaat[[#This Row],[Frequentie weekend]]," ",Ruimtestaat[[#This Row],[Vloer code]]))</f>
        <v/>
      </c>
      <c r="BE28" s="247" t="str">
        <f>_xlfn.IFNA(VLOOKUP(Ruimtestaat[[#This Row],[Code Weekend]],Programma!$F$4:$Y$36148,2,0),"_")</f>
        <v>_</v>
      </c>
      <c r="BF28" s="247" t="str">
        <f>_xlfn.IFNA(VLOOKUP(Ruimtestaat[[#This Row],[Code Weekend]],Programma!$F$4:$Y$36148,3,0),"_")</f>
        <v>_</v>
      </c>
      <c r="BG28" s="247" t="str">
        <f>_xlfn.IFNA(VLOOKUP(Ruimtestaat[[#This Row],[Code Weekend]],Programma!$F$4:$Y$36148,4,0),"_")</f>
        <v>_</v>
      </c>
      <c r="BH28" s="247" t="str">
        <f>_xlfn.IFNA(VLOOKUP(Ruimtestaat[[#This Row],[Code Weekend]],Programma!$F$4:$Y$36148,5,0),"_")</f>
        <v>_</v>
      </c>
      <c r="BI28" s="247" t="str">
        <f>_xlfn.IFNA(VLOOKUP(Ruimtestaat[[#This Row],[Code Weekend]],Programma!$F$4:$Y$36148,6,0),"_")</f>
        <v>_</v>
      </c>
      <c r="BJ28" s="247" t="str">
        <f>_xlfn.IFNA(VLOOKUP(Ruimtestaat[[#This Row],[Code Weekend]],Programma!$F$4:$Y$36148,7,0),"_")</f>
        <v>_</v>
      </c>
      <c r="BK28" s="247" t="str">
        <f>_xlfn.IFNA(VLOOKUP(Ruimtestaat[[#This Row],[Code Weekend]],Programma!$F$4:$Y$36148,8,0),"_")</f>
        <v>_</v>
      </c>
      <c r="BL28" s="247" t="str">
        <f>_xlfn.IFNA(VLOOKUP(Ruimtestaat[[#This Row],[Code Weekend]],Programma!$F$4:$Y$36148,9,0),"_")</f>
        <v>_</v>
      </c>
      <c r="BM28" s="248" t="str">
        <f>_xlfn.IFNA(VLOOKUP(Ruimtestaat[[#This Row],[Code Weekend]],Programma!$F$4:$Y$36148,10,0),"_")</f>
        <v>_</v>
      </c>
      <c r="BN28" s="248" t="str">
        <f>_xlfn.IFNA(VLOOKUP(Ruimtestaat[[#This Row],[Code Weekend]],Programma!$F$4:$Y$36148,11,0),"_")</f>
        <v>_</v>
      </c>
      <c r="BO28" s="248" t="str">
        <f>_xlfn.IFNA(VLOOKUP(Ruimtestaat[[#This Row],[Code Weekend]],Programma!$F$4:$Y$36148,12,0),"_")</f>
        <v>_</v>
      </c>
      <c r="BP28" s="248" t="str">
        <f>_xlfn.IFNA(VLOOKUP(Ruimtestaat[[#This Row],[Code Weekend]],Programma!$F$4:$Y$36148,13,0),"_")</f>
        <v>_</v>
      </c>
      <c r="BQ28" s="248" t="str">
        <f>_xlfn.IFNA(VLOOKUP(Ruimtestaat[[#This Row],[Code Weekend]],Programma!$F$4:$Y$36148,14,0),"_")</f>
        <v>_</v>
      </c>
      <c r="BR28" s="248" t="str">
        <f>_xlfn.IFNA(VLOOKUP(Ruimtestaat[[#This Row],[Code Weekend]],Programma!$F$4:$Y$36148,15,0),"_")</f>
        <v>_</v>
      </c>
      <c r="BS28" s="248" t="str">
        <f>_xlfn.IFNA(VLOOKUP(Ruimtestaat[[#This Row],[Code Weekend]],Programma!$F$4:$Y$36148,16,0),"_")</f>
        <v>_</v>
      </c>
      <c r="BT28" s="248" t="str">
        <f>_xlfn.IFNA(VLOOKUP(Ruimtestaat[[#This Row],[Code Weekend]],Programma!$F$4:$Y$36148,17,0),"_")</f>
        <v>_</v>
      </c>
      <c r="BU28" s="249" t="str">
        <f>_xlfn.IFNA(VLOOKUP(Ruimtestaat[[#This Row],[Code Weekend]],Programma!$F$4:$Y$36148,18,0),"_")</f>
        <v>_</v>
      </c>
      <c r="BV28" s="249" t="str">
        <f>_xlfn.IFNA(VLOOKUP(Ruimtestaat[[#This Row],[Code Weekend]],Programma!$F$4:$Y$36148,19,0),"_")</f>
        <v>_</v>
      </c>
      <c r="BW28" s="249" t="str">
        <f>_xlfn.IFNA(VLOOKUP(Ruimtestaat[[#This Row],[Code Weekend]],Programma!$F$4:$Y$36148,20,0),"_")</f>
        <v>_</v>
      </c>
      <c r="BX28" s="91"/>
      <c r="BY28" s="91"/>
      <c r="BZ28" s="91"/>
      <c r="CA28" s="91"/>
      <c r="CB28" s="91"/>
      <c r="CC28" s="91"/>
      <c r="CD28" s="91"/>
      <c r="CE28" s="91"/>
      <c r="CF28" s="91"/>
      <c r="CG28" s="91"/>
      <c r="CH28" s="91"/>
      <c r="CI28" s="91"/>
      <c r="CJ28" s="91"/>
      <c r="CK28" s="91"/>
      <c r="CL28" s="91"/>
      <c r="CM28" s="91"/>
      <c r="CN28" s="91"/>
      <c r="CO28" s="91"/>
      <c r="CP28" s="91"/>
      <c r="CQ28" s="91"/>
      <c r="CR28" s="91"/>
      <c r="CS28" s="91"/>
      <c r="CT28" s="91"/>
      <c r="CU28" s="91"/>
      <c r="CV28" s="91"/>
      <c r="CW28" s="91"/>
      <c r="CX28" s="91"/>
      <c r="CY28" s="91"/>
      <c r="CZ28" s="91"/>
      <c r="DA28" s="91"/>
      <c r="DB28" s="91"/>
      <c r="DC28" s="91"/>
      <c r="DD28" s="91"/>
      <c r="DE28" s="91"/>
      <c r="DF28" s="91"/>
      <c r="DG28" s="91"/>
      <c r="DH28" s="91"/>
      <c r="DI28" s="91"/>
      <c r="DJ28" s="91"/>
      <c r="DK28" s="91"/>
      <c r="DL28" s="91"/>
      <c r="DM28" s="91"/>
      <c r="DN28" s="91"/>
      <c r="DO28" s="91"/>
      <c r="DP28" s="91"/>
      <c r="DQ28" s="91"/>
      <c r="DR28" s="91"/>
      <c r="DS28" s="91"/>
      <c r="DT28" s="91"/>
      <c r="DU28" s="91"/>
      <c r="DV28" s="91"/>
      <c r="DW28" s="91"/>
      <c r="DX28" s="91"/>
      <c r="DY28" s="91"/>
      <c r="DZ28" s="91"/>
      <c r="EA28" s="91"/>
      <c r="EB28" s="91"/>
      <c r="EC28" s="91"/>
      <c r="ED28" s="91"/>
      <c r="EE28" s="91"/>
      <c r="EF28" s="91"/>
      <c r="EG28" s="91"/>
      <c r="EH28" s="91"/>
      <c r="EI28" s="91"/>
      <c r="EJ28" s="91"/>
      <c r="EK28" s="91"/>
      <c r="EL28" s="91"/>
      <c r="EM28" s="91"/>
      <c r="EN28" s="91"/>
      <c r="EO28" s="91"/>
      <c r="EP28" s="91"/>
      <c r="EQ28" s="91"/>
      <c r="ER28" s="91"/>
      <c r="ES28" s="91"/>
      <c r="ET28" s="91"/>
      <c r="EU28" s="91"/>
      <c r="EV28" s="91"/>
      <c r="EW28" s="91"/>
      <c r="EX28" s="91"/>
      <c r="EY28" s="91"/>
      <c r="EZ28" s="91"/>
      <c r="FA28" s="91"/>
      <c r="FB28" s="91"/>
      <c r="FC28" s="91"/>
      <c r="FD28" s="91"/>
      <c r="FE28" s="91"/>
      <c r="FF28" s="91"/>
      <c r="FG28" s="91"/>
      <c r="FH28" s="91"/>
      <c r="FI28" s="91"/>
      <c r="FJ28" s="91"/>
      <c r="FK28" s="91"/>
      <c r="FL28" s="91"/>
      <c r="FM28" s="91"/>
      <c r="FN28" s="91"/>
      <c r="FO28" s="91"/>
      <c r="FP28" s="91"/>
      <c r="FQ28" s="91"/>
      <c r="FR28" s="91"/>
      <c r="FS28" s="91"/>
      <c r="FT28" s="91"/>
      <c r="FU28" s="91"/>
      <c r="FV28" s="91"/>
      <c r="FW28" s="91"/>
      <c r="FX28" s="91"/>
      <c r="FY28" s="91"/>
      <c r="FZ28" s="91"/>
      <c r="GA28" s="91"/>
      <c r="GB28" s="91"/>
      <c r="GC28" s="91"/>
      <c r="GD28" s="91"/>
      <c r="GE28" s="91"/>
      <c r="GF28" s="91"/>
      <c r="GG28" s="91"/>
      <c r="GH28" s="91"/>
      <c r="GI28" s="91"/>
      <c r="GJ28" s="91"/>
      <c r="GK28" s="91"/>
      <c r="GL28" s="91"/>
      <c r="GM28" s="91"/>
      <c r="GN28" s="91"/>
      <c r="GO28" s="91"/>
      <c r="GP28" s="91"/>
      <c r="GQ28" s="91"/>
      <c r="GR28" s="91"/>
      <c r="GS28" s="91"/>
      <c r="GT28" s="91"/>
      <c r="GU28" s="91"/>
      <c r="GV28" s="91"/>
      <c r="GW28" s="91"/>
      <c r="GX28" s="91"/>
      <c r="GY28" s="91"/>
      <c r="GZ28" s="91"/>
      <c r="HA28" s="91"/>
      <c r="HB28" s="91"/>
      <c r="HC28" s="91"/>
      <c r="HD28" s="91"/>
      <c r="HE28" s="91"/>
      <c r="HF28" s="91"/>
      <c r="HG28" s="91"/>
      <c r="HH28" s="91"/>
      <c r="HI28" s="91"/>
      <c r="HJ28" s="91"/>
      <c r="HK28" s="91"/>
    </row>
    <row r="29" spans="1:219" s="8" customFormat="1" ht="12.75" customHeight="1">
      <c r="A29" s="131">
        <v>1</v>
      </c>
      <c r="B29" s="22" t="str">
        <f>VLOOKUP(Ruimtestaat[[#This Row],[Code]],Locaties[#All],2,FALSE)</f>
        <v>ESH Secondary School</v>
      </c>
      <c r="C29" s="22" t="str">
        <f>VLOOKUP(Ruimtestaat[[#This Row],[Code]],Locaties[#All],4,FALSE)</f>
        <v>Oostduinlaan 50</v>
      </c>
      <c r="D29" s="334" t="str">
        <f>VLOOKUP(Ruimtestaat[[#This Row],[Code]],Locaties[#All],5,FALSE)</f>
        <v>2596 JP</v>
      </c>
      <c r="E29" s="334" t="str">
        <f>VLOOKUP(Ruimtestaat[[#This Row],[Code]],Locaties[#All],6,FALSE)</f>
        <v>Den Haag</v>
      </c>
      <c r="F29" s="326"/>
      <c r="G29" s="324" t="s">
        <v>1610</v>
      </c>
      <c r="H29" s="324" t="s">
        <v>1596</v>
      </c>
      <c r="I29" s="327" t="s">
        <v>1617</v>
      </c>
      <c r="J29" s="328">
        <v>9</v>
      </c>
      <c r="K29" s="348" t="str">
        <f>VLOOKUP(J29,Ruimtegroepen[],2,FALSE)</f>
        <v>Bibliotheek / OLC</v>
      </c>
      <c r="L29" s="212" t="s">
        <v>123</v>
      </c>
      <c r="M29" s="334" t="s">
        <v>144</v>
      </c>
      <c r="N29" s="330">
        <v>63</v>
      </c>
      <c r="O29" s="331"/>
      <c r="P29" s="332" t="str">
        <f>VLOOKUP(Ruimtestaat[[#This Row],[Ruimte code]],Ruimtegroepen[],4,FALSE)</f>
        <v>L  (Lesruimte)</v>
      </c>
      <c r="Q29" s="332"/>
      <c r="R29" s="333">
        <v>40</v>
      </c>
      <c r="S29" s="333" t="s">
        <v>2</v>
      </c>
      <c r="T29" s="37"/>
      <c r="U29" s="37">
        <f>IF(R29&gt;0,IF(RIGHT(Ruimtestaat[[#This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9" s="37">
        <f>IF(U29&gt;0,VLOOKUP($J29,Ruimtegroepen[],3,FALSE)*VLOOKUP($L29,Vloersoorten[],3,FALSE)*VLOOKUP($S29,Frequenties[],3,FALSE)*VLOOKUP($A29,Locaties[],3,FALSE),0)</f>
        <v>0</v>
      </c>
      <c r="W29" s="37">
        <f>Ruimtestaat[[#This Row],[Uitvoeringen werkdagen]]*Ruimtestaat[[#This Row],[Oppervlak (netto)]]</f>
        <v>12600</v>
      </c>
      <c r="X29" s="37">
        <f>IF(V29&gt;0,Ruimtestaat[[#This Row],[Prest. (m2 /jaar) werkdagen]]/Ruimtestaat[[#This Row],[Norm (m2/uur) werkdagen]],0)</f>
        <v>0</v>
      </c>
      <c r="Y29" s="37">
        <f>Ruimtestaat[[#This Row],[uren / jaar werkdagen]]*Tariefsopbouw!$D$38</f>
        <v>0</v>
      </c>
      <c r="Z29" s="37">
        <f>IF(Ruimtestaat[[#This Row],[Frequentie weekend]]&gt;0,VALUE(LEFT(T29,1))*R29,0)</f>
        <v>0</v>
      </c>
      <c r="AA29" s="37">
        <f>IF($Z29&gt;0,VLOOKUP($J29,Ruimtegroepen[],3,FALSE)*VLOOKUP($L29,Vloersoorten[],3,FALSE)*VLOOKUP($T29,Frequenties[],3,FALSE)*VLOOKUP($A29,Locaties[],3,FALSE),0)</f>
        <v>0</v>
      </c>
      <c r="AB29" s="37">
        <f>Ruimtestaat[[#This Row],[Uitvoeringen weekend]]*Ruimtestaat[[#This Row],[Oppervlak (netto)]]</f>
        <v>0</v>
      </c>
      <c r="AC29" s="37">
        <f>IF(AA29&gt;0,Ruimtestaat[[#This Row],[Prest. (m2 /jaar) weekend]]/Ruimtestaat[[#This Row],[Norm (m2/uur) weekend]],0)</f>
        <v>0</v>
      </c>
      <c r="AD29" s="37">
        <f>Ruimtestaat[[#This Row],[uren / jaar weekend]]*Tariefsopbouw!$D$40</f>
        <v>0</v>
      </c>
      <c r="AE29" s="89">
        <f>Ruimtestaat[[#This Row],[Prest. (m2 /jaar) weekend]]+Ruimtestaat[[#This Row],[Prest. (m2 /jaar) werkdagen]]</f>
        <v>12600</v>
      </c>
      <c r="AF29" s="89">
        <f>Ruimtestaat[[#This Row],[uren / jaar weekend]]+Ruimtestaat[[#This Row],[uren / jaar werkdagen]]</f>
        <v>0</v>
      </c>
      <c r="AG29" s="90">
        <f>Ruimtestaat[[#This Row],[kosten / jaar weekend]]+Ruimtestaat[[#This Row],[kosten / jaar werkdagen]]</f>
        <v>0</v>
      </c>
      <c r="AH29" s="253"/>
      <c r="AI29" s="252" t="str">
        <f>IF(Ruimtestaat[[#This Row],[Frequentie werkdagen]]="","",_xlfn.CONCAT(Ruimtestaat[[#This Row],[Ruimte code]],"-",Ruimtestaat[[#This Row],[Frequentie werkdagen]]," ",Ruimtestaat[[#This Row],[Vloer code]]))</f>
        <v>9-5w P</v>
      </c>
      <c r="AJ29" s="247" t="str">
        <f>_xlfn.IFNA(VLOOKUP(Ruimtestaat[[#This Row],[Programmacode
Regulier]],Programma!$F$4:$Y$36148,2,0),"_")</f>
        <v>_</v>
      </c>
      <c r="AK29" s="247" t="str">
        <f>_xlfn.IFNA(VLOOKUP(Ruimtestaat[[#This Row],[Programmacode
Regulier]],Programma!$F$4:$Y$36148,3,0),"_")</f>
        <v>_</v>
      </c>
      <c r="AL29" s="247" t="str">
        <f>_xlfn.IFNA(VLOOKUP(Ruimtestaat[[#This Row],[Programmacode
Regulier]],Programma!$F$4:$Y$36148,4,0),"_")</f>
        <v>5w</v>
      </c>
      <c r="AM29" s="247" t="str">
        <f>_xlfn.IFNA(VLOOKUP(Ruimtestaat[[#This Row],[Programmacode
Regulier]],Programma!$F$4:$Y$36148,5,0),"_")</f>
        <v>1w</v>
      </c>
      <c r="AN29" s="247" t="str">
        <f>_xlfn.IFNA(VLOOKUP(Ruimtestaat[[#This Row],[Programmacode
Regulier]],Programma!$F$4:$Y$36148,6,0),"_")</f>
        <v>1m</v>
      </c>
      <c r="AO29" s="247" t="str">
        <f>_xlfn.IFNA(VLOOKUP(Ruimtestaat[[#This Row],[Programmacode
Regulier]],Programma!$F$4:$Y$36148,7,0),"_")</f>
        <v>_</v>
      </c>
      <c r="AP29" s="247" t="str">
        <f>_xlfn.IFNA(VLOOKUP(Ruimtestaat[[#This Row],[Programmacode
Regulier]],Programma!$F$4:$Y$36148,8,0),"_")</f>
        <v>_</v>
      </c>
      <c r="AQ29" s="247" t="str">
        <f>_xlfn.IFNA(VLOOKUP(Ruimtestaat[[#This Row],[Programmacode
Regulier]],Programma!$F$4:$Y$36148,9,0),"_")</f>
        <v>_</v>
      </c>
      <c r="AR29" s="248" t="str">
        <f>_xlfn.IFNA(VLOOKUP(Ruimtestaat[[#This Row],[Programmacode
Regulier]],Programma!$F$4:$Y$36148,10,0),"_")</f>
        <v>5w</v>
      </c>
      <c r="AS29" s="248" t="str">
        <f>_xlfn.IFNA(VLOOKUP(Ruimtestaat[[#This Row],[Programmacode
Regulier]],Programma!$F$4:$Y$36148,11,0),"_")</f>
        <v>5w</v>
      </c>
      <c r="AT29" s="248" t="str">
        <f>_xlfn.IFNA(VLOOKUP(Ruimtestaat[[#This Row],[Programmacode
Regulier]],Programma!$F$4:$Y$36148,12,0),"_")</f>
        <v>1w</v>
      </c>
      <c r="AU29" s="248" t="str">
        <f>_xlfn.IFNA(VLOOKUP(Ruimtestaat[[#This Row],[Programmacode
Regulier]],Programma!$F$4:$Y$36148,13,0),"_")</f>
        <v>1w</v>
      </c>
      <c r="AV29" s="248" t="str">
        <f>_xlfn.IFNA(VLOOKUP(Ruimtestaat[[#This Row],[Programmacode
Regulier]],Programma!$F$4:$Y$36148,14,0),"_")</f>
        <v>1m</v>
      </c>
      <c r="AW29" s="248" t="str">
        <f>_xlfn.IFNA(VLOOKUP(Ruimtestaat[[#This Row],[Programmacode
Regulier]],Programma!$F$4:$Y$36148,15,0),"_")</f>
        <v>2j</v>
      </c>
      <c r="AX29" s="248" t="str">
        <f>_xlfn.IFNA(VLOOKUP(Ruimtestaat[[#This Row],[Programmacode
Regulier]],Programma!$F$4:$Y$36148,16,0),"_")</f>
        <v>1j</v>
      </c>
      <c r="AY29" s="248" t="str">
        <f>_xlfn.IFNA(VLOOKUP(Ruimtestaat[[#This Row],[Programmacode
Regulier]],Programma!$F$4:$Y$36148,17,0),"_")</f>
        <v>_</v>
      </c>
      <c r="AZ29" s="249" t="str">
        <f>_xlfn.IFNA(VLOOKUP(Ruimtestaat[[#This Row],[Programmacode
Regulier]],Programma!$F$4:$Y$36148,18,0),"_")</f>
        <v>_</v>
      </c>
      <c r="BA29" s="249" t="str">
        <f>_xlfn.IFNA(VLOOKUP(Ruimtestaat[[#This Row],[Programmacode
Regulier]],Programma!$F$4:$Y$36148,19,0),"_")</f>
        <v>_</v>
      </c>
      <c r="BB29" s="249" t="str">
        <f>_xlfn.IFNA(VLOOKUP(Ruimtestaat[[#This Row],[Programmacode
Regulier]],Programma!$F$4:$Y$36148,20,0),"_")</f>
        <v>_</v>
      </c>
      <c r="BC29" s="250"/>
      <c r="BD29" s="212" t="str">
        <f>IF(Ruimtestaat[[#This Row],[Frequentie weekend]]="","",_xlfn.CONCAT(Ruimtestaat[[#This Row],[Ruimte code]],"-",Ruimtestaat[[#This Row],[Frequentie weekend]]," ",Ruimtestaat[[#This Row],[Vloer code]]))</f>
        <v/>
      </c>
      <c r="BE29" s="247" t="str">
        <f>_xlfn.IFNA(VLOOKUP(Ruimtestaat[[#This Row],[Code Weekend]],Programma!$F$4:$Y$36148,2,0),"_")</f>
        <v>_</v>
      </c>
      <c r="BF29" s="247" t="str">
        <f>_xlfn.IFNA(VLOOKUP(Ruimtestaat[[#This Row],[Code Weekend]],Programma!$F$4:$Y$36148,3,0),"_")</f>
        <v>_</v>
      </c>
      <c r="BG29" s="247" t="str">
        <f>_xlfn.IFNA(VLOOKUP(Ruimtestaat[[#This Row],[Code Weekend]],Programma!$F$4:$Y$36148,4,0),"_")</f>
        <v>_</v>
      </c>
      <c r="BH29" s="247" t="str">
        <f>_xlfn.IFNA(VLOOKUP(Ruimtestaat[[#This Row],[Code Weekend]],Programma!$F$4:$Y$36148,5,0),"_")</f>
        <v>_</v>
      </c>
      <c r="BI29" s="247" t="str">
        <f>_xlfn.IFNA(VLOOKUP(Ruimtestaat[[#This Row],[Code Weekend]],Programma!$F$4:$Y$36148,6,0),"_")</f>
        <v>_</v>
      </c>
      <c r="BJ29" s="247" t="str">
        <f>_xlfn.IFNA(VLOOKUP(Ruimtestaat[[#This Row],[Code Weekend]],Programma!$F$4:$Y$36148,7,0),"_")</f>
        <v>_</v>
      </c>
      <c r="BK29" s="247" t="str">
        <f>_xlfn.IFNA(VLOOKUP(Ruimtestaat[[#This Row],[Code Weekend]],Programma!$F$4:$Y$36148,8,0),"_")</f>
        <v>_</v>
      </c>
      <c r="BL29" s="247" t="str">
        <f>_xlfn.IFNA(VLOOKUP(Ruimtestaat[[#This Row],[Code Weekend]],Programma!$F$4:$Y$36148,9,0),"_")</f>
        <v>_</v>
      </c>
      <c r="BM29" s="248" t="str">
        <f>_xlfn.IFNA(VLOOKUP(Ruimtestaat[[#This Row],[Code Weekend]],Programma!$F$4:$Y$36148,10,0),"_")</f>
        <v>_</v>
      </c>
      <c r="BN29" s="248" t="str">
        <f>_xlfn.IFNA(VLOOKUP(Ruimtestaat[[#This Row],[Code Weekend]],Programma!$F$4:$Y$36148,11,0),"_")</f>
        <v>_</v>
      </c>
      <c r="BO29" s="248" t="str">
        <f>_xlfn.IFNA(VLOOKUP(Ruimtestaat[[#This Row],[Code Weekend]],Programma!$F$4:$Y$36148,12,0),"_")</f>
        <v>_</v>
      </c>
      <c r="BP29" s="248" t="str">
        <f>_xlfn.IFNA(VLOOKUP(Ruimtestaat[[#This Row],[Code Weekend]],Programma!$F$4:$Y$36148,13,0),"_")</f>
        <v>_</v>
      </c>
      <c r="BQ29" s="248" t="str">
        <f>_xlfn.IFNA(VLOOKUP(Ruimtestaat[[#This Row],[Code Weekend]],Programma!$F$4:$Y$36148,14,0),"_")</f>
        <v>_</v>
      </c>
      <c r="BR29" s="248" t="str">
        <f>_xlfn.IFNA(VLOOKUP(Ruimtestaat[[#This Row],[Code Weekend]],Programma!$F$4:$Y$36148,15,0),"_")</f>
        <v>_</v>
      </c>
      <c r="BS29" s="248" t="str">
        <f>_xlfn.IFNA(VLOOKUP(Ruimtestaat[[#This Row],[Code Weekend]],Programma!$F$4:$Y$36148,16,0),"_")</f>
        <v>_</v>
      </c>
      <c r="BT29" s="248" t="str">
        <f>_xlfn.IFNA(VLOOKUP(Ruimtestaat[[#This Row],[Code Weekend]],Programma!$F$4:$Y$36148,17,0),"_")</f>
        <v>_</v>
      </c>
      <c r="BU29" s="249" t="str">
        <f>_xlfn.IFNA(VLOOKUP(Ruimtestaat[[#This Row],[Code Weekend]],Programma!$F$4:$Y$36148,18,0),"_")</f>
        <v>_</v>
      </c>
      <c r="BV29" s="249" t="str">
        <f>_xlfn.IFNA(VLOOKUP(Ruimtestaat[[#This Row],[Code Weekend]],Programma!$F$4:$Y$36148,19,0),"_")</f>
        <v>_</v>
      </c>
      <c r="BW29" s="249" t="str">
        <f>_xlfn.IFNA(VLOOKUP(Ruimtestaat[[#This Row],[Code Weekend]],Programma!$F$4:$Y$36148,20,0),"_")</f>
        <v>_</v>
      </c>
      <c r="BX29" s="91"/>
      <c r="BY29" s="91"/>
      <c r="BZ29" s="91"/>
      <c r="CA29" s="91"/>
      <c r="CB29" s="91"/>
      <c r="CC29" s="91"/>
      <c r="CD29" s="91"/>
      <c r="CE29" s="91"/>
      <c r="CF29" s="91"/>
      <c r="CG29" s="91"/>
      <c r="CH29" s="91"/>
      <c r="CI29" s="91"/>
      <c r="CJ29" s="91"/>
      <c r="CK29" s="91"/>
      <c r="CL29" s="91"/>
      <c r="CM29" s="91"/>
      <c r="CN29" s="91"/>
      <c r="CO29" s="91"/>
      <c r="CP29" s="91"/>
      <c r="CQ29" s="91"/>
      <c r="CR29" s="91"/>
      <c r="CS29" s="91"/>
      <c r="CT29" s="91"/>
      <c r="CU29" s="91"/>
      <c r="CV29" s="91"/>
      <c r="CW29" s="91"/>
      <c r="CX29" s="91"/>
      <c r="CY29" s="91"/>
      <c r="CZ29" s="91"/>
      <c r="DA29" s="91"/>
      <c r="DB29" s="91"/>
      <c r="DC29" s="91"/>
      <c r="DD29" s="91"/>
      <c r="DE29" s="91"/>
      <c r="DF29" s="91"/>
      <c r="DG29" s="91"/>
      <c r="DH29" s="91"/>
      <c r="DI29" s="91"/>
      <c r="DJ29" s="91"/>
      <c r="DK29" s="91"/>
      <c r="DL29" s="91"/>
      <c r="DM29" s="91"/>
      <c r="DN29" s="91"/>
      <c r="DO29" s="91"/>
      <c r="DP29" s="91"/>
      <c r="DQ29" s="91"/>
      <c r="DR29" s="91"/>
      <c r="DS29" s="91"/>
      <c r="DT29" s="91"/>
      <c r="DU29" s="91"/>
      <c r="DV29" s="91"/>
      <c r="DW29" s="91"/>
      <c r="DX29" s="91"/>
      <c r="DY29" s="91"/>
      <c r="DZ29" s="91"/>
      <c r="EA29" s="91"/>
      <c r="EB29" s="91"/>
      <c r="EC29" s="91"/>
      <c r="ED29" s="91"/>
      <c r="EE29" s="91"/>
      <c r="EF29" s="91"/>
      <c r="EG29" s="91"/>
      <c r="EH29" s="91"/>
      <c r="EI29" s="91"/>
      <c r="EJ29" s="91"/>
      <c r="EK29" s="91"/>
      <c r="EL29" s="91"/>
      <c r="EM29" s="91"/>
      <c r="EN29" s="91"/>
      <c r="EO29" s="91"/>
      <c r="EP29" s="91"/>
      <c r="EQ29" s="91"/>
      <c r="ER29" s="91"/>
      <c r="ES29" s="91"/>
      <c r="ET29" s="91"/>
      <c r="EU29" s="91"/>
      <c r="EV29" s="91"/>
      <c r="EW29" s="91"/>
      <c r="EX29" s="91"/>
      <c r="EY29" s="91"/>
      <c r="EZ29" s="91"/>
      <c r="FA29" s="91"/>
      <c r="FB29" s="91"/>
      <c r="FC29" s="91"/>
      <c r="FD29" s="91"/>
      <c r="FE29" s="91"/>
      <c r="FF29" s="91"/>
      <c r="FG29" s="91"/>
      <c r="FH29" s="91"/>
      <c r="FI29" s="91"/>
      <c r="FJ29" s="91"/>
      <c r="FK29" s="91"/>
      <c r="FL29" s="91"/>
      <c r="FM29" s="91"/>
      <c r="FN29" s="91"/>
      <c r="FO29" s="91"/>
      <c r="FP29" s="91"/>
      <c r="FQ29" s="91"/>
      <c r="FR29" s="91"/>
      <c r="FS29" s="91"/>
      <c r="FT29" s="91"/>
      <c r="FU29" s="91"/>
      <c r="FV29" s="91"/>
      <c r="FW29" s="91"/>
      <c r="FX29" s="91"/>
      <c r="FY29" s="91"/>
      <c r="FZ29" s="91"/>
      <c r="GA29" s="91"/>
      <c r="GB29" s="91"/>
      <c r="GC29" s="91"/>
      <c r="GD29" s="91"/>
      <c r="GE29" s="91"/>
      <c r="GF29" s="91"/>
      <c r="GG29" s="91"/>
      <c r="GH29" s="91"/>
      <c r="GI29" s="91"/>
      <c r="GJ29" s="91"/>
      <c r="GK29" s="91"/>
      <c r="GL29" s="91"/>
      <c r="GM29" s="91"/>
      <c r="GN29" s="91"/>
      <c r="GO29" s="91"/>
      <c r="GP29" s="91"/>
      <c r="GQ29" s="91"/>
      <c r="GR29" s="91"/>
      <c r="GS29" s="91"/>
      <c r="GT29" s="91"/>
      <c r="GU29" s="91"/>
      <c r="GV29" s="91"/>
      <c r="GW29" s="91"/>
      <c r="GX29" s="91"/>
      <c r="GY29" s="91"/>
      <c r="GZ29" s="91"/>
      <c r="HA29" s="91"/>
      <c r="HB29" s="91"/>
      <c r="HC29" s="91"/>
      <c r="HD29" s="91"/>
      <c r="HE29" s="91"/>
      <c r="HF29" s="91"/>
      <c r="HG29" s="91"/>
      <c r="HH29" s="91"/>
      <c r="HI29" s="91"/>
      <c r="HJ29" s="91"/>
      <c r="HK29" s="91"/>
    </row>
    <row r="30" spans="1:219" s="8" customFormat="1" ht="12.75" customHeight="1">
      <c r="A30" s="131">
        <v>1</v>
      </c>
      <c r="B30" s="22" t="str">
        <f>VLOOKUP(Ruimtestaat[[#This Row],[Code]],Locaties[#All],2,FALSE)</f>
        <v>ESH Secondary School</v>
      </c>
      <c r="C30" s="22" t="str">
        <f>VLOOKUP(Ruimtestaat[[#This Row],[Code]],Locaties[#All],4,FALSE)</f>
        <v>Oostduinlaan 50</v>
      </c>
      <c r="D30" s="334" t="str">
        <f>VLOOKUP(Ruimtestaat[[#This Row],[Code]],Locaties[#All],5,FALSE)</f>
        <v>2596 JP</v>
      </c>
      <c r="E30" s="334" t="str">
        <f>VLOOKUP(Ruimtestaat[[#This Row],[Code]],Locaties[#All],6,FALSE)</f>
        <v>Den Haag</v>
      </c>
      <c r="F30" s="326"/>
      <c r="G30" s="324" t="s">
        <v>1610</v>
      </c>
      <c r="H30" s="324" t="s">
        <v>1597</v>
      </c>
      <c r="I30" s="327" t="s">
        <v>1618</v>
      </c>
      <c r="J30" s="328">
        <v>7</v>
      </c>
      <c r="K30" s="348" t="str">
        <f>VLOOKUP(J30,Ruimtegroepen[],2,FALSE)</f>
        <v>Entree</v>
      </c>
      <c r="L30" s="212" t="s">
        <v>123</v>
      </c>
      <c r="M30" s="334" t="s">
        <v>144</v>
      </c>
      <c r="N30" s="330">
        <v>10</v>
      </c>
      <c r="O30" s="331"/>
      <c r="P30" s="332" t="str">
        <f>VLOOKUP(Ruimtestaat[[#This Row],[Ruimte code]],Ruimtegroepen[],4,FALSE)</f>
        <v>V  (Verkeersruimte)</v>
      </c>
      <c r="Q30" s="332"/>
      <c r="R30" s="333">
        <v>40</v>
      </c>
      <c r="S30" s="333" t="s">
        <v>2</v>
      </c>
      <c r="T30" s="37"/>
      <c r="U30" s="37">
        <f>IF(R30&gt;0,IF(RIGHT(Ruimtestaat[[#This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0" s="37">
        <f>IF(U30&gt;0,VLOOKUP($J30,Ruimtegroepen[],3,FALSE)*VLOOKUP($L30,Vloersoorten[],3,FALSE)*VLOOKUP($S30,Frequenties[],3,FALSE)*VLOOKUP($A30,Locaties[],3,FALSE),0)</f>
        <v>0</v>
      </c>
      <c r="W30" s="37">
        <f>Ruimtestaat[[#This Row],[Uitvoeringen werkdagen]]*Ruimtestaat[[#This Row],[Oppervlak (netto)]]</f>
        <v>2000</v>
      </c>
      <c r="X30" s="37">
        <f>IF(V30&gt;0,Ruimtestaat[[#This Row],[Prest. (m2 /jaar) werkdagen]]/Ruimtestaat[[#This Row],[Norm (m2/uur) werkdagen]],0)</f>
        <v>0</v>
      </c>
      <c r="Y30" s="37">
        <f>Ruimtestaat[[#This Row],[uren / jaar werkdagen]]*Tariefsopbouw!$D$38</f>
        <v>0</v>
      </c>
      <c r="Z30" s="37">
        <f>IF(Ruimtestaat[[#This Row],[Frequentie weekend]]&gt;0,VALUE(LEFT(T30,1))*R30,0)</f>
        <v>0</v>
      </c>
      <c r="AA30" s="37">
        <f>IF($Z30&gt;0,VLOOKUP($J30,Ruimtegroepen[],3,FALSE)*VLOOKUP($L30,Vloersoorten[],3,FALSE)*VLOOKUP($T30,Frequenties[],3,FALSE)*VLOOKUP($A30,Locaties[],3,FALSE),0)</f>
        <v>0</v>
      </c>
      <c r="AB30" s="37">
        <f>Ruimtestaat[[#This Row],[Uitvoeringen weekend]]*Ruimtestaat[[#This Row],[Oppervlak (netto)]]</f>
        <v>0</v>
      </c>
      <c r="AC30" s="37">
        <f>IF(AA30&gt;0,Ruimtestaat[[#This Row],[Prest. (m2 /jaar) weekend]]/Ruimtestaat[[#This Row],[Norm (m2/uur) weekend]],0)</f>
        <v>0</v>
      </c>
      <c r="AD30" s="37">
        <f>Ruimtestaat[[#This Row],[uren / jaar weekend]]*Tariefsopbouw!$D$40</f>
        <v>0</v>
      </c>
      <c r="AE30" s="89">
        <f>Ruimtestaat[[#This Row],[Prest. (m2 /jaar) weekend]]+Ruimtestaat[[#This Row],[Prest. (m2 /jaar) werkdagen]]</f>
        <v>2000</v>
      </c>
      <c r="AF30" s="89">
        <f>Ruimtestaat[[#This Row],[uren / jaar weekend]]+Ruimtestaat[[#This Row],[uren / jaar werkdagen]]</f>
        <v>0</v>
      </c>
      <c r="AG30" s="90">
        <f>Ruimtestaat[[#This Row],[kosten / jaar weekend]]+Ruimtestaat[[#This Row],[kosten / jaar werkdagen]]</f>
        <v>0</v>
      </c>
      <c r="AH30" s="253"/>
      <c r="AI30" s="252" t="str">
        <f>IF(Ruimtestaat[[#This Row],[Frequentie werkdagen]]="","",_xlfn.CONCAT(Ruimtestaat[[#This Row],[Ruimte code]],"-",Ruimtestaat[[#This Row],[Frequentie werkdagen]]," ",Ruimtestaat[[#This Row],[Vloer code]]))</f>
        <v>7-5w P</v>
      </c>
      <c r="AJ30" s="247" t="str">
        <f>_xlfn.IFNA(VLOOKUP(Ruimtestaat[[#This Row],[Programmacode
Regulier]],Programma!$F$4:$Y$36148,2,0),"_")</f>
        <v>_</v>
      </c>
      <c r="AK30" s="247" t="str">
        <f>_xlfn.IFNA(VLOOKUP(Ruimtestaat[[#This Row],[Programmacode
Regulier]],Programma!$F$4:$Y$36148,3,0),"_")</f>
        <v>_</v>
      </c>
      <c r="AL30" s="247" t="str">
        <f>_xlfn.IFNA(VLOOKUP(Ruimtestaat[[#This Row],[Programmacode
Regulier]],Programma!$F$4:$Y$36148,4,0),"_")</f>
        <v>5w</v>
      </c>
      <c r="AM30" s="247" t="str">
        <f>_xlfn.IFNA(VLOOKUP(Ruimtestaat[[#This Row],[Programmacode
Regulier]],Programma!$F$4:$Y$36148,5,0),"_")</f>
        <v>_</v>
      </c>
      <c r="AN30" s="247" t="str">
        <f>_xlfn.IFNA(VLOOKUP(Ruimtestaat[[#This Row],[Programmacode
Regulier]],Programma!$F$4:$Y$36148,6,0),"_")</f>
        <v>5w</v>
      </c>
      <c r="AO30" s="247" t="str">
        <f>_xlfn.IFNA(VLOOKUP(Ruimtestaat[[#This Row],[Programmacode
Regulier]],Programma!$F$4:$Y$36148,7,0),"_")</f>
        <v>_</v>
      </c>
      <c r="AP30" s="247" t="str">
        <f>_xlfn.IFNA(VLOOKUP(Ruimtestaat[[#This Row],[Programmacode
Regulier]],Programma!$F$4:$Y$36148,8,0),"_")</f>
        <v>_</v>
      </c>
      <c r="AQ30" s="247" t="str">
        <f>_xlfn.IFNA(VLOOKUP(Ruimtestaat[[#This Row],[Programmacode
Regulier]],Programma!$F$4:$Y$36148,9,0),"_")</f>
        <v>_</v>
      </c>
      <c r="AR30" s="248" t="str">
        <f>_xlfn.IFNA(VLOOKUP(Ruimtestaat[[#This Row],[Programmacode
Regulier]],Programma!$F$4:$Y$36148,10,0),"_")</f>
        <v>5w</v>
      </c>
      <c r="AS30" s="248" t="str">
        <f>_xlfn.IFNA(VLOOKUP(Ruimtestaat[[#This Row],[Programmacode
Regulier]],Programma!$F$4:$Y$36148,11,0),"_")</f>
        <v>5w</v>
      </c>
      <c r="AT30" s="248" t="str">
        <f>_xlfn.IFNA(VLOOKUP(Ruimtestaat[[#This Row],[Programmacode
Regulier]],Programma!$F$4:$Y$36148,12,0),"_")</f>
        <v>1w</v>
      </c>
      <c r="AU30" s="248" t="str">
        <f>_xlfn.IFNA(VLOOKUP(Ruimtestaat[[#This Row],[Programmacode
Regulier]],Programma!$F$4:$Y$36148,13,0),"_")</f>
        <v>1w</v>
      </c>
      <c r="AV30" s="248" t="str">
        <f>_xlfn.IFNA(VLOOKUP(Ruimtestaat[[#This Row],[Programmacode
Regulier]],Programma!$F$4:$Y$36148,14,0),"_")</f>
        <v>1m</v>
      </c>
      <c r="AW30" s="248" t="str">
        <f>_xlfn.IFNA(VLOOKUP(Ruimtestaat[[#This Row],[Programmacode
Regulier]],Programma!$F$4:$Y$36148,15,0),"_")</f>
        <v>2j</v>
      </c>
      <c r="AX30" s="248" t="str">
        <f>_xlfn.IFNA(VLOOKUP(Ruimtestaat[[#This Row],[Programmacode
Regulier]],Programma!$F$4:$Y$36148,16,0),"_")</f>
        <v>1j</v>
      </c>
      <c r="AY30" s="248" t="str">
        <f>_xlfn.IFNA(VLOOKUP(Ruimtestaat[[#This Row],[Programmacode
Regulier]],Programma!$F$4:$Y$36148,17,0),"_")</f>
        <v>_</v>
      </c>
      <c r="AZ30" s="249" t="str">
        <f>_xlfn.IFNA(VLOOKUP(Ruimtestaat[[#This Row],[Programmacode
Regulier]],Programma!$F$4:$Y$36148,18,0),"_")</f>
        <v>_</v>
      </c>
      <c r="BA30" s="249" t="str">
        <f>_xlfn.IFNA(VLOOKUP(Ruimtestaat[[#This Row],[Programmacode
Regulier]],Programma!$F$4:$Y$36148,19,0),"_")</f>
        <v>_</v>
      </c>
      <c r="BB30" s="249" t="str">
        <f>_xlfn.IFNA(VLOOKUP(Ruimtestaat[[#This Row],[Programmacode
Regulier]],Programma!$F$4:$Y$36148,20,0),"_")</f>
        <v>_</v>
      </c>
      <c r="BC30" s="250"/>
      <c r="BD30" s="212" t="str">
        <f>IF(Ruimtestaat[[#This Row],[Frequentie weekend]]="","",_xlfn.CONCAT(Ruimtestaat[[#This Row],[Ruimte code]],"-",Ruimtestaat[[#This Row],[Frequentie weekend]]," ",Ruimtestaat[[#This Row],[Vloer code]]))</f>
        <v/>
      </c>
      <c r="BE30" s="247" t="str">
        <f>_xlfn.IFNA(VLOOKUP(Ruimtestaat[[#This Row],[Code Weekend]],Programma!$F$4:$Y$36148,2,0),"_")</f>
        <v>_</v>
      </c>
      <c r="BF30" s="247" t="str">
        <f>_xlfn.IFNA(VLOOKUP(Ruimtestaat[[#This Row],[Code Weekend]],Programma!$F$4:$Y$36148,3,0),"_")</f>
        <v>_</v>
      </c>
      <c r="BG30" s="247" t="str">
        <f>_xlfn.IFNA(VLOOKUP(Ruimtestaat[[#This Row],[Code Weekend]],Programma!$F$4:$Y$36148,4,0),"_")</f>
        <v>_</v>
      </c>
      <c r="BH30" s="247" t="str">
        <f>_xlfn.IFNA(VLOOKUP(Ruimtestaat[[#This Row],[Code Weekend]],Programma!$F$4:$Y$36148,5,0),"_")</f>
        <v>_</v>
      </c>
      <c r="BI30" s="247" t="str">
        <f>_xlfn.IFNA(VLOOKUP(Ruimtestaat[[#This Row],[Code Weekend]],Programma!$F$4:$Y$36148,6,0),"_")</f>
        <v>_</v>
      </c>
      <c r="BJ30" s="247" t="str">
        <f>_xlfn.IFNA(VLOOKUP(Ruimtestaat[[#This Row],[Code Weekend]],Programma!$F$4:$Y$36148,7,0),"_")</f>
        <v>_</v>
      </c>
      <c r="BK30" s="247" t="str">
        <f>_xlfn.IFNA(VLOOKUP(Ruimtestaat[[#This Row],[Code Weekend]],Programma!$F$4:$Y$36148,8,0),"_")</f>
        <v>_</v>
      </c>
      <c r="BL30" s="247" t="str">
        <f>_xlfn.IFNA(VLOOKUP(Ruimtestaat[[#This Row],[Code Weekend]],Programma!$F$4:$Y$36148,9,0),"_")</f>
        <v>_</v>
      </c>
      <c r="BM30" s="248" t="str">
        <f>_xlfn.IFNA(VLOOKUP(Ruimtestaat[[#This Row],[Code Weekend]],Programma!$F$4:$Y$36148,10,0),"_")</f>
        <v>_</v>
      </c>
      <c r="BN30" s="248" t="str">
        <f>_xlfn.IFNA(VLOOKUP(Ruimtestaat[[#This Row],[Code Weekend]],Programma!$F$4:$Y$36148,11,0),"_")</f>
        <v>_</v>
      </c>
      <c r="BO30" s="248" t="str">
        <f>_xlfn.IFNA(VLOOKUP(Ruimtestaat[[#This Row],[Code Weekend]],Programma!$F$4:$Y$36148,12,0),"_")</f>
        <v>_</v>
      </c>
      <c r="BP30" s="248" t="str">
        <f>_xlfn.IFNA(VLOOKUP(Ruimtestaat[[#This Row],[Code Weekend]],Programma!$F$4:$Y$36148,13,0),"_")</f>
        <v>_</v>
      </c>
      <c r="BQ30" s="248" t="str">
        <f>_xlfn.IFNA(VLOOKUP(Ruimtestaat[[#This Row],[Code Weekend]],Programma!$F$4:$Y$36148,14,0),"_")</f>
        <v>_</v>
      </c>
      <c r="BR30" s="248" t="str">
        <f>_xlfn.IFNA(VLOOKUP(Ruimtestaat[[#This Row],[Code Weekend]],Programma!$F$4:$Y$36148,15,0),"_")</f>
        <v>_</v>
      </c>
      <c r="BS30" s="248" t="str">
        <f>_xlfn.IFNA(VLOOKUP(Ruimtestaat[[#This Row],[Code Weekend]],Programma!$F$4:$Y$36148,16,0),"_")</f>
        <v>_</v>
      </c>
      <c r="BT30" s="248" t="str">
        <f>_xlfn.IFNA(VLOOKUP(Ruimtestaat[[#This Row],[Code Weekend]],Programma!$F$4:$Y$36148,17,0),"_")</f>
        <v>_</v>
      </c>
      <c r="BU30" s="249" t="str">
        <f>_xlfn.IFNA(VLOOKUP(Ruimtestaat[[#This Row],[Code Weekend]],Programma!$F$4:$Y$36148,18,0),"_")</f>
        <v>_</v>
      </c>
      <c r="BV30" s="249" t="str">
        <f>_xlfn.IFNA(VLOOKUP(Ruimtestaat[[#This Row],[Code Weekend]],Programma!$F$4:$Y$36148,19,0),"_")</f>
        <v>_</v>
      </c>
      <c r="BW30" s="249" t="str">
        <f>_xlfn.IFNA(VLOOKUP(Ruimtestaat[[#This Row],[Code Weekend]],Programma!$F$4:$Y$36148,20,0),"_")</f>
        <v>_</v>
      </c>
      <c r="BX30" s="91"/>
      <c r="BY30" s="91"/>
      <c r="BZ30" s="91"/>
      <c r="CA30" s="91"/>
      <c r="CB30" s="91"/>
      <c r="CC30" s="91"/>
      <c r="CD30" s="91"/>
      <c r="CE30" s="91"/>
      <c r="CF30" s="91"/>
      <c r="CG30" s="91"/>
      <c r="CH30" s="91"/>
      <c r="CI30" s="91"/>
      <c r="CJ30" s="91"/>
      <c r="CK30" s="91"/>
      <c r="CL30" s="91"/>
      <c r="CM30" s="91"/>
      <c r="CN30" s="91"/>
      <c r="CO30" s="91"/>
      <c r="CP30" s="91"/>
      <c r="CQ30" s="91"/>
      <c r="CR30" s="91"/>
      <c r="CS30" s="91"/>
      <c r="CT30" s="91"/>
      <c r="CU30" s="91"/>
      <c r="CV30" s="91"/>
      <c r="CW30" s="91"/>
      <c r="CX30" s="91"/>
      <c r="CY30" s="91"/>
      <c r="CZ30" s="91"/>
      <c r="DA30" s="91"/>
      <c r="DB30" s="91"/>
      <c r="DC30" s="91"/>
      <c r="DD30" s="91"/>
      <c r="DE30" s="91"/>
      <c r="DF30" s="91"/>
      <c r="DG30" s="91"/>
      <c r="DH30" s="91"/>
      <c r="DI30" s="91"/>
      <c r="DJ30" s="91"/>
      <c r="DK30" s="91"/>
      <c r="DL30" s="91"/>
      <c r="DM30" s="91"/>
      <c r="DN30" s="91"/>
      <c r="DO30" s="91"/>
      <c r="DP30" s="91"/>
      <c r="DQ30" s="91"/>
      <c r="DR30" s="91"/>
      <c r="DS30" s="91"/>
      <c r="DT30" s="91"/>
      <c r="DU30" s="91"/>
      <c r="DV30" s="91"/>
      <c r="DW30" s="91"/>
      <c r="DX30" s="91"/>
      <c r="DY30" s="91"/>
      <c r="DZ30" s="91"/>
      <c r="EA30" s="91"/>
      <c r="EB30" s="91"/>
      <c r="EC30" s="91"/>
      <c r="ED30" s="91"/>
      <c r="EE30" s="91"/>
      <c r="EF30" s="91"/>
      <c r="EG30" s="91"/>
      <c r="EH30" s="91"/>
      <c r="EI30" s="91"/>
      <c r="EJ30" s="91"/>
      <c r="EK30" s="91"/>
      <c r="EL30" s="91"/>
      <c r="EM30" s="91"/>
      <c r="EN30" s="91"/>
      <c r="EO30" s="91"/>
      <c r="EP30" s="91"/>
      <c r="EQ30" s="91"/>
      <c r="ER30" s="91"/>
      <c r="ES30" s="91"/>
      <c r="ET30" s="91"/>
      <c r="EU30" s="91"/>
      <c r="EV30" s="91"/>
      <c r="EW30" s="91"/>
      <c r="EX30" s="91"/>
      <c r="EY30" s="91"/>
      <c r="EZ30" s="91"/>
      <c r="FA30" s="91"/>
      <c r="FB30" s="91"/>
      <c r="FC30" s="91"/>
      <c r="FD30" s="91"/>
      <c r="FE30" s="91"/>
      <c r="FF30" s="91"/>
      <c r="FG30" s="91"/>
      <c r="FH30" s="91"/>
      <c r="FI30" s="91"/>
      <c r="FJ30" s="91"/>
      <c r="FK30" s="91"/>
      <c r="FL30" s="91"/>
      <c r="FM30" s="91"/>
      <c r="FN30" s="91"/>
      <c r="FO30" s="91"/>
      <c r="FP30" s="91"/>
      <c r="FQ30" s="91"/>
      <c r="FR30" s="91"/>
      <c r="FS30" s="91"/>
      <c r="FT30" s="91"/>
      <c r="FU30" s="91"/>
      <c r="FV30" s="91"/>
      <c r="FW30" s="91"/>
      <c r="FX30" s="91"/>
      <c r="FY30" s="91"/>
      <c r="FZ30" s="91"/>
      <c r="GA30" s="91"/>
      <c r="GB30" s="91"/>
      <c r="GC30" s="91"/>
      <c r="GD30" s="91"/>
      <c r="GE30" s="91"/>
      <c r="GF30" s="91"/>
      <c r="GG30" s="91"/>
      <c r="GH30" s="91"/>
      <c r="GI30" s="91"/>
      <c r="GJ30" s="91"/>
      <c r="GK30" s="91"/>
      <c r="GL30" s="91"/>
      <c r="GM30" s="91"/>
      <c r="GN30" s="91"/>
      <c r="GO30" s="91"/>
      <c r="GP30" s="91"/>
      <c r="GQ30" s="91"/>
      <c r="GR30" s="91"/>
      <c r="GS30" s="91"/>
      <c r="GT30" s="91"/>
      <c r="GU30" s="91"/>
      <c r="GV30" s="91"/>
      <c r="GW30" s="91"/>
      <c r="GX30" s="91"/>
      <c r="GY30" s="91"/>
      <c r="GZ30" s="91"/>
      <c r="HA30" s="91"/>
      <c r="HB30" s="91"/>
      <c r="HC30" s="91"/>
      <c r="HD30" s="91"/>
      <c r="HE30" s="91"/>
      <c r="HF30" s="91"/>
      <c r="HG30" s="91"/>
      <c r="HH30" s="91"/>
      <c r="HI30" s="91"/>
      <c r="HJ30" s="91"/>
      <c r="HK30" s="91"/>
    </row>
    <row r="31" spans="1:219" s="8" customFormat="1" ht="12.75" customHeight="1">
      <c r="A31" s="131">
        <v>1</v>
      </c>
      <c r="B31" s="22" t="str">
        <f>VLOOKUP(Ruimtestaat[[#This Row],[Code]],Locaties[#All],2,FALSE)</f>
        <v>ESH Secondary School</v>
      </c>
      <c r="C31" s="22" t="str">
        <f>VLOOKUP(Ruimtestaat[[#This Row],[Code]],Locaties[#All],4,FALSE)</f>
        <v>Oostduinlaan 50</v>
      </c>
      <c r="D31" s="334" t="str">
        <f>VLOOKUP(Ruimtestaat[[#This Row],[Code]],Locaties[#All],5,FALSE)</f>
        <v>2596 JP</v>
      </c>
      <c r="E31" s="334" t="str">
        <f>VLOOKUP(Ruimtestaat[[#This Row],[Code]],Locaties[#All],6,FALSE)</f>
        <v>Den Haag</v>
      </c>
      <c r="F31" s="326"/>
      <c r="G31" s="324" t="s">
        <v>1610</v>
      </c>
      <c r="H31" s="324" t="s">
        <v>1598</v>
      </c>
      <c r="I31" s="296" t="s">
        <v>1762</v>
      </c>
      <c r="J31" s="328">
        <v>20</v>
      </c>
      <c r="K31" s="348" t="str">
        <f>VLOOKUP(J31,Ruimtegroepen[],2,FALSE)</f>
        <v>Receptie</v>
      </c>
      <c r="L31" s="212" t="s">
        <v>123</v>
      </c>
      <c r="M31" s="334" t="s">
        <v>144</v>
      </c>
      <c r="N31" s="330">
        <v>43</v>
      </c>
      <c r="O31" s="331"/>
      <c r="P31" s="332" t="str">
        <f>VLOOKUP(Ruimtestaat[[#This Row],[Ruimte code]],Ruimtegroepen[],4,FALSE)</f>
        <v>V  (Verkeersruimte)</v>
      </c>
      <c r="Q31" s="332"/>
      <c r="R31" s="333">
        <v>40</v>
      </c>
      <c r="S31" s="333" t="s">
        <v>2</v>
      </c>
      <c r="T31" s="37"/>
      <c r="U31" s="37">
        <f>IF(R31&gt;0,IF(RIGHT(Ruimtestaat[[#This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1" s="37">
        <f>IF(U31&gt;0,VLOOKUP($J31,Ruimtegroepen[],3,FALSE)*VLOOKUP($L31,Vloersoorten[],3,FALSE)*VLOOKUP($S31,Frequenties[],3,FALSE)*VLOOKUP($A31,Locaties[],3,FALSE),0)</f>
        <v>0</v>
      </c>
      <c r="W31" s="37">
        <f>Ruimtestaat[[#This Row],[Uitvoeringen werkdagen]]*Ruimtestaat[[#This Row],[Oppervlak (netto)]]</f>
        <v>8600</v>
      </c>
      <c r="X31" s="37">
        <f>IF(V31&gt;0,Ruimtestaat[[#This Row],[Prest. (m2 /jaar) werkdagen]]/Ruimtestaat[[#This Row],[Norm (m2/uur) werkdagen]],0)</f>
        <v>0</v>
      </c>
      <c r="Y31" s="37">
        <f>Ruimtestaat[[#This Row],[uren / jaar werkdagen]]*Tariefsopbouw!$D$38</f>
        <v>0</v>
      </c>
      <c r="Z31" s="37">
        <f>IF(Ruimtestaat[[#This Row],[Frequentie weekend]]&gt;0,VALUE(LEFT(T31,1))*R31,0)</f>
        <v>0</v>
      </c>
      <c r="AA31" s="37">
        <f>IF($Z31&gt;0,VLOOKUP($J31,Ruimtegroepen[],3,FALSE)*VLOOKUP($L31,Vloersoorten[],3,FALSE)*VLOOKUP($T31,Frequenties[],3,FALSE)*VLOOKUP($A31,Locaties[],3,FALSE),0)</f>
        <v>0</v>
      </c>
      <c r="AB31" s="37">
        <f>Ruimtestaat[[#This Row],[Uitvoeringen weekend]]*Ruimtestaat[[#This Row],[Oppervlak (netto)]]</f>
        <v>0</v>
      </c>
      <c r="AC31" s="37">
        <f>IF(AA31&gt;0,Ruimtestaat[[#This Row],[Prest. (m2 /jaar) weekend]]/Ruimtestaat[[#This Row],[Norm (m2/uur) weekend]],0)</f>
        <v>0</v>
      </c>
      <c r="AD31" s="37">
        <f>Ruimtestaat[[#This Row],[uren / jaar weekend]]*Tariefsopbouw!$D$40</f>
        <v>0</v>
      </c>
      <c r="AE31" s="89">
        <f>Ruimtestaat[[#This Row],[Prest. (m2 /jaar) weekend]]+Ruimtestaat[[#This Row],[Prest. (m2 /jaar) werkdagen]]</f>
        <v>8600</v>
      </c>
      <c r="AF31" s="89">
        <f>Ruimtestaat[[#This Row],[uren / jaar weekend]]+Ruimtestaat[[#This Row],[uren / jaar werkdagen]]</f>
        <v>0</v>
      </c>
      <c r="AG31" s="90">
        <f>Ruimtestaat[[#This Row],[kosten / jaar weekend]]+Ruimtestaat[[#This Row],[kosten / jaar werkdagen]]</f>
        <v>0</v>
      </c>
      <c r="AH31" s="253"/>
      <c r="AI31" s="252" t="str">
        <f>IF(Ruimtestaat[[#This Row],[Frequentie werkdagen]]="","",_xlfn.CONCAT(Ruimtestaat[[#This Row],[Ruimte code]],"-",Ruimtestaat[[#This Row],[Frequentie werkdagen]]," ",Ruimtestaat[[#This Row],[Vloer code]]))</f>
        <v>20-5w P</v>
      </c>
      <c r="AJ31" s="247" t="str">
        <f>_xlfn.IFNA(VLOOKUP(Ruimtestaat[[#This Row],[Programmacode
Regulier]],Programma!$F$4:$Y$36148,2,0),"_")</f>
        <v>_</v>
      </c>
      <c r="AK31" s="247" t="str">
        <f>_xlfn.IFNA(VLOOKUP(Ruimtestaat[[#This Row],[Programmacode
Regulier]],Programma!$F$4:$Y$36148,3,0),"_")</f>
        <v>_</v>
      </c>
      <c r="AL31" s="247" t="str">
        <f>_xlfn.IFNA(VLOOKUP(Ruimtestaat[[#This Row],[Programmacode
Regulier]],Programma!$F$4:$Y$36148,4,0),"_")</f>
        <v>_</v>
      </c>
      <c r="AM31" s="247" t="str">
        <f>_xlfn.IFNA(VLOOKUP(Ruimtestaat[[#This Row],[Programmacode
Regulier]],Programma!$F$4:$Y$36148,5,0),"_")</f>
        <v>_</v>
      </c>
      <c r="AN31" s="247" t="str">
        <f>_xlfn.IFNA(VLOOKUP(Ruimtestaat[[#This Row],[Programmacode
Regulier]],Programma!$F$4:$Y$36148,6,0),"_")</f>
        <v>_</v>
      </c>
      <c r="AO31" s="247" t="str">
        <f>_xlfn.IFNA(VLOOKUP(Ruimtestaat[[#This Row],[Programmacode
Regulier]],Programma!$F$4:$Y$36148,7,0),"_")</f>
        <v>_</v>
      </c>
      <c r="AP31" s="247" t="str">
        <f>_xlfn.IFNA(VLOOKUP(Ruimtestaat[[#This Row],[Programmacode
Regulier]],Programma!$F$4:$Y$36148,8,0),"_")</f>
        <v>_</v>
      </c>
      <c r="AQ31" s="247" t="str">
        <f>_xlfn.IFNA(VLOOKUP(Ruimtestaat[[#This Row],[Programmacode
Regulier]],Programma!$F$4:$Y$36148,9,0),"_")</f>
        <v>_</v>
      </c>
      <c r="AR31" s="248" t="str">
        <f>_xlfn.IFNA(VLOOKUP(Ruimtestaat[[#This Row],[Programmacode
Regulier]],Programma!$F$4:$Y$36148,10,0),"_")</f>
        <v>_</v>
      </c>
      <c r="AS31" s="248" t="str">
        <f>_xlfn.IFNA(VLOOKUP(Ruimtestaat[[#This Row],[Programmacode
Regulier]],Programma!$F$4:$Y$36148,11,0),"_")</f>
        <v>_</v>
      </c>
      <c r="AT31" s="248" t="str">
        <f>_xlfn.IFNA(VLOOKUP(Ruimtestaat[[#This Row],[Programmacode
Regulier]],Programma!$F$4:$Y$36148,12,0),"_")</f>
        <v>_</v>
      </c>
      <c r="AU31" s="248" t="str">
        <f>_xlfn.IFNA(VLOOKUP(Ruimtestaat[[#This Row],[Programmacode
Regulier]],Programma!$F$4:$Y$36148,13,0),"_")</f>
        <v>_</v>
      </c>
      <c r="AV31" s="248" t="str">
        <f>_xlfn.IFNA(VLOOKUP(Ruimtestaat[[#This Row],[Programmacode
Regulier]],Programma!$F$4:$Y$36148,14,0),"_")</f>
        <v>_</v>
      </c>
      <c r="AW31" s="248" t="str">
        <f>_xlfn.IFNA(VLOOKUP(Ruimtestaat[[#This Row],[Programmacode
Regulier]],Programma!$F$4:$Y$36148,15,0),"_")</f>
        <v>_</v>
      </c>
      <c r="AX31" s="248" t="str">
        <f>_xlfn.IFNA(VLOOKUP(Ruimtestaat[[#This Row],[Programmacode
Regulier]],Programma!$F$4:$Y$36148,16,0),"_")</f>
        <v>_</v>
      </c>
      <c r="AY31" s="248" t="str">
        <f>_xlfn.IFNA(VLOOKUP(Ruimtestaat[[#This Row],[Programmacode
Regulier]],Programma!$F$4:$Y$36148,17,0),"_")</f>
        <v>_</v>
      </c>
      <c r="AZ31" s="249" t="str">
        <f>_xlfn.IFNA(VLOOKUP(Ruimtestaat[[#This Row],[Programmacode
Regulier]],Programma!$F$4:$Y$36148,18,0),"_")</f>
        <v>_</v>
      </c>
      <c r="BA31" s="249" t="str">
        <f>_xlfn.IFNA(VLOOKUP(Ruimtestaat[[#This Row],[Programmacode
Regulier]],Programma!$F$4:$Y$36148,19,0),"_")</f>
        <v>_</v>
      </c>
      <c r="BB31" s="249" t="str">
        <f>_xlfn.IFNA(VLOOKUP(Ruimtestaat[[#This Row],[Programmacode
Regulier]],Programma!$F$4:$Y$36148,20,0),"_")</f>
        <v>_</v>
      </c>
      <c r="BC31" s="250"/>
      <c r="BD31" s="212" t="str">
        <f>IF(Ruimtestaat[[#This Row],[Frequentie weekend]]="","",_xlfn.CONCAT(Ruimtestaat[[#This Row],[Ruimte code]],"-",Ruimtestaat[[#This Row],[Frequentie weekend]]," ",Ruimtestaat[[#This Row],[Vloer code]]))</f>
        <v/>
      </c>
      <c r="BE31" s="247" t="str">
        <f>_xlfn.IFNA(VLOOKUP(Ruimtestaat[[#This Row],[Code Weekend]],Programma!$F$4:$Y$36148,2,0),"_")</f>
        <v>_</v>
      </c>
      <c r="BF31" s="247" t="str">
        <f>_xlfn.IFNA(VLOOKUP(Ruimtestaat[[#This Row],[Code Weekend]],Programma!$F$4:$Y$36148,3,0),"_")</f>
        <v>_</v>
      </c>
      <c r="BG31" s="247" t="str">
        <f>_xlfn.IFNA(VLOOKUP(Ruimtestaat[[#This Row],[Code Weekend]],Programma!$F$4:$Y$36148,4,0),"_")</f>
        <v>_</v>
      </c>
      <c r="BH31" s="247" t="str">
        <f>_xlfn.IFNA(VLOOKUP(Ruimtestaat[[#This Row],[Code Weekend]],Programma!$F$4:$Y$36148,5,0),"_")</f>
        <v>_</v>
      </c>
      <c r="BI31" s="247" t="str">
        <f>_xlfn.IFNA(VLOOKUP(Ruimtestaat[[#This Row],[Code Weekend]],Programma!$F$4:$Y$36148,6,0),"_")</f>
        <v>_</v>
      </c>
      <c r="BJ31" s="247" t="str">
        <f>_xlfn.IFNA(VLOOKUP(Ruimtestaat[[#This Row],[Code Weekend]],Programma!$F$4:$Y$36148,7,0),"_")</f>
        <v>_</v>
      </c>
      <c r="BK31" s="247" t="str">
        <f>_xlfn.IFNA(VLOOKUP(Ruimtestaat[[#This Row],[Code Weekend]],Programma!$F$4:$Y$36148,8,0),"_")</f>
        <v>_</v>
      </c>
      <c r="BL31" s="247" t="str">
        <f>_xlfn.IFNA(VLOOKUP(Ruimtestaat[[#This Row],[Code Weekend]],Programma!$F$4:$Y$36148,9,0),"_")</f>
        <v>_</v>
      </c>
      <c r="BM31" s="248" t="str">
        <f>_xlfn.IFNA(VLOOKUP(Ruimtestaat[[#This Row],[Code Weekend]],Programma!$F$4:$Y$36148,10,0),"_")</f>
        <v>_</v>
      </c>
      <c r="BN31" s="248" t="str">
        <f>_xlfn.IFNA(VLOOKUP(Ruimtestaat[[#This Row],[Code Weekend]],Programma!$F$4:$Y$36148,11,0),"_")</f>
        <v>_</v>
      </c>
      <c r="BO31" s="248" t="str">
        <f>_xlfn.IFNA(VLOOKUP(Ruimtestaat[[#This Row],[Code Weekend]],Programma!$F$4:$Y$36148,12,0),"_")</f>
        <v>_</v>
      </c>
      <c r="BP31" s="248" t="str">
        <f>_xlfn.IFNA(VLOOKUP(Ruimtestaat[[#This Row],[Code Weekend]],Programma!$F$4:$Y$36148,13,0),"_")</f>
        <v>_</v>
      </c>
      <c r="BQ31" s="248" t="str">
        <f>_xlfn.IFNA(VLOOKUP(Ruimtestaat[[#This Row],[Code Weekend]],Programma!$F$4:$Y$36148,14,0),"_")</f>
        <v>_</v>
      </c>
      <c r="BR31" s="248" t="str">
        <f>_xlfn.IFNA(VLOOKUP(Ruimtestaat[[#This Row],[Code Weekend]],Programma!$F$4:$Y$36148,15,0),"_")</f>
        <v>_</v>
      </c>
      <c r="BS31" s="248" t="str">
        <f>_xlfn.IFNA(VLOOKUP(Ruimtestaat[[#This Row],[Code Weekend]],Programma!$F$4:$Y$36148,16,0),"_")</f>
        <v>_</v>
      </c>
      <c r="BT31" s="248" t="str">
        <f>_xlfn.IFNA(VLOOKUP(Ruimtestaat[[#This Row],[Code Weekend]],Programma!$F$4:$Y$36148,17,0),"_")</f>
        <v>_</v>
      </c>
      <c r="BU31" s="249" t="str">
        <f>_xlfn.IFNA(VLOOKUP(Ruimtestaat[[#This Row],[Code Weekend]],Programma!$F$4:$Y$36148,18,0),"_")</f>
        <v>_</v>
      </c>
      <c r="BV31" s="249" t="str">
        <f>_xlfn.IFNA(VLOOKUP(Ruimtestaat[[#This Row],[Code Weekend]],Programma!$F$4:$Y$36148,19,0),"_")</f>
        <v>_</v>
      </c>
      <c r="BW31" s="249" t="str">
        <f>_xlfn.IFNA(VLOOKUP(Ruimtestaat[[#This Row],[Code Weekend]],Programma!$F$4:$Y$36148,20,0),"_")</f>
        <v>_</v>
      </c>
      <c r="BX31" s="91"/>
      <c r="BY31" s="91"/>
      <c r="BZ31" s="91"/>
      <c r="CA31" s="91"/>
      <c r="CB31" s="91"/>
      <c r="CC31" s="91"/>
      <c r="CD31" s="91"/>
      <c r="CE31" s="91"/>
      <c r="CF31" s="91"/>
      <c r="CG31" s="91"/>
      <c r="CH31" s="91"/>
      <c r="CI31" s="91"/>
      <c r="CJ31" s="91"/>
      <c r="CK31" s="91"/>
      <c r="CL31" s="91"/>
      <c r="CM31" s="91"/>
      <c r="CN31" s="91"/>
      <c r="CO31" s="91"/>
      <c r="CP31" s="91"/>
      <c r="CQ31" s="91"/>
      <c r="CR31" s="91"/>
      <c r="CS31" s="91"/>
      <c r="CT31" s="91"/>
      <c r="CU31" s="91"/>
      <c r="CV31" s="91"/>
      <c r="CW31" s="91"/>
      <c r="CX31" s="91"/>
      <c r="CY31" s="91"/>
      <c r="CZ31" s="91"/>
      <c r="DA31" s="91"/>
      <c r="DB31" s="91"/>
      <c r="DC31" s="91"/>
      <c r="DD31" s="91"/>
      <c r="DE31" s="91"/>
      <c r="DF31" s="91"/>
      <c r="DG31" s="91"/>
      <c r="DH31" s="91"/>
      <c r="DI31" s="91"/>
      <c r="DJ31" s="91"/>
      <c r="DK31" s="91"/>
      <c r="DL31" s="91"/>
      <c r="DM31" s="91"/>
      <c r="DN31" s="91"/>
      <c r="DO31" s="91"/>
      <c r="DP31" s="91"/>
      <c r="DQ31" s="91"/>
      <c r="DR31" s="91"/>
      <c r="DS31" s="91"/>
      <c r="DT31" s="91"/>
      <c r="DU31" s="91"/>
      <c r="DV31" s="91"/>
      <c r="DW31" s="91"/>
      <c r="DX31" s="91"/>
      <c r="DY31" s="91"/>
      <c r="DZ31" s="91"/>
      <c r="EA31" s="91"/>
      <c r="EB31" s="91"/>
      <c r="EC31" s="91"/>
      <c r="ED31" s="91"/>
      <c r="EE31" s="91"/>
      <c r="EF31" s="91"/>
      <c r="EG31" s="91"/>
      <c r="EH31" s="91"/>
      <c r="EI31" s="91"/>
      <c r="EJ31" s="91"/>
      <c r="EK31" s="91"/>
      <c r="EL31" s="91"/>
      <c r="EM31" s="91"/>
      <c r="EN31" s="91"/>
      <c r="EO31" s="91"/>
      <c r="EP31" s="91"/>
      <c r="EQ31" s="91"/>
      <c r="ER31" s="91"/>
      <c r="ES31" s="91"/>
      <c r="ET31" s="91"/>
      <c r="EU31" s="91"/>
      <c r="EV31" s="91"/>
      <c r="EW31" s="91"/>
      <c r="EX31" s="91"/>
      <c r="EY31" s="91"/>
      <c r="EZ31" s="91"/>
      <c r="FA31" s="91"/>
      <c r="FB31" s="91"/>
      <c r="FC31" s="91"/>
      <c r="FD31" s="91"/>
      <c r="FE31" s="91"/>
      <c r="FF31" s="91"/>
      <c r="FG31" s="91"/>
      <c r="FH31" s="91"/>
      <c r="FI31" s="91"/>
      <c r="FJ31" s="91"/>
      <c r="FK31" s="91"/>
      <c r="FL31" s="91"/>
      <c r="FM31" s="91"/>
      <c r="FN31" s="91"/>
      <c r="FO31" s="91"/>
      <c r="FP31" s="91"/>
      <c r="FQ31" s="91"/>
      <c r="FR31" s="91"/>
      <c r="FS31" s="91"/>
      <c r="FT31" s="91"/>
      <c r="FU31" s="91"/>
      <c r="FV31" s="91"/>
      <c r="FW31" s="91"/>
      <c r="FX31" s="91"/>
      <c r="FY31" s="91"/>
      <c r="FZ31" s="91"/>
      <c r="GA31" s="91"/>
      <c r="GB31" s="91"/>
      <c r="GC31" s="91"/>
      <c r="GD31" s="91"/>
      <c r="GE31" s="91"/>
      <c r="GF31" s="91"/>
      <c r="GG31" s="91"/>
      <c r="GH31" s="91"/>
      <c r="GI31" s="91"/>
      <c r="GJ31" s="91"/>
      <c r="GK31" s="91"/>
      <c r="GL31" s="91"/>
      <c r="GM31" s="91"/>
      <c r="GN31" s="91"/>
      <c r="GO31" s="91"/>
      <c r="GP31" s="91"/>
      <c r="GQ31" s="91"/>
      <c r="GR31" s="91"/>
      <c r="GS31" s="91"/>
      <c r="GT31" s="91"/>
      <c r="GU31" s="91"/>
      <c r="GV31" s="91"/>
      <c r="GW31" s="91"/>
      <c r="GX31" s="91"/>
      <c r="GY31" s="91"/>
      <c r="GZ31" s="91"/>
      <c r="HA31" s="91"/>
      <c r="HB31" s="91"/>
      <c r="HC31" s="91"/>
      <c r="HD31" s="91"/>
      <c r="HE31" s="91"/>
      <c r="HF31" s="91"/>
      <c r="HG31" s="91"/>
      <c r="HH31" s="91"/>
      <c r="HI31" s="91"/>
      <c r="HJ31" s="91"/>
      <c r="HK31" s="91"/>
    </row>
    <row r="32" spans="1:219" s="8" customFormat="1" ht="12.75" customHeight="1">
      <c r="A32" s="131">
        <v>1</v>
      </c>
      <c r="B32" s="22" t="str">
        <f>VLOOKUP(Ruimtestaat[[#This Row],[Code]],Locaties[#All],2,FALSE)</f>
        <v>ESH Secondary School</v>
      </c>
      <c r="C32" s="22" t="str">
        <f>VLOOKUP(Ruimtestaat[[#This Row],[Code]],Locaties[#All],4,FALSE)</f>
        <v>Oostduinlaan 50</v>
      </c>
      <c r="D32" s="334" t="str">
        <f>VLOOKUP(Ruimtestaat[[#This Row],[Code]],Locaties[#All],5,FALSE)</f>
        <v>2596 JP</v>
      </c>
      <c r="E32" s="334" t="str">
        <f>VLOOKUP(Ruimtestaat[[#This Row],[Code]],Locaties[#All],6,FALSE)</f>
        <v>Den Haag</v>
      </c>
      <c r="F32" s="326"/>
      <c r="G32" s="324" t="s">
        <v>1610</v>
      </c>
      <c r="H32" s="324" t="s">
        <v>1599</v>
      </c>
      <c r="I32" s="327" t="s">
        <v>1617</v>
      </c>
      <c r="J32" s="328">
        <v>9</v>
      </c>
      <c r="K32" s="348" t="str">
        <f>VLOOKUP(J32,Ruimtegroepen[],2,FALSE)</f>
        <v>Bibliotheek / OLC</v>
      </c>
      <c r="L32" s="212" t="s">
        <v>123</v>
      </c>
      <c r="M32" s="334" t="s">
        <v>144</v>
      </c>
      <c r="N32" s="330">
        <v>82</v>
      </c>
      <c r="O32" s="331"/>
      <c r="P32" s="332" t="str">
        <f>VLOOKUP(Ruimtestaat[[#This Row],[Ruimte code]],Ruimtegroepen[],4,FALSE)</f>
        <v>L  (Lesruimte)</v>
      </c>
      <c r="Q32" s="332"/>
      <c r="R32" s="333">
        <v>40</v>
      </c>
      <c r="S32" s="333" t="s">
        <v>2</v>
      </c>
      <c r="T32" s="37"/>
      <c r="U32" s="37">
        <f>IF(R32&gt;0,IF(RIGHT(Ruimtestaat[[#This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2" s="37">
        <f>IF(U32&gt;0,VLOOKUP($J32,Ruimtegroepen[],3,FALSE)*VLOOKUP($L32,Vloersoorten[],3,FALSE)*VLOOKUP($S32,Frequenties[],3,FALSE)*VLOOKUP($A32,Locaties[],3,FALSE),0)</f>
        <v>0</v>
      </c>
      <c r="W32" s="37">
        <f>Ruimtestaat[[#This Row],[Uitvoeringen werkdagen]]*Ruimtestaat[[#This Row],[Oppervlak (netto)]]</f>
        <v>16400</v>
      </c>
      <c r="X32" s="37">
        <f>IF(V32&gt;0,Ruimtestaat[[#This Row],[Prest. (m2 /jaar) werkdagen]]/Ruimtestaat[[#This Row],[Norm (m2/uur) werkdagen]],0)</f>
        <v>0</v>
      </c>
      <c r="Y32" s="37">
        <f>Ruimtestaat[[#This Row],[uren / jaar werkdagen]]*Tariefsopbouw!$D$38</f>
        <v>0</v>
      </c>
      <c r="Z32" s="37">
        <f>IF(Ruimtestaat[[#This Row],[Frequentie weekend]]&gt;0,VALUE(LEFT(T32,1))*R32,0)</f>
        <v>0</v>
      </c>
      <c r="AA32" s="37">
        <f>IF($Z32&gt;0,VLOOKUP($J32,Ruimtegroepen[],3,FALSE)*VLOOKUP($L32,Vloersoorten[],3,FALSE)*VLOOKUP($T32,Frequenties[],3,FALSE)*VLOOKUP($A32,Locaties[],3,FALSE),0)</f>
        <v>0</v>
      </c>
      <c r="AB32" s="37">
        <f>Ruimtestaat[[#This Row],[Uitvoeringen weekend]]*Ruimtestaat[[#This Row],[Oppervlak (netto)]]</f>
        <v>0</v>
      </c>
      <c r="AC32" s="37">
        <f>IF(AA32&gt;0,Ruimtestaat[[#This Row],[Prest. (m2 /jaar) weekend]]/Ruimtestaat[[#This Row],[Norm (m2/uur) weekend]],0)</f>
        <v>0</v>
      </c>
      <c r="AD32" s="37">
        <f>Ruimtestaat[[#This Row],[uren / jaar weekend]]*Tariefsopbouw!$D$40</f>
        <v>0</v>
      </c>
      <c r="AE32" s="89">
        <f>Ruimtestaat[[#This Row],[Prest. (m2 /jaar) weekend]]+Ruimtestaat[[#This Row],[Prest. (m2 /jaar) werkdagen]]</f>
        <v>16400</v>
      </c>
      <c r="AF32" s="89">
        <f>Ruimtestaat[[#This Row],[uren / jaar weekend]]+Ruimtestaat[[#This Row],[uren / jaar werkdagen]]</f>
        <v>0</v>
      </c>
      <c r="AG32" s="90">
        <f>Ruimtestaat[[#This Row],[kosten / jaar weekend]]+Ruimtestaat[[#This Row],[kosten / jaar werkdagen]]</f>
        <v>0</v>
      </c>
      <c r="AH32" s="253"/>
      <c r="AI32" s="252" t="str">
        <f>IF(Ruimtestaat[[#This Row],[Frequentie werkdagen]]="","",_xlfn.CONCAT(Ruimtestaat[[#This Row],[Ruimte code]],"-",Ruimtestaat[[#This Row],[Frequentie werkdagen]]," ",Ruimtestaat[[#This Row],[Vloer code]]))</f>
        <v>9-5w P</v>
      </c>
      <c r="AJ32" s="247" t="str">
        <f>_xlfn.IFNA(VLOOKUP(Ruimtestaat[[#This Row],[Programmacode
Regulier]],Programma!$F$4:$Y$36148,2,0),"_")</f>
        <v>_</v>
      </c>
      <c r="AK32" s="247" t="str">
        <f>_xlfn.IFNA(VLOOKUP(Ruimtestaat[[#This Row],[Programmacode
Regulier]],Programma!$F$4:$Y$36148,3,0),"_")</f>
        <v>_</v>
      </c>
      <c r="AL32" s="247" t="str">
        <f>_xlfn.IFNA(VLOOKUP(Ruimtestaat[[#This Row],[Programmacode
Regulier]],Programma!$F$4:$Y$36148,4,0),"_")</f>
        <v>5w</v>
      </c>
      <c r="AM32" s="247" t="str">
        <f>_xlfn.IFNA(VLOOKUP(Ruimtestaat[[#This Row],[Programmacode
Regulier]],Programma!$F$4:$Y$36148,5,0),"_")</f>
        <v>1w</v>
      </c>
      <c r="AN32" s="247" t="str">
        <f>_xlfn.IFNA(VLOOKUP(Ruimtestaat[[#This Row],[Programmacode
Regulier]],Programma!$F$4:$Y$36148,6,0),"_")</f>
        <v>1m</v>
      </c>
      <c r="AO32" s="247" t="str">
        <f>_xlfn.IFNA(VLOOKUP(Ruimtestaat[[#This Row],[Programmacode
Regulier]],Programma!$F$4:$Y$36148,7,0),"_")</f>
        <v>_</v>
      </c>
      <c r="AP32" s="247" t="str">
        <f>_xlfn.IFNA(VLOOKUP(Ruimtestaat[[#This Row],[Programmacode
Regulier]],Programma!$F$4:$Y$36148,8,0),"_")</f>
        <v>_</v>
      </c>
      <c r="AQ32" s="247" t="str">
        <f>_xlfn.IFNA(VLOOKUP(Ruimtestaat[[#This Row],[Programmacode
Regulier]],Programma!$F$4:$Y$36148,9,0),"_")</f>
        <v>_</v>
      </c>
      <c r="AR32" s="248" t="str">
        <f>_xlfn.IFNA(VLOOKUP(Ruimtestaat[[#This Row],[Programmacode
Regulier]],Programma!$F$4:$Y$36148,10,0),"_")</f>
        <v>5w</v>
      </c>
      <c r="AS32" s="248" t="str">
        <f>_xlfn.IFNA(VLOOKUP(Ruimtestaat[[#This Row],[Programmacode
Regulier]],Programma!$F$4:$Y$36148,11,0),"_")</f>
        <v>5w</v>
      </c>
      <c r="AT32" s="248" t="str">
        <f>_xlfn.IFNA(VLOOKUP(Ruimtestaat[[#This Row],[Programmacode
Regulier]],Programma!$F$4:$Y$36148,12,0),"_")</f>
        <v>1w</v>
      </c>
      <c r="AU32" s="248" t="str">
        <f>_xlfn.IFNA(VLOOKUP(Ruimtestaat[[#This Row],[Programmacode
Regulier]],Programma!$F$4:$Y$36148,13,0),"_")</f>
        <v>1w</v>
      </c>
      <c r="AV32" s="248" t="str">
        <f>_xlfn.IFNA(VLOOKUP(Ruimtestaat[[#This Row],[Programmacode
Regulier]],Programma!$F$4:$Y$36148,14,0),"_")</f>
        <v>1m</v>
      </c>
      <c r="AW32" s="248" t="str">
        <f>_xlfn.IFNA(VLOOKUP(Ruimtestaat[[#This Row],[Programmacode
Regulier]],Programma!$F$4:$Y$36148,15,0),"_")</f>
        <v>2j</v>
      </c>
      <c r="AX32" s="248" t="str">
        <f>_xlfn.IFNA(VLOOKUP(Ruimtestaat[[#This Row],[Programmacode
Regulier]],Programma!$F$4:$Y$36148,16,0),"_")</f>
        <v>1j</v>
      </c>
      <c r="AY32" s="248" t="str">
        <f>_xlfn.IFNA(VLOOKUP(Ruimtestaat[[#This Row],[Programmacode
Regulier]],Programma!$F$4:$Y$36148,17,0),"_")</f>
        <v>_</v>
      </c>
      <c r="AZ32" s="249" t="str">
        <f>_xlfn.IFNA(VLOOKUP(Ruimtestaat[[#This Row],[Programmacode
Regulier]],Programma!$F$4:$Y$36148,18,0),"_")</f>
        <v>_</v>
      </c>
      <c r="BA32" s="249" t="str">
        <f>_xlfn.IFNA(VLOOKUP(Ruimtestaat[[#This Row],[Programmacode
Regulier]],Programma!$F$4:$Y$36148,19,0),"_")</f>
        <v>_</v>
      </c>
      <c r="BB32" s="249" t="str">
        <f>_xlfn.IFNA(VLOOKUP(Ruimtestaat[[#This Row],[Programmacode
Regulier]],Programma!$F$4:$Y$36148,20,0),"_")</f>
        <v>_</v>
      </c>
      <c r="BC32" s="250"/>
      <c r="BD32" s="212" t="str">
        <f>IF(Ruimtestaat[[#This Row],[Frequentie weekend]]="","",_xlfn.CONCAT(Ruimtestaat[[#This Row],[Ruimte code]],"-",Ruimtestaat[[#This Row],[Frequentie weekend]]," ",Ruimtestaat[[#This Row],[Vloer code]]))</f>
        <v/>
      </c>
      <c r="BE32" s="247" t="str">
        <f>_xlfn.IFNA(VLOOKUP(Ruimtestaat[[#This Row],[Code Weekend]],Programma!$F$4:$Y$36148,2,0),"_")</f>
        <v>_</v>
      </c>
      <c r="BF32" s="247" t="str">
        <f>_xlfn.IFNA(VLOOKUP(Ruimtestaat[[#This Row],[Code Weekend]],Programma!$F$4:$Y$36148,3,0),"_")</f>
        <v>_</v>
      </c>
      <c r="BG32" s="247" t="str">
        <f>_xlfn.IFNA(VLOOKUP(Ruimtestaat[[#This Row],[Code Weekend]],Programma!$F$4:$Y$36148,4,0),"_")</f>
        <v>_</v>
      </c>
      <c r="BH32" s="247" t="str">
        <f>_xlfn.IFNA(VLOOKUP(Ruimtestaat[[#This Row],[Code Weekend]],Programma!$F$4:$Y$36148,5,0),"_")</f>
        <v>_</v>
      </c>
      <c r="BI32" s="247" t="str">
        <f>_xlfn.IFNA(VLOOKUP(Ruimtestaat[[#This Row],[Code Weekend]],Programma!$F$4:$Y$36148,6,0),"_")</f>
        <v>_</v>
      </c>
      <c r="BJ32" s="247" t="str">
        <f>_xlfn.IFNA(VLOOKUP(Ruimtestaat[[#This Row],[Code Weekend]],Programma!$F$4:$Y$36148,7,0),"_")</f>
        <v>_</v>
      </c>
      <c r="BK32" s="247" t="str">
        <f>_xlfn.IFNA(VLOOKUP(Ruimtestaat[[#This Row],[Code Weekend]],Programma!$F$4:$Y$36148,8,0),"_")</f>
        <v>_</v>
      </c>
      <c r="BL32" s="247" t="str">
        <f>_xlfn.IFNA(VLOOKUP(Ruimtestaat[[#This Row],[Code Weekend]],Programma!$F$4:$Y$36148,9,0),"_")</f>
        <v>_</v>
      </c>
      <c r="BM32" s="248" t="str">
        <f>_xlfn.IFNA(VLOOKUP(Ruimtestaat[[#This Row],[Code Weekend]],Programma!$F$4:$Y$36148,10,0),"_")</f>
        <v>_</v>
      </c>
      <c r="BN32" s="248" t="str">
        <f>_xlfn.IFNA(VLOOKUP(Ruimtestaat[[#This Row],[Code Weekend]],Programma!$F$4:$Y$36148,11,0),"_")</f>
        <v>_</v>
      </c>
      <c r="BO32" s="248" t="str">
        <f>_xlfn.IFNA(VLOOKUP(Ruimtestaat[[#This Row],[Code Weekend]],Programma!$F$4:$Y$36148,12,0),"_")</f>
        <v>_</v>
      </c>
      <c r="BP32" s="248" t="str">
        <f>_xlfn.IFNA(VLOOKUP(Ruimtestaat[[#This Row],[Code Weekend]],Programma!$F$4:$Y$36148,13,0),"_")</f>
        <v>_</v>
      </c>
      <c r="BQ32" s="248" t="str">
        <f>_xlfn.IFNA(VLOOKUP(Ruimtestaat[[#This Row],[Code Weekend]],Programma!$F$4:$Y$36148,14,0),"_")</f>
        <v>_</v>
      </c>
      <c r="BR32" s="248" t="str">
        <f>_xlfn.IFNA(VLOOKUP(Ruimtestaat[[#This Row],[Code Weekend]],Programma!$F$4:$Y$36148,15,0),"_")</f>
        <v>_</v>
      </c>
      <c r="BS32" s="248" t="str">
        <f>_xlfn.IFNA(VLOOKUP(Ruimtestaat[[#This Row],[Code Weekend]],Programma!$F$4:$Y$36148,16,0),"_")</f>
        <v>_</v>
      </c>
      <c r="BT32" s="248" t="str">
        <f>_xlfn.IFNA(VLOOKUP(Ruimtestaat[[#This Row],[Code Weekend]],Programma!$F$4:$Y$36148,17,0),"_")</f>
        <v>_</v>
      </c>
      <c r="BU32" s="249" t="str">
        <f>_xlfn.IFNA(VLOOKUP(Ruimtestaat[[#This Row],[Code Weekend]],Programma!$F$4:$Y$36148,18,0),"_")</f>
        <v>_</v>
      </c>
      <c r="BV32" s="249" t="str">
        <f>_xlfn.IFNA(VLOOKUP(Ruimtestaat[[#This Row],[Code Weekend]],Programma!$F$4:$Y$36148,19,0),"_")</f>
        <v>_</v>
      </c>
      <c r="BW32" s="249" t="str">
        <f>_xlfn.IFNA(VLOOKUP(Ruimtestaat[[#This Row],[Code Weekend]],Programma!$F$4:$Y$36148,20,0),"_")</f>
        <v>_</v>
      </c>
      <c r="BX32" s="91"/>
      <c r="BY32" s="91"/>
      <c r="BZ32" s="91"/>
      <c r="CA32" s="91"/>
      <c r="CB32" s="91"/>
      <c r="CC32" s="91"/>
      <c r="CD32" s="91"/>
      <c r="CE32" s="91"/>
      <c r="CF32" s="91"/>
      <c r="CG32" s="91"/>
      <c r="CH32" s="91"/>
      <c r="CI32" s="91"/>
      <c r="CJ32" s="91"/>
      <c r="CK32" s="91"/>
      <c r="CL32" s="91"/>
      <c r="CM32" s="91"/>
      <c r="CN32" s="91"/>
      <c r="CO32" s="91"/>
      <c r="CP32" s="91"/>
      <c r="CQ32" s="91"/>
      <c r="CR32" s="91"/>
      <c r="CS32" s="91"/>
      <c r="CT32" s="91"/>
      <c r="CU32" s="91"/>
      <c r="CV32" s="91"/>
      <c r="CW32" s="91"/>
      <c r="CX32" s="91"/>
      <c r="CY32" s="91"/>
      <c r="CZ32" s="91"/>
      <c r="DA32" s="91"/>
      <c r="DB32" s="91"/>
      <c r="DC32" s="91"/>
      <c r="DD32" s="91"/>
      <c r="DE32" s="91"/>
      <c r="DF32" s="91"/>
      <c r="DG32" s="91"/>
      <c r="DH32" s="91"/>
      <c r="DI32" s="91"/>
      <c r="DJ32" s="91"/>
      <c r="DK32" s="91"/>
      <c r="DL32" s="91"/>
      <c r="DM32" s="91"/>
      <c r="DN32" s="91"/>
      <c r="DO32" s="91"/>
      <c r="DP32" s="91"/>
      <c r="DQ32" s="91"/>
      <c r="DR32" s="91"/>
      <c r="DS32" s="91"/>
      <c r="DT32" s="91"/>
      <c r="DU32" s="91"/>
      <c r="DV32" s="91"/>
      <c r="DW32" s="91"/>
      <c r="DX32" s="91"/>
      <c r="DY32" s="91"/>
      <c r="DZ32" s="91"/>
      <c r="EA32" s="91"/>
      <c r="EB32" s="91"/>
      <c r="EC32" s="91"/>
      <c r="ED32" s="91"/>
      <c r="EE32" s="91"/>
      <c r="EF32" s="91"/>
      <c r="EG32" s="91"/>
      <c r="EH32" s="91"/>
      <c r="EI32" s="91"/>
      <c r="EJ32" s="91"/>
      <c r="EK32" s="91"/>
      <c r="EL32" s="91"/>
      <c r="EM32" s="91"/>
      <c r="EN32" s="91"/>
      <c r="EO32" s="91"/>
      <c r="EP32" s="91"/>
      <c r="EQ32" s="91"/>
      <c r="ER32" s="91"/>
      <c r="ES32" s="91"/>
      <c r="ET32" s="91"/>
      <c r="EU32" s="91"/>
      <c r="EV32" s="91"/>
      <c r="EW32" s="91"/>
      <c r="EX32" s="91"/>
      <c r="EY32" s="91"/>
      <c r="EZ32" s="91"/>
      <c r="FA32" s="91"/>
      <c r="FB32" s="91"/>
      <c r="FC32" s="91"/>
      <c r="FD32" s="91"/>
      <c r="FE32" s="91"/>
      <c r="FF32" s="91"/>
      <c r="FG32" s="91"/>
      <c r="FH32" s="91"/>
      <c r="FI32" s="91"/>
      <c r="FJ32" s="91"/>
      <c r="FK32" s="91"/>
      <c r="FL32" s="91"/>
      <c r="FM32" s="91"/>
      <c r="FN32" s="91"/>
      <c r="FO32" s="91"/>
      <c r="FP32" s="91"/>
      <c r="FQ32" s="91"/>
      <c r="FR32" s="91"/>
      <c r="FS32" s="91"/>
      <c r="FT32" s="91"/>
      <c r="FU32" s="91"/>
      <c r="FV32" s="91"/>
      <c r="FW32" s="91"/>
      <c r="FX32" s="91"/>
      <c r="FY32" s="91"/>
      <c r="FZ32" s="91"/>
      <c r="GA32" s="91"/>
      <c r="GB32" s="91"/>
      <c r="GC32" s="91"/>
      <c r="GD32" s="91"/>
      <c r="GE32" s="91"/>
      <c r="GF32" s="91"/>
      <c r="GG32" s="91"/>
      <c r="GH32" s="91"/>
      <c r="GI32" s="91"/>
      <c r="GJ32" s="91"/>
      <c r="GK32" s="91"/>
      <c r="GL32" s="91"/>
      <c r="GM32" s="91"/>
      <c r="GN32" s="91"/>
      <c r="GO32" s="91"/>
      <c r="GP32" s="91"/>
      <c r="GQ32" s="91"/>
      <c r="GR32" s="91"/>
      <c r="GS32" s="91"/>
      <c r="GT32" s="91"/>
      <c r="GU32" s="91"/>
      <c r="GV32" s="91"/>
      <c r="GW32" s="91"/>
      <c r="GX32" s="91"/>
      <c r="GY32" s="91"/>
      <c r="GZ32" s="91"/>
      <c r="HA32" s="91"/>
      <c r="HB32" s="91"/>
      <c r="HC32" s="91"/>
      <c r="HD32" s="91"/>
      <c r="HE32" s="91"/>
      <c r="HF32" s="91"/>
      <c r="HG32" s="91"/>
      <c r="HH32" s="91"/>
      <c r="HI32" s="91"/>
      <c r="HJ32" s="91"/>
      <c r="HK32" s="91"/>
    </row>
    <row r="33" spans="1:219" s="8" customFormat="1" ht="12.75" customHeight="1">
      <c r="A33" s="131">
        <v>1</v>
      </c>
      <c r="B33" s="22" t="str">
        <f>VLOOKUP(Ruimtestaat[[#This Row],[Code]],Locaties[#All],2,FALSE)</f>
        <v>ESH Secondary School</v>
      </c>
      <c r="C33" s="22" t="str">
        <f>VLOOKUP(Ruimtestaat[[#This Row],[Code]],Locaties[#All],4,FALSE)</f>
        <v>Oostduinlaan 50</v>
      </c>
      <c r="D33" s="334" t="str">
        <f>VLOOKUP(Ruimtestaat[[#This Row],[Code]],Locaties[#All],5,FALSE)</f>
        <v>2596 JP</v>
      </c>
      <c r="E33" s="334" t="str">
        <f>VLOOKUP(Ruimtestaat[[#This Row],[Code]],Locaties[#All],6,FALSE)</f>
        <v>Den Haag</v>
      </c>
      <c r="F33" s="326"/>
      <c r="G33" s="324" t="s">
        <v>1610</v>
      </c>
      <c r="H33" s="324" t="s">
        <v>1600</v>
      </c>
      <c r="I33" s="327" t="s">
        <v>1494</v>
      </c>
      <c r="J33" s="328">
        <v>5</v>
      </c>
      <c r="K33" s="348" t="str">
        <f>VLOOKUP(J33,Ruimtegroepen[],2,FALSE)</f>
        <v>Sanitair</v>
      </c>
      <c r="L33" s="212" t="s">
        <v>123</v>
      </c>
      <c r="M33" s="334" t="s">
        <v>144</v>
      </c>
      <c r="N33" s="330">
        <v>14</v>
      </c>
      <c r="O33" s="331"/>
      <c r="P33" s="332" t="str">
        <f>VLOOKUP(Ruimtestaat[[#This Row],[Ruimte code]],Ruimtegroepen[],4,FALSE)</f>
        <v>S  (Sanitair)</v>
      </c>
      <c r="Q33" s="332"/>
      <c r="R33" s="333">
        <v>40</v>
      </c>
      <c r="S33" s="333" t="s">
        <v>19</v>
      </c>
      <c r="T33" s="37"/>
      <c r="U33" s="37">
        <f>IF(R33&gt;0,IF(RIGHT(Ruimtestaat[[#This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33" s="37">
        <f>IF(U33&gt;0,VLOOKUP($J33,Ruimtegroepen[],3,FALSE)*VLOOKUP($L33,Vloersoorten[],3,FALSE)*VLOOKUP($S33,Frequenties[],3,FALSE)*VLOOKUP($A33,Locaties[],3,FALSE),0)</f>
        <v>0</v>
      </c>
      <c r="W33" s="37">
        <f>Ruimtestaat[[#This Row],[Uitvoeringen werkdagen]]*Ruimtestaat[[#This Row],[Oppervlak (netto)]]</f>
        <v>5600</v>
      </c>
      <c r="X33" s="37">
        <f>IF(V33&gt;0,Ruimtestaat[[#This Row],[Prest. (m2 /jaar) werkdagen]]/Ruimtestaat[[#This Row],[Norm (m2/uur) werkdagen]],0)</f>
        <v>0</v>
      </c>
      <c r="Y33" s="37">
        <f>Ruimtestaat[[#This Row],[uren / jaar werkdagen]]*Tariefsopbouw!$D$38</f>
        <v>0</v>
      </c>
      <c r="Z33" s="37">
        <f>IF(Ruimtestaat[[#This Row],[Frequentie weekend]]&gt;0,VALUE(LEFT(T33,1))*R33,0)</f>
        <v>0</v>
      </c>
      <c r="AA33" s="37">
        <f>IF($Z33&gt;0,VLOOKUP($J33,Ruimtegroepen[],3,FALSE)*VLOOKUP($L33,Vloersoorten[],3,FALSE)*VLOOKUP($T33,Frequenties[],3,FALSE)*VLOOKUP($A33,Locaties[],3,FALSE),0)</f>
        <v>0</v>
      </c>
      <c r="AB33" s="37">
        <f>Ruimtestaat[[#This Row],[Uitvoeringen weekend]]*Ruimtestaat[[#This Row],[Oppervlak (netto)]]</f>
        <v>0</v>
      </c>
      <c r="AC33" s="37">
        <f>IF(AA33&gt;0,Ruimtestaat[[#This Row],[Prest. (m2 /jaar) weekend]]/Ruimtestaat[[#This Row],[Norm (m2/uur) weekend]],0)</f>
        <v>0</v>
      </c>
      <c r="AD33" s="37">
        <f>Ruimtestaat[[#This Row],[uren / jaar weekend]]*Tariefsopbouw!$D$40</f>
        <v>0</v>
      </c>
      <c r="AE33" s="89">
        <f>Ruimtestaat[[#This Row],[Prest. (m2 /jaar) weekend]]+Ruimtestaat[[#This Row],[Prest. (m2 /jaar) werkdagen]]</f>
        <v>5600</v>
      </c>
      <c r="AF33" s="89">
        <f>Ruimtestaat[[#This Row],[uren / jaar weekend]]+Ruimtestaat[[#This Row],[uren / jaar werkdagen]]</f>
        <v>0</v>
      </c>
      <c r="AG33" s="90">
        <f>Ruimtestaat[[#This Row],[kosten / jaar weekend]]+Ruimtestaat[[#This Row],[kosten / jaar werkdagen]]</f>
        <v>0</v>
      </c>
      <c r="AH33" s="253"/>
      <c r="AI33" s="252" t="str">
        <f>IF(Ruimtestaat[[#This Row],[Frequentie werkdagen]]="","",_xlfn.CONCAT(Ruimtestaat[[#This Row],[Ruimte code]],"-",Ruimtestaat[[#This Row],[Frequentie werkdagen]]," ",Ruimtestaat[[#This Row],[Vloer code]]))</f>
        <v>5-10w P</v>
      </c>
      <c r="AJ33" s="247" t="str">
        <f>_xlfn.IFNA(VLOOKUP(Ruimtestaat[[#This Row],[Programmacode
Regulier]],Programma!$F$4:$Y$36148,2,0),"_")</f>
        <v>_</v>
      </c>
      <c r="AK33" s="247" t="str">
        <f>_xlfn.IFNA(VLOOKUP(Ruimtestaat[[#This Row],[Programmacode
Regulier]],Programma!$F$4:$Y$36148,3,0),"_")</f>
        <v>_</v>
      </c>
      <c r="AL33" s="247" t="str">
        <f>_xlfn.IFNA(VLOOKUP(Ruimtestaat[[#This Row],[Programmacode
Regulier]],Programma!$F$4:$Y$36148,4,0),"_")</f>
        <v>_</v>
      </c>
      <c r="AM33" s="247" t="str">
        <f>_xlfn.IFNA(VLOOKUP(Ruimtestaat[[#This Row],[Programmacode
Regulier]],Programma!$F$4:$Y$36148,5,0),"_")</f>
        <v>4w</v>
      </c>
      <c r="AN33" s="247" t="str">
        <f>_xlfn.IFNA(VLOOKUP(Ruimtestaat[[#This Row],[Programmacode
Regulier]],Programma!$F$4:$Y$36148,6,0),"_")</f>
        <v>1w</v>
      </c>
      <c r="AO33" s="247" t="str">
        <f>_xlfn.IFNA(VLOOKUP(Ruimtestaat[[#This Row],[Programmacode
Regulier]],Programma!$F$4:$Y$36148,7,0),"_")</f>
        <v>_</v>
      </c>
      <c r="AP33" s="247" t="str">
        <f>_xlfn.IFNA(VLOOKUP(Ruimtestaat[[#This Row],[Programmacode
Regulier]],Programma!$F$4:$Y$36148,8,0),"_")</f>
        <v>_</v>
      </c>
      <c r="AQ33" s="247" t="str">
        <f>_xlfn.IFNA(VLOOKUP(Ruimtestaat[[#This Row],[Programmacode
Regulier]],Programma!$F$4:$Y$36148,9,0),"_")</f>
        <v>5w</v>
      </c>
      <c r="AR33" s="248" t="str">
        <f>_xlfn.IFNA(VLOOKUP(Ruimtestaat[[#This Row],[Programmacode
Regulier]],Programma!$F$4:$Y$36148,10,0),"_")</f>
        <v>_</v>
      </c>
      <c r="AS33" s="248" t="str">
        <f>_xlfn.IFNA(VLOOKUP(Ruimtestaat[[#This Row],[Programmacode
Regulier]],Programma!$F$4:$Y$36148,11,0),"_")</f>
        <v>_</v>
      </c>
      <c r="AT33" s="248" t="str">
        <f>_xlfn.IFNA(VLOOKUP(Ruimtestaat[[#This Row],[Programmacode
Regulier]],Programma!$F$4:$Y$36148,12,0),"_")</f>
        <v>_</v>
      </c>
      <c r="AU33" s="248" t="str">
        <f>_xlfn.IFNA(VLOOKUP(Ruimtestaat[[#This Row],[Programmacode
Regulier]],Programma!$F$4:$Y$36148,13,0),"_")</f>
        <v>_</v>
      </c>
      <c r="AV33" s="248" t="str">
        <f>_xlfn.IFNA(VLOOKUP(Ruimtestaat[[#This Row],[Programmacode
Regulier]],Programma!$F$4:$Y$36148,14,0),"_")</f>
        <v>_</v>
      </c>
      <c r="AW33" s="248" t="str">
        <f>_xlfn.IFNA(VLOOKUP(Ruimtestaat[[#This Row],[Programmacode
Regulier]],Programma!$F$4:$Y$36148,15,0),"_")</f>
        <v>_</v>
      </c>
      <c r="AX33" s="248" t="str">
        <f>_xlfn.IFNA(VLOOKUP(Ruimtestaat[[#This Row],[Programmacode
Regulier]],Programma!$F$4:$Y$36148,16,0),"_")</f>
        <v>_</v>
      </c>
      <c r="AY33" s="248" t="str">
        <f>_xlfn.IFNA(VLOOKUP(Ruimtestaat[[#This Row],[Programmacode
Regulier]],Programma!$F$4:$Y$36148,17,0),"_")</f>
        <v>_</v>
      </c>
      <c r="AZ33" s="249" t="str">
        <f>_xlfn.IFNA(VLOOKUP(Ruimtestaat[[#This Row],[Programmacode
Regulier]],Programma!$F$4:$Y$36148,18,0),"_")</f>
        <v>4w</v>
      </c>
      <c r="BA33" s="249" t="str">
        <f>_xlfn.IFNA(VLOOKUP(Ruimtestaat[[#This Row],[Programmacode
Regulier]],Programma!$F$4:$Y$36148,19,0),"_")</f>
        <v>1w</v>
      </c>
      <c r="BB33" s="249" t="str">
        <f>_xlfn.IFNA(VLOOKUP(Ruimtestaat[[#This Row],[Programmacode
Regulier]],Programma!$F$4:$Y$36148,20,0),"_")</f>
        <v>5w</v>
      </c>
      <c r="BC33" s="250"/>
      <c r="BD33" s="212" t="str">
        <f>IF(Ruimtestaat[[#This Row],[Frequentie weekend]]="","",_xlfn.CONCAT(Ruimtestaat[[#This Row],[Ruimte code]],"-",Ruimtestaat[[#This Row],[Frequentie weekend]]," ",Ruimtestaat[[#This Row],[Vloer code]]))</f>
        <v/>
      </c>
      <c r="BE33" s="247" t="str">
        <f>_xlfn.IFNA(VLOOKUP(Ruimtestaat[[#This Row],[Code Weekend]],Programma!$F$4:$Y$36148,2,0),"_")</f>
        <v>_</v>
      </c>
      <c r="BF33" s="247" t="str">
        <f>_xlfn.IFNA(VLOOKUP(Ruimtestaat[[#This Row],[Code Weekend]],Programma!$F$4:$Y$36148,3,0),"_")</f>
        <v>_</v>
      </c>
      <c r="BG33" s="247" t="str">
        <f>_xlfn.IFNA(VLOOKUP(Ruimtestaat[[#This Row],[Code Weekend]],Programma!$F$4:$Y$36148,4,0),"_")</f>
        <v>_</v>
      </c>
      <c r="BH33" s="247" t="str">
        <f>_xlfn.IFNA(VLOOKUP(Ruimtestaat[[#This Row],[Code Weekend]],Programma!$F$4:$Y$36148,5,0),"_")</f>
        <v>_</v>
      </c>
      <c r="BI33" s="247" t="str">
        <f>_xlfn.IFNA(VLOOKUP(Ruimtestaat[[#This Row],[Code Weekend]],Programma!$F$4:$Y$36148,6,0),"_")</f>
        <v>_</v>
      </c>
      <c r="BJ33" s="247" t="str">
        <f>_xlfn.IFNA(VLOOKUP(Ruimtestaat[[#This Row],[Code Weekend]],Programma!$F$4:$Y$36148,7,0),"_")</f>
        <v>_</v>
      </c>
      <c r="BK33" s="247" t="str">
        <f>_xlfn.IFNA(VLOOKUP(Ruimtestaat[[#This Row],[Code Weekend]],Programma!$F$4:$Y$36148,8,0),"_")</f>
        <v>_</v>
      </c>
      <c r="BL33" s="247" t="str">
        <f>_xlfn.IFNA(VLOOKUP(Ruimtestaat[[#This Row],[Code Weekend]],Programma!$F$4:$Y$36148,9,0),"_")</f>
        <v>_</v>
      </c>
      <c r="BM33" s="248" t="str">
        <f>_xlfn.IFNA(VLOOKUP(Ruimtestaat[[#This Row],[Code Weekend]],Programma!$F$4:$Y$36148,10,0),"_")</f>
        <v>_</v>
      </c>
      <c r="BN33" s="248" t="str">
        <f>_xlfn.IFNA(VLOOKUP(Ruimtestaat[[#This Row],[Code Weekend]],Programma!$F$4:$Y$36148,11,0),"_")</f>
        <v>_</v>
      </c>
      <c r="BO33" s="248" t="str">
        <f>_xlfn.IFNA(VLOOKUP(Ruimtestaat[[#This Row],[Code Weekend]],Programma!$F$4:$Y$36148,12,0),"_")</f>
        <v>_</v>
      </c>
      <c r="BP33" s="248" t="str">
        <f>_xlfn.IFNA(VLOOKUP(Ruimtestaat[[#This Row],[Code Weekend]],Programma!$F$4:$Y$36148,13,0),"_")</f>
        <v>_</v>
      </c>
      <c r="BQ33" s="248" t="str">
        <f>_xlfn.IFNA(VLOOKUP(Ruimtestaat[[#This Row],[Code Weekend]],Programma!$F$4:$Y$36148,14,0),"_")</f>
        <v>_</v>
      </c>
      <c r="BR33" s="248" t="str">
        <f>_xlfn.IFNA(VLOOKUP(Ruimtestaat[[#This Row],[Code Weekend]],Programma!$F$4:$Y$36148,15,0),"_")</f>
        <v>_</v>
      </c>
      <c r="BS33" s="248" t="str">
        <f>_xlfn.IFNA(VLOOKUP(Ruimtestaat[[#This Row],[Code Weekend]],Programma!$F$4:$Y$36148,16,0),"_")</f>
        <v>_</v>
      </c>
      <c r="BT33" s="248" t="str">
        <f>_xlfn.IFNA(VLOOKUP(Ruimtestaat[[#This Row],[Code Weekend]],Programma!$F$4:$Y$36148,17,0),"_")</f>
        <v>_</v>
      </c>
      <c r="BU33" s="249" t="str">
        <f>_xlfn.IFNA(VLOOKUP(Ruimtestaat[[#This Row],[Code Weekend]],Programma!$F$4:$Y$36148,18,0),"_")</f>
        <v>_</v>
      </c>
      <c r="BV33" s="249" t="str">
        <f>_xlfn.IFNA(VLOOKUP(Ruimtestaat[[#This Row],[Code Weekend]],Programma!$F$4:$Y$36148,19,0),"_")</f>
        <v>_</v>
      </c>
      <c r="BW33" s="249" t="str">
        <f>_xlfn.IFNA(VLOOKUP(Ruimtestaat[[#This Row],[Code Weekend]],Programma!$F$4:$Y$36148,20,0),"_")</f>
        <v>_</v>
      </c>
      <c r="BX33" s="91"/>
      <c r="BY33" s="91"/>
      <c r="BZ33" s="91"/>
      <c r="CA33" s="91"/>
      <c r="CB33" s="91"/>
      <c r="CC33" s="91"/>
      <c r="CD33" s="91"/>
      <c r="CE33" s="91"/>
      <c r="CF33" s="91"/>
      <c r="CG33" s="91"/>
      <c r="CH33" s="91"/>
      <c r="CI33" s="91"/>
      <c r="CJ33" s="91"/>
      <c r="CK33" s="91"/>
      <c r="CL33" s="91"/>
      <c r="CM33" s="91"/>
      <c r="CN33" s="91"/>
      <c r="CO33" s="91"/>
      <c r="CP33" s="91"/>
      <c r="CQ33" s="91"/>
      <c r="CR33" s="91"/>
      <c r="CS33" s="91"/>
      <c r="CT33" s="91"/>
      <c r="CU33" s="91"/>
      <c r="CV33" s="91"/>
      <c r="CW33" s="91"/>
      <c r="CX33" s="91"/>
      <c r="CY33" s="91"/>
      <c r="CZ33" s="91"/>
      <c r="DA33" s="91"/>
      <c r="DB33" s="91"/>
      <c r="DC33" s="91"/>
      <c r="DD33" s="91"/>
      <c r="DE33" s="91"/>
      <c r="DF33" s="91"/>
      <c r="DG33" s="91"/>
      <c r="DH33" s="91"/>
      <c r="DI33" s="91"/>
      <c r="DJ33" s="91"/>
      <c r="DK33" s="91"/>
      <c r="DL33" s="91"/>
      <c r="DM33" s="91"/>
      <c r="DN33" s="91"/>
      <c r="DO33" s="91"/>
      <c r="DP33" s="91"/>
      <c r="DQ33" s="91"/>
      <c r="DR33" s="91"/>
      <c r="DS33" s="91"/>
      <c r="DT33" s="91"/>
      <c r="DU33" s="91"/>
      <c r="DV33" s="91"/>
      <c r="DW33" s="91"/>
      <c r="DX33" s="91"/>
      <c r="DY33" s="91"/>
      <c r="DZ33" s="91"/>
      <c r="EA33" s="91"/>
      <c r="EB33" s="91"/>
      <c r="EC33" s="91"/>
      <c r="ED33" s="91"/>
      <c r="EE33" s="91"/>
      <c r="EF33" s="91"/>
      <c r="EG33" s="91"/>
      <c r="EH33" s="91"/>
      <c r="EI33" s="91"/>
      <c r="EJ33" s="91"/>
      <c r="EK33" s="91"/>
      <c r="EL33" s="91"/>
      <c r="EM33" s="91"/>
      <c r="EN33" s="91"/>
      <c r="EO33" s="91"/>
      <c r="EP33" s="91"/>
      <c r="EQ33" s="91"/>
      <c r="ER33" s="91"/>
      <c r="ES33" s="91"/>
      <c r="ET33" s="91"/>
      <c r="EU33" s="91"/>
      <c r="EV33" s="91"/>
      <c r="EW33" s="91"/>
      <c r="EX33" s="91"/>
      <c r="EY33" s="91"/>
      <c r="EZ33" s="91"/>
      <c r="FA33" s="91"/>
      <c r="FB33" s="91"/>
      <c r="FC33" s="91"/>
      <c r="FD33" s="91"/>
      <c r="FE33" s="91"/>
      <c r="FF33" s="91"/>
      <c r="FG33" s="91"/>
      <c r="FH33" s="91"/>
      <c r="FI33" s="91"/>
      <c r="FJ33" s="91"/>
      <c r="FK33" s="91"/>
      <c r="FL33" s="91"/>
      <c r="FM33" s="91"/>
      <c r="FN33" s="91"/>
      <c r="FO33" s="91"/>
      <c r="FP33" s="91"/>
      <c r="FQ33" s="91"/>
      <c r="FR33" s="91"/>
      <c r="FS33" s="91"/>
      <c r="FT33" s="91"/>
      <c r="FU33" s="91"/>
      <c r="FV33" s="91"/>
      <c r="FW33" s="91"/>
      <c r="FX33" s="91"/>
      <c r="FY33" s="91"/>
      <c r="FZ33" s="91"/>
      <c r="GA33" s="91"/>
      <c r="GB33" s="91"/>
      <c r="GC33" s="91"/>
      <c r="GD33" s="91"/>
      <c r="GE33" s="91"/>
      <c r="GF33" s="91"/>
      <c r="GG33" s="91"/>
      <c r="GH33" s="91"/>
      <c r="GI33" s="91"/>
      <c r="GJ33" s="91"/>
      <c r="GK33" s="91"/>
      <c r="GL33" s="91"/>
      <c r="GM33" s="91"/>
      <c r="GN33" s="91"/>
      <c r="GO33" s="91"/>
      <c r="GP33" s="91"/>
      <c r="GQ33" s="91"/>
      <c r="GR33" s="91"/>
      <c r="GS33" s="91"/>
      <c r="GT33" s="91"/>
      <c r="GU33" s="91"/>
      <c r="GV33" s="91"/>
      <c r="GW33" s="91"/>
      <c r="GX33" s="91"/>
      <c r="GY33" s="91"/>
      <c r="GZ33" s="91"/>
      <c r="HA33" s="91"/>
      <c r="HB33" s="91"/>
      <c r="HC33" s="91"/>
      <c r="HD33" s="91"/>
      <c r="HE33" s="91"/>
      <c r="HF33" s="91"/>
      <c r="HG33" s="91"/>
      <c r="HH33" s="91"/>
      <c r="HI33" s="91"/>
      <c r="HJ33" s="91"/>
      <c r="HK33" s="91"/>
    </row>
    <row r="34" spans="1:219" s="8" customFormat="1" ht="12.75" customHeight="1">
      <c r="A34" s="131">
        <v>1</v>
      </c>
      <c r="B34" s="22" t="str">
        <f>VLOOKUP(Ruimtestaat[[#This Row],[Code]],Locaties[#All],2,FALSE)</f>
        <v>ESH Secondary School</v>
      </c>
      <c r="C34" s="22" t="str">
        <f>VLOOKUP(Ruimtestaat[[#This Row],[Code]],Locaties[#All],4,FALSE)</f>
        <v>Oostduinlaan 50</v>
      </c>
      <c r="D34" s="334" t="str">
        <f>VLOOKUP(Ruimtestaat[[#This Row],[Code]],Locaties[#All],5,FALSE)</f>
        <v>2596 JP</v>
      </c>
      <c r="E34" s="334" t="str">
        <f>VLOOKUP(Ruimtestaat[[#This Row],[Code]],Locaties[#All],6,FALSE)</f>
        <v>Den Haag</v>
      </c>
      <c r="F34" s="326"/>
      <c r="G34" s="324" t="s">
        <v>1610</v>
      </c>
      <c r="H34" s="324" t="s">
        <v>1601</v>
      </c>
      <c r="I34" s="327" t="s">
        <v>1493</v>
      </c>
      <c r="J34" s="328">
        <v>5</v>
      </c>
      <c r="K34" s="348" t="str">
        <f>VLOOKUP(J34,Ruimtegroepen[],2,FALSE)</f>
        <v>Sanitair</v>
      </c>
      <c r="L34" s="212" t="s">
        <v>123</v>
      </c>
      <c r="M34" s="334" t="s">
        <v>144</v>
      </c>
      <c r="N34" s="330">
        <v>10</v>
      </c>
      <c r="O34" s="331"/>
      <c r="P34" s="332" t="str">
        <f>VLOOKUP(Ruimtestaat[[#This Row],[Ruimte code]],Ruimtegroepen[],4,FALSE)</f>
        <v>S  (Sanitair)</v>
      </c>
      <c r="Q34" s="332"/>
      <c r="R34" s="333">
        <v>40</v>
      </c>
      <c r="S34" s="333" t="s">
        <v>19</v>
      </c>
      <c r="T34" s="37"/>
      <c r="U34" s="37">
        <f>IF(R34&gt;0,IF(RIGHT(Ruimtestaat[[#This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34" s="37">
        <f>IF(U34&gt;0,VLOOKUP($J34,Ruimtegroepen[],3,FALSE)*VLOOKUP($L34,Vloersoorten[],3,FALSE)*VLOOKUP($S34,Frequenties[],3,FALSE)*VLOOKUP($A34,Locaties[],3,FALSE),0)</f>
        <v>0</v>
      </c>
      <c r="W34" s="37">
        <f>Ruimtestaat[[#This Row],[Uitvoeringen werkdagen]]*Ruimtestaat[[#This Row],[Oppervlak (netto)]]</f>
        <v>4000</v>
      </c>
      <c r="X34" s="37">
        <f>IF(V34&gt;0,Ruimtestaat[[#This Row],[Prest. (m2 /jaar) werkdagen]]/Ruimtestaat[[#This Row],[Norm (m2/uur) werkdagen]],0)</f>
        <v>0</v>
      </c>
      <c r="Y34" s="37">
        <f>Ruimtestaat[[#This Row],[uren / jaar werkdagen]]*Tariefsopbouw!$D$38</f>
        <v>0</v>
      </c>
      <c r="Z34" s="37">
        <f>IF(Ruimtestaat[[#This Row],[Frequentie weekend]]&gt;0,VALUE(LEFT(T34,1))*R34,0)</f>
        <v>0</v>
      </c>
      <c r="AA34" s="37">
        <f>IF($Z34&gt;0,VLOOKUP($J34,Ruimtegroepen[],3,FALSE)*VLOOKUP($L34,Vloersoorten[],3,FALSE)*VLOOKUP($T34,Frequenties[],3,FALSE)*VLOOKUP($A34,Locaties[],3,FALSE),0)</f>
        <v>0</v>
      </c>
      <c r="AB34" s="37">
        <f>Ruimtestaat[[#This Row],[Uitvoeringen weekend]]*Ruimtestaat[[#This Row],[Oppervlak (netto)]]</f>
        <v>0</v>
      </c>
      <c r="AC34" s="37">
        <f>IF(AA34&gt;0,Ruimtestaat[[#This Row],[Prest. (m2 /jaar) weekend]]/Ruimtestaat[[#This Row],[Norm (m2/uur) weekend]],0)</f>
        <v>0</v>
      </c>
      <c r="AD34" s="37">
        <f>Ruimtestaat[[#This Row],[uren / jaar weekend]]*Tariefsopbouw!$D$40</f>
        <v>0</v>
      </c>
      <c r="AE34" s="89">
        <f>Ruimtestaat[[#This Row],[Prest. (m2 /jaar) weekend]]+Ruimtestaat[[#This Row],[Prest. (m2 /jaar) werkdagen]]</f>
        <v>4000</v>
      </c>
      <c r="AF34" s="89">
        <f>Ruimtestaat[[#This Row],[uren / jaar weekend]]+Ruimtestaat[[#This Row],[uren / jaar werkdagen]]</f>
        <v>0</v>
      </c>
      <c r="AG34" s="90">
        <f>Ruimtestaat[[#This Row],[kosten / jaar weekend]]+Ruimtestaat[[#This Row],[kosten / jaar werkdagen]]</f>
        <v>0</v>
      </c>
      <c r="AH34" s="253"/>
      <c r="AI34" s="252" t="str">
        <f>IF(Ruimtestaat[[#This Row],[Frequentie werkdagen]]="","",_xlfn.CONCAT(Ruimtestaat[[#This Row],[Ruimte code]],"-",Ruimtestaat[[#This Row],[Frequentie werkdagen]]," ",Ruimtestaat[[#This Row],[Vloer code]]))</f>
        <v>5-10w P</v>
      </c>
      <c r="AJ34" s="247" t="str">
        <f>_xlfn.IFNA(VLOOKUP(Ruimtestaat[[#This Row],[Programmacode
Regulier]],Programma!$F$4:$Y$36148,2,0),"_")</f>
        <v>_</v>
      </c>
      <c r="AK34" s="247" t="str">
        <f>_xlfn.IFNA(VLOOKUP(Ruimtestaat[[#This Row],[Programmacode
Regulier]],Programma!$F$4:$Y$36148,3,0),"_")</f>
        <v>_</v>
      </c>
      <c r="AL34" s="247" t="str">
        <f>_xlfn.IFNA(VLOOKUP(Ruimtestaat[[#This Row],[Programmacode
Regulier]],Programma!$F$4:$Y$36148,4,0),"_")</f>
        <v>_</v>
      </c>
      <c r="AM34" s="247" t="str">
        <f>_xlfn.IFNA(VLOOKUP(Ruimtestaat[[#This Row],[Programmacode
Regulier]],Programma!$F$4:$Y$36148,5,0),"_")</f>
        <v>4w</v>
      </c>
      <c r="AN34" s="247" t="str">
        <f>_xlfn.IFNA(VLOOKUP(Ruimtestaat[[#This Row],[Programmacode
Regulier]],Programma!$F$4:$Y$36148,6,0),"_")</f>
        <v>1w</v>
      </c>
      <c r="AO34" s="247" t="str">
        <f>_xlfn.IFNA(VLOOKUP(Ruimtestaat[[#This Row],[Programmacode
Regulier]],Programma!$F$4:$Y$36148,7,0),"_")</f>
        <v>_</v>
      </c>
      <c r="AP34" s="247" t="str">
        <f>_xlfn.IFNA(VLOOKUP(Ruimtestaat[[#This Row],[Programmacode
Regulier]],Programma!$F$4:$Y$36148,8,0),"_")</f>
        <v>_</v>
      </c>
      <c r="AQ34" s="247" t="str">
        <f>_xlfn.IFNA(VLOOKUP(Ruimtestaat[[#This Row],[Programmacode
Regulier]],Programma!$F$4:$Y$36148,9,0),"_")</f>
        <v>5w</v>
      </c>
      <c r="AR34" s="248" t="str">
        <f>_xlfn.IFNA(VLOOKUP(Ruimtestaat[[#This Row],[Programmacode
Regulier]],Programma!$F$4:$Y$36148,10,0),"_")</f>
        <v>_</v>
      </c>
      <c r="AS34" s="248" t="str">
        <f>_xlfn.IFNA(VLOOKUP(Ruimtestaat[[#This Row],[Programmacode
Regulier]],Programma!$F$4:$Y$36148,11,0),"_")</f>
        <v>_</v>
      </c>
      <c r="AT34" s="248" t="str">
        <f>_xlfn.IFNA(VLOOKUP(Ruimtestaat[[#This Row],[Programmacode
Regulier]],Programma!$F$4:$Y$36148,12,0),"_")</f>
        <v>_</v>
      </c>
      <c r="AU34" s="248" t="str">
        <f>_xlfn.IFNA(VLOOKUP(Ruimtestaat[[#This Row],[Programmacode
Regulier]],Programma!$F$4:$Y$36148,13,0),"_")</f>
        <v>_</v>
      </c>
      <c r="AV34" s="248" t="str">
        <f>_xlfn.IFNA(VLOOKUP(Ruimtestaat[[#This Row],[Programmacode
Regulier]],Programma!$F$4:$Y$36148,14,0),"_")</f>
        <v>_</v>
      </c>
      <c r="AW34" s="248" t="str">
        <f>_xlfn.IFNA(VLOOKUP(Ruimtestaat[[#This Row],[Programmacode
Regulier]],Programma!$F$4:$Y$36148,15,0),"_")</f>
        <v>_</v>
      </c>
      <c r="AX34" s="248" t="str">
        <f>_xlfn.IFNA(VLOOKUP(Ruimtestaat[[#This Row],[Programmacode
Regulier]],Programma!$F$4:$Y$36148,16,0),"_")</f>
        <v>_</v>
      </c>
      <c r="AY34" s="248" t="str">
        <f>_xlfn.IFNA(VLOOKUP(Ruimtestaat[[#This Row],[Programmacode
Regulier]],Programma!$F$4:$Y$36148,17,0),"_")</f>
        <v>_</v>
      </c>
      <c r="AZ34" s="249" t="str">
        <f>_xlfn.IFNA(VLOOKUP(Ruimtestaat[[#This Row],[Programmacode
Regulier]],Programma!$F$4:$Y$36148,18,0),"_")</f>
        <v>4w</v>
      </c>
      <c r="BA34" s="249" t="str">
        <f>_xlfn.IFNA(VLOOKUP(Ruimtestaat[[#This Row],[Programmacode
Regulier]],Programma!$F$4:$Y$36148,19,0),"_")</f>
        <v>1w</v>
      </c>
      <c r="BB34" s="249" t="str">
        <f>_xlfn.IFNA(VLOOKUP(Ruimtestaat[[#This Row],[Programmacode
Regulier]],Programma!$F$4:$Y$36148,20,0),"_")</f>
        <v>5w</v>
      </c>
      <c r="BC34" s="250"/>
      <c r="BD34" s="212" t="str">
        <f>IF(Ruimtestaat[[#This Row],[Frequentie weekend]]="","",_xlfn.CONCAT(Ruimtestaat[[#This Row],[Ruimte code]],"-",Ruimtestaat[[#This Row],[Frequentie weekend]]," ",Ruimtestaat[[#This Row],[Vloer code]]))</f>
        <v/>
      </c>
      <c r="BE34" s="247" t="str">
        <f>_xlfn.IFNA(VLOOKUP(Ruimtestaat[[#This Row],[Code Weekend]],Programma!$F$4:$Y$36148,2,0),"_")</f>
        <v>_</v>
      </c>
      <c r="BF34" s="247" t="str">
        <f>_xlfn.IFNA(VLOOKUP(Ruimtestaat[[#This Row],[Code Weekend]],Programma!$F$4:$Y$36148,3,0),"_")</f>
        <v>_</v>
      </c>
      <c r="BG34" s="247" t="str">
        <f>_xlfn.IFNA(VLOOKUP(Ruimtestaat[[#This Row],[Code Weekend]],Programma!$F$4:$Y$36148,4,0),"_")</f>
        <v>_</v>
      </c>
      <c r="BH34" s="247" t="str">
        <f>_xlfn.IFNA(VLOOKUP(Ruimtestaat[[#This Row],[Code Weekend]],Programma!$F$4:$Y$36148,5,0),"_")</f>
        <v>_</v>
      </c>
      <c r="BI34" s="247" t="str">
        <f>_xlfn.IFNA(VLOOKUP(Ruimtestaat[[#This Row],[Code Weekend]],Programma!$F$4:$Y$36148,6,0),"_")</f>
        <v>_</v>
      </c>
      <c r="BJ34" s="247" t="str">
        <f>_xlfn.IFNA(VLOOKUP(Ruimtestaat[[#This Row],[Code Weekend]],Programma!$F$4:$Y$36148,7,0),"_")</f>
        <v>_</v>
      </c>
      <c r="BK34" s="247" t="str">
        <f>_xlfn.IFNA(VLOOKUP(Ruimtestaat[[#This Row],[Code Weekend]],Programma!$F$4:$Y$36148,8,0),"_")</f>
        <v>_</v>
      </c>
      <c r="BL34" s="247" t="str">
        <f>_xlfn.IFNA(VLOOKUP(Ruimtestaat[[#This Row],[Code Weekend]],Programma!$F$4:$Y$36148,9,0),"_")</f>
        <v>_</v>
      </c>
      <c r="BM34" s="248" t="str">
        <f>_xlfn.IFNA(VLOOKUP(Ruimtestaat[[#This Row],[Code Weekend]],Programma!$F$4:$Y$36148,10,0),"_")</f>
        <v>_</v>
      </c>
      <c r="BN34" s="248" t="str">
        <f>_xlfn.IFNA(VLOOKUP(Ruimtestaat[[#This Row],[Code Weekend]],Programma!$F$4:$Y$36148,11,0),"_")</f>
        <v>_</v>
      </c>
      <c r="BO34" s="248" t="str">
        <f>_xlfn.IFNA(VLOOKUP(Ruimtestaat[[#This Row],[Code Weekend]],Programma!$F$4:$Y$36148,12,0),"_")</f>
        <v>_</v>
      </c>
      <c r="BP34" s="248" t="str">
        <f>_xlfn.IFNA(VLOOKUP(Ruimtestaat[[#This Row],[Code Weekend]],Programma!$F$4:$Y$36148,13,0),"_")</f>
        <v>_</v>
      </c>
      <c r="BQ34" s="248" t="str">
        <f>_xlfn.IFNA(VLOOKUP(Ruimtestaat[[#This Row],[Code Weekend]],Programma!$F$4:$Y$36148,14,0),"_")</f>
        <v>_</v>
      </c>
      <c r="BR34" s="248" t="str">
        <f>_xlfn.IFNA(VLOOKUP(Ruimtestaat[[#This Row],[Code Weekend]],Programma!$F$4:$Y$36148,15,0),"_")</f>
        <v>_</v>
      </c>
      <c r="BS34" s="248" t="str">
        <f>_xlfn.IFNA(VLOOKUP(Ruimtestaat[[#This Row],[Code Weekend]],Programma!$F$4:$Y$36148,16,0),"_")</f>
        <v>_</v>
      </c>
      <c r="BT34" s="248" t="str">
        <f>_xlfn.IFNA(VLOOKUP(Ruimtestaat[[#This Row],[Code Weekend]],Programma!$F$4:$Y$36148,17,0),"_")</f>
        <v>_</v>
      </c>
      <c r="BU34" s="249" t="str">
        <f>_xlfn.IFNA(VLOOKUP(Ruimtestaat[[#This Row],[Code Weekend]],Programma!$F$4:$Y$36148,18,0),"_")</f>
        <v>_</v>
      </c>
      <c r="BV34" s="249" t="str">
        <f>_xlfn.IFNA(VLOOKUP(Ruimtestaat[[#This Row],[Code Weekend]],Programma!$F$4:$Y$36148,19,0),"_")</f>
        <v>_</v>
      </c>
      <c r="BW34" s="249" t="str">
        <f>_xlfn.IFNA(VLOOKUP(Ruimtestaat[[#This Row],[Code Weekend]],Programma!$F$4:$Y$36148,20,0),"_")</f>
        <v>_</v>
      </c>
      <c r="BX34" s="91"/>
      <c r="BY34" s="91"/>
      <c r="BZ34" s="91"/>
      <c r="CA34" s="91"/>
      <c r="CB34" s="91"/>
      <c r="CC34" s="91"/>
      <c r="CD34" s="91"/>
      <c r="CE34" s="91"/>
      <c r="CF34" s="91"/>
      <c r="CG34" s="91"/>
      <c r="CH34" s="91"/>
      <c r="CI34" s="91"/>
      <c r="CJ34" s="91"/>
      <c r="CK34" s="91"/>
      <c r="CL34" s="91"/>
      <c r="CM34" s="91"/>
      <c r="CN34" s="91"/>
      <c r="CO34" s="91"/>
      <c r="CP34" s="91"/>
      <c r="CQ34" s="91"/>
      <c r="CR34" s="91"/>
      <c r="CS34" s="91"/>
      <c r="CT34" s="91"/>
      <c r="CU34" s="91"/>
      <c r="CV34" s="91"/>
      <c r="CW34" s="91"/>
      <c r="CX34" s="91"/>
      <c r="CY34" s="91"/>
      <c r="CZ34" s="91"/>
      <c r="DA34" s="91"/>
      <c r="DB34" s="91"/>
      <c r="DC34" s="91"/>
      <c r="DD34" s="91"/>
      <c r="DE34" s="91"/>
      <c r="DF34" s="91"/>
      <c r="DG34" s="91"/>
      <c r="DH34" s="91"/>
      <c r="DI34" s="91"/>
      <c r="DJ34" s="91"/>
      <c r="DK34" s="91"/>
      <c r="DL34" s="91"/>
      <c r="DM34" s="91"/>
      <c r="DN34" s="91"/>
      <c r="DO34" s="91"/>
      <c r="DP34" s="91"/>
      <c r="DQ34" s="91"/>
      <c r="DR34" s="91"/>
      <c r="DS34" s="91"/>
      <c r="DT34" s="91"/>
      <c r="DU34" s="91"/>
      <c r="DV34" s="91"/>
      <c r="DW34" s="91"/>
      <c r="DX34" s="91"/>
      <c r="DY34" s="91"/>
      <c r="DZ34" s="91"/>
      <c r="EA34" s="91"/>
      <c r="EB34" s="91"/>
      <c r="EC34" s="91"/>
      <c r="ED34" s="91"/>
      <c r="EE34" s="91"/>
      <c r="EF34" s="91"/>
      <c r="EG34" s="91"/>
      <c r="EH34" s="91"/>
      <c r="EI34" s="91"/>
      <c r="EJ34" s="91"/>
      <c r="EK34" s="91"/>
      <c r="EL34" s="91"/>
      <c r="EM34" s="91"/>
      <c r="EN34" s="91"/>
      <c r="EO34" s="91"/>
      <c r="EP34" s="91"/>
      <c r="EQ34" s="91"/>
      <c r="ER34" s="91"/>
      <c r="ES34" s="91"/>
      <c r="ET34" s="91"/>
      <c r="EU34" s="91"/>
      <c r="EV34" s="91"/>
      <c r="EW34" s="91"/>
      <c r="EX34" s="91"/>
      <c r="EY34" s="91"/>
      <c r="EZ34" s="91"/>
      <c r="FA34" s="91"/>
      <c r="FB34" s="91"/>
      <c r="FC34" s="91"/>
      <c r="FD34" s="91"/>
      <c r="FE34" s="91"/>
      <c r="FF34" s="91"/>
      <c r="FG34" s="91"/>
      <c r="FH34" s="91"/>
      <c r="FI34" s="91"/>
      <c r="FJ34" s="91"/>
      <c r="FK34" s="91"/>
      <c r="FL34" s="91"/>
      <c r="FM34" s="91"/>
      <c r="FN34" s="91"/>
      <c r="FO34" s="91"/>
      <c r="FP34" s="91"/>
      <c r="FQ34" s="91"/>
      <c r="FR34" s="91"/>
      <c r="FS34" s="91"/>
      <c r="FT34" s="91"/>
      <c r="FU34" s="91"/>
      <c r="FV34" s="91"/>
      <c r="FW34" s="91"/>
      <c r="FX34" s="91"/>
      <c r="FY34" s="91"/>
      <c r="FZ34" s="91"/>
      <c r="GA34" s="91"/>
      <c r="GB34" s="91"/>
      <c r="GC34" s="91"/>
      <c r="GD34" s="91"/>
      <c r="GE34" s="91"/>
      <c r="GF34" s="91"/>
      <c r="GG34" s="91"/>
      <c r="GH34" s="91"/>
      <c r="GI34" s="91"/>
      <c r="GJ34" s="91"/>
      <c r="GK34" s="91"/>
      <c r="GL34" s="91"/>
      <c r="GM34" s="91"/>
      <c r="GN34" s="91"/>
      <c r="GO34" s="91"/>
      <c r="GP34" s="91"/>
      <c r="GQ34" s="91"/>
      <c r="GR34" s="91"/>
      <c r="GS34" s="91"/>
      <c r="GT34" s="91"/>
      <c r="GU34" s="91"/>
      <c r="GV34" s="91"/>
      <c r="GW34" s="91"/>
      <c r="GX34" s="91"/>
      <c r="GY34" s="91"/>
      <c r="GZ34" s="91"/>
      <c r="HA34" s="91"/>
      <c r="HB34" s="91"/>
      <c r="HC34" s="91"/>
      <c r="HD34" s="91"/>
      <c r="HE34" s="91"/>
      <c r="HF34" s="91"/>
      <c r="HG34" s="91"/>
      <c r="HH34" s="91"/>
      <c r="HI34" s="91"/>
      <c r="HJ34" s="91"/>
      <c r="HK34" s="91"/>
    </row>
    <row r="35" spans="1:219" s="8" customFormat="1" ht="12.75" customHeight="1">
      <c r="A35" s="131">
        <v>1</v>
      </c>
      <c r="B35" s="22" t="str">
        <f>VLOOKUP(Ruimtestaat[[#This Row],[Code]],Locaties[#All],2,FALSE)</f>
        <v>ESH Secondary School</v>
      </c>
      <c r="C35" s="22" t="str">
        <f>VLOOKUP(Ruimtestaat[[#This Row],[Code]],Locaties[#All],4,FALSE)</f>
        <v>Oostduinlaan 50</v>
      </c>
      <c r="D35" s="334" t="str">
        <f>VLOOKUP(Ruimtestaat[[#This Row],[Code]],Locaties[#All],5,FALSE)</f>
        <v>2596 JP</v>
      </c>
      <c r="E35" s="334" t="str">
        <f>VLOOKUP(Ruimtestaat[[#This Row],[Code]],Locaties[#All],6,FALSE)</f>
        <v>Den Haag</v>
      </c>
      <c r="F35" s="326"/>
      <c r="G35" s="324" t="s">
        <v>1610</v>
      </c>
      <c r="H35" s="324" t="s">
        <v>1602</v>
      </c>
      <c r="I35" s="327" t="s">
        <v>1619</v>
      </c>
      <c r="J35" s="328">
        <v>5</v>
      </c>
      <c r="K35" s="348" t="str">
        <f>VLOOKUP(J35,Ruimtegroepen[],2,FALSE)</f>
        <v>Sanitair</v>
      </c>
      <c r="L35" s="212" t="s">
        <v>123</v>
      </c>
      <c r="M35" s="334" t="s">
        <v>144</v>
      </c>
      <c r="N35" s="330">
        <v>3</v>
      </c>
      <c r="O35" s="331"/>
      <c r="P35" s="332" t="str">
        <f>VLOOKUP(Ruimtestaat[[#This Row],[Ruimte code]],Ruimtegroepen[],4,FALSE)</f>
        <v>S  (Sanitair)</v>
      </c>
      <c r="Q35" s="332"/>
      <c r="R35" s="333">
        <v>40</v>
      </c>
      <c r="S35" s="333" t="s">
        <v>19</v>
      </c>
      <c r="T35" s="37"/>
      <c r="U35" s="37">
        <f>IF(R35&gt;0,IF(RIGHT(Ruimtestaat[[#This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35" s="37">
        <f>IF(U35&gt;0,VLOOKUP($J35,Ruimtegroepen[],3,FALSE)*VLOOKUP($L35,Vloersoorten[],3,FALSE)*VLOOKUP($S35,Frequenties[],3,FALSE)*VLOOKUP($A35,Locaties[],3,FALSE),0)</f>
        <v>0</v>
      </c>
      <c r="W35" s="37">
        <f>Ruimtestaat[[#This Row],[Uitvoeringen werkdagen]]*Ruimtestaat[[#This Row],[Oppervlak (netto)]]</f>
        <v>1200</v>
      </c>
      <c r="X35" s="37">
        <f>IF(V35&gt;0,Ruimtestaat[[#This Row],[Prest. (m2 /jaar) werkdagen]]/Ruimtestaat[[#This Row],[Norm (m2/uur) werkdagen]],0)</f>
        <v>0</v>
      </c>
      <c r="Y35" s="37">
        <f>Ruimtestaat[[#This Row],[uren / jaar werkdagen]]*Tariefsopbouw!$D$38</f>
        <v>0</v>
      </c>
      <c r="Z35" s="37">
        <f>IF(Ruimtestaat[[#This Row],[Frequentie weekend]]&gt;0,VALUE(LEFT(T35,1))*R35,0)</f>
        <v>0</v>
      </c>
      <c r="AA35" s="37">
        <f>IF($Z35&gt;0,VLOOKUP($J35,Ruimtegroepen[],3,FALSE)*VLOOKUP($L35,Vloersoorten[],3,FALSE)*VLOOKUP($T35,Frequenties[],3,FALSE)*VLOOKUP($A35,Locaties[],3,FALSE),0)</f>
        <v>0</v>
      </c>
      <c r="AB35" s="37">
        <f>Ruimtestaat[[#This Row],[Uitvoeringen weekend]]*Ruimtestaat[[#This Row],[Oppervlak (netto)]]</f>
        <v>0</v>
      </c>
      <c r="AC35" s="37">
        <f>IF(AA35&gt;0,Ruimtestaat[[#This Row],[Prest. (m2 /jaar) weekend]]/Ruimtestaat[[#This Row],[Norm (m2/uur) weekend]],0)</f>
        <v>0</v>
      </c>
      <c r="AD35" s="37">
        <f>Ruimtestaat[[#This Row],[uren / jaar weekend]]*Tariefsopbouw!$D$40</f>
        <v>0</v>
      </c>
      <c r="AE35" s="89">
        <f>Ruimtestaat[[#This Row],[Prest. (m2 /jaar) weekend]]+Ruimtestaat[[#This Row],[Prest. (m2 /jaar) werkdagen]]</f>
        <v>1200</v>
      </c>
      <c r="AF35" s="89">
        <f>Ruimtestaat[[#This Row],[uren / jaar weekend]]+Ruimtestaat[[#This Row],[uren / jaar werkdagen]]</f>
        <v>0</v>
      </c>
      <c r="AG35" s="90">
        <f>Ruimtestaat[[#This Row],[kosten / jaar weekend]]+Ruimtestaat[[#This Row],[kosten / jaar werkdagen]]</f>
        <v>0</v>
      </c>
      <c r="AH35" s="253"/>
      <c r="AI35" s="252" t="str">
        <f>IF(Ruimtestaat[[#This Row],[Frequentie werkdagen]]="","",_xlfn.CONCAT(Ruimtestaat[[#This Row],[Ruimte code]],"-",Ruimtestaat[[#This Row],[Frequentie werkdagen]]," ",Ruimtestaat[[#This Row],[Vloer code]]))</f>
        <v>5-10w P</v>
      </c>
      <c r="AJ35" s="247" t="str">
        <f>_xlfn.IFNA(VLOOKUP(Ruimtestaat[[#This Row],[Programmacode
Regulier]],Programma!$F$4:$Y$36148,2,0),"_")</f>
        <v>_</v>
      </c>
      <c r="AK35" s="247" t="str">
        <f>_xlfn.IFNA(VLOOKUP(Ruimtestaat[[#This Row],[Programmacode
Regulier]],Programma!$F$4:$Y$36148,3,0),"_")</f>
        <v>_</v>
      </c>
      <c r="AL35" s="247" t="str">
        <f>_xlfn.IFNA(VLOOKUP(Ruimtestaat[[#This Row],[Programmacode
Regulier]],Programma!$F$4:$Y$36148,4,0),"_")</f>
        <v>_</v>
      </c>
      <c r="AM35" s="247" t="str">
        <f>_xlfn.IFNA(VLOOKUP(Ruimtestaat[[#This Row],[Programmacode
Regulier]],Programma!$F$4:$Y$36148,5,0),"_")</f>
        <v>4w</v>
      </c>
      <c r="AN35" s="247" t="str">
        <f>_xlfn.IFNA(VLOOKUP(Ruimtestaat[[#This Row],[Programmacode
Regulier]],Programma!$F$4:$Y$36148,6,0),"_")</f>
        <v>1w</v>
      </c>
      <c r="AO35" s="247" t="str">
        <f>_xlfn.IFNA(VLOOKUP(Ruimtestaat[[#This Row],[Programmacode
Regulier]],Programma!$F$4:$Y$36148,7,0),"_")</f>
        <v>_</v>
      </c>
      <c r="AP35" s="247" t="str">
        <f>_xlfn.IFNA(VLOOKUP(Ruimtestaat[[#This Row],[Programmacode
Regulier]],Programma!$F$4:$Y$36148,8,0),"_")</f>
        <v>_</v>
      </c>
      <c r="AQ35" s="247" t="str">
        <f>_xlfn.IFNA(VLOOKUP(Ruimtestaat[[#This Row],[Programmacode
Regulier]],Programma!$F$4:$Y$36148,9,0),"_")</f>
        <v>5w</v>
      </c>
      <c r="AR35" s="248" t="str">
        <f>_xlfn.IFNA(VLOOKUP(Ruimtestaat[[#This Row],[Programmacode
Regulier]],Programma!$F$4:$Y$36148,10,0),"_")</f>
        <v>_</v>
      </c>
      <c r="AS35" s="248" t="str">
        <f>_xlfn.IFNA(VLOOKUP(Ruimtestaat[[#This Row],[Programmacode
Regulier]],Programma!$F$4:$Y$36148,11,0),"_")</f>
        <v>_</v>
      </c>
      <c r="AT35" s="248" t="str">
        <f>_xlfn.IFNA(VLOOKUP(Ruimtestaat[[#This Row],[Programmacode
Regulier]],Programma!$F$4:$Y$36148,12,0),"_")</f>
        <v>_</v>
      </c>
      <c r="AU35" s="248" t="str">
        <f>_xlfn.IFNA(VLOOKUP(Ruimtestaat[[#This Row],[Programmacode
Regulier]],Programma!$F$4:$Y$36148,13,0),"_")</f>
        <v>_</v>
      </c>
      <c r="AV35" s="248" t="str">
        <f>_xlfn.IFNA(VLOOKUP(Ruimtestaat[[#This Row],[Programmacode
Regulier]],Programma!$F$4:$Y$36148,14,0),"_")</f>
        <v>_</v>
      </c>
      <c r="AW35" s="248" t="str">
        <f>_xlfn.IFNA(VLOOKUP(Ruimtestaat[[#This Row],[Programmacode
Regulier]],Programma!$F$4:$Y$36148,15,0),"_")</f>
        <v>_</v>
      </c>
      <c r="AX35" s="248" t="str">
        <f>_xlfn.IFNA(VLOOKUP(Ruimtestaat[[#This Row],[Programmacode
Regulier]],Programma!$F$4:$Y$36148,16,0),"_")</f>
        <v>_</v>
      </c>
      <c r="AY35" s="248" t="str">
        <f>_xlfn.IFNA(VLOOKUP(Ruimtestaat[[#This Row],[Programmacode
Regulier]],Programma!$F$4:$Y$36148,17,0),"_")</f>
        <v>_</v>
      </c>
      <c r="AZ35" s="249" t="str">
        <f>_xlfn.IFNA(VLOOKUP(Ruimtestaat[[#This Row],[Programmacode
Regulier]],Programma!$F$4:$Y$36148,18,0),"_")</f>
        <v>4w</v>
      </c>
      <c r="BA35" s="249" t="str">
        <f>_xlfn.IFNA(VLOOKUP(Ruimtestaat[[#This Row],[Programmacode
Regulier]],Programma!$F$4:$Y$36148,19,0),"_")</f>
        <v>1w</v>
      </c>
      <c r="BB35" s="249" t="str">
        <f>_xlfn.IFNA(VLOOKUP(Ruimtestaat[[#This Row],[Programmacode
Regulier]],Programma!$F$4:$Y$36148,20,0),"_")</f>
        <v>5w</v>
      </c>
      <c r="BC35" s="250"/>
      <c r="BD35" s="212" t="str">
        <f>IF(Ruimtestaat[[#This Row],[Frequentie weekend]]="","",_xlfn.CONCAT(Ruimtestaat[[#This Row],[Ruimte code]],"-",Ruimtestaat[[#This Row],[Frequentie weekend]]," ",Ruimtestaat[[#This Row],[Vloer code]]))</f>
        <v/>
      </c>
      <c r="BE35" s="247" t="str">
        <f>_xlfn.IFNA(VLOOKUP(Ruimtestaat[[#This Row],[Code Weekend]],Programma!$F$4:$Y$36148,2,0),"_")</f>
        <v>_</v>
      </c>
      <c r="BF35" s="247" t="str">
        <f>_xlfn.IFNA(VLOOKUP(Ruimtestaat[[#This Row],[Code Weekend]],Programma!$F$4:$Y$36148,3,0),"_")</f>
        <v>_</v>
      </c>
      <c r="BG35" s="247" t="str">
        <f>_xlfn.IFNA(VLOOKUP(Ruimtestaat[[#This Row],[Code Weekend]],Programma!$F$4:$Y$36148,4,0),"_")</f>
        <v>_</v>
      </c>
      <c r="BH35" s="247" t="str">
        <f>_xlfn.IFNA(VLOOKUP(Ruimtestaat[[#This Row],[Code Weekend]],Programma!$F$4:$Y$36148,5,0),"_")</f>
        <v>_</v>
      </c>
      <c r="BI35" s="247" t="str">
        <f>_xlfn.IFNA(VLOOKUP(Ruimtestaat[[#This Row],[Code Weekend]],Programma!$F$4:$Y$36148,6,0),"_")</f>
        <v>_</v>
      </c>
      <c r="BJ35" s="247" t="str">
        <f>_xlfn.IFNA(VLOOKUP(Ruimtestaat[[#This Row],[Code Weekend]],Programma!$F$4:$Y$36148,7,0),"_")</f>
        <v>_</v>
      </c>
      <c r="BK35" s="247" t="str">
        <f>_xlfn.IFNA(VLOOKUP(Ruimtestaat[[#This Row],[Code Weekend]],Programma!$F$4:$Y$36148,8,0),"_")</f>
        <v>_</v>
      </c>
      <c r="BL35" s="247" t="str">
        <f>_xlfn.IFNA(VLOOKUP(Ruimtestaat[[#This Row],[Code Weekend]],Programma!$F$4:$Y$36148,9,0),"_")</f>
        <v>_</v>
      </c>
      <c r="BM35" s="248" t="str">
        <f>_xlfn.IFNA(VLOOKUP(Ruimtestaat[[#This Row],[Code Weekend]],Programma!$F$4:$Y$36148,10,0),"_")</f>
        <v>_</v>
      </c>
      <c r="BN35" s="248" t="str">
        <f>_xlfn.IFNA(VLOOKUP(Ruimtestaat[[#This Row],[Code Weekend]],Programma!$F$4:$Y$36148,11,0),"_")</f>
        <v>_</v>
      </c>
      <c r="BO35" s="248" t="str">
        <f>_xlfn.IFNA(VLOOKUP(Ruimtestaat[[#This Row],[Code Weekend]],Programma!$F$4:$Y$36148,12,0),"_")</f>
        <v>_</v>
      </c>
      <c r="BP35" s="248" t="str">
        <f>_xlfn.IFNA(VLOOKUP(Ruimtestaat[[#This Row],[Code Weekend]],Programma!$F$4:$Y$36148,13,0),"_")</f>
        <v>_</v>
      </c>
      <c r="BQ35" s="248" t="str">
        <f>_xlfn.IFNA(VLOOKUP(Ruimtestaat[[#This Row],[Code Weekend]],Programma!$F$4:$Y$36148,14,0),"_")</f>
        <v>_</v>
      </c>
      <c r="BR35" s="248" t="str">
        <f>_xlfn.IFNA(VLOOKUP(Ruimtestaat[[#This Row],[Code Weekend]],Programma!$F$4:$Y$36148,15,0),"_")</f>
        <v>_</v>
      </c>
      <c r="BS35" s="248" t="str">
        <f>_xlfn.IFNA(VLOOKUP(Ruimtestaat[[#This Row],[Code Weekend]],Programma!$F$4:$Y$36148,16,0),"_")</f>
        <v>_</v>
      </c>
      <c r="BT35" s="248" t="str">
        <f>_xlfn.IFNA(VLOOKUP(Ruimtestaat[[#This Row],[Code Weekend]],Programma!$F$4:$Y$36148,17,0),"_")</f>
        <v>_</v>
      </c>
      <c r="BU35" s="249" t="str">
        <f>_xlfn.IFNA(VLOOKUP(Ruimtestaat[[#This Row],[Code Weekend]],Programma!$F$4:$Y$36148,18,0),"_")</f>
        <v>_</v>
      </c>
      <c r="BV35" s="249" t="str">
        <f>_xlfn.IFNA(VLOOKUP(Ruimtestaat[[#This Row],[Code Weekend]],Programma!$F$4:$Y$36148,19,0),"_")</f>
        <v>_</v>
      </c>
      <c r="BW35" s="249" t="str">
        <f>_xlfn.IFNA(VLOOKUP(Ruimtestaat[[#This Row],[Code Weekend]],Programma!$F$4:$Y$36148,20,0),"_")</f>
        <v>_</v>
      </c>
      <c r="BX35" s="91"/>
      <c r="BY35" s="91"/>
      <c r="BZ35" s="91"/>
      <c r="CA35" s="91"/>
      <c r="CB35" s="91"/>
      <c r="CC35" s="91"/>
      <c r="CD35" s="91"/>
      <c r="CE35" s="91"/>
      <c r="CF35" s="91"/>
      <c r="CG35" s="91"/>
      <c r="CH35" s="91"/>
      <c r="CI35" s="91"/>
      <c r="CJ35" s="91"/>
      <c r="CK35" s="91"/>
      <c r="CL35" s="91"/>
      <c r="CM35" s="91"/>
      <c r="CN35" s="91"/>
      <c r="CO35" s="91"/>
      <c r="CP35" s="91"/>
      <c r="CQ35" s="91"/>
      <c r="CR35" s="91"/>
      <c r="CS35" s="91"/>
      <c r="CT35" s="91"/>
      <c r="CU35" s="91"/>
      <c r="CV35" s="91"/>
      <c r="CW35" s="91"/>
      <c r="CX35" s="91"/>
      <c r="CY35" s="91"/>
      <c r="CZ35" s="91"/>
      <c r="DA35" s="91"/>
      <c r="DB35" s="91"/>
      <c r="DC35" s="91"/>
      <c r="DD35" s="91"/>
      <c r="DE35" s="91"/>
      <c r="DF35" s="91"/>
      <c r="DG35" s="91"/>
      <c r="DH35" s="91"/>
      <c r="DI35" s="91"/>
      <c r="DJ35" s="91"/>
      <c r="DK35" s="91"/>
      <c r="DL35" s="91"/>
      <c r="DM35" s="91"/>
      <c r="DN35" s="91"/>
      <c r="DO35" s="91"/>
      <c r="DP35" s="91"/>
      <c r="DQ35" s="91"/>
      <c r="DR35" s="91"/>
      <c r="DS35" s="91"/>
      <c r="DT35" s="91"/>
      <c r="DU35" s="91"/>
      <c r="DV35" s="91"/>
      <c r="DW35" s="91"/>
      <c r="DX35" s="91"/>
      <c r="DY35" s="91"/>
      <c r="DZ35" s="91"/>
      <c r="EA35" s="91"/>
      <c r="EB35" s="91"/>
      <c r="EC35" s="91"/>
      <c r="ED35" s="91"/>
      <c r="EE35" s="91"/>
      <c r="EF35" s="91"/>
      <c r="EG35" s="91"/>
      <c r="EH35" s="91"/>
      <c r="EI35" s="91"/>
      <c r="EJ35" s="91"/>
      <c r="EK35" s="91"/>
      <c r="EL35" s="91"/>
      <c r="EM35" s="91"/>
      <c r="EN35" s="91"/>
      <c r="EO35" s="91"/>
      <c r="EP35" s="91"/>
      <c r="EQ35" s="91"/>
      <c r="ER35" s="91"/>
      <c r="ES35" s="91"/>
      <c r="ET35" s="91"/>
      <c r="EU35" s="91"/>
      <c r="EV35" s="91"/>
      <c r="EW35" s="91"/>
      <c r="EX35" s="91"/>
      <c r="EY35" s="91"/>
      <c r="EZ35" s="91"/>
      <c r="FA35" s="91"/>
      <c r="FB35" s="91"/>
      <c r="FC35" s="91"/>
      <c r="FD35" s="91"/>
      <c r="FE35" s="91"/>
      <c r="FF35" s="91"/>
      <c r="FG35" s="91"/>
      <c r="FH35" s="91"/>
      <c r="FI35" s="91"/>
      <c r="FJ35" s="91"/>
      <c r="FK35" s="91"/>
      <c r="FL35" s="91"/>
      <c r="FM35" s="91"/>
      <c r="FN35" s="91"/>
      <c r="FO35" s="91"/>
      <c r="FP35" s="91"/>
      <c r="FQ35" s="91"/>
      <c r="FR35" s="91"/>
      <c r="FS35" s="91"/>
      <c r="FT35" s="91"/>
      <c r="FU35" s="91"/>
      <c r="FV35" s="91"/>
      <c r="FW35" s="91"/>
      <c r="FX35" s="91"/>
      <c r="FY35" s="91"/>
      <c r="FZ35" s="91"/>
      <c r="GA35" s="91"/>
      <c r="GB35" s="91"/>
      <c r="GC35" s="91"/>
      <c r="GD35" s="91"/>
      <c r="GE35" s="91"/>
      <c r="GF35" s="91"/>
      <c r="GG35" s="91"/>
      <c r="GH35" s="91"/>
      <c r="GI35" s="91"/>
      <c r="GJ35" s="91"/>
      <c r="GK35" s="91"/>
      <c r="GL35" s="91"/>
      <c r="GM35" s="91"/>
      <c r="GN35" s="91"/>
      <c r="GO35" s="91"/>
      <c r="GP35" s="91"/>
      <c r="GQ35" s="91"/>
      <c r="GR35" s="91"/>
      <c r="GS35" s="91"/>
      <c r="GT35" s="91"/>
      <c r="GU35" s="91"/>
      <c r="GV35" s="91"/>
      <c r="GW35" s="91"/>
      <c r="GX35" s="91"/>
      <c r="GY35" s="91"/>
      <c r="GZ35" s="91"/>
      <c r="HA35" s="91"/>
      <c r="HB35" s="91"/>
      <c r="HC35" s="91"/>
      <c r="HD35" s="91"/>
      <c r="HE35" s="91"/>
      <c r="HF35" s="91"/>
      <c r="HG35" s="91"/>
      <c r="HH35" s="91"/>
      <c r="HI35" s="91"/>
      <c r="HJ35" s="91"/>
      <c r="HK35" s="91"/>
    </row>
    <row r="36" spans="1:219" s="8" customFormat="1" ht="12.75" customHeight="1">
      <c r="A36" s="131">
        <v>1</v>
      </c>
      <c r="B36" s="22" t="str">
        <f>VLOOKUP(Ruimtestaat[[#This Row],[Code]],Locaties[#All],2,FALSE)</f>
        <v>ESH Secondary School</v>
      </c>
      <c r="C36" s="22" t="str">
        <f>VLOOKUP(Ruimtestaat[[#This Row],[Code]],Locaties[#All],4,FALSE)</f>
        <v>Oostduinlaan 50</v>
      </c>
      <c r="D36" s="334" t="str">
        <f>VLOOKUP(Ruimtestaat[[#This Row],[Code]],Locaties[#All],5,FALSE)</f>
        <v>2596 JP</v>
      </c>
      <c r="E36" s="334" t="str">
        <f>VLOOKUP(Ruimtestaat[[#This Row],[Code]],Locaties[#All],6,FALSE)</f>
        <v>Den Haag</v>
      </c>
      <c r="F36" s="326"/>
      <c r="G36" s="324" t="s">
        <v>1610</v>
      </c>
      <c r="H36" s="324" t="s">
        <v>1603</v>
      </c>
      <c r="I36" s="327" t="s">
        <v>1395</v>
      </c>
      <c r="J36" s="252" t="s">
        <v>1422</v>
      </c>
      <c r="K36" s="348" t="str">
        <f>VLOOKUP(J36,Ruimtegroepen[],2,FALSE)</f>
        <v>Gangen/hallen andere verdiepingen</v>
      </c>
      <c r="L36" s="212" t="s">
        <v>123</v>
      </c>
      <c r="M36" s="334" t="s">
        <v>144</v>
      </c>
      <c r="N36" s="330">
        <v>81</v>
      </c>
      <c r="O36" s="331"/>
      <c r="P36" s="332" t="str">
        <f>VLOOKUP(Ruimtestaat[[#This Row],[Ruimte code]],Ruimtegroepen[],4,FALSE)</f>
        <v>V  (Verkeersruimte)</v>
      </c>
      <c r="Q36" s="332"/>
      <c r="R36" s="333">
        <v>40</v>
      </c>
      <c r="S36" s="333" t="s">
        <v>2</v>
      </c>
      <c r="T36" s="37"/>
      <c r="U36" s="37">
        <f>IF(R36&gt;0,IF(RIGHT(Ruimtestaat[[#This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6" s="37">
        <f>IF(U36&gt;0,VLOOKUP($J36,Ruimtegroepen[],3,FALSE)*VLOOKUP($L36,Vloersoorten[],3,FALSE)*VLOOKUP($S36,Frequenties[],3,FALSE)*VLOOKUP($A36,Locaties[],3,FALSE),0)</f>
        <v>0</v>
      </c>
      <c r="W36" s="37">
        <f>Ruimtestaat[[#This Row],[Uitvoeringen werkdagen]]*Ruimtestaat[[#This Row],[Oppervlak (netto)]]</f>
        <v>16200</v>
      </c>
      <c r="X36" s="37">
        <f>IF(V36&gt;0,Ruimtestaat[[#This Row],[Prest. (m2 /jaar) werkdagen]]/Ruimtestaat[[#This Row],[Norm (m2/uur) werkdagen]],0)</f>
        <v>0</v>
      </c>
      <c r="Y36" s="37">
        <f>Ruimtestaat[[#This Row],[uren / jaar werkdagen]]*Tariefsopbouw!$D$38</f>
        <v>0</v>
      </c>
      <c r="Z36" s="37">
        <f>IF(Ruimtestaat[[#This Row],[Frequentie weekend]]&gt;0,VALUE(LEFT(T36,1))*R36,0)</f>
        <v>0</v>
      </c>
      <c r="AA36" s="37">
        <f>IF($Z36&gt;0,VLOOKUP($J36,Ruimtegroepen[],3,FALSE)*VLOOKUP($L36,Vloersoorten[],3,FALSE)*VLOOKUP($T36,Frequenties[],3,FALSE)*VLOOKUP($A36,Locaties[],3,FALSE),0)</f>
        <v>0</v>
      </c>
      <c r="AB36" s="37">
        <f>Ruimtestaat[[#This Row],[Uitvoeringen weekend]]*Ruimtestaat[[#This Row],[Oppervlak (netto)]]</f>
        <v>0</v>
      </c>
      <c r="AC36" s="37">
        <f>IF(AA36&gt;0,Ruimtestaat[[#This Row],[Prest. (m2 /jaar) weekend]]/Ruimtestaat[[#This Row],[Norm (m2/uur) weekend]],0)</f>
        <v>0</v>
      </c>
      <c r="AD36" s="37">
        <f>Ruimtestaat[[#This Row],[uren / jaar weekend]]*Tariefsopbouw!$D$40</f>
        <v>0</v>
      </c>
      <c r="AE36" s="89">
        <f>Ruimtestaat[[#This Row],[Prest. (m2 /jaar) weekend]]+Ruimtestaat[[#This Row],[Prest. (m2 /jaar) werkdagen]]</f>
        <v>16200</v>
      </c>
      <c r="AF36" s="89">
        <f>Ruimtestaat[[#This Row],[uren / jaar weekend]]+Ruimtestaat[[#This Row],[uren / jaar werkdagen]]</f>
        <v>0</v>
      </c>
      <c r="AG36" s="90">
        <f>Ruimtestaat[[#This Row],[kosten / jaar weekend]]+Ruimtestaat[[#This Row],[kosten / jaar werkdagen]]</f>
        <v>0</v>
      </c>
      <c r="AH36" s="253"/>
      <c r="AI36" s="252" t="str">
        <f>IF(Ruimtestaat[[#This Row],[Frequentie werkdagen]]="","",_xlfn.CONCAT(Ruimtestaat[[#This Row],[Ruimte code]],"-",Ruimtestaat[[#This Row],[Frequentie werkdagen]]," ",Ruimtestaat[[#This Row],[Vloer code]]))</f>
        <v>6a-5w P</v>
      </c>
      <c r="AJ36" s="247" t="str">
        <f>_xlfn.IFNA(VLOOKUP(Ruimtestaat[[#This Row],[Programmacode
Regulier]],Programma!$F$4:$Y$36148,2,0),"_")</f>
        <v>_</v>
      </c>
      <c r="AK36" s="247" t="str">
        <f>_xlfn.IFNA(VLOOKUP(Ruimtestaat[[#This Row],[Programmacode
Regulier]],Programma!$F$4:$Y$36148,3,0),"_")</f>
        <v>_</v>
      </c>
      <c r="AL36" s="247" t="str">
        <f>_xlfn.IFNA(VLOOKUP(Ruimtestaat[[#This Row],[Programmacode
Regulier]],Programma!$F$4:$Y$36148,4,0),"_")</f>
        <v>5w</v>
      </c>
      <c r="AM36" s="247" t="str">
        <f>_xlfn.IFNA(VLOOKUP(Ruimtestaat[[#This Row],[Programmacode
Regulier]],Programma!$F$4:$Y$36148,5,0),"_")</f>
        <v>4w</v>
      </c>
      <c r="AN36" s="247" t="str">
        <f>_xlfn.IFNA(VLOOKUP(Ruimtestaat[[#This Row],[Programmacode
Regulier]],Programma!$F$4:$Y$36148,6,0),"_")</f>
        <v>1w</v>
      </c>
      <c r="AO36" s="247" t="str">
        <f>_xlfn.IFNA(VLOOKUP(Ruimtestaat[[#This Row],[Programmacode
Regulier]],Programma!$F$4:$Y$36148,7,0),"_")</f>
        <v>_</v>
      </c>
      <c r="AP36" s="247" t="str">
        <f>_xlfn.IFNA(VLOOKUP(Ruimtestaat[[#This Row],[Programmacode
Regulier]],Programma!$F$4:$Y$36148,8,0),"_")</f>
        <v>_</v>
      </c>
      <c r="AQ36" s="247" t="str">
        <f>_xlfn.IFNA(VLOOKUP(Ruimtestaat[[#This Row],[Programmacode
Regulier]],Programma!$F$4:$Y$36148,9,0),"_")</f>
        <v>_</v>
      </c>
      <c r="AR36" s="248" t="str">
        <f>_xlfn.IFNA(VLOOKUP(Ruimtestaat[[#This Row],[Programmacode
Regulier]],Programma!$F$4:$Y$36148,10,0),"_")</f>
        <v>5w</v>
      </c>
      <c r="AS36" s="248" t="str">
        <f>_xlfn.IFNA(VLOOKUP(Ruimtestaat[[#This Row],[Programmacode
Regulier]],Programma!$F$4:$Y$36148,11,0),"_")</f>
        <v>5w</v>
      </c>
      <c r="AT36" s="248" t="str">
        <f>_xlfn.IFNA(VLOOKUP(Ruimtestaat[[#This Row],[Programmacode
Regulier]],Programma!$F$4:$Y$36148,12,0),"_")</f>
        <v>1w</v>
      </c>
      <c r="AU36" s="248" t="str">
        <f>_xlfn.IFNA(VLOOKUP(Ruimtestaat[[#This Row],[Programmacode
Regulier]],Programma!$F$4:$Y$36148,13,0),"_")</f>
        <v>1w</v>
      </c>
      <c r="AV36" s="248" t="str">
        <f>_xlfn.IFNA(VLOOKUP(Ruimtestaat[[#This Row],[Programmacode
Regulier]],Programma!$F$4:$Y$36148,14,0),"_")</f>
        <v>1m</v>
      </c>
      <c r="AW36" s="248" t="str">
        <f>_xlfn.IFNA(VLOOKUP(Ruimtestaat[[#This Row],[Programmacode
Regulier]],Programma!$F$4:$Y$36148,15,0),"_")</f>
        <v>2j</v>
      </c>
      <c r="AX36" s="248" t="str">
        <f>_xlfn.IFNA(VLOOKUP(Ruimtestaat[[#This Row],[Programmacode
Regulier]],Programma!$F$4:$Y$36148,16,0),"_")</f>
        <v>1j</v>
      </c>
      <c r="AY36" s="248" t="str">
        <f>_xlfn.IFNA(VLOOKUP(Ruimtestaat[[#This Row],[Programmacode
Regulier]],Programma!$F$4:$Y$36148,17,0),"_")</f>
        <v>_</v>
      </c>
      <c r="AZ36" s="249" t="str">
        <f>_xlfn.IFNA(VLOOKUP(Ruimtestaat[[#This Row],[Programmacode
Regulier]],Programma!$F$4:$Y$36148,18,0),"_")</f>
        <v>_</v>
      </c>
      <c r="BA36" s="249" t="str">
        <f>_xlfn.IFNA(VLOOKUP(Ruimtestaat[[#This Row],[Programmacode
Regulier]],Programma!$F$4:$Y$36148,19,0),"_")</f>
        <v>_</v>
      </c>
      <c r="BB36" s="249" t="str">
        <f>_xlfn.IFNA(VLOOKUP(Ruimtestaat[[#This Row],[Programmacode
Regulier]],Programma!$F$4:$Y$36148,20,0),"_")</f>
        <v>_</v>
      </c>
      <c r="BC36" s="250"/>
      <c r="BD36" s="212" t="str">
        <f>IF(Ruimtestaat[[#This Row],[Frequentie weekend]]="","",_xlfn.CONCAT(Ruimtestaat[[#This Row],[Ruimte code]],"-",Ruimtestaat[[#This Row],[Frequentie weekend]]," ",Ruimtestaat[[#This Row],[Vloer code]]))</f>
        <v/>
      </c>
      <c r="BE36" s="247" t="str">
        <f>_xlfn.IFNA(VLOOKUP(Ruimtestaat[[#This Row],[Code Weekend]],Programma!$F$4:$Y$36148,2,0),"_")</f>
        <v>_</v>
      </c>
      <c r="BF36" s="247" t="str">
        <f>_xlfn.IFNA(VLOOKUP(Ruimtestaat[[#This Row],[Code Weekend]],Programma!$F$4:$Y$36148,3,0),"_")</f>
        <v>_</v>
      </c>
      <c r="BG36" s="247" t="str">
        <f>_xlfn.IFNA(VLOOKUP(Ruimtestaat[[#This Row],[Code Weekend]],Programma!$F$4:$Y$36148,4,0),"_")</f>
        <v>_</v>
      </c>
      <c r="BH36" s="247" t="str">
        <f>_xlfn.IFNA(VLOOKUP(Ruimtestaat[[#This Row],[Code Weekend]],Programma!$F$4:$Y$36148,5,0),"_")</f>
        <v>_</v>
      </c>
      <c r="BI36" s="247" t="str">
        <f>_xlfn.IFNA(VLOOKUP(Ruimtestaat[[#This Row],[Code Weekend]],Programma!$F$4:$Y$36148,6,0),"_")</f>
        <v>_</v>
      </c>
      <c r="BJ36" s="247" t="str">
        <f>_xlfn.IFNA(VLOOKUP(Ruimtestaat[[#This Row],[Code Weekend]],Programma!$F$4:$Y$36148,7,0),"_")</f>
        <v>_</v>
      </c>
      <c r="BK36" s="247" t="str">
        <f>_xlfn.IFNA(VLOOKUP(Ruimtestaat[[#This Row],[Code Weekend]],Programma!$F$4:$Y$36148,8,0),"_")</f>
        <v>_</v>
      </c>
      <c r="BL36" s="247" t="str">
        <f>_xlfn.IFNA(VLOOKUP(Ruimtestaat[[#This Row],[Code Weekend]],Programma!$F$4:$Y$36148,9,0),"_")</f>
        <v>_</v>
      </c>
      <c r="BM36" s="248" t="str">
        <f>_xlfn.IFNA(VLOOKUP(Ruimtestaat[[#This Row],[Code Weekend]],Programma!$F$4:$Y$36148,10,0),"_")</f>
        <v>_</v>
      </c>
      <c r="BN36" s="248" t="str">
        <f>_xlfn.IFNA(VLOOKUP(Ruimtestaat[[#This Row],[Code Weekend]],Programma!$F$4:$Y$36148,11,0),"_")</f>
        <v>_</v>
      </c>
      <c r="BO36" s="248" t="str">
        <f>_xlfn.IFNA(VLOOKUP(Ruimtestaat[[#This Row],[Code Weekend]],Programma!$F$4:$Y$36148,12,0),"_")</f>
        <v>_</v>
      </c>
      <c r="BP36" s="248" t="str">
        <f>_xlfn.IFNA(VLOOKUP(Ruimtestaat[[#This Row],[Code Weekend]],Programma!$F$4:$Y$36148,13,0),"_")</f>
        <v>_</v>
      </c>
      <c r="BQ36" s="248" t="str">
        <f>_xlfn.IFNA(VLOOKUP(Ruimtestaat[[#This Row],[Code Weekend]],Programma!$F$4:$Y$36148,14,0),"_")</f>
        <v>_</v>
      </c>
      <c r="BR36" s="248" t="str">
        <f>_xlfn.IFNA(VLOOKUP(Ruimtestaat[[#This Row],[Code Weekend]],Programma!$F$4:$Y$36148,15,0),"_")</f>
        <v>_</v>
      </c>
      <c r="BS36" s="248" t="str">
        <f>_xlfn.IFNA(VLOOKUP(Ruimtestaat[[#This Row],[Code Weekend]],Programma!$F$4:$Y$36148,16,0),"_")</f>
        <v>_</v>
      </c>
      <c r="BT36" s="248" t="str">
        <f>_xlfn.IFNA(VLOOKUP(Ruimtestaat[[#This Row],[Code Weekend]],Programma!$F$4:$Y$36148,17,0),"_")</f>
        <v>_</v>
      </c>
      <c r="BU36" s="249" t="str">
        <f>_xlfn.IFNA(VLOOKUP(Ruimtestaat[[#This Row],[Code Weekend]],Programma!$F$4:$Y$36148,18,0),"_")</f>
        <v>_</v>
      </c>
      <c r="BV36" s="249" t="str">
        <f>_xlfn.IFNA(VLOOKUP(Ruimtestaat[[#This Row],[Code Weekend]],Programma!$F$4:$Y$36148,19,0),"_")</f>
        <v>_</v>
      </c>
      <c r="BW36" s="249" t="str">
        <f>_xlfn.IFNA(VLOOKUP(Ruimtestaat[[#This Row],[Code Weekend]],Programma!$F$4:$Y$36148,20,0),"_")</f>
        <v>_</v>
      </c>
      <c r="BX36" s="91"/>
      <c r="BY36" s="91"/>
      <c r="BZ36" s="91"/>
      <c r="CA36" s="91"/>
      <c r="CB36" s="91"/>
      <c r="CC36" s="91"/>
      <c r="CD36" s="91"/>
      <c r="CE36" s="91"/>
      <c r="CF36" s="91"/>
      <c r="CG36" s="91"/>
      <c r="CH36" s="91"/>
      <c r="CI36" s="91"/>
      <c r="CJ36" s="91"/>
      <c r="CK36" s="91"/>
      <c r="CL36" s="91"/>
      <c r="CM36" s="91"/>
      <c r="CN36" s="91"/>
      <c r="CO36" s="91"/>
      <c r="CP36" s="91"/>
      <c r="CQ36" s="91"/>
      <c r="CR36" s="91"/>
      <c r="CS36" s="91"/>
      <c r="CT36" s="91"/>
      <c r="CU36" s="91"/>
      <c r="CV36" s="91"/>
      <c r="CW36" s="91"/>
      <c r="CX36" s="91"/>
      <c r="CY36" s="91"/>
      <c r="CZ36" s="91"/>
      <c r="DA36" s="91"/>
      <c r="DB36" s="91"/>
      <c r="DC36" s="91"/>
      <c r="DD36" s="91"/>
      <c r="DE36" s="91"/>
      <c r="DF36" s="91"/>
      <c r="DG36" s="91"/>
      <c r="DH36" s="91"/>
      <c r="DI36" s="91"/>
      <c r="DJ36" s="91"/>
      <c r="DK36" s="91"/>
      <c r="DL36" s="91"/>
      <c r="DM36" s="91"/>
      <c r="DN36" s="91"/>
      <c r="DO36" s="91"/>
      <c r="DP36" s="91"/>
      <c r="DQ36" s="91"/>
      <c r="DR36" s="91"/>
      <c r="DS36" s="91"/>
      <c r="DT36" s="91"/>
      <c r="DU36" s="91"/>
      <c r="DV36" s="91"/>
      <c r="DW36" s="91"/>
      <c r="DX36" s="91"/>
      <c r="DY36" s="91"/>
      <c r="DZ36" s="91"/>
      <c r="EA36" s="91"/>
      <c r="EB36" s="91"/>
      <c r="EC36" s="91"/>
      <c r="ED36" s="91"/>
      <c r="EE36" s="91"/>
      <c r="EF36" s="91"/>
      <c r="EG36" s="91"/>
      <c r="EH36" s="91"/>
      <c r="EI36" s="91"/>
      <c r="EJ36" s="91"/>
      <c r="EK36" s="91"/>
      <c r="EL36" s="91"/>
      <c r="EM36" s="91"/>
      <c r="EN36" s="91"/>
      <c r="EO36" s="91"/>
      <c r="EP36" s="91"/>
      <c r="EQ36" s="91"/>
      <c r="ER36" s="91"/>
      <c r="ES36" s="91"/>
      <c r="ET36" s="91"/>
      <c r="EU36" s="91"/>
      <c r="EV36" s="91"/>
      <c r="EW36" s="91"/>
      <c r="EX36" s="91"/>
      <c r="EY36" s="91"/>
      <c r="EZ36" s="91"/>
      <c r="FA36" s="91"/>
      <c r="FB36" s="91"/>
      <c r="FC36" s="91"/>
      <c r="FD36" s="91"/>
      <c r="FE36" s="91"/>
      <c r="FF36" s="91"/>
      <c r="FG36" s="91"/>
      <c r="FH36" s="91"/>
      <c r="FI36" s="91"/>
      <c r="FJ36" s="91"/>
      <c r="FK36" s="91"/>
      <c r="FL36" s="91"/>
      <c r="FM36" s="91"/>
      <c r="FN36" s="91"/>
      <c r="FO36" s="91"/>
      <c r="FP36" s="91"/>
      <c r="FQ36" s="91"/>
      <c r="FR36" s="91"/>
      <c r="FS36" s="91"/>
      <c r="FT36" s="91"/>
      <c r="FU36" s="91"/>
      <c r="FV36" s="91"/>
      <c r="FW36" s="91"/>
      <c r="FX36" s="91"/>
      <c r="FY36" s="91"/>
      <c r="FZ36" s="91"/>
      <c r="GA36" s="91"/>
      <c r="GB36" s="91"/>
      <c r="GC36" s="91"/>
      <c r="GD36" s="91"/>
      <c r="GE36" s="91"/>
      <c r="GF36" s="91"/>
      <c r="GG36" s="91"/>
      <c r="GH36" s="91"/>
      <c r="GI36" s="91"/>
      <c r="GJ36" s="91"/>
      <c r="GK36" s="91"/>
      <c r="GL36" s="91"/>
      <c r="GM36" s="91"/>
      <c r="GN36" s="91"/>
      <c r="GO36" s="91"/>
      <c r="GP36" s="91"/>
      <c r="GQ36" s="91"/>
      <c r="GR36" s="91"/>
      <c r="GS36" s="91"/>
      <c r="GT36" s="91"/>
      <c r="GU36" s="91"/>
      <c r="GV36" s="91"/>
      <c r="GW36" s="91"/>
      <c r="GX36" s="91"/>
      <c r="GY36" s="91"/>
      <c r="GZ36" s="91"/>
      <c r="HA36" s="91"/>
      <c r="HB36" s="91"/>
      <c r="HC36" s="91"/>
      <c r="HD36" s="91"/>
      <c r="HE36" s="91"/>
      <c r="HF36" s="91"/>
      <c r="HG36" s="91"/>
      <c r="HH36" s="91"/>
      <c r="HI36" s="91"/>
      <c r="HJ36" s="91"/>
      <c r="HK36" s="91"/>
    </row>
    <row r="37" spans="1:219" s="8" customFormat="1" ht="12.75" customHeight="1">
      <c r="A37" s="131">
        <v>1</v>
      </c>
      <c r="B37" s="22" t="str">
        <f>VLOOKUP(Ruimtestaat[[#This Row],[Code]],Locaties[#All],2,FALSE)</f>
        <v>ESH Secondary School</v>
      </c>
      <c r="C37" s="22" t="str">
        <f>VLOOKUP(Ruimtestaat[[#This Row],[Code]],Locaties[#All],4,FALSE)</f>
        <v>Oostduinlaan 50</v>
      </c>
      <c r="D37" s="334" t="str">
        <f>VLOOKUP(Ruimtestaat[[#This Row],[Code]],Locaties[#All],5,FALSE)</f>
        <v>2596 JP</v>
      </c>
      <c r="E37" s="334" t="str">
        <f>VLOOKUP(Ruimtestaat[[#This Row],[Code]],Locaties[#All],6,FALSE)</f>
        <v>Den Haag</v>
      </c>
      <c r="F37" s="326"/>
      <c r="G37" s="324" t="s">
        <v>1610</v>
      </c>
      <c r="H37" s="324" t="s">
        <v>1604</v>
      </c>
      <c r="I37" s="296" t="s">
        <v>42</v>
      </c>
      <c r="J37" s="328">
        <v>12</v>
      </c>
      <c r="K37" s="336" t="s">
        <v>42</v>
      </c>
      <c r="L37" s="212" t="s">
        <v>123</v>
      </c>
      <c r="M37" s="334" t="s">
        <v>144</v>
      </c>
      <c r="N37" s="330">
        <v>23</v>
      </c>
      <c r="O37" s="331"/>
      <c r="P37" s="332" t="str">
        <f>VLOOKUP(Ruimtestaat[[#This Row],[Ruimte code]],Ruimtegroepen[],4,FALSE)</f>
        <v>V  (Verkeersruimte)</v>
      </c>
      <c r="Q37" s="332"/>
      <c r="R37" s="333">
        <v>40</v>
      </c>
      <c r="S37" s="333" t="s">
        <v>2</v>
      </c>
      <c r="T37" s="37"/>
      <c r="U37" s="37">
        <f>IF(R37&gt;0,IF(RIGHT(Ruimtestaat[[#This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7" s="37">
        <f>IF(U37&gt;0,VLOOKUP($J37,Ruimtegroepen[],3,FALSE)*VLOOKUP($L37,Vloersoorten[],3,FALSE)*VLOOKUP($S37,Frequenties[],3,FALSE)*VLOOKUP($A37,Locaties[],3,FALSE),0)</f>
        <v>0</v>
      </c>
      <c r="W37" s="37">
        <f>Ruimtestaat[[#This Row],[Uitvoeringen werkdagen]]*Ruimtestaat[[#This Row],[Oppervlak (netto)]]</f>
        <v>4600</v>
      </c>
      <c r="X37" s="37">
        <f>IF(V37&gt;0,Ruimtestaat[[#This Row],[Prest. (m2 /jaar) werkdagen]]/Ruimtestaat[[#This Row],[Norm (m2/uur) werkdagen]],0)</f>
        <v>0</v>
      </c>
      <c r="Y37" s="37">
        <f>Ruimtestaat[[#This Row],[uren / jaar werkdagen]]*Tariefsopbouw!$D$38</f>
        <v>0</v>
      </c>
      <c r="Z37" s="37">
        <f>IF(Ruimtestaat[[#This Row],[Frequentie weekend]]&gt;0,VALUE(LEFT(T37,1))*R37,0)</f>
        <v>0</v>
      </c>
      <c r="AA37" s="37">
        <f>IF($Z37&gt;0,VLOOKUP($J37,Ruimtegroepen[],3,FALSE)*VLOOKUP($L37,Vloersoorten[],3,FALSE)*VLOOKUP($T37,Frequenties[],3,FALSE)*VLOOKUP($A37,Locaties[],3,FALSE),0)</f>
        <v>0</v>
      </c>
      <c r="AB37" s="37">
        <f>Ruimtestaat[[#This Row],[Uitvoeringen weekend]]*Ruimtestaat[[#This Row],[Oppervlak (netto)]]</f>
        <v>0</v>
      </c>
      <c r="AC37" s="37">
        <f>IF(AA37&gt;0,Ruimtestaat[[#This Row],[Prest. (m2 /jaar) weekend]]/Ruimtestaat[[#This Row],[Norm (m2/uur) weekend]],0)</f>
        <v>0</v>
      </c>
      <c r="AD37" s="37">
        <f>Ruimtestaat[[#This Row],[uren / jaar weekend]]*Tariefsopbouw!$D$40</f>
        <v>0</v>
      </c>
      <c r="AE37" s="89">
        <f>Ruimtestaat[[#This Row],[Prest. (m2 /jaar) weekend]]+Ruimtestaat[[#This Row],[Prest. (m2 /jaar) werkdagen]]</f>
        <v>4600</v>
      </c>
      <c r="AF37" s="89">
        <f>Ruimtestaat[[#This Row],[uren / jaar weekend]]+Ruimtestaat[[#This Row],[uren / jaar werkdagen]]</f>
        <v>0</v>
      </c>
      <c r="AG37" s="90">
        <f>Ruimtestaat[[#This Row],[kosten / jaar weekend]]+Ruimtestaat[[#This Row],[kosten / jaar werkdagen]]</f>
        <v>0</v>
      </c>
      <c r="AH37" s="253"/>
      <c r="AI37" s="252" t="str">
        <f>IF(Ruimtestaat[[#This Row],[Frequentie werkdagen]]="","",_xlfn.CONCAT(Ruimtestaat[[#This Row],[Ruimte code]],"-",Ruimtestaat[[#This Row],[Frequentie werkdagen]]," ",Ruimtestaat[[#This Row],[Vloer code]]))</f>
        <v>12-5w P</v>
      </c>
      <c r="AJ37" s="247" t="str">
        <f>_xlfn.IFNA(VLOOKUP(Ruimtestaat[[#This Row],[Programmacode
Regulier]],Programma!$F$4:$Y$36148,2,0),"_")</f>
        <v>_</v>
      </c>
      <c r="AK37" s="247" t="str">
        <f>_xlfn.IFNA(VLOOKUP(Ruimtestaat[[#This Row],[Programmacode
Regulier]],Programma!$F$4:$Y$36148,3,0),"_")</f>
        <v>_</v>
      </c>
      <c r="AL37" s="247" t="str">
        <f>_xlfn.IFNA(VLOOKUP(Ruimtestaat[[#This Row],[Programmacode
Regulier]],Programma!$F$4:$Y$36148,4,0),"_")</f>
        <v>5w</v>
      </c>
      <c r="AM37" s="247" t="str">
        <f>_xlfn.IFNA(VLOOKUP(Ruimtestaat[[#This Row],[Programmacode
Regulier]],Programma!$F$4:$Y$36148,5,0),"_")</f>
        <v>_</v>
      </c>
      <c r="AN37" s="247" t="str">
        <f>_xlfn.IFNA(VLOOKUP(Ruimtestaat[[#This Row],[Programmacode
Regulier]],Programma!$F$4:$Y$36148,6,0),"_")</f>
        <v>5w</v>
      </c>
      <c r="AO37" s="247" t="str">
        <f>_xlfn.IFNA(VLOOKUP(Ruimtestaat[[#This Row],[Programmacode
Regulier]],Programma!$F$4:$Y$36148,7,0),"_")</f>
        <v>_</v>
      </c>
      <c r="AP37" s="247" t="str">
        <f>_xlfn.IFNA(VLOOKUP(Ruimtestaat[[#This Row],[Programmacode
Regulier]],Programma!$F$4:$Y$36148,8,0),"_")</f>
        <v>_</v>
      </c>
      <c r="AQ37" s="247" t="str">
        <f>_xlfn.IFNA(VLOOKUP(Ruimtestaat[[#This Row],[Programmacode
Regulier]],Programma!$F$4:$Y$36148,9,0),"_")</f>
        <v>_</v>
      </c>
      <c r="AR37" s="248" t="str">
        <f>_xlfn.IFNA(VLOOKUP(Ruimtestaat[[#This Row],[Programmacode
Regulier]],Programma!$F$4:$Y$36148,10,0),"_")</f>
        <v>_</v>
      </c>
      <c r="AS37" s="248" t="str">
        <f>_xlfn.IFNA(VLOOKUP(Ruimtestaat[[#This Row],[Programmacode
Regulier]],Programma!$F$4:$Y$36148,11,0),"_")</f>
        <v>_</v>
      </c>
      <c r="AT37" s="248" t="str">
        <f>_xlfn.IFNA(VLOOKUP(Ruimtestaat[[#This Row],[Programmacode
Regulier]],Programma!$F$4:$Y$36148,12,0),"_")</f>
        <v>_</v>
      </c>
      <c r="AU37" s="248" t="str">
        <f>_xlfn.IFNA(VLOOKUP(Ruimtestaat[[#This Row],[Programmacode
Regulier]],Programma!$F$4:$Y$36148,13,0),"_")</f>
        <v>_</v>
      </c>
      <c r="AV37" s="248" t="str">
        <f>_xlfn.IFNA(VLOOKUP(Ruimtestaat[[#This Row],[Programmacode
Regulier]],Programma!$F$4:$Y$36148,14,0),"_")</f>
        <v>_</v>
      </c>
      <c r="AW37" s="248" t="str">
        <f>_xlfn.IFNA(VLOOKUP(Ruimtestaat[[#This Row],[Programmacode
Regulier]],Programma!$F$4:$Y$36148,15,0),"_")</f>
        <v>_</v>
      </c>
      <c r="AX37" s="248" t="str">
        <f>_xlfn.IFNA(VLOOKUP(Ruimtestaat[[#This Row],[Programmacode
Regulier]],Programma!$F$4:$Y$36148,16,0),"_")</f>
        <v>_</v>
      </c>
      <c r="AY37" s="248" t="str">
        <f>_xlfn.IFNA(VLOOKUP(Ruimtestaat[[#This Row],[Programmacode
Regulier]],Programma!$F$4:$Y$36148,17,0),"_")</f>
        <v>_</v>
      </c>
      <c r="AZ37" s="249" t="str">
        <f>_xlfn.IFNA(VLOOKUP(Ruimtestaat[[#This Row],[Programmacode
Regulier]],Programma!$F$4:$Y$36148,18,0),"_")</f>
        <v>_</v>
      </c>
      <c r="BA37" s="249" t="str">
        <f>_xlfn.IFNA(VLOOKUP(Ruimtestaat[[#This Row],[Programmacode
Regulier]],Programma!$F$4:$Y$36148,19,0),"_")</f>
        <v>_</v>
      </c>
      <c r="BB37" s="249" t="str">
        <f>_xlfn.IFNA(VLOOKUP(Ruimtestaat[[#This Row],[Programmacode
Regulier]],Programma!$F$4:$Y$36148,20,0),"_")</f>
        <v>_</v>
      </c>
      <c r="BC37" s="250"/>
      <c r="BD37" s="212" t="str">
        <f>IF(Ruimtestaat[[#This Row],[Frequentie weekend]]="","",_xlfn.CONCAT(Ruimtestaat[[#This Row],[Ruimte code]],"-",Ruimtestaat[[#This Row],[Frequentie weekend]]," ",Ruimtestaat[[#This Row],[Vloer code]]))</f>
        <v/>
      </c>
      <c r="BE37" s="247" t="str">
        <f>_xlfn.IFNA(VLOOKUP(Ruimtestaat[[#This Row],[Code Weekend]],Programma!$F$4:$Y$36148,2,0),"_")</f>
        <v>_</v>
      </c>
      <c r="BF37" s="247" t="str">
        <f>_xlfn.IFNA(VLOOKUP(Ruimtestaat[[#This Row],[Code Weekend]],Programma!$F$4:$Y$36148,3,0),"_")</f>
        <v>_</v>
      </c>
      <c r="BG37" s="247" t="str">
        <f>_xlfn.IFNA(VLOOKUP(Ruimtestaat[[#This Row],[Code Weekend]],Programma!$F$4:$Y$36148,4,0),"_")</f>
        <v>_</v>
      </c>
      <c r="BH37" s="247" t="str">
        <f>_xlfn.IFNA(VLOOKUP(Ruimtestaat[[#This Row],[Code Weekend]],Programma!$F$4:$Y$36148,5,0),"_")</f>
        <v>_</v>
      </c>
      <c r="BI37" s="247" t="str">
        <f>_xlfn.IFNA(VLOOKUP(Ruimtestaat[[#This Row],[Code Weekend]],Programma!$F$4:$Y$36148,6,0),"_")</f>
        <v>_</v>
      </c>
      <c r="BJ37" s="247" t="str">
        <f>_xlfn.IFNA(VLOOKUP(Ruimtestaat[[#This Row],[Code Weekend]],Programma!$F$4:$Y$36148,7,0),"_")</f>
        <v>_</v>
      </c>
      <c r="BK37" s="247" t="str">
        <f>_xlfn.IFNA(VLOOKUP(Ruimtestaat[[#This Row],[Code Weekend]],Programma!$F$4:$Y$36148,8,0),"_")</f>
        <v>_</v>
      </c>
      <c r="BL37" s="247" t="str">
        <f>_xlfn.IFNA(VLOOKUP(Ruimtestaat[[#This Row],[Code Weekend]],Programma!$F$4:$Y$36148,9,0),"_")</f>
        <v>_</v>
      </c>
      <c r="BM37" s="248" t="str">
        <f>_xlfn.IFNA(VLOOKUP(Ruimtestaat[[#This Row],[Code Weekend]],Programma!$F$4:$Y$36148,10,0),"_")</f>
        <v>_</v>
      </c>
      <c r="BN37" s="248" t="str">
        <f>_xlfn.IFNA(VLOOKUP(Ruimtestaat[[#This Row],[Code Weekend]],Programma!$F$4:$Y$36148,11,0),"_")</f>
        <v>_</v>
      </c>
      <c r="BO37" s="248" t="str">
        <f>_xlfn.IFNA(VLOOKUP(Ruimtestaat[[#This Row],[Code Weekend]],Programma!$F$4:$Y$36148,12,0),"_")</f>
        <v>_</v>
      </c>
      <c r="BP37" s="248" t="str">
        <f>_xlfn.IFNA(VLOOKUP(Ruimtestaat[[#This Row],[Code Weekend]],Programma!$F$4:$Y$36148,13,0),"_")</f>
        <v>_</v>
      </c>
      <c r="BQ37" s="248" t="str">
        <f>_xlfn.IFNA(VLOOKUP(Ruimtestaat[[#This Row],[Code Weekend]],Programma!$F$4:$Y$36148,14,0),"_")</f>
        <v>_</v>
      </c>
      <c r="BR37" s="248" t="str">
        <f>_xlfn.IFNA(VLOOKUP(Ruimtestaat[[#This Row],[Code Weekend]],Programma!$F$4:$Y$36148,15,0),"_")</f>
        <v>_</v>
      </c>
      <c r="BS37" s="248" t="str">
        <f>_xlfn.IFNA(VLOOKUP(Ruimtestaat[[#This Row],[Code Weekend]],Programma!$F$4:$Y$36148,16,0),"_")</f>
        <v>_</v>
      </c>
      <c r="BT37" s="248" t="str">
        <f>_xlfn.IFNA(VLOOKUP(Ruimtestaat[[#This Row],[Code Weekend]],Programma!$F$4:$Y$36148,17,0),"_")</f>
        <v>_</v>
      </c>
      <c r="BU37" s="249" t="str">
        <f>_xlfn.IFNA(VLOOKUP(Ruimtestaat[[#This Row],[Code Weekend]],Programma!$F$4:$Y$36148,18,0),"_")</f>
        <v>_</v>
      </c>
      <c r="BV37" s="249" t="str">
        <f>_xlfn.IFNA(VLOOKUP(Ruimtestaat[[#This Row],[Code Weekend]],Programma!$F$4:$Y$36148,19,0),"_")</f>
        <v>_</v>
      </c>
      <c r="BW37" s="249" t="str">
        <f>_xlfn.IFNA(VLOOKUP(Ruimtestaat[[#This Row],[Code Weekend]],Programma!$F$4:$Y$36148,20,0),"_")</f>
        <v>_</v>
      </c>
      <c r="BX37" s="91"/>
      <c r="BY37" s="91"/>
      <c r="BZ37" s="91"/>
      <c r="CA37" s="91"/>
      <c r="CB37" s="91"/>
      <c r="CC37" s="91"/>
      <c r="CD37" s="91"/>
      <c r="CE37" s="91"/>
      <c r="CF37" s="91"/>
      <c r="CG37" s="91"/>
      <c r="CH37" s="91"/>
      <c r="CI37" s="91"/>
      <c r="CJ37" s="91"/>
      <c r="CK37" s="91"/>
      <c r="CL37" s="91"/>
      <c r="CM37" s="91"/>
      <c r="CN37" s="91"/>
      <c r="CO37" s="91"/>
      <c r="CP37" s="91"/>
      <c r="CQ37" s="91"/>
      <c r="CR37" s="91"/>
      <c r="CS37" s="91"/>
      <c r="CT37" s="91"/>
      <c r="CU37" s="91"/>
      <c r="CV37" s="91"/>
      <c r="CW37" s="91"/>
      <c r="CX37" s="91"/>
      <c r="CY37" s="91"/>
      <c r="CZ37" s="91"/>
      <c r="DA37" s="91"/>
      <c r="DB37" s="91"/>
      <c r="DC37" s="91"/>
      <c r="DD37" s="91"/>
      <c r="DE37" s="91"/>
      <c r="DF37" s="91"/>
      <c r="DG37" s="91"/>
      <c r="DH37" s="91"/>
      <c r="DI37" s="91"/>
      <c r="DJ37" s="91"/>
      <c r="DK37" s="91"/>
      <c r="DL37" s="91"/>
      <c r="DM37" s="91"/>
      <c r="DN37" s="91"/>
      <c r="DO37" s="91"/>
      <c r="DP37" s="91"/>
      <c r="DQ37" s="91"/>
      <c r="DR37" s="91"/>
      <c r="DS37" s="91"/>
      <c r="DT37" s="91"/>
      <c r="DU37" s="91"/>
      <c r="DV37" s="91"/>
      <c r="DW37" s="91"/>
      <c r="DX37" s="91"/>
      <c r="DY37" s="91"/>
      <c r="DZ37" s="91"/>
      <c r="EA37" s="91"/>
      <c r="EB37" s="91"/>
      <c r="EC37" s="91"/>
      <c r="ED37" s="91"/>
      <c r="EE37" s="91"/>
      <c r="EF37" s="91"/>
      <c r="EG37" s="91"/>
      <c r="EH37" s="91"/>
      <c r="EI37" s="91"/>
      <c r="EJ37" s="91"/>
      <c r="EK37" s="91"/>
      <c r="EL37" s="91"/>
      <c r="EM37" s="91"/>
      <c r="EN37" s="91"/>
      <c r="EO37" s="91"/>
      <c r="EP37" s="91"/>
      <c r="EQ37" s="91"/>
      <c r="ER37" s="91"/>
      <c r="ES37" s="91"/>
      <c r="ET37" s="91"/>
      <c r="EU37" s="91"/>
      <c r="EV37" s="91"/>
      <c r="EW37" s="91"/>
      <c r="EX37" s="91"/>
      <c r="EY37" s="91"/>
      <c r="EZ37" s="91"/>
      <c r="FA37" s="91"/>
      <c r="FB37" s="91"/>
      <c r="FC37" s="91"/>
      <c r="FD37" s="91"/>
      <c r="FE37" s="91"/>
      <c r="FF37" s="91"/>
      <c r="FG37" s="91"/>
      <c r="FH37" s="91"/>
      <c r="FI37" s="91"/>
      <c r="FJ37" s="91"/>
      <c r="FK37" s="91"/>
      <c r="FL37" s="91"/>
      <c r="FM37" s="91"/>
      <c r="FN37" s="91"/>
      <c r="FO37" s="91"/>
      <c r="FP37" s="91"/>
      <c r="FQ37" s="91"/>
      <c r="FR37" s="91"/>
      <c r="FS37" s="91"/>
      <c r="FT37" s="91"/>
      <c r="FU37" s="91"/>
      <c r="FV37" s="91"/>
      <c r="FW37" s="91"/>
      <c r="FX37" s="91"/>
      <c r="FY37" s="91"/>
      <c r="FZ37" s="91"/>
      <c r="GA37" s="91"/>
      <c r="GB37" s="91"/>
      <c r="GC37" s="91"/>
      <c r="GD37" s="91"/>
      <c r="GE37" s="91"/>
      <c r="GF37" s="91"/>
      <c r="GG37" s="91"/>
      <c r="GH37" s="91"/>
      <c r="GI37" s="91"/>
      <c r="GJ37" s="91"/>
      <c r="GK37" s="91"/>
      <c r="GL37" s="91"/>
      <c r="GM37" s="91"/>
      <c r="GN37" s="91"/>
      <c r="GO37" s="91"/>
      <c r="GP37" s="91"/>
      <c r="GQ37" s="91"/>
      <c r="GR37" s="91"/>
      <c r="GS37" s="91"/>
      <c r="GT37" s="91"/>
      <c r="GU37" s="91"/>
      <c r="GV37" s="91"/>
      <c r="GW37" s="91"/>
      <c r="GX37" s="91"/>
      <c r="GY37" s="91"/>
      <c r="GZ37" s="91"/>
      <c r="HA37" s="91"/>
      <c r="HB37" s="91"/>
      <c r="HC37" s="91"/>
      <c r="HD37" s="91"/>
      <c r="HE37" s="91"/>
      <c r="HF37" s="91"/>
      <c r="HG37" s="91"/>
      <c r="HH37" s="91"/>
      <c r="HI37" s="91"/>
      <c r="HJ37" s="91"/>
      <c r="HK37" s="91"/>
    </row>
    <row r="38" spans="1:219" s="8" customFormat="1" ht="12.75" customHeight="1">
      <c r="A38" s="131">
        <v>1</v>
      </c>
      <c r="B38" s="22" t="str">
        <f>VLOOKUP(Ruimtestaat[[#This Row],[Code]],Locaties[#All],2,FALSE)</f>
        <v>ESH Secondary School</v>
      </c>
      <c r="C38" s="22" t="str">
        <f>VLOOKUP(Ruimtestaat[[#This Row],[Code]],Locaties[#All],4,FALSE)</f>
        <v>Oostduinlaan 50</v>
      </c>
      <c r="D38" s="334" t="str">
        <f>VLOOKUP(Ruimtestaat[[#This Row],[Code]],Locaties[#All],5,FALSE)</f>
        <v>2596 JP</v>
      </c>
      <c r="E38" s="334" t="str">
        <f>VLOOKUP(Ruimtestaat[[#This Row],[Code]],Locaties[#All],6,FALSE)</f>
        <v>Den Haag</v>
      </c>
      <c r="F38" s="326"/>
      <c r="G38" s="324" t="s">
        <v>1610</v>
      </c>
      <c r="H38" s="324" t="s">
        <v>1605</v>
      </c>
      <c r="I38" s="327" t="s">
        <v>1620</v>
      </c>
      <c r="J38" s="328">
        <v>9</v>
      </c>
      <c r="K38" s="348" t="str">
        <f>VLOOKUP(J38,Ruimtegroepen[],2,FALSE)</f>
        <v>Bibliotheek / OLC</v>
      </c>
      <c r="L38" s="212" t="s">
        <v>123</v>
      </c>
      <c r="M38" s="334" t="s">
        <v>144</v>
      </c>
      <c r="N38" s="330">
        <v>246</v>
      </c>
      <c r="O38" s="331"/>
      <c r="P38" s="332" t="str">
        <f>VLOOKUP(Ruimtestaat[[#This Row],[Ruimte code]],Ruimtegroepen[],4,FALSE)</f>
        <v>L  (Lesruimte)</v>
      </c>
      <c r="Q38" s="332"/>
      <c r="R38" s="333">
        <v>40</v>
      </c>
      <c r="S38" s="333" t="s">
        <v>2</v>
      </c>
      <c r="T38" s="37"/>
      <c r="U38" s="37">
        <f>IF(R38&gt;0,IF(RIGHT(Ruimtestaat[[#This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8" s="37">
        <f>IF(U38&gt;0,VLOOKUP($J38,Ruimtegroepen[],3,FALSE)*VLOOKUP($L38,Vloersoorten[],3,FALSE)*VLOOKUP($S38,Frequenties[],3,FALSE)*VLOOKUP($A38,Locaties[],3,FALSE),0)</f>
        <v>0</v>
      </c>
      <c r="W38" s="37">
        <f>Ruimtestaat[[#This Row],[Uitvoeringen werkdagen]]*Ruimtestaat[[#This Row],[Oppervlak (netto)]]</f>
        <v>49200</v>
      </c>
      <c r="X38" s="37">
        <f>IF(V38&gt;0,Ruimtestaat[[#This Row],[Prest. (m2 /jaar) werkdagen]]/Ruimtestaat[[#This Row],[Norm (m2/uur) werkdagen]],0)</f>
        <v>0</v>
      </c>
      <c r="Y38" s="37">
        <f>Ruimtestaat[[#This Row],[uren / jaar werkdagen]]*Tariefsopbouw!$D$38</f>
        <v>0</v>
      </c>
      <c r="Z38" s="37">
        <f>IF(Ruimtestaat[[#This Row],[Frequentie weekend]]&gt;0,VALUE(LEFT(T38,1))*R38,0)</f>
        <v>0</v>
      </c>
      <c r="AA38" s="37">
        <f>IF($Z38&gt;0,VLOOKUP($J38,Ruimtegroepen[],3,FALSE)*VLOOKUP($L38,Vloersoorten[],3,FALSE)*VLOOKUP($T38,Frequenties[],3,FALSE)*VLOOKUP($A38,Locaties[],3,FALSE),0)</f>
        <v>0</v>
      </c>
      <c r="AB38" s="37">
        <f>Ruimtestaat[[#This Row],[Uitvoeringen weekend]]*Ruimtestaat[[#This Row],[Oppervlak (netto)]]</f>
        <v>0</v>
      </c>
      <c r="AC38" s="37">
        <f>IF(AA38&gt;0,Ruimtestaat[[#This Row],[Prest. (m2 /jaar) weekend]]/Ruimtestaat[[#This Row],[Norm (m2/uur) weekend]],0)</f>
        <v>0</v>
      </c>
      <c r="AD38" s="37">
        <f>Ruimtestaat[[#This Row],[uren / jaar weekend]]*Tariefsopbouw!$D$40</f>
        <v>0</v>
      </c>
      <c r="AE38" s="89">
        <f>Ruimtestaat[[#This Row],[Prest. (m2 /jaar) weekend]]+Ruimtestaat[[#This Row],[Prest. (m2 /jaar) werkdagen]]</f>
        <v>49200</v>
      </c>
      <c r="AF38" s="89">
        <f>Ruimtestaat[[#This Row],[uren / jaar weekend]]+Ruimtestaat[[#This Row],[uren / jaar werkdagen]]</f>
        <v>0</v>
      </c>
      <c r="AG38" s="90">
        <f>Ruimtestaat[[#This Row],[kosten / jaar weekend]]+Ruimtestaat[[#This Row],[kosten / jaar werkdagen]]</f>
        <v>0</v>
      </c>
      <c r="AH38" s="253"/>
      <c r="AI38" s="252" t="str">
        <f>IF(Ruimtestaat[[#This Row],[Frequentie werkdagen]]="","",_xlfn.CONCAT(Ruimtestaat[[#This Row],[Ruimte code]],"-",Ruimtestaat[[#This Row],[Frequentie werkdagen]]," ",Ruimtestaat[[#This Row],[Vloer code]]))</f>
        <v>9-5w P</v>
      </c>
      <c r="AJ38" s="247" t="str">
        <f>_xlfn.IFNA(VLOOKUP(Ruimtestaat[[#This Row],[Programmacode
Regulier]],Programma!$F$4:$Y$36148,2,0),"_")</f>
        <v>_</v>
      </c>
      <c r="AK38" s="247" t="str">
        <f>_xlfn.IFNA(VLOOKUP(Ruimtestaat[[#This Row],[Programmacode
Regulier]],Programma!$F$4:$Y$36148,3,0),"_")</f>
        <v>_</v>
      </c>
      <c r="AL38" s="247" t="str">
        <f>_xlfn.IFNA(VLOOKUP(Ruimtestaat[[#This Row],[Programmacode
Regulier]],Programma!$F$4:$Y$36148,4,0),"_")</f>
        <v>5w</v>
      </c>
      <c r="AM38" s="247" t="str">
        <f>_xlfn.IFNA(VLOOKUP(Ruimtestaat[[#This Row],[Programmacode
Regulier]],Programma!$F$4:$Y$36148,5,0),"_")</f>
        <v>1w</v>
      </c>
      <c r="AN38" s="247" t="str">
        <f>_xlfn.IFNA(VLOOKUP(Ruimtestaat[[#This Row],[Programmacode
Regulier]],Programma!$F$4:$Y$36148,6,0),"_")</f>
        <v>1m</v>
      </c>
      <c r="AO38" s="247" t="str">
        <f>_xlfn.IFNA(VLOOKUP(Ruimtestaat[[#This Row],[Programmacode
Regulier]],Programma!$F$4:$Y$36148,7,0),"_")</f>
        <v>_</v>
      </c>
      <c r="AP38" s="247" t="str">
        <f>_xlfn.IFNA(VLOOKUP(Ruimtestaat[[#This Row],[Programmacode
Regulier]],Programma!$F$4:$Y$36148,8,0),"_")</f>
        <v>_</v>
      </c>
      <c r="AQ38" s="247" t="str">
        <f>_xlfn.IFNA(VLOOKUP(Ruimtestaat[[#This Row],[Programmacode
Regulier]],Programma!$F$4:$Y$36148,9,0),"_")</f>
        <v>_</v>
      </c>
      <c r="AR38" s="248" t="str">
        <f>_xlfn.IFNA(VLOOKUP(Ruimtestaat[[#This Row],[Programmacode
Regulier]],Programma!$F$4:$Y$36148,10,0),"_")</f>
        <v>5w</v>
      </c>
      <c r="AS38" s="248" t="str">
        <f>_xlfn.IFNA(VLOOKUP(Ruimtestaat[[#This Row],[Programmacode
Regulier]],Programma!$F$4:$Y$36148,11,0),"_")</f>
        <v>5w</v>
      </c>
      <c r="AT38" s="248" t="str">
        <f>_xlfn.IFNA(VLOOKUP(Ruimtestaat[[#This Row],[Programmacode
Regulier]],Programma!$F$4:$Y$36148,12,0),"_")</f>
        <v>1w</v>
      </c>
      <c r="AU38" s="248" t="str">
        <f>_xlfn.IFNA(VLOOKUP(Ruimtestaat[[#This Row],[Programmacode
Regulier]],Programma!$F$4:$Y$36148,13,0),"_")</f>
        <v>1w</v>
      </c>
      <c r="AV38" s="248" t="str">
        <f>_xlfn.IFNA(VLOOKUP(Ruimtestaat[[#This Row],[Programmacode
Regulier]],Programma!$F$4:$Y$36148,14,0),"_")</f>
        <v>1m</v>
      </c>
      <c r="AW38" s="248" t="str">
        <f>_xlfn.IFNA(VLOOKUP(Ruimtestaat[[#This Row],[Programmacode
Regulier]],Programma!$F$4:$Y$36148,15,0),"_")</f>
        <v>2j</v>
      </c>
      <c r="AX38" s="248" t="str">
        <f>_xlfn.IFNA(VLOOKUP(Ruimtestaat[[#This Row],[Programmacode
Regulier]],Programma!$F$4:$Y$36148,16,0),"_")</f>
        <v>1j</v>
      </c>
      <c r="AY38" s="248" t="str">
        <f>_xlfn.IFNA(VLOOKUP(Ruimtestaat[[#This Row],[Programmacode
Regulier]],Programma!$F$4:$Y$36148,17,0),"_")</f>
        <v>_</v>
      </c>
      <c r="AZ38" s="249" t="str">
        <f>_xlfn.IFNA(VLOOKUP(Ruimtestaat[[#This Row],[Programmacode
Regulier]],Programma!$F$4:$Y$36148,18,0),"_")</f>
        <v>_</v>
      </c>
      <c r="BA38" s="249" t="str">
        <f>_xlfn.IFNA(VLOOKUP(Ruimtestaat[[#This Row],[Programmacode
Regulier]],Programma!$F$4:$Y$36148,19,0),"_")</f>
        <v>_</v>
      </c>
      <c r="BB38" s="249" t="str">
        <f>_xlfn.IFNA(VLOOKUP(Ruimtestaat[[#This Row],[Programmacode
Regulier]],Programma!$F$4:$Y$36148,20,0),"_")</f>
        <v>_</v>
      </c>
      <c r="BC38" s="250"/>
      <c r="BD38" s="212" t="str">
        <f>IF(Ruimtestaat[[#This Row],[Frequentie weekend]]="","",_xlfn.CONCAT(Ruimtestaat[[#This Row],[Ruimte code]],"-",Ruimtestaat[[#This Row],[Frequentie weekend]]," ",Ruimtestaat[[#This Row],[Vloer code]]))</f>
        <v/>
      </c>
      <c r="BE38" s="247" t="str">
        <f>_xlfn.IFNA(VLOOKUP(Ruimtestaat[[#This Row],[Code Weekend]],Programma!$F$4:$Y$36148,2,0),"_")</f>
        <v>_</v>
      </c>
      <c r="BF38" s="247" t="str">
        <f>_xlfn.IFNA(VLOOKUP(Ruimtestaat[[#This Row],[Code Weekend]],Programma!$F$4:$Y$36148,3,0),"_")</f>
        <v>_</v>
      </c>
      <c r="BG38" s="247" t="str">
        <f>_xlfn.IFNA(VLOOKUP(Ruimtestaat[[#This Row],[Code Weekend]],Programma!$F$4:$Y$36148,4,0),"_")</f>
        <v>_</v>
      </c>
      <c r="BH38" s="247" t="str">
        <f>_xlfn.IFNA(VLOOKUP(Ruimtestaat[[#This Row],[Code Weekend]],Programma!$F$4:$Y$36148,5,0),"_")</f>
        <v>_</v>
      </c>
      <c r="BI38" s="247" t="str">
        <f>_xlfn.IFNA(VLOOKUP(Ruimtestaat[[#This Row],[Code Weekend]],Programma!$F$4:$Y$36148,6,0),"_")</f>
        <v>_</v>
      </c>
      <c r="BJ38" s="247" t="str">
        <f>_xlfn.IFNA(VLOOKUP(Ruimtestaat[[#This Row],[Code Weekend]],Programma!$F$4:$Y$36148,7,0),"_")</f>
        <v>_</v>
      </c>
      <c r="BK38" s="247" t="str">
        <f>_xlfn.IFNA(VLOOKUP(Ruimtestaat[[#This Row],[Code Weekend]],Programma!$F$4:$Y$36148,8,0),"_")</f>
        <v>_</v>
      </c>
      <c r="BL38" s="247" t="str">
        <f>_xlfn.IFNA(VLOOKUP(Ruimtestaat[[#This Row],[Code Weekend]],Programma!$F$4:$Y$36148,9,0),"_")</f>
        <v>_</v>
      </c>
      <c r="BM38" s="248" t="str">
        <f>_xlfn.IFNA(VLOOKUP(Ruimtestaat[[#This Row],[Code Weekend]],Programma!$F$4:$Y$36148,10,0),"_")</f>
        <v>_</v>
      </c>
      <c r="BN38" s="248" t="str">
        <f>_xlfn.IFNA(VLOOKUP(Ruimtestaat[[#This Row],[Code Weekend]],Programma!$F$4:$Y$36148,11,0),"_")</f>
        <v>_</v>
      </c>
      <c r="BO38" s="248" t="str">
        <f>_xlfn.IFNA(VLOOKUP(Ruimtestaat[[#This Row],[Code Weekend]],Programma!$F$4:$Y$36148,12,0),"_")</f>
        <v>_</v>
      </c>
      <c r="BP38" s="248" t="str">
        <f>_xlfn.IFNA(VLOOKUP(Ruimtestaat[[#This Row],[Code Weekend]],Programma!$F$4:$Y$36148,13,0),"_")</f>
        <v>_</v>
      </c>
      <c r="BQ38" s="248" t="str">
        <f>_xlfn.IFNA(VLOOKUP(Ruimtestaat[[#This Row],[Code Weekend]],Programma!$F$4:$Y$36148,14,0),"_")</f>
        <v>_</v>
      </c>
      <c r="BR38" s="248" t="str">
        <f>_xlfn.IFNA(VLOOKUP(Ruimtestaat[[#This Row],[Code Weekend]],Programma!$F$4:$Y$36148,15,0),"_")</f>
        <v>_</v>
      </c>
      <c r="BS38" s="248" t="str">
        <f>_xlfn.IFNA(VLOOKUP(Ruimtestaat[[#This Row],[Code Weekend]],Programma!$F$4:$Y$36148,16,0),"_")</f>
        <v>_</v>
      </c>
      <c r="BT38" s="248" t="str">
        <f>_xlfn.IFNA(VLOOKUP(Ruimtestaat[[#This Row],[Code Weekend]],Programma!$F$4:$Y$36148,17,0),"_")</f>
        <v>_</v>
      </c>
      <c r="BU38" s="249" t="str">
        <f>_xlfn.IFNA(VLOOKUP(Ruimtestaat[[#This Row],[Code Weekend]],Programma!$F$4:$Y$36148,18,0),"_")</f>
        <v>_</v>
      </c>
      <c r="BV38" s="249" t="str">
        <f>_xlfn.IFNA(VLOOKUP(Ruimtestaat[[#This Row],[Code Weekend]],Programma!$F$4:$Y$36148,19,0),"_")</f>
        <v>_</v>
      </c>
      <c r="BW38" s="249" t="str">
        <f>_xlfn.IFNA(VLOOKUP(Ruimtestaat[[#This Row],[Code Weekend]],Programma!$F$4:$Y$36148,20,0),"_")</f>
        <v>_</v>
      </c>
      <c r="BX38" s="91"/>
      <c r="BY38" s="91"/>
      <c r="BZ38" s="91"/>
      <c r="CA38" s="91"/>
      <c r="CB38" s="91"/>
      <c r="CC38" s="91"/>
      <c r="CD38" s="91"/>
      <c r="CE38" s="91"/>
      <c r="CF38" s="91"/>
      <c r="CG38" s="91"/>
      <c r="CH38" s="91"/>
      <c r="CI38" s="91"/>
      <c r="CJ38" s="91"/>
      <c r="CK38" s="91"/>
      <c r="CL38" s="91"/>
      <c r="CM38" s="91"/>
      <c r="CN38" s="91"/>
      <c r="CO38" s="91"/>
      <c r="CP38" s="91"/>
      <c r="CQ38" s="91"/>
      <c r="CR38" s="91"/>
      <c r="CS38" s="91"/>
      <c r="CT38" s="91"/>
      <c r="CU38" s="91"/>
      <c r="CV38" s="91"/>
      <c r="CW38" s="91"/>
      <c r="CX38" s="91"/>
      <c r="CY38" s="91"/>
      <c r="CZ38" s="91"/>
      <c r="DA38" s="91"/>
      <c r="DB38" s="91"/>
      <c r="DC38" s="91"/>
      <c r="DD38" s="91"/>
      <c r="DE38" s="91"/>
      <c r="DF38" s="91"/>
      <c r="DG38" s="91"/>
      <c r="DH38" s="91"/>
      <c r="DI38" s="91"/>
      <c r="DJ38" s="91"/>
      <c r="DK38" s="91"/>
      <c r="DL38" s="91"/>
      <c r="DM38" s="91"/>
      <c r="DN38" s="91"/>
      <c r="DO38" s="91"/>
      <c r="DP38" s="91"/>
      <c r="DQ38" s="91"/>
      <c r="DR38" s="91"/>
      <c r="DS38" s="91"/>
      <c r="DT38" s="91"/>
      <c r="DU38" s="91"/>
      <c r="DV38" s="91"/>
      <c r="DW38" s="91"/>
      <c r="DX38" s="91"/>
      <c r="DY38" s="91"/>
      <c r="DZ38" s="91"/>
      <c r="EA38" s="91"/>
      <c r="EB38" s="91"/>
      <c r="EC38" s="91"/>
      <c r="ED38" s="91"/>
      <c r="EE38" s="91"/>
      <c r="EF38" s="91"/>
      <c r="EG38" s="91"/>
      <c r="EH38" s="91"/>
      <c r="EI38" s="91"/>
      <c r="EJ38" s="91"/>
      <c r="EK38" s="91"/>
      <c r="EL38" s="91"/>
      <c r="EM38" s="91"/>
      <c r="EN38" s="91"/>
      <c r="EO38" s="91"/>
      <c r="EP38" s="91"/>
      <c r="EQ38" s="91"/>
      <c r="ER38" s="91"/>
      <c r="ES38" s="91"/>
      <c r="ET38" s="91"/>
      <c r="EU38" s="91"/>
      <c r="EV38" s="91"/>
      <c r="EW38" s="91"/>
      <c r="EX38" s="91"/>
      <c r="EY38" s="91"/>
      <c r="EZ38" s="91"/>
      <c r="FA38" s="91"/>
      <c r="FB38" s="91"/>
      <c r="FC38" s="91"/>
      <c r="FD38" s="91"/>
      <c r="FE38" s="91"/>
      <c r="FF38" s="91"/>
      <c r="FG38" s="91"/>
      <c r="FH38" s="91"/>
      <c r="FI38" s="91"/>
      <c r="FJ38" s="91"/>
      <c r="FK38" s="91"/>
      <c r="FL38" s="91"/>
      <c r="FM38" s="91"/>
      <c r="FN38" s="91"/>
      <c r="FO38" s="91"/>
      <c r="FP38" s="91"/>
      <c r="FQ38" s="91"/>
      <c r="FR38" s="91"/>
      <c r="FS38" s="91"/>
      <c r="FT38" s="91"/>
      <c r="FU38" s="91"/>
      <c r="FV38" s="91"/>
      <c r="FW38" s="91"/>
      <c r="FX38" s="91"/>
      <c r="FY38" s="91"/>
      <c r="FZ38" s="91"/>
      <c r="GA38" s="91"/>
      <c r="GB38" s="91"/>
      <c r="GC38" s="91"/>
      <c r="GD38" s="91"/>
      <c r="GE38" s="91"/>
      <c r="GF38" s="91"/>
      <c r="GG38" s="91"/>
      <c r="GH38" s="91"/>
      <c r="GI38" s="91"/>
      <c r="GJ38" s="91"/>
      <c r="GK38" s="91"/>
      <c r="GL38" s="91"/>
      <c r="GM38" s="91"/>
      <c r="GN38" s="91"/>
      <c r="GO38" s="91"/>
      <c r="GP38" s="91"/>
      <c r="GQ38" s="91"/>
      <c r="GR38" s="91"/>
      <c r="GS38" s="91"/>
      <c r="GT38" s="91"/>
      <c r="GU38" s="91"/>
      <c r="GV38" s="91"/>
      <c r="GW38" s="91"/>
      <c r="GX38" s="91"/>
      <c r="GY38" s="91"/>
      <c r="GZ38" s="91"/>
      <c r="HA38" s="91"/>
      <c r="HB38" s="91"/>
      <c r="HC38" s="91"/>
      <c r="HD38" s="91"/>
      <c r="HE38" s="91"/>
      <c r="HF38" s="91"/>
      <c r="HG38" s="91"/>
      <c r="HH38" s="91"/>
      <c r="HI38" s="91"/>
      <c r="HJ38" s="91"/>
      <c r="HK38" s="91"/>
    </row>
    <row r="39" spans="1:219" s="8" customFormat="1" ht="12.75" customHeight="1">
      <c r="A39" s="131">
        <v>1</v>
      </c>
      <c r="B39" s="22" t="str">
        <f>VLOOKUP(Ruimtestaat[[#This Row],[Code]],Locaties[#All],2,FALSE)</f>
        <v>ESH Secondary School</v>
      </c>
      <c r="C39" s="22" t="str">
        <f>VLOOKUP(Ruimtestaat[[#This Row],[Code]],Locaties[#All],4,FALSE)</f>
        <v>Oostduinlaan 50</v>
      </c>
      <c r="D39" s="334" t="str">
        <f>VLOOKUP(Ruimtestaat[[#This Row],[Code]],Locaties[#All],5,FALSE)</f>
        <v>2596 JP</v>
      </c>
      <c r="E39" s="334" t="str">
        <f>VLOOKUP(Ruimtestaat[[#This Row],[Code]],Locaties[#All],6,FALSE)</f>
        <v>Den Haag</v>
      </c>
      <c r="F39" s="326"/>
      <c r="G39" s="324" t="s">
        <v>1610</v>
      </c>
      <c r="H39" s="324" t="s">
        <v>1606</v>
      </c>
      <c r="I39" s="327" t="s">
        <v>1397</v>
      </c>
      <c r="J39" s="328">
        <v>21</v>
      </c>
      <c r="K39" s="348" t="str">
        <f>VLOOKUP(J39,Ruimtegroepen[],2,FALSE)</f>
        <v>Niet in onderhoud</v>
      </c>
      <c r="L39" s="325"/>
      <c r="M39" s="329"/>
      <c r="N39" s="330"/>
      <c r="O39" s="331">
        <v>9</v>
      </c>
      <c r="P39" s="332" t="str">
        <f>VLOOKUP(Ruimtestaat[[#This Row],[Ruimte code]],Ruimtegroepen[],4,FALSE)</f>
        <v>NIO</v>
      </c>
      <c r="Q39" s="332"/>
      <c r="R39" s="333"/>
      <c r="S39" s="333"/>
      <c r="T39" s="37"/>
      <c r="U39" s="37">
        <f>IF(R39&gt;0,IF(RIGHT(Ruimtestaat[[#This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39" s="37">
        <f>IF(U39&gt;0,VLOOKUP($J39,Ruimtegroepen[],3,FALSE)*VLOOKUP($L39,Vloersoorten[],3,FALSE)*VLOOKUP($S39,Frequenties[],3,FALSE)*VLOOKUP($A39,Locaties[],3,FALSE),0)</f>
        <v>0</v>
      </c>
      <c r="W39" s="37">
        <f>Ruimtestaat[[#This Row],[Uitvoeringen werkdagen]]*Ruimtestaat[[#This Row],[Oppervlak (netto)]]</f>
        <v>0</v>
      </c>
      <c r="X39" s="37">
        <f>IF(V39&gt;0,Ruimtestaat[[#This Row],[Prest. (m2 /jaar) werkdagen]]/Ruimtestaat[[#This Row],[Norm (m2/uur) werkdagen]],0)</f>
        <v>0</v>
      </c>
      <c r="Y39" s="37">
        <f>Ruimtestaat[[#This Row],[uren / jaar werkdagen]]*Tariefsopbouw!$D$38</f>
        <v>0</v>
      </c>
      <c r="Z39" s="37">
        <f>IF(Ruimtestaat[[#This Row],[Frequentie weekend]]&gt;0,VALUE(LEFT(T39,1))*R39,0)</f>
        <v>0</v>
      </c>
      <c r="AA39" s="37">
        <f>IF($Z39&gt;0,VLOOKUP($J39,Ruimtegroepen[],3,FALSE)*VLOOKUP($L39,Vloersoorten[],3,FALSE)*VLOOKUP($T39,Frequenties[],3,FALSE)*VLOOKUP($A39,Locaties[],3,FALSE),0)</f>
        <v>0</v>
      </c>
      <c r="AB39" s="37">
        <f>Ruimtestaat[[#This Row],[Uitvoeringen weekend]]*Ruimtestaat[[#This Row],[Oppervlak (netto)]]</f>
        <v>0</v>
      </c>
      <c r="AC39" s="37">
        <f>IF(AA39&gt;0,Ruimtestaat[[#This Row],[Prest. (m2 /jaar) weekend]]/Ruimtestaat[[#This Row],[Norm (m2/uur) weekend]],0)</f>
        <v>0</v>
      </c>
      <c r="AD39" s="37">
        <f>Ruimtestaat[[#This Row],[uren / jaar weekend]]*Tariefsopbouw!$D$40</f>
        <v>0</v>
      </c>
      <c r="AE39" s="89">
        <f>Ruimtestaat[[#This Row],[Prest. (m2 /jaar) weekend]]+Ruimtestaat[[#This Row],[Prest. (m2 /jaar) werkdagen]]</f>
        <v>0</v>
      </c>
      <c r="AF39" s="89">
        <f>Ruimtestaat[[#This Row],[uren / jaar weekend]]+Ruimtestaat[[#This Row],[uren / jaar werkdagen]]</f>
        <v>0</v>
      </c>
      <c r="AG39" s="90">
        <f>Ruimtestaat[[#This Row],[kosten / jaar weekend]]+Ruimtestaat[[#This Row],[kosten / jaar werkdagen]]</f>
        <v>0</v>
      </c>
      <c r="AH39" s="253"/>
      <c r="AI39" s="252" t="str">
        <f>IF(Ruimtestaat[[#This Row],[Frequentie werkdagen]]="","",_xlfn.CONCAT(Ruimtestaat[[#This Row],[Ruimte code]],"-",Ruimtestaat[[#This Row],[Frequentie werkdagen]]," ",Ruimtestaat[[#This Row],[Vloer code]]))</f>
        <v/>
      </c>
      <c r="AJ39" s="247" t="str">
        <f>_xlfn.IFNA(VLOOKUP(Ruimtestaat[[#This Row],[Programmacode
Regulier]],Programma!$F$4:$Y$36148,2,0),"_")</f>
        <v>_</v>
      </c>
      <c r="AK39" s="247" t="str">
        <f>_xlfn.IFNA(VLOOKUP(Ruimtestaat[[#This Row],[Programmacode
Regulier]],Programma!$F$4:$Y$36148,3,0),"_")</f>
        <v>_</v>
      </c>
      <c r="AL39" s="247" t="str">
        <f>_xlfn.IFNA(VLOOKUP(Ruimtestaat[[#This Row],[Programmacode
Regulier]],Programma!$F$4:$Y$36148,4,0),"_")</f>
        <v>_</v>
      </c>
      <c r="AM39" s="247" t="str">
        <f>_xlfn.IFNA(VLOOKUP(Ruimtestaat[[#This Row],[Programmacode
Regulier]],Programma!$F$4:$Y$36148,5,0),"_")</f>
        <v>_</v>
      </c>
      <c r="AN39" s="247" t="str">
        <f>_xlfn.IFNA(VLOOKUP(Ruimtestaat[[#This Row],[Programmacode
Regulier]],Programma!$F$4:$Y$36148,6,0),"_")</f>
        <v>_</v>
      </c>
      <c r="AO39" s="247" t="str">
        <f>_xlfn.IFNA(VLOOKUP(Ruimtestaat[[#This Row],[Programmacode
Regulier]],Programma!$F$4:$Y$36148,7,0),"_")</f>
        <v>_</v>
      </c>
      <c r="AP39" s="247" t="str">
        <f>_xlfn.IFNA(VLOOKUP(Ruimtestaat[[#This Row],[Programmacode
Regulier]],Programma!$F$4:$Y$36148,8,0),"_")</f>
        <v>_</v>
      </c>
      <c r="AQ39" s="247" t="str">
        <f>_xlfn.IFNA(VLOOKUP(Ruimtestaat[[#This Row],[Programmacode
Regulier]],Programma!$F$4:$Y$36148,9,0),"_")</f>
        <v>_</v>
      </c>
      <c r="AR39" s="248" t="str">
        <f>_xlfn.IFNA(VLOOKUP(Ruimtestaat[[#This Row],[Programmacode
Regulier]],Programma!$F$4:$Y$36148,10,0),"_")</f>
        <v>_</v>
      </c>
      <c r="AS39" s="248" t="str">
        <f>_xlfn.IFNA(VLOOKUP(Ruimtestaat[[#This Row],[Programmacode
Regulier]],Programma!$F$4:$Y$36148,11,0),"_")</f>
        <v>_</v>
      </c>
      <c r="AT39" s="248" t="str">
        <f>_xlfn.IFNA(VLOOKUP(Ruimtestaat[[#This Row],[Programmacode
Regulier]],Programma!$F$4:$Y$36148,12,0),"_")</f>
        <v>_</v>
      </c>
      <c r="AU39" s="248" t="str">
        <f>_xlfn.IFNA(VLOOKUP(Ruimtestaat[[#This Row],[Programmacode
Regulier]],Programma!$F$4:$Y$36148,13,0),"_")</f>
        <v>_</v>
      </c>
      <c r="AV39" s="248" t="str">
        <f>_xlfn.IFNA(VLOOKUP(Ruimtestaat[[#This Row],[Programmacode
Regulier]],Programma!$F$4:$Y$36148,14,0),"_")</f>
        <v>_</v>
      </c>
      <c r="AW39" s="248" t="str">
        <f>_xlfn.IFNA(VLOOKUP(Ruimtestaat[[#This Row],[Programmacode
Regulier]],Programma!$F$4:$Y$36148,15,0),"_")</f>
        <v>_</v>
      </c>
      <c r="AX39" s="248" t="str">
        <f>_xlfn.IFNA(VLOOKUP(Ruimtestaat[[#This Row],[Programmacode
Regulier]],Programma!$F$4:$Y$36148,16,0),"_")</f>
        <v>_</v>
      </c>
      <c r="AY39" s="248" t="str">
        <f>_xlfn.IFNA(VLOOKUP(Ruimtestaat[[#This Row],[Programmacode
Regulier]],Programma!$F$4:$Y$36148,17,0),"_")</f>
        <v>_</v>
      </c>
      <c r="AZ39" s="249" t="str">
        <f>_xlfn.IFNA(VLOOKUP(Ruimtestaat[[#This Row],[Programmacode
Regulier]],Programma!$F$4:$Y$36148,18,0),"_")</f>
        <v>_</v>
      </c>
      <c r="BA39" s="249" t="str">
        <f>_xlfn.IFNA(VLOOKUP(Ruimtestaat[[#This Row],[Programmacode
Regulier]],Programma!$F$4:$Y$36148,19,0),"_")</f>
        <v>_</v>
      </c>
      <c r="BB39" s="249" t="str">
        <f>_xlfn.IFNA(VLOOKUP(Ruimtestaat[[#This Row],[Programmacode
Regulier]],Programma!$F$4:$Y$36148,20,0),"_")</f>
        <v>_</v>
      </c>
      <c r="BC39" s="250"/>
      <c r="BD39" s="212" t="str">
        <f>IF(Ruimtestaat[[#This Row],[Frequentie weekend]]="","",_xlfn.CONCAT(Ruimtestaat[[#This Row],[Ruimte code]],"-",Ruimtestaat[[#This Row],[Frequentie weekend]]," ",Ruimtestaat[[#This Row],[Vloer code]]))</f>
        <v/>
      </c>
      <c r="BE39" s="247" t="str">
        <f>_xlfn.IFNA(VLOOKUP(Ruimtestaat[[#This Row],[Code Weekend]],Programma!$F$4:$Y$36148,2,0),"_")</f>
        <v>_</v>
      </c>
      <c r="BF39" s="247" t="str">
        <f>_xlfn.IFNA(VLOOKUP(Ruimtestaat[[#This Row],[Code Weekend]],Programma!$F$4:$Y$36148,3,0),"_")</f>
        <v>_</v>
      </c>
      <c r="BG39" s="247" t="str">
        <f>_xlfn.IFNA(VLOOKUP(Ruimtestaat[[#This Row],[Code Weekend]],Programma!$F$4:$Y$36148,4,0),"_")</f>
        <v>_</v>
      </c>
      <c r="BH39" s="247" t="str">
        <f>_xlfn.IFNA(VLOOKUP(Ruimtestaat[[#This Row],[Code Weekend]],Programma!$F$4:$Y$36148,5,0),"_")</f>
        <v>_</v>
      </c>
      <c r="BI39" s="247" t="str">
        <f>_xlfn.IFNA(VLOOKUP(Ruimtestaat[[#This Row],[Code Weekend]],Programma!$F$4:$Y$36148,6,0),"_")</f>
        <v>_</v>
      </c>
      <c r="BJ39" s="247" t="str">
        <f>_xlfn.IFNA(VLOOKUP(Ruimtestaat[[#This Row],[Code Weekend]],Programma!$F$4:$Y$36148,7,0),"_")</f>
        <v>_</v>
      </c>
      <c r="BK39" s="247" t="str">
        <f>_xlfn.IFNA(VLOOKUP(Ruimtestaat[[#This Row],[Code Weekend]],Programma!$F$4:$Y$36148,8,0),"_")</f>
        <v>_</v>
      </c>
      <c r="BL39" s="247" t="str">
        <f>_xlfn.IFNA(VLOOKUP(Ruimtestaat[[#This Row],[Code Weekend]],Programma!$F$4:$Y$36148,9,0),"_")</f>
        <v>_</v>
      </c>
      <c r="BM39" s="248" t="str">
        <f>_xlfn.IFNA(VLOOKUP(Ruimtestaat[[#This Row],[Code Weekend]],Programma!$F$4:$Y$36148,10,0),"_")</f>
        <v>_</v>
      </c>
      <c r="BN39" s="248" t="str">
        <f>_xlfn.IFNA(VLOOKUP(Ruimtestaat[[#This Row],[Code Weekend]],Programma!$F$4:$Y$36148,11,0),"_")</f>
        <v>_</v>
      </c>
      <c r="BO39" s="248" t="str">
        <f>_xlfn.IFNA(VLOOKUP(Ruimtestaat[[#This Row],[Code Weekend]],Programma!$F$4:$Y$36148,12,0),"_")</f>
        <v>_</v>
      </c>
      <c r="BP39" s="248" t="str">
        <f>_xlfn.IFNA(VLOOKUP(Ruimtestaat[[#This Row],[Code Weekend]],Programma!$F$4:$Y$36148,13,0),"_")</f>
        <v>_</v>
      </c>
      <c r="BQ39" s="248" t="str">
        <f>_xlfn.IFNA(VLOOKUP(Ruimtestaat[[#This Row],[Code Weekend]],Programma!$F$4:$Y$36148,14,0),"_")</f>
        <v>_</v>
      </c>
      <c r="BR39" s="248" t="str">
        <f>_xlfn.IFNA(VLOOKUP(Ruimtestaat[[#This Row],[Code Weekend]],Programma!$F$4:$Y$36148,15,0),"_")</f>
        <v>_</v>
      </c>
      <c r="BS39" s="248" t="str">
        <f>_xlfn.IFNA(VLOOKUP(Ruimtestaat[[#This Row],[Code Weekend]],Programma!$F$4:$Y$36148,16,0),"_")</f>
        <v>_</v>
      </c>
      <c r="BT39" s="248" t="str">
        <f>_xlfn.IFNA(VLOOKUP(Ruimtestaat[[#This Row],[Code Weekend]],Programma!$F$4:$Y$36148,17,0),"_")</f>
        <v>_</v>
      </c>
      <c r="BU39" s="249" t="str">
        <f>_xlfn.IFNA(VLOOKUP(Ruimtestaat[[#This Row],[Code Weekend]],Programma!$F$4:$Y$36148,18,0),"_")</f>
        <v>_</v>
      </c>
      <c r="BV39" s="249" t="str">
        <f>_xlfn.IFNA(VLOOKUP(Ruimtestaat[[#This Row],[Code Weekend]],Programma!$F$4:$Y$36148,19,0),"_")</f>
        <v>_</v>
      </c>
      <c r="BW39" s="249" t="str">
        <f>_xlfn.IFNA(VLOOKUP(Ruimtestaat[[#This Row],[Code Weekend]],Programma!$F$4:$Y$36148,20,0),"_")</f>
        <v>_</v>
      </c>
      <c r="BX39" s="91"/>
      <c r="BY39" s="91"/>
      <c r="BZ39" s="91"/>
      <c r="CA39" s="91"/>
      <c r="CB39" s="91"/>
      <c r="CC39" s="91"/>
      <c r="CD39" s="91"/>
      <c r="CE39" s="91"/>
      <c r="CF39" s="91"/>
      <c r="CG39" s="91"/>
      <c r="CH39" s="91"/>
      <c r="CI39" s="91"/>
      <c r="CJ39" s="91"/>
      <c r="CK39" s="91"/>
      <c r="CL39" s="91"/>
      <c r="CM39" s="91"/>
      <c r="CN39" s="91"/>
      <c r="CO39" s="91"/>
      <c r="CP39" s="91"/>
      <c r="CQ39" s="91"/>
      <c r="CR39" s="91"/>
      <c r="CS39" s="91"/>
      <c r="CT39" s="91"/>
      <c r="CU39" s="91"/>
      <c r="CV39" s="91"/>
      <c r="CW39" s="91"/>
      <c r="CX39" s="91"/>
      <c r="CY39" s="91"/>
      <c r="CZ39" s="91"/>
      <c r="DA39" s="91"/>
      <c r="DB39" s="91"/>
      <c r="DC39" s="91"/>
      <c r="DD39" s="91"/>
      <c r="DE39" s="91"/>
      <c r="DF39" s="91"/>
      <c r="DG39" s="91"/>
      <c r="DH39" s="91"/>
      <c r="DI39" s="91"/>
      <c r="DJ39" s="91"/>
      <c r="DK39" s="91"/>
      <c r="DL39" s="91"/>
      <c r="DM39" s="91"/>
      <c r="DN39" s="91"/>
      <c r="DO39" s="91"/>
      <c r="DP39" s="91"/>
      <c r="DQ39" s="91"/>
      <c r="DR39" s="91"/>
      <c r="DS39" s="91"/>
      <c r="DT39" s="91"/>
      <c r="DU39" s="91"/>
      <c r="DV39" s="91"/>
      <c r="DW39" s="91"/>
      <c r="DX39" s="91"/>
      <c r="DY39" s="91"/>
      <c r="DZ39" s="91"/>
      <c r="EA39" s="91"/>
      <c r="EB39" s="91"/>
      <c r="EC39" s="91"/>
      <c r="ED39" s="91"/>
      <c r="EE39" s="91"/>
      <c r="EF39" s="91"/>
      <c r="EG39" s="91"/>
      <c r="EH39" s="91"/>
      <c r="EI39" s="91"/>
      <c r="EJ39" s="91"/>
      <c r="EK39" s="91"/>
      <c r="EL39" s="91"/>
      <c r="EM39" s="91"/>
      <c r="EN39" s="91"/>
      <c r="EO39" s="91"/>
      <c r="EP39" s="91"/>
      <c r="EQ39" s="91"/>
      <c r="ER39" s="91"/>
      <c r="ES39" s="91"/>
      <c r="ET39" s="91"/>
      <c r="EU39" s="91"/>
      <c r="EV39" s="91"/>
      <c r="EW39" s="91"/>
      <c r="EX39" s="91"/>
      <c r="EY39" s="91"/>
      <c r="EZ39" s="91"/>
      <c r="FA39" s="91"/>
      <c r="FB39" s="91"/>
      <c r="FC39" s="91"/>
      <c r="FD39" s="91"/>
      <c r="FE39" s="91"/>
      <c r="FF39" s="91"/>
      <c r="FG39" s="91"/>
      <c r="FH39" s="91"/>
      <c r="FI39" s="91"/>
      <c r="FJ39" s="91"/>
      <c r="FK39" s="91"/>
      <c r="FL39" s="91"/>
      <c r="FM39" s="91"/>
      <c r="FN39" s="91"/>
      <c r="FO39" s="91"/>
      <c r="FP39" s="91"/>
      <c r="FQ39" s="91"/>
      <c r="FR39" s="91"/>
      <c r="FS39" s="91"/>
      <c r="FT39" s="91"/>
      <c r="FU39" s="91"/>
      <c r="FV39" s="91"/>
      <c r="FW39" s="91"/>
      <c r="FX39" s="91"/>
      <c r="FY39" s="91"/>
      <c r="FZ39" s="91"/>
      <c r="GA39" s="91"/>
      <c r="GB39" s="91"/>
      <c r="GC39" s="91"/>
      <c r="GD39" s="91"/>
      <c r="GE39" s="91"/>
      <c r="GF39" s="91"/>
      <c r="GG39" s="91"/>
      <c r="GH39" s="91"/>
      <c r="GI39" s="91"/>
      <c r="GJ39" s="91"/>
      <c r="GK39" s="91"/>
      <c r="GL39" s="91"/>
      <c r="GM39" s="91"/>
      <c r="GN39" s="91"/>
      <c r="GO39" s="91"/>
      <c r="GP39" s="91"/>
      <c r="GQ39" s="91"/>
      <c r="GR39" s="91"/>
      <c r="GS39" s="91"/>
      <c r="GT39" s="91"/>
      <c r="GU39" s="91"/>
      <c r="GV39" s="91"/>
      <c r="GW39" s="91"/>
      <c r="GX39" s="91"/>
      <c r="GY39" s="91"/>
      <c r="GZ39" s="91"/>
      <c r="HA39" s="91"/>
      <c r="HB39" s="91"/>
      <c r="HC39" s="91"/>
      <c r="HD39" s="91"/>
      <c r="HE39" s="91"/>
      <c r="HF39" s="91"/>
      <c r="HG39" s="91"/>
      <c r="HH39" s="91"/>
      <c r="HI39" s="91"/>
      <c r="HJ39" s="91"/>
      <c r="HK39" s="91"/>
    </row>
    <row r="40" spans="1:219" s="8" customFormat="1" ht="12.75" customHeight="1">
      <c r="A40" s="131">
        <v>1</v>
      </c>
      <c r="B40" s="22" t="str">
        <f>VLOOKUP(Ruimtestaat[[#This Row],[Code]],Locaties[#All],2,FALSE)</f>
        <v>ESH Secondary School</v>
      </c>
      <c r="C40" s="22" t="str">
        <f>VLOOKUP(Ruimtestaat[[#This Row],[Code]],Locaties[#All],4,FALSE)</f>
        <v>Oostduinlaan 50</v>
      </c>
      <c r="D40" s="334" t="str">
        <f>VLOOKUP(Ruimtestaat[[#This Row],[Code]],Locaties[#All],5,FALSE)</f>
        <v>2596 JP</v>
      </c>
      <c r="E40" s="334" t="str">
        <f>VLOOKUP(Ruimtestaat[[#This Row],[Code]],Locaties[#All],6,FALSE)</f>
        <v>Den Haag</v>
      </c>
      <c r="F40" s="326"/>
      <c r="G40" s="324" t="s">
        <v>1610</v>
      </c>
      <c r="H40" s="324" t="s">
        <v>1607</v>
      </c>
      <c r="I40" s="327" t="s">
        <v>1612</v>
      </c>
      <c r="J40" s="328">
        <v>1</v>
      </c>
      <c r="K40" s="348" t="str">
        <f>VLOOKUP(J40,Ruimtegroepen[],2,FALSE)</f>
        <v>Magazijnen/bergingen</v>
      </c>
      <c r="L40" s="212" t="s">
        <v>123</v>
      </c>
      <c r="M40" s="334" t="s">
        <v>144</v>
      </c>
      <c r="N40" s="330">
        <v>35</v>
      </c>
      <c r="O40" s="331"/>
      <c r="P40" s="332" t="str">
        <f>VLOOKUP(Ruimtestaat[[#This Row],[Ruimte code]],Ruimtegroepen[],4,FALSE)</f>
        <v>V  (Verkeersruimte)</v>
      </c>
      <c r="Q40" s="332"/>
      <c r="R40" s="333">
        <v>40</v>
      </c>
      <c r="S40" s="333" t="s">
        <v>16</v>
      </c>
      <c r="T40" s="37"/>
      <c r="U40" s="37">
        <f>IF(R40&gt;0,IF(RIGHT(Ruimtestaat[[#This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40" s="37">
        <f>IF(U40&gt;0,VLOOKUP($J40,Ruimtegroepen[],3,FALSE)*VLOOKUP($L40,Vloersoorten[],3,FALSE)*VLOOKUP($S40,Frequenties[],3,FALSE)*VLOOKUP($A40,Locaties[],3,FALSE),0)</f>
        <v>0</v>
      </c>
      <c r="W40" s="37">
        <f>Ruimtestaat[[#This Row],[Uitvoeringen werkdagen]]*Ruimtestaat[[#This Row],[Oppervlak (netto)]]</f>
        <v>420</v>
      </c>
      <c r="X40" s="37">
        <f>IF(V40&gt;0,Ruimtestaat[[#This Row],[Prest. (m2 /jaar) werkdagen]]/Ruimtestaat[[#This Row],[Norm (m2/uur) werkdagen]],0)</f>
        <v>0</v>
      </c>
      <c r="Y40" s="37">
        <f>Ruimtestaat[[#This Row],[uren / jaar werkdagen]]*Tariefsopbouw!$D$38</f>
        <v>0</v>
      </c>
      <c r="Z40" s="37">
        <f>IF(Ruimtestaat[[#This Row],[Frequentie weekend]]&gt;0,VALUE(LEFT(T40,1))*R40,0)</f>
        <v>0</v>
      </c>
      <c r="AA40" s="37">
        <f>IF($Z40&gt;0,VLOOKUP($J40,Ruimtegroepen[],3,FALSE)*VLOOKUP($L40,Vloersoorten[],3,FALSE)*VLOOKUP($T40,Frequenties[],3,FALSE)*VLOOKUP($A40,Locaties[],3,FALSE),0)</f>
        <v>0</v>
      </c>
      <c r="AB40" s="37">
        <f>Ruimtestaat[[#This Row],[Uitvoeringen weekend]]*Ruimtestaat[[#This Row],[Oppervlak (netto)]]</f>
        <v>0</v>
      </c>
      <c r="AC40" s="37">
        <f>IF(AA40&gt;0,Ruimtestaat[[#This Row],[Prest. (m2 /jaar) weekend]]/Ruimtestaat[[#This Row],[Norm (m2/uur) weekend]],0)</f>
        <v>0</v>
      </c>
      <c r="AD40" s="37">
        <f>Ruimtestaat[[#This Row],[uren / jaar weekend]]*Tariefsopbouw!$D$40</f>
        <v>0</v>
      </c>
      <c r="AE40" s="89">
        <f>Ruimtestaat[[#This Row],[Prest. (m2 /jaar) weekend]]+Ruimtestaat[[#This Row],[Prest. (m2 /jaar) werkdagen]]</f>
        <v>420</v>
      </c>
      <c r="AF40" s="89">
        <f>Ruimtestaat[[#This Row],[uren / jaar weekend]]+Ruimtestaat[[#This Row],[uren / jaar werkdagen]]</f>
        <v>0</v>
      </c>
      <c r="AG40" s="90">
        <f>Ruimtestaat[[#This Row],[kosten / jaar weekend]]+Ruimtestaat[[#This Row],[kosten / jaar werkdagen]]</f>
        <v>0</v>
      </c>
      <c r="AH40" s="253"/>
      <c r="AI40" s="252" t="str">
        <f>IF(Ruimtestaat[[#This Row],[Frequentie werkdagen]]="","",_xlfn.CONCAT(Ruimtestaat[[#This Row],[Ruimte code]],"-",Ruimtestaat[[#This Row],[Frequentie werkdagen]]," ",Ruimtestaat[[#This Row],[Vloer code]]))</f>
        <v>1-1m P</v>
      </c>
      <c r="AJ40" s="247" t="str">
        <f>_xlfn.IFNA(VLOOKUP(Ruimtestaat[[#This Row],[Programmacode
Regulier]],Programma!$F$4:$Y$36148,2,0),"_")</f>
        <v>_</v>
      </c>
      <c r="AK40" s="247" t="str">
        <f>_xlfn.IFNA(VLOOKUP(Ruimtestaat[[#This Row],[Programmacode
Regulier]],Programma!$F$4:$Y$36148,3,0),"_")</f>
        <v>_</v>
      </c>
      <c r="AL40" s="247" t="str">
        <f>_xlfn.IFNA(VLOOKUP(Ruimtestaat[[#This Row],[Programmacode
Regulier]],Programma!$F$4:$Y$36148,4,0),"_")</f>
        <v>1m</v>
      </c>
      <c r="AM40" s="247" t="str">
        <f>_xlfn.IFNA(VLOOKUP(Ruimtestaat[[#This Row],[Programmacode
Regulier]],Programma!$F$4:$Y$36148,5,0),"_")</f>
        <v>1m</v>
      </c>
      <c r="AN40" s="247" t="str">
        <f>_xlfn.IFNA(VLOOKUP(Ruimtestaat[[#This Row],[Programmacode
Regulier]],Programma!$F$4:$Y$36148,6,0),"_")</f>
        <v>_</v>
      </c>
      <c r="AO40" s="247" t="str">
        <f>_xlfn.IFNA(VLOOKUP(Ruimtestaat[[#This Row],[Programmacode
Regulier]],Programma!$F$4:$Y$36148,7,0),"_")</f>
        <v>_</v>
      </c>
      <c r="AP40" s="247" t="str">
        <f>_xlfn.IFNA(VLOOKUP(Ruimtestaat[[#This Row],[Programmacode
Regulier]],Programma!$F$4:$Y$36148,8,0),"_")</f>
        <v>_</v>
      </c>
      <c r="AQ40" s="247" t="str">
        <f>_xlfn.IFNA(VLOOKUP(Ruimtestaat[[#This Row],[Programmacode
Regulier]],Programma!$F$4:$Y$36148,9,0),"_")</f>
        <v>_</v>
      </c>
      <c r="AR40" s="248" t="str">
        <f>_xlfn.IFNA(VLOOKUP(Ruimtestaat[[#This Row],[Programmacode
Regulier]],Programma!$F$4:$Y$36148,10,0),"_")</f>
        <v>_</v>
      </c>
      <c r="AS40" s="248" t="str">
        <f>_xlfn.IFNA(VLOOKUP(Ruimtestaat[[#This Row],[Programmacode
Regulier]],Programma!$F$4:$Y$36148,11,0),"_")</f>
        <v>_</v>
      </c>
      <c r="AT40" s="248" t="str">
        <f>_xlfn.IFNA(VLOOKUP(Ruimtestaat[[#This Row],[Programmacode
Regulier]],Programma!$F$4:$Y$36148,12,0),"_")</f>
        <v>_</v>
      </c>
      <c r="AU40" s="248" t="str">
        <f>_xlfn.IFNA(VLOOKUP(Ruimtestaat[[#This Row],[Programmacode
Regulier]],Programma!$F$4:$Y$36148,13,0),"_")</f>
        <v>_</v>
      </c>
      <c r="AV40" s="248" t="str">
        <f>_xlfn.IFNA(VLOOKUP(Ruimtestaat[[#This Row],[Programmacode
Regulier]],Programma!$F$4:$Y$36148,14,0),"_")</f>
        <v>1j</v>
      </c>
      <c r="AW40" s="248" t="str">
        <f>_xlfn.IFNA(VLOOKUP(Ruimtestaat[[#This Row],[Programmacode
Regulier]],Programma!$F$4:$Y$36148,15,0),"_")</f>
        <v>1j</v>
      </c>
      <c r="AX40" s="248" t="str">
        <f>_xlfn.IFNA(VLOOKUP(Ruimtestaat[[#This Row],[Programmacode
Regulier]],Programma!$F$4:$Y$36148,16,0),"_")</f>
        <v>1j</v>
      </c>
      <c r="AY40" s="248" t="str">
        <f>_xlfn.IFNA(VLOOKUP(Ruimtestaat[[#This Row],[Programmacode
Regulier]],Programma!$F$4:$Y$36148,17,0),"_")</f>
        <v>_</v>
      </c>
      <c r="AZ40" s="249" t="str">
        <f>_xlfn.IFNA(VLOOKUP(Ruimtestaat[[#This Row],[Programmacode
Regulier]],Programma!$F$4:$Y$36148,18,0),"_")</f>
        <v>_</v>
      </c>
      <c r="BA40" s="249" t="str">
        <f>_xlfn.IFNA(VLOOKUP(Ruimtestaat[[#This Row],[Programmacode
Regulier]],Programma!$F$4:$Y$36148,19,0),"_")</f>
        <v>_</v>
      </c>
      <c r="BB40" s="249" t="str">
        <f>_xlfn.IFNA(VLOOKUP(Ruimtestaat[[#This Row],[Programmacode
Regulier]],Programma!$F$4:$Y$36148,20,0),"_")</f>
        <v>_</v>
      </c>
      <c r="BC40" s="250"/>
      <c r="BD40" s="212" t="str">
        <f>IF(Ruimtestaat[[#This Row],[Frequentie weekend]]="","",_xlfn.CONCAT(Ruimtestaat[[#This Row],[Ruimte code]],"-",Ruimtestaat[[#This Row],[Frequentie weekend]]," ",Ruimtestaat[[#This Row],[Vloer code]]))</f>
        <v/>
      </c>
      <c r="BE40" s="247" t="str">
        <f>_xlfn.IFNA(VLOOKUP(Ruimtestaat[[#This Row],[Code Weekend]],Programma!$F$4:$Y$36148,2,0),"_")</f>
        <v>_</v>
      </c>
      <c r="BF40" s="247" t="str">
        <f>_xlfn.IFNA(VLOOKUP(Ruimtestaat[[#This Row],[Code Weekend]],Programma!$F$4:$Y$36148,3,0),"_")</f>
        <v>_</v>
      </c>
      <c r="BG40" s="247" t="str">
        <f>_xlfn.IFNA(VLOOKUP(Ruimtestaat[[#This Row],[Code Weekend]],Programma!$F$4:$Y$36148,4,0),"_")</f>
        <v>_</v>
      </c>
      <c r="BH40" s="247" t="str">
        <f>_xlfn.IFNA(VLOOKUP(Ruimtestaat[[#This Row],[Code Weekend]],Programma!$F$4:$Y$36148,5,0),"_")</f>
        <v>_</v>
      </c>
      <c r="BI40" s="247" t="str">
        <f>_xlfn.IFNA(VLOOKUP(Ruimtestaat[[#This Row],[Code Weekend]],Programma!$F$4:$Y$36148,6,0),"_")</f>
        <v>_</v>
      </c>
      <c r="BJ40" s="247" t="str">
        <f>_xlfn.IFNA(VLOOKUP(Ruimtestaat[[#This Row],[Code Weekend]],Programma!$F$4:$Y$36148,7,0),"_")</f>
        <v>_</v>
      </c>
      <c r="BK40" s="247" t="str">
        <f>_xlfn.IFNA(VLOOKUP(Ruimtestaat[[#This Row],[Code Weekend]],Programma!$F$4:$Y$36148,8,0),"_")</f>
        <v>_</v>
      </c>
      <c r="BL40" s="247" t="str">
        <f>_xlfn.IFNA(VLOOKUP(Ruimtestaat[[#This Row],[Code Weekend]],Programma!$F$4:$Y$36148,9,0),"_")</f>
        <v>_</v>
      </c>
      <c r="BM40" s="248" t="str">
        <f>_xlfn.IFNA(VLOOKUP(Ruimtestaat[[#This Row],[Code Weekend]],Programma!$F$4:$Y$36148,10,0),"_")</f>
        <v>_</v>
      </c>
      <c r="BN40" s="248" t="str">
        <f>_xlfn.IFNA(VLOOKUP(Ruimtestaat[[#This Row],[Code Weekend]],Programma!$F$4:$Y$36148,11,0),"_")</f>
        <v>_</v>
      </c>
      <c r="BO40" s="248" t="str">
        <f>_xlfn.IFNA(VLOOKUP(Ruimtestaat[[#This Row],[Code Weekend]],Programma!$F$4:$Y$36148,12,0),"_")</f>
        <v>_</v>
      </c>
      <c r="BP40" s="248" t="str">
        <f>_xlfn.IFNA(VLOOKUP(Ruimtestaat[[#This Row],[Code Weekend]],Programma!$F$4:$Y$36148,13,0),"_")</f>
        <v>_</v>
      </c>
      <c r="BQ40" s="248" t="str">
        <f>_xlfn.IFNA(VLOOKUP(Ruimtestaat[[#This Row],[Code Weekend]],Programma!$F$4:$Y$36148,14,0),"_")</f>
        <v>_</v>
      </c>
      <c r="BR40" s="248" t="str">
        <f>_xlfn.IFNA(VLOOKUP(Ruimtestaat[[#This Row],[Code Weekend]],Programma!$F$4:$Y$36148,15,0),"_")</f>
        <v>_</v>
      </c>
      <c r="BS40" s="248" t="str">
        <f>_xlfn.IFNA(VLOOKUP(Ruimtestaat[[#This Row],[Code Weekend]],Programma!$F$4:$Y$36148,16,0),"_")</f>
        <v>_</v>
      </c>
      <c r="BT40" s="248" t="str">
        <f>_xlfn.IFNA(VLOOKUP(Ruimtestaat[[#This Row],[Code Weekend]],Programma!$F$4:$Y$36148,17,0),"_")</f>
        <v>_</v>
      </c>
      <c r="BU40" s="249" t="str">
        <f>_xlfn.IFNA(VLOOKUP(Ruimtestaat[[#This Row],[Code Weekend]],Programma!$F$4:$Y$36148,18,0),"_")</f>
        <v>_</v>
      </c>
      <c r="BV40" s="249" t="str">
        <f>_xlfn.IFNA(VLOOKUP(Ruimtestaat[[#This Row],[Code Weekend]],Programma!$F$4:$Y$36148,19,0),"_")</f>
        <v>_</v>
      </c>
      <c r="BW40" s="249" t="str">
        <f>_xlfn.IFNA(VLOOKUP(Ruimtestaat[[#This Row],[Code Weekend]],Programma!$F$4:$Y$36148,20,0),"_")</f>
        <v>_</v>
      </c>
      <c r="BX40" s="91"/>
      <c r="BY40" s="91"/>
      <c r="BZ40" s="91"/>
      <c r="CA40" s="91"/>
      <c r="CB40" s="91"/>
      <c r="CC40" s="91"/>
      <c r="CD40" s="91"/>
      <c r="CE40" s="91"/>
      <c r="CF40" s="91"/>
      <c r="CG40" s="91"/>
      <c r="CH40" s="91"/>
      <c r="CI40" s="91"/>
      <c r="CJ40" s="91"/>
      <c r="CK40" s="91"/>
      <c r="CL40" s="91"/>
      <c r="CM40" s="91"/>
      <c r="CN40" s="91"/>
      <c r="CO40" s="91"/>
      <c r="CP40" s="91"/>
      <c r="CQ40" s="91"/>
      <c r="CR40" s="91"/>
      <c r="CS40" s="91"/>
      <c r="CT40" s="91"/>
      <c r="CU40" s="91"/>
      <c r="CV40" s="91"/>
      <c r="CW40" s="91"/>
      <c r="CX40" s="91"/>
      <c r="CY40" s="91"/>
      <c r="CZ40" s="91"/>
      <c r="DA40" s="91"/>
      <c r="DB40" s="91"/>
      <c r="DC40" s="91"/>
      <c r="DD40" s="91"/>
      <c r="DE40" s="91"/>
      <c r="DF40" s="91"/>
      <c r="DG40" s="91"/>
      <c r="DH40" s="91"/>
      <c r="DI40" s="91"/>
      <c r="DJ40" s="91"/>
      <c r="DK40" s="91"/>
      <c r="DL40" s="91"/>
      <c r="DM40" s="91"/>
      <c r="DN40" s="91"/>
      <c r="DO40" s="91"/>
      <c r="DP40" s="91"/>
      <c r="DQ40" s="91"/>
      <c r="DR40" s="91"/>
      <c r="DS40" s="91"/>
      <c r="DT40" s="91"/>
      <c r="DU40" s="91"/>
      <c r="DV40" s="91"/>
      <c r="DW40" s="91"/>
      <c r="DX40" s="91"/>
      <c r="DY40" s="91"/>
      <c r="DZ40" s="91"/>
      <c r="EA40" s="91"/>
      <c r="EB40" s="91"/>
      <c r="EC40" s="91"/>
      <c r="ED40" s="91"/>
      <c r="EE40" s="91"/>
      <c r="EF40" s="91"/>
      <c r="EG40" s="91"/>
      <c r="EH40" s="91"/>
      <c r="EI40" s="91"/>
      <c r="EJ40" s="91"/>
      <c r="EK40" s="91"/>
      <c r="EL40" s="91"/>
      <c r="EM40" s="91"/>
      <c r="EN40" s="91"/>
      <c r="EO40" s="91"/>
      <c r="EP40" s="91"/>
      <c r="EQ40" s="91"/>
      <c r="ER40" s="91"/>
      <c r="ES40" s="91"/>
      <c r="ET40" s="91"/>
      <c r="EU40" s="91"/>
      <c r="EV40" s="91"/>
      <c r="EW40" s="91"/>
      <c r="EX40" s="91"/>
      <c r="EY40" s="91"/>
      <c r="EZ40" s="91"/>
      <c r="FA40" s="91"/>
      <c r="FB40" s="91"/>
      <c r="FC40" s="91"/>
      <c r="FD40" s="91"/>
      <c r="FE40" s="91"/>
      <c r="FF40" s="91"/>
      <c r="FG40" s="91"/>
      <c r="FH40" s="91"/>
      <c r="FI40" s="91"/>
      <c r="FJ40" s="91"/>
      <c r="FK40" s="91"/>
      <c r="FL40" s="91"/>
      <c r="FM40" s="91"/>
      <c r="FN40" s="91"/>
      <c r="FO40" s="91"/>
      <c r="FP40" s="91"/>
      <c r="FQ40" s="91"/>
      <c r="FR40" s="91"/>
      <c r="FS40" s="91"/>
      <c r="FT40" s="91"/>
      <c r="FU40" s="91"/>
      <c r="FV40" s="91"/>
      <c r="FW40" s="91"/>
      <c r="FX40" s="91"/>
      <c r="FY40" s="91"/>
      <c r="FZ40" s="91"/>
      <c r="GA40" s="91"/>
      <c r="GB40" s="91"/>
      <c r="GC40" s="91"/>
      <c r="GD40" s="91"/>
      <c r="GE40" s="91"/>
      <c r="GF40" s="91"/>
      <c r="GG40" s="91"/>
      <c r="GH40" s="91"/>
      <c r="GI40" s="91"/>
      <c r="GJ40" s="91"/>
      <c r="GK40" s="91"/>
      <c r="GL40" s="91"/>
      <c r="GM40" s="91"/>
      <c r="GN40" s="91"/>
      <c r="GO40" s="91"/>
      <c r="GP40" s="91"/>
      <c r="GQ40" s="91"/>
      <c r="GR40" s="91"/>
      <c r="GS40" s="91"/>
      <c r="GT40" s="91"/>
      <c r="GU40" s="91"/>
      <c r="GV40" s="91"/>
      <c r="GW40" s="91"/>
      <c r="GX40" s="91"/>
      <c r="GY40" s="91"/>
      <c r="GZ40" s="91"/>
      <c r="HA40" s="91"/>
      <c r="HB40" s="91"/>
      <c r="HC40" s="91"/>
      <c r="HD40" s="91"/>
      <c r="HE40" s="91"/>
      <c r="HF40" s="91"/>
      <c r="HG40" s="91"/>
      <c r="HH40" s="91"/>
      <c r="HI40" s="91"/>
      <c r="HJ40" s="91"/>
      <c r="HK40" s="91"/>
    </row>
    <row r="41" spans="1:219" s="8" customFormat="1" ht="12.75" customHeight="1">
      <c r="A41" s="131">
        <v>1</v>
      </c>
      <c r="B41" s="22" t="str">
        <f>VLOOKUP(Ruimtestaat[[#This Row],[Code]],Locaties[#All],2,FALSE)</f>
        <v>ESH Secondary School</v>
      </c>
      <c r="C41" s="22" t="str">
        <f>VLOOKUP(Ruimtestaat[[#This Row],[Code]],Locaties[#All],4,FALSE)</f>
        <v>Oostduinlaan 50</v>
      </c>
      <c r="D41" s="334" t="str">
        <f>VLOOKUP(Ruimtestaat[[#This Row],[Code]],Locaties[#All],5,FALSE)</f>
        <v>2596 JP</v>
      </c>
      <c r="E41" s="334" t="str">
        <f>VLOOKUP(Ruimtestaat[[#This Row],[Code]],Locaties[#All],6,FALSE)</f>
        <v>Den Haag</v>
      </c>
      <c r="F41" s="326"/>
      <c r="G41" s="324" t="s">
        <v>1610</v>
      </c>
      <c r="H41" s="324" t="s">
        <v>1608</v>
      </c>
      <c r="I41" s="327" t="s">
        <v>1485</v>
      </c>
      <c r="J41" s="328">
        <v>21</v>
      </c>
      <c r="K41" s="348" t="str">
        <f>VLOOKUP(J41,Ruimtegroepen[],2,FALSE)</f>
        <v>Niet in onderhoud</v>
      </c>
      <c r="L41" s="325"/>
      <c r="M41" s="329"/>
      <c r="N41" s="330"/>
      <c r="O41" s="331">
        <v>12</v>
      </c>
      <c r="P41" s="332" t="str">
        <f>VLOOKUP(Ruimtestaat[[#This Row],[Ruimte code]],Ruimtegroepen[],4,FALSE)</f>
        <v>NIO</v>
      </c>
      <c r="Q41" s="332"/>
      <c r="R41" s="333"/>
      <c r="S41" s="333"/>
      <c r="T41" s="37"/>
      <c r="U41" s="37">
        <f>IF(R41&gt;0,IF(RIGHT(Ruimtestaat[[#This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41" s="37">
        <f>IF(U41&gt;0,VLOOKUP($J41,Ruimtegroepen[],3,FALSE)*VLOOKUP($L41,Vloersoorten[],3,FALSE)*VLOOKUP($S41,Frequenties[],3,FALSE)*VLOOKUP($A41,Locaties[],3,FALSE),0)</f>
        <v>0</v>
      </c>
      <c r="W41" s="37">
        <f>Ruimtestaat[[#This Row],[Uitvoeringen werkdagen]]*Ruimtestaat[[#This Row],[Oppervlak (netto)]]</f>
        <v>0</v>
      </c>
      <c r="X41" s="37">
        <f>IF(V41&gt;0,Ruimtestaat[[#This Row],[Prest. (m2 /jaar) werkdagen]]/Ruimtestaat[[#This Row],[Norm (m2/uur) werkdagen]],0)</f>
        <v>0</v>
      </c>
      <c r="Y41" s="37">
        <f>Ruimtestaat[[#This Row],[uren / jaar werkdagen]]*Tariefsopbouw!$D$38</f>
        <v>0</v>
      </c>
      <c r="Z41" s="37">
        <f>IF(Ruimtestaat[[#This Row],[Frequentie weekend]]&gt;0,VALUE(LEFT(T41,1))*R41,0)</f>
        <v>0</v>
      </c>
      <c r="AA41" s="37">
        <f>IF($Z41&gt;0,VLOOKUP($J41,Ruimtegroepen[],3,FALSE)*VLOOKUP($L41,Vloersoorten[],3,FALSE)*VLOOKUP($T41,Frequenties[],3,FALSE)*VLOOKUP($A41,Locaties[],3,FALSE),0)</f>
        <v>0</v>
      </c>
      <c r="AB41" s="37">
        <f>Ruimtestaat[[#This Row],[Uitvoeringen weekend]]*Ruimtestaat[[#This Row],[Oppervlak (netto)]]</f>
        <v>0</v>
      </c>
      <c r="AC41" s="37">
        <f>IF(AA41&gt;0,Ruimtestaat[[#This Row],[Prest. (m2 /jaar) weekend]]/Ruimtestaat[[#This Row],[Norm (m2/uur) weekend]],0)</f>
        <v>0</v>
      </c>
      <c r="AD41" s="37">
        <f>Ruimtestaat[[#This Row],[uren / jaar weekend]]*Tariefsopbouw!$D$40</f>
        <v>0</v>
      </c>
      <c r="AE41" s="89">
        <f>Ruimtestaat[[#This Row],[Prest. (m2 /jaar) weekend]]+Ruimtestaat[[#This Row],[Prest. (m2 /jaar) werkdagen]]</f>
        <v>0</v>
      </c>
      <c r="AF41" s="89">
        <f>Ruimtestaat[[#This Row],[uren / jaar weekend]]+Ruimtestaat[[#This Row],[uren / jaar werkdagen]]</f>
        <v>0</v>
      </c>
      <c r="AG41" s="90">
        <f>Ruimtestaat[[#This Row],[kosten / jaar weekend]]+Ruimtestaat[[#This Row],[kosten / jaar werkdagen]]</f>
        <v>0</v>
      </c>
      <c r="AH41" s="253"/>
      <c r="AI41" s="252" t="str">
        <f>IF(Ruimtestaat[[#This Row],[Frequentie werkdagen]]="","",_xlfn.CONCAT(Ruimtestaat[[#This Row],[Ruimte code]],"-",Ruimtestaat[[#This Row],[Frequentie werkdagen]]," ",Ruimtestaat[[#This Row],[Vloer code]]))</f>
        <v/>
      </c>
      <c r="AJ41" s="247" t="str">
        <f>_xlfn.IFNA(VLOOKUP(Ruimtestaat[[#This Row],[Programmacode
Regulier]],Programma!$F$4:$Y$36148,2,0),"_")</f>
        <v>_</v>
      </c>
      <c r="AK41" s="247" t="str">
        <f>_xlfn.IFNA(VLOOKUP(Ruimtestaat[[#This Row],[Programmacode
Regulier]],Programma!$F$4:$Y$36148,3,0),"_")</f>
        <v>_</v>
      </c>
      <c r="AL41" s="247" t="str">
        <f>_xlfn.IFNA(VLOOKUP(Ruimtestaat[[#This Row],[Programmacode
Regulier]],Programma!$F$4:$Y$36148,4,0),"_")</f>
        <v>_</v>
      </c>
      <c r="AM41" s="247" t="str">
        <f>_xlfn.IFNA(VLOOKUP(Ruimtestaat[[#This Row],[Programmacode
Regulier]],Programma!$F$4:$Y$36148,5,0),"_")</f>
        <v>_</v>
      </c>
      <c r="AN41" s="247" t="str">
        <f>_xlfn.IFNA(VLOOKUP(Ruimtestaat[[#This Row],[Programmacode
Regulier]],Programma!$F$4:$Y$36148,6,0),"_")</f>
        <v>_</v>
      </c>
      <c r="AO41" s="247" t="str">
        <f>_xlfn.IFNA(VLOOKUP(Ruimtestaat[[#This Row],[Programmacode
Regulier]],Programma!$F$4:$Y$36148,7,0),"_")</f>
        <v>_</v>
      </c>
      <c r="AP41" s="247" t="str">
        <f>_xlfn.IFNA(VLOOKUP(Ruimtestaat[[#This Row],[Programmacode
Regulier]],Programma!$F$4:$Y$36148,8,0),"_")</f>
        <v>_</v>
      </c>
      <c r="AQ41" s="247" t="str">
        <f>_xlfn.IFNA(VLOOKUP(Ruimtestaat[[#This Row],[Programmacode
Regulier]],Programma!$F$4:$Y$36148,9,0),"_")</f>
        <v>_</v>
      </c>
      <c r="AR41" s="248" t="str">
        <f>_xlfn.IFNA(VLOOKUP(Ruimtestaat[[#This Row],[Programmacode
Regulier]],Programma!$F$4:$Y$36148,10,0),"_")</f>
        <v>_</v>
      </c>
      <c r="AS41" s="248" t="str">
        <f>_xlfn.IFNA(VLOOKUP(Ruimtestaat[[#This Row],[Programmacode
Regulier]],Programma!$F$4:$Y$36148,11,0),"_")</f>
        <v>_</v>
      </c>
      <c r="AT41" s="248" t="str">
        <f>_xlfn.IFNA(VLOOKUP(Ruimtestaat[[#This Row],[Programmacode
Regulier]],Programma!$F$4:$Y$36148,12,0),"_")</f>
        <v>_</v>
      </c>
      <c r="AU41" s="248" t="str">
        <f>_xlfn.IFNA(VLOOKUP(Ruimtestaat[[#This Row],[Programmacode
Regulier]],Programma!$F$4:$Y$36148,13,0),"_")</f>
        <v>_</v>
      </c>
      <c r="AV41" s="248" t="str">
        <f>_xlfn.IFNA(VLOOKUP(Ruimtestaat[[#This Row],[Programmacode
Regulier]],Programma!$F$4:$Y$36148,14,0),"_")</f>
        <v>_</v>
      </c>
      <c r="AW41" s="248" t="str">
        <f>_xlfn.IFNA(VLOOKUP(Ruimtestaat[[#This Row],[Programmacode
Regulier]],Programma!$F$4:$Y$36148,15,0),"_")</f>
        <v>_</v>
      </c>
      <c r="AX41" s="248" t="str">
        <f>_xlfn.IFNA(VLOOKUP(Ruimtestaat[[#This Row],[Programmacode
Regulier]],Programma!$F$4:$Y$36148,16,0),"_")</f>
        <v>_</v>
      </c>
      <c r="AY41" s="248" t="str">
        <f>_xlfn.IFNA(VLOOKUP(Ruimtestaat[[#This Row],[Programmacode
Regulier]],Programma!$F$4:$Y$36148,17,0),"_")</f>
        <v>_</v>
      </c>
      <c r="AZ41" s="249" t="str">
        <f>_xlfn.IFNA(VLOOKUP(Ruimtestaat[[#This Row],[Programmacode
Regulier]],Programma!$F$4:$Y$36148,18,0),"_")</f>
        <v>_</v>
      </c>
      <c r="BA41" s="249" t="str">
        <f>_xlfn.IFNA(VLOOKUP(Ruimtestaat[[#This Row],[Programmacode
Regulier]],Programma!$F$4:$Y$36148,19,0),"_")</f>
        <v>_</v>
      </c>
      <c r="BB41" s="249" t="str">
        <f>_xlfn.IFNA(VLOOKUP(Ruimtestaat[[#This Row],[Programmacode
Regulier]],Programma!$F$4:$Y$36148,20,0),"_")</f>
        <v>_</v>
      </c>
      <c r="BC41" s="250"/>
      <c r="BD41" s="212" t="str">
        <f>IF(Ruimtestaat[[#This Row],[Frequentie weekend]]="","",_xlfn.CONCAT(Ruimtestaat[[#This Row],[Ruimte code]],"-",Ruimtestaat[[#This Row],[Frequentie weekend]]," ",Ruimtestaat[[#This Row],[Vloer code]]))</f>
        <v/>
      </c>
      <c r="BE41" s="247" t="str">
        <f>_xlfn.IFNA(VLOOKUP(Ruimtestaat[[#This Row],[Code Weekend]],Programma!$F$4:$Y$36148,2,0),"_")</f>
        <v>_</v>
      </c>
      <c r="BF41" s="247" t="str">
        <f>_xlfn.IFNA(VLOOKUP(Ruimtestaat[[#This Row],[Code Weekend]],Programma!$F$4:$Y$36148,3,0),"_")</f>
        <v>_</v>
      </c>
      <c r="BG41" s="247" t="str">
        <f>_xlfn.IFNA(VLOOKUP(Ruimtestaat[[#This Row],[Code Weekend]],Programma!$F$4:$Y$36148,4,0),"_")</f>
        <v>_</v>
      </c>
      <c r="BH41" s="247" t="str">
        <f>_xlfn.IFNA(VLOOKUP(Ruimtestaat[[#This Row],[Code Weekend]],Programma!$F$4:$Y$36148,5,0),"_")</f>
        <v>_</v>
      </c>
      <c r="BI41" s="247" t="str">
        <f>_xlfn.IFNA(VLOOKUP(Ruimtestaat[[#This Row],[Code Weekend]],Programma!$F$4:$Y$36148,6,0),"_")</f>
        <v>_</v>
      </c>
      <c r="BJ41" s="247" t="str">
        <f>_xlfn.IFNA(VLOOKUP(Ruimtestaat[[#This Row],[Code Weekend]],Programma!$F$4:$Y$36148,7,0),"_")</f>
        <v>_</v>
      </c>
      <c r="BK41" s="247" t="str">
        <f>_xlfn.IFNA(VLOOKUP(Ruimtestaat[[#This Row],[Code Weekend]],Programma!$F$4:$Y$36148,8,0),"_")</f>
        <v>_</v>
      </c>
      <c r="BL41" s="247" t="str">
        <f>_xlfn.IFNA(VLOOKUP(Ruimtestaat[[#This Row],[Code Weekend]],Programma!$F$4:$Y$36148,9,0),"_")</f>
        <v>_</v>
      </c>
      <c r="BM41" s="248" t="str">
        <f>_xlfn.IFNA(VLOOKUP(Ruimtestaat[[#This Row],[Code Weekend]],Programma!$F$4:$Y$36148,10,0),"_")</f>
        <v>_</v>
      </c>
      <c r="BN41" s="248" t="str">
        <f>_xlfn.IFNA(VLOOKUP(Ruimtestaat[[#This Row],[Code Weekend]],Programma!$F$4:$Y$36148,11,0),"_")</f>
        <v>_</v>
      </c>
      <c r="BO41" s="248" t="str">
        <f>_xlfn.IFNA(VLOOKUP(Ruimtestaat[[#This Row],[Code Weekend]],Programma!$F$4:$Y$36148,12,0),"_")</f>
        <v>_</v>
      </c>
      <c r="BP41" s="248" t="str">
        <f>_xlfn.IFNA(VLOOKUP(Ruimtestaat[[#This Row],[Code Weekend]],Programma!$F$4:$Y$36148,13,0),"_")</f>
        <v>_</v>
      </c>
      <c r="BQ41" s="248" t="str">
        <f>_xlfn.IFNA(VLOOKUP(Ruimtestaat[[#This Row],[Code Weekend]],Programma!$F$4:$Y$36148,14,0),"_")</f>
        <v>_</v>
      </c>
      <c r="BR41" s="248" t="str">
        <f>_xlfn.IFNA(VLOOKUP(Ruimtestaat[[#This Row],[Code Weekend]],Programma!$F$4:$Y$36148,15,0),"_")</f>
        <v>_</v>
      </c>
      <c r="BS41" s="248" t="str">
        <f>_xlfn.IFNA(VLOOKUP(Ruimtestaat[[#This Row],[Code Weekend]],Programma!$F$4:$Y$36148,16,0),"_")</f>
        <v>_</v>
      </c>
      <c r="BT41" s="248" t="str">
        <f>_xlfn.IFNA(VLOOKUP(Ruimtestaat[[#This Row],[Code Weekend]],Programma!$F$4:$Y$36148,17,0),"_")</f>
        <v>_</v>
      </c>
      <c r="BU41" s="249" t="str">
        <f>_xlfn.IFNA(VLOOKUP(Ruimtestaat[[#This Row],[Code Weekend]],Programma!$F$4:$Y$36148,18,0),"_")</f>
        <v>_</v>
      </c>
      <c r="BV41" s="249" t="str">
        <f>_xlfn.IFNA(VLOOKUP(Ruimtestaat[[#This Row],[Code Weekend]],Programma!$F$4:$Y$36148,19,0),"_")</f>
        <v>_</v>
      </c>
      <c r="BW41" s="249" t="str">
        <f>_xlfn.IFNA(VLOOKUP(Ruimtestaat[[#This Row],[Code Weekend]],Programma!$F$4:$Y$36148,20,0),"_")</f>
        <v>_</v>
      </c>
      <c r="BX41" s="91"/>
      <c r="BY41" s="91"/>
      <c r="BZ41" s="91"/>
      <c r="CA41" s="91"/>
      <c r="CB41" s="91"/>
      <c r="CC41" s="91"/>
      <c r="CD41" s="91"/>
      <c r="CE41" s="91"/>
      <c r="CF41" s="91"/>
      <c r="CG41" s="91"/>
      <c r="CH41" s="91"/>
      <c r="CI41" s="91"/>
      <c r="CJ41" s="91"/>
      <c r="CK41" s="91"/>
      <c r="CL41" s="91"/>
      <c r="CM41" s="91"/>
      <c r="CN41" s="91"/>
      <c r="CO41" s="91"/>
      <c r="CP41" s="91"/>
      <c r="CQ41" s="91"/>
      <c r="CR41" s="91"/>
      <c r="CS41" s="91"/>
      <c r="CT41" s="91"/>
      <c r="CU41" s="91"/>
      <c r="CV41" s="91"/>
      <c r="CW41" s="91"/>
      <c r="CX41" s="91"/>
      <c r="CY41" s="91"/>
      <c r="CZ41" s="91"/>
      <c r="DA41" s="91"/>
      <c r="DB41" s="91"/>
      <c r="DC41" s="91"/>
      <c r="DD41" s="91"/>
      <c r="DE41" s="91"/>
      <c r="DF41" s="91"/>
      <c r="DG41" s="91"/>
      <c r="DH41" s="91"/>
      <c r="DI41" s="91"/>
      <c r="DJ41" s="91"/>
      <c r="DK41" s="91"/>
      <c r="DL41" s="91"/>
      <c r="DM41" s="91"/>
      <c r="DN41" s="91"/>
      <c r="DO41" s="91"/>
      <c r="DP41" s="91"/>
      <c r="DQ41" s="91"/>
      <c r="DR41" s="91"/>
      <c r="DS41" s="91"/>
      <c r="DT41" s="91"/>
      <c r="DU41" s="91"/>
      <c r="DV41" s="91"/>
      <c r="DW41" s="91"/>
      <c r="DX41" s="91"/>
      <c r="DY41" s="91"/>
      <c r="DZ41" s="91"/>
      <c r="EA41" s="91"/>
      <c r="EB41" s="91"/>
      <c r="EC41" s="91"/>
      <c r="ED41" s="91"/>
      <c r="EE41" s="91"/>
      <c r="EF41" s="91"/>
      <c r="EG41" s="91"/>
      <c r="EH41" s="91"/>
      <c r="EI41" s="91"/>
      <c r="EJ41" s="91"/>
      <c r="EK41" s="91"/>
      <c r="EL41" s="91"/>
      <c r="EM41" s="91"/>
      <c r="EN41" s="91"/>
      <c r="EO41" s="91"/>
      <c r="EP41" s="91"/>
      <c r="EQ41" s="91"/>
      <c r="ER41" s="91"/>
      <c r="ES41" s="91"/>
      <c r="ET41" s="91"/>
      <c r="EU41" s="91"/>
      <c r="EV41" s="91"/>
      <c r="EW41" s="91"/>
      <c r="EX41" s="91"/>
      <c r="EY41" s="91"/>
      <c r="EZ41" s="91"/>
      <c r="FA41" s="91"/>
      <c r="FB41" s="91"/>
      <c r="FC41" s="91"/>
      <c r="FD41" s="91"/>
      <c r="FE41" s="91"/>
      <c r="FF41" s="91"/>
      <c r="FG41" s="91"/>
      <c r="FH41" s="91"/>
      <c r="FI41" s="91"/>
      <c r="FJ41" s="91"/>
      <c r="FK41" s="91"/>
      <c r="FL41" s="91"/>
      <c r="FM41" s="91"/>
      <c r="FN41" s="91"/>
      <c r="FO41" s="91"/>
      <c r="FP41" s="91"/>
      <c r="FQ41" s="91"/>
      <c r="FR41" s="91"/>
      <c r="FS41" s="91"/>
      <c r="FT41" s="91"/>
      <c r="FU41" s="91"/>
      <c r="FV41" s="91"/>
      <c r="FW41" s="91"/>
      <c r="FX41" s="91"/>
      <c r="FY41" s="91"/>
      <c r="FZ41" s="91"/>
      <c r="GA41" s="91"/>
      <c r="GB41" s="91"/>
      <c r="GC41" s="91"/>
      <c r="GD41" s="91"/>
      <c r="GE41" s="91"/>
      <c r="GF41" s="91"/>
      <c r="GG41" s="91"/>
      <c r="GH41" s="91"/>
      <c r="GI41" s="91"/>
      <c r="GJ41" s="91"/>
      <c r="GK41" s="91"/>
      <c r="GL41" s="91"/>
      <c r="GM41" s="91"/>
      <c r="GN41" s="91"/>
      <c r="GO41" s="91"/>
      <c r="GP41" s="91"/>
      <c r="GQ41" s="91"/>
      <c r="GR41" s="91"/>
      <c r="GS41" s="91"/>
      <c r="GT41" s="91"/>
      <c r="GU41" s="91"/>
      <c r="GV41" s="91"/>
      <c r="GW41" s="91"/>
      <c r="GX41" s="91"/>
      <c r="GY41" s="91"/>
      <c r="GZ41" s="91"/>
      <c r="HA41" s="91"/>
      <c r="HB41" s="91"/>
      <c r="HC41" s="91"/>
      <c r="HD41" s="91"/>
      <c r="HE41" s="91"/>
      <c r="HF41" s="91"/>
      <c r="HG41" s="91"/>
      <c r="HH41" s="91"/>
      <c r="HI41" s="91"/>
      <c r="HJ41" s="91"/>
      <c r="HK41" s="91"/>
    </row>
    <row r="42" spans="1:219" s="8" customFormat="1" ht="12.75" customHeight="1">
      <c r="A42" s="131">
        <v>1</v>
      </c>
      <c r="B42" s="22" t="str">
        <f>VLOOKUP(Ruimtestaat[[#This Row],[Code]],Locaties[#All],2,FALSE)</f>
        <v>ESH Secondary School</v>
      </c>
      <c r="C42" s="22" t="str">
        <f>VLOOKUP(Ruimtestaat[[#This Row],[Code]],Locaties[#All],4,FALSE)</f>
        <v>Oostduinlaan 50</v>
      </c>
      <c r="D42" s="334" t="str">
        <f>VLOOKUP(Ruimtestaat[[#This Row],[Code]],Locaties[#All],5,FALSE)</f>
        <v>2596 JP</v>
      </c>
      <c r="E42" s="334" t="str">
        <f>VLOOKUP(Ruimtestaat[[#This Row],[Code]],Locaties[#All],6,FALSE)</f>
        <v>Den Haag</v>
      </c>
      <c r="F42" s="326"/>
      <c r="G42" s="324" t="s">
        <v>1610</v>
      </c>
      <c r="H42" s="324" t="s">
        <v>1609</v>
      </c>
      <c r="I42" s="327" t="s">
        <v>1621</v>
      </c>
      <c r="J42" s="328">
        <v>1</v>
      </c>
      <c r="K42" s="348" t="str">
        <f>VLOOKUP(J42,Ruimtegroepen[],2,FALSE)</f>
        <v>Magazijnen/bergingen</v>
      </c>
      <c r="L42" s="212" t="s">
        <v>123</v>
      </c>
      <c r="M42" s="334" t="s">
        <v>144</v>
      </c>
      <c r="N42" s="330">
        <v>76</v>
      </c>
      <c r="O42" s="331"/>
      <c r="P42" s="332" t="str">
        <f>VLOOKUP(Ruimtestaat[[#This Row],[Ruimte code]],Ruimtegroepen[],4,FALSE)</f>
        <v>V  (Verkeersruimte)</v>
      </c>
      <c r="Q42" s="332"/>
      <c r="R42" s="333">
        <v>40</v>
      </c>
      <c r="S42" s="333" t="s">
        <v>16</v>
      </c>
      <c r="T42" s="37"/>
      <c r="U42" s="37">
        <f>IF(R42&gt;0,IF(RIGHT(Ruimtestaat[[#This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42" s="37">
        <f>IF(U42&gt;0,VLOOKUP($J42,Ruimtegroepen[],3,FALSE)*VLOOKUP($L42,Vloersoorten[],3,FALSE)*VLOOKUP($S42,Frequenties[],3,FALSE)*VLOOKUP($A42,Locaties[],3,FALSE),0)</f>
        <v>0</v>
      </c>
      <c r="W42" s="37">
        <f>Ruimtestaat[[#This Row],[Uitvoeringen werkdagen]]*Ruimtestaat[[#This Row],[Oppervlak (netto)]]</f>
        <v>912</v>
      </c>
      <c r="X42" s="37">
        <f>IF(V42&gt;0,Ruimtestaat[[#This Row],[Prest. (m2 /jaar) werkdagen]]/Ruimtestaat[[#This Row],[Norm (m2/uur) werkdagen]],0)</f>
        <v>0</v>
      </c>
      <c r="Y42" s="37">
        <f>Ruimtestaat[[#This Row],[uren / jaar werkdagen]]*Tariefsopbouw!$D$38</f>
        <v>0</v>
      </c>
      <c r="Z42" s="37">
        <f>IF(Ruimtestaat[[#This Row],[Frequentie weekend]]&gt;0,VALUE(LEFT(T42,1))*R42,0)</f>
        <v>0</v>
      </c>
      <c r="AA42" s="37">
        <f>IF($Z42&gt;0,VLOOKUP($J42,Ruimtegroepen[],3,FALSE)*VLOOKUP($L42,Vloersoorten[],3,FALSE)*VLOOKUP($T42,Frequenties[],3,FALSE)*VLOOKUP($A42,Locaties[],3,FALSE),0)</f>
        <v>0</v>
      </c>
      <c r="AB42" s="37">
        <f>Ruimtestaat[[#This Row],[Uitvoeringen weekend]]*Ruimtestaat[[#This Row],[Oppervlak (netto)]]</f>
        <v>0</v>
      </c>
      <c r="AC42" s="37">
        <f>IF(AA42&gt;0,Ruimtestaat[[#This Row],[Prest. (m2 /jaar) weekend]]/Ruimtestaat[[#This Row],[Norm (m2/uur) weekend]],0)</f>
        <v>0</v>
      </c>
      <c r="AD42" s="37">
        <f>Ruimtestaat[[#This Row],[uren / jaar weekend]]*Tariefsopbouw!$D$40</f>
        <v>0</v>
      </c>
      <c r="AE42" s="89">
        <f>Ruimtestaat[[#This Row],[Prest. (m2 /jaar) weekend]]+Ruimtestaat[[#This Row],[Prest. (m2 /jaar) werkdagen]]</f>
        <v>912</v>
      </c>
      <c r="AF42" s="89">
        <f>Ruimtestaat[[#This Row],[uren / jaar weekend]]+Ruimtestaat[[#This Row],[uren / jaar werkdagen]]</f>
        <v>0</v>
      </c>
      <c r="AG42" s="90">
        <f>Ruimtestaat[[#This Row],[kosten / jaar weekend]]+Ruimtestaat[[#This Row],[kosten / jaar werkdagen]]</f>
        <v>0</v>
      </c>
      <c r="AH42" s="253"/>
      <c r="AI42" s="252" t="str">
        <f>IF(Ruimtestaat[[#This Row],[Frequentie werkdagen]]="","",_xlfn.CONCAT(Ruimtestaat[[#This Row],[Ruimte code]],"-",Ruimtestaat[[#This Row],[Frequentie werkdagen]]," ",Ruimtestaat[[#This Row],[Vloer code]]))</f>
        <v>1-1m P</v>
      </c>
      <c r="AJ42" s="247" t="str">
        <f>_xlfn.IFNA(VLOOKUP(Ruimtestaat[[#This Row],[Programmacode
Regulier]],Programma!$F$4:$Y$36148,2,0),"_")</f>
        <v>_</v>
      </c>
      <c r="AK42" s="247" t="str">
        <f>_xlfn.IFNA(VLOOKUP(Ruimtestaat[[#This Row],[Programmacode
Regulier]],Programma!$F$4:$Y$36148,3,0),"_")</f>
        <v>_</v>
      </c>
      <c r="AL42" s="247" t="str">
        <f>_xlfn.IFNA(VLOOKUP(Ruimtestaat[[#This Row],[Programmacode
Regulier]],Programma!$F$4:$Y$36148,4,0),"_")</f>
        <v>1m</v>
      </c>
      <c r="AM42" s="247" t="str">
        <f>_xlfn.IFNA(VLOOKUP(Ruimtestaat[[#This Row],[Programmacode
Regulier]],Programma!$F$4:$Y$36148,5,0),"_")</f>
        <v>1m</v>
      </c>
      <c r="AN42" s="247" t="str">
        <f>_xlfn.IFNA(VLOOKUP(Ruimtestaat[[#This Row],[Programmacode
Regulier]],Programma!$F$4:$Y$36148,6,0),"_")</f>
        <v>_</v>
      </c>
      <c r="AO42" s="247" t="str">
        <f>_xlfn.IFNA(VLOOKUP(Ruimtestaat[[#This Row],[Programmacode
Regulier]],Programma!$F$4:$Y$36148,7,0),"_")</f>
        <v>_</v>
      </c>
      <c r="AP42" s="247" t="str">
        <f>_xlfn.IFNA(VLOOKUP(Ruimtestaat[[#This Row],[Programmacode
Regulier]],Programma!$F$4:$Y$36148,8,0),"_")</f>
        <v>_</v>
      </c>
      <c r="AQ42" s="247" t="str">
        <f>_xlfn.IFNA(VLOOKUP(Ruimtestaat[[#This Row],[Programmacode
Regulier]],Programma!$F$4:$Y$36148,9,0),"_")</f>
        <v>_</v>
      </c>
      <c r="AR42" s="248" t="str">
        <f>_xlfn.IFNA(VLOOKUP(Ruimtestaat[[#This Row],[Programmacode
Regulier]],Programma!$F$4:$Y$36148,10,0),"_")</f>
        <v>_</v>
      </c>
      <c r="AS42" s="248" t="str">
        <f>_xlfn.IFNA(VLOOKUP(Ruimtestaat[[#This Row],[Programmacode
Regulier]],Programma!$F$4:$Y$36148,11,0),"_")</f>
        <v>_</v>
      </c>
      <c r="AT42" s="248" t="str">
        <f>_xlfn.IFNA(VLOOKUP(Ruimtestaat[[#This Row],[Programmacode
Regulier]],Programma!$F$4:$Y$36148,12,0),"_")</f>
        <v>_</v>
      </c>
      <c r="AU42" s="248" t="str">
        <f>_xlfn.IFNA(VLOOKUP(Ruimtestaat[[#This Row],[Programmacode
Regulier]],Programma!$F$4:$Y$36148,13,0),"_")</f>
        <v>_</v>
      </c>
      <c r="AV42" s="248" t="str">
        <f>_xlfn.IFNA(VLOOKUP(Ruimtestaat[[#This Row],[Programmacode
Regulier]],Programma!$F$4:$Y$36148,14,0),"_")</f>
        <v>1j</v>
      </c>
      <c r="AW42" s="248" t="str">
        <f>_xlfn.IFNA(VLOOKUP(Ruimtestaat[[#This Row],[Programmacode
Regulier]],Programma!$F$4:$Y$36148,15,0),"_")</f>
        <v>1j</v>
      </c>
      <c r="AX42" s="248" t="str">
        <f>_xlfn.IFNA(VLOOKUP(Ruimtestaat[[#This Row],[Programmacode
Regulier]],Programma!$F$4:$Y$36148,16,0),"_")</f>
        <v>1j</v>
      </c>
      <c r="AY42" s="248" t="str">
        <f>_xlfn.IFNA(VLOOKUP(Ruimtestaat[[#This Row],[Programmacode
Regulier]],Programma!$F$4:$Y$36148,17,0),"_")</f>
        <v>_</v>
      </c>
      <c r="AZ42" s="249" t="str">
        <f>_xlfn.IFNA(VLOOKUP(Ruimtestaat[[#This Row],[Programmacode
Regulier]],Programma!$F$4:$Y$36148,18,0),"_")</f>
        <v>_</v>
      </c>
      <c r="BA42" s="249" t="str">
        <f>_xlfn.IFNA(VLOOKUP(Ruimtestaat[[#This Row],[Programmacode
Regulier]],Programma!$F$4:$Y$36148,19,0),"_")</f>
        <v>_</v>
      </c>
      <c r="BB42" s="249" t="str">
        <f>_xlfn.IFNA(VLOOKUP(Ruimtestaat[[#This Row],[Programmacode
Regulier]],Programma!$F$4:$Y$36148,20,0),"_")</f>
        <v>_</v>
      </c>
      <c r="BC42" s="250"/>
      <c r="BD42" s="212" t="str">
        <f>IF(Ruimtestaat[[#This Row],[Frequentie weekend]]="","",_xlfn.CONCAT(Ruimtestaat[[#This Row],[Ruimte code]],"-",Ruimtestaat[[#This Row],[Frequentie weekend]]," ",Ruimtestaat[[#This Row],[Vloer code]]))</f>
        <v/>
      </c>
      <c r="BE42" s="247" t="str">
        <f>_xlfn.IFNA(VLOOKUP(Ruimtestaat[[#This Row],[Code Weekend]],Programma!$F$4:$Y$36148,2,0),"_")</f>
        <v>_</v>
      </c>
      <c r="BF42" s="247" t="str">
        <f>_xlfn.IFNA(VLOOKUP(Ruimtestaat[[#This Row],[Code Weekend]],Programma!$F$4:$Y$36148,3,0),"_")</f>
        <v>_</v>
      </c>
      <c r="BG42" s="247" t="str">
        <f>_xlfn.IFNA(VLOOKUP(Ruimtestaat[[#This Row],[Code Weekend]],Programma!$F$4:$Y$36148,4,0),"_")</f>
        <v>_</v>
      </c>
      <c r="BH42" s="247" t="str">
        <f>_xlfn.IFNA(VLOOKUP(Ruimtestaat[[#This Row],[Code Weekend]],Programma!$F$4:$Y$36148,5,0),"_")</f>
        <v>_</v>
      </c>
      <c r="BI42" s="247" t="str">
        <f>_xlfn.IFNA(VLOOKUP(Ruimtestaat[[#This Row],[Code Weekend]],Programma!$F$4:$Y$36148,6,0),"_")</f>
        <v>_</v>
      </c>
      <c r="BJ42" s="247" t="str">
        <f>_xlfn.IFNA(VLOOKUP(Ruimtestaat[[#This Row],[Code Weekend]],Programma!$F$4:$Y$36148,7,0),"_")</f>
        <v>_</v>
      </c>
      <c r="BK42" s="247" t="str">
        <f>_xlfn.IFNA(VLOOKUP(Ruimtestaat[[#This Row],[Code Weekend]],Programma!$F$4:$Y$36148,8,0),"_")</f>
        <v>_</v>
      </c>
      <c r="BL42" s="247" t="str">
        <f>_xlfn.IFNA(VLOOKUP(Ruimtestaat[[#This Row],[Code Weekend]],Programma!$F$4:$Y$36148,9,0),"_")</f>
        <v>_</v>
      </c>
      <c r="BM42" s="248" t="str">
        <f>_xlfn.IFNA(VLOOKUP(Ruimtestaat[[#This Row],[Code Weekend]],Programma!$F$4:$Y$36148,10,0),"_")</f>
        <v>_</v>
      </c>
      <c r="BN42" s="248" t="str">
        <f>_xlfn.IFNA(VLOOKUP(Ruimtestaat[[#This Row],[Code Weekend]],Programma!$F$4:$Y$36148,11,0),"_")</f>
        <v>_</v>
      </c>
      <c r="BO42" s="248" t="str">
        <f>_xlfn.IFNA(VLOOKUP(Ruimtestaat[[#This Row],[Code Weekend]],Programma!$F$4:$Y$36148,12,0),"_")</f>
        <v>_</v>
      </c>
      <c r="BP42" s="248" t="str">
        <f>_xlfn.IFNA(VLOOKUP(Ruimtestaat[[#This Row],[Code Weekend]],Programma!$F$4:$Y$36148,13,0),"_")</f>
        <v>_</v>
      </c>
      <c r="BQ42" s="248" t="str">
        <f>_xlfn.IFNA(VLOOKUP(Ruimtestaat[[#This Row],[Code Weekend]],Programma!$F$4:$Y$36148,14,0),"_")</f>
        <v>_</v>
      </c>
      <c r="BR42" s="248" t="str">
        <f>_xlfn.IFNA(VLOOKUP(Ruimtestaat[[#This Row],[Code Weekend]],Programma!$F$4:$Y$36148,15,0),"_")</f>
        <v>_</v>
      </c>
      <c r="BS42" s="248" t="str">
        <f>_xlfn.IFNA(VLOOKUP(Ruimtestaat[[#This Row],[Code Weekend]],Programma!$F$4:$Y$36148,16,0),"_")</f>
        <v>_</v>
      </c>
      <c r="BT42" s="248" t="str">
        <f>_xlfn.IFNA(VLOOKUP(Ruimtestaat[[#This Row],[Code Weekend]],Programma!$F$4:$Y$36148,17,0),"_")</f>
        <v>_</v>
      </c>
      <c r="BU42" s="249" t="str">
        <f>_xlfn.IFNA(VLOOKUP(Ruimtestaat[[#This Row],[Code Weekend]],Programma!$F$4:$Y$36148,18,0),"_")</f>
        <v>_</v>
      </c>
      <c r="BV42" s="249" t="str">
        <f>_xlfn.IFNA(VLOOKUP(Ruimtestaat[[#This Row],[Code Weekend]],Programma!$F$4:$Y$36148,19,0),"_")</f>
        <v>_</v>
      </c>
      <c r="BW42" s="249" t="str">
        <f>_xlfn.IFNA(VLOOKUP(Ruimtestaat[[#This Row],[Code Weekend]],Programma!$F$4:$Y$36148,20,0),"_")</f>
        <v>_</v>
      </c>
      <c r="BX42" s="91"/>
      <c r="BY42" s="91"/>
      <c r="BZ42" s="91"/>
      <c r="CA42" s="91"/>
      <c r="CB42" s="91"/>
      <c r="CC42" s="91"/>
      <c r="CD42" s="91"/>
      <c r="CE42" s="91"/>
      <c r="CF42" s="91"/>
      <c r="CG42" s="91"/>
      <c r="CH42" s="91"/>
      <c r="CI42" s="91"/>
      <c r="CJ42" s="91"/>
      <c r="CK42" s="91"/>
      <c r="CL42" s="91"/>
      <c r="CM42" s="91"/>
      <c r="CN42" s="91"/>
      <c r="CO42" s="91"/>
      <c r="CP42" s="91"/>
      <c r="CQ42" s="91"/>
      <c r="CR42" s="91"/>
      <c r="CS42" s="91"/>
      <c r="CT42" s="91"/>
      <c r="CU42" s="91"/>
      <c r="CV42" s="91"/>
      <c r="CW42" s="91"/>
      <c r="CX42" s="91"/>
      <c r="CY42" s="91"/>
      <c r="CZ42" s="91"/>
      <c r="DA42" s="91"/>
      <c r="DB42" s="91"/>
      <c r="DC42" s="91"/>
      <c r="DD42" s="91"/>
      <c r="DE42" s="91"/>
      <c r="DF42" s="91"/>
      <c r="DG42" s="91"/>
      <c r="DH42" s="91"/>
      <c r="DI42" s="91"/>
      <c r="DJ42" s="91"/>
      <c r="DK42" s="91"/>
      <c r="DL42" s="91"/>
      <c r="DM42" s="91"/>
      <c r="DN42" s="91"/>
      <c r="DO42" s="91"/>
      <c r="DP42" s="91"/>
      <c r="DQ42" s="91"/>
      <c r="DR42" s="91"/>
      <c r="DS42" s="91"/>
      <c r="DT42" s="91"/>
      <c r="DU42" s="91"/>
      <c r="DV42" s="91"/>
      <c r="DW42" s="91"/>
      <c r="DX42" s="91"/>
      <c r="DY42" s="91"/>
      <c r="DZ42" s="91"/>
      <c r="EA42" s="91"/>
      <c r="EB42" s="91"/>
      <c r="EC42" s="91"/>
      <c r="ED42" s="91"/>
      <c r="EE42" s="91"/>
      <c r="EF42" s="91"/>
      <c r="EG42" s="91"/>
      <c r="EH42" s="91"/>
      <c r="EI42" s="91"/>
      <c r="EJ42" s="91"/>
      <c r="EK42" s="91"/>
      <c r="EL42" s="91"/>
      <c r="EM42" s="91"/>
      <c r="EN42" s="91"/>
      <c r="EO42" s="91"/>
      <c r="EP42" s="91"/>
      <c r="EQ42" s="91"/>
      <c r="ER42" s="91"/>
      <c r="ES42" s="91"/>
      <c r="ET42" s="91"/>
      <c r="EU42" s="91"/>
      <c r="EV42" s="91"/>
      <c r="EW42" s="91"/>
      <c r="EX42" s="91"/>
      <c r="EY42" s="91"/>
      <c r="EZ42" s="91"/>
      <c r="FA42" s="91"/>
      <c r="FB42" s="91"/>
      <c r="FC42" s="91"/>
      <c r="FD42" s="91"/>
      <c r="FE42" s="91"/>
      <c r="FF42" s="91"/>
      <c r="FG42" s="91"/>
      <c r="FH42" s="91"/>
      <c r="FI42" s="91"/>
      <c r="FJ42" s="91"/>
      <c r="FK42" s="91"/>
      <c r="FL42" s="91"/>
      <c r="FM42" s="91"/>
      <c r="FN42" s="91"/>
      <c r="FO42" s="91"/>
      <c r="FP42" s="91"/>
      <c r="FQ42" s="91"/>
      <c r="FR42" s="91"/>
      <c r="FS42" s="91"/>
      <c r="FT42" s="91"/>
      <c r="FU42" s="91"/>
      <c r="FV42" s="91"/>
      <c r="FW42" s="91"/>
      <c r="FX42" s="91"/>
      <c r="FY42" s="91"/>
      <c r="FZ42" s="91"/>
      <c r="GA42" s="91"/>
      <c r="GB42" s="91"/>
      <c r="GC42" s="91"/>
      <c r="GD42" s="91"/>
      <c r="GE42" s="91"/>
      <c r="GF42" s="91"/>
      <c r="GG42" s="91"/>
      <c r="GH42" s="91"/>
      <c r="GI42" s="91"/>
      <c r="GJ42" s="91"/>
      <c r="GK42" s="91"/>
      <c r="GL42" s="91"/>
      <c r="GM42" s="91"/>
      <c r="GN42" s="91"/>
      <c r="GO42" s="91"/>
      <c r="GP42" s="91"/>
      <c r="GQ42" s="91"/>
      <c r="GR42" s="91"/>
      <c r="GS42" s="91"/>
      <c r="GT42" s="91"/>
      <c r="GU42" s="91"/>
      <c r="GV42" s="91"/>
      <c r="GW42" s="91"/>
      <c r="GX42" s="91"/>
      <c r="GY42" s="91"/>
      <c r="GZ42" s="91"/>
      <c r="HA42" s="91"/>
      <c r="HB42" s="91"/>
      <c r="HC42" s="91"/>
      <c r="HD42" s="91"/>
      <c r="HE42" s="91"/>
      <c r="HF42" s="91"/>
      <c r="HG42" s="91"/>
      <c r="HH42" s="91"/>
      <c r="HI42" s="91"/>
      <c r="HJ42" s="91"/>
      <c r="HK42" s="91"/>
    </row>
    <row r="43" spans="1:219" s="8" customFormat="1" ht="12.75" customHeight="1">
      <c r="A43" s="131">
        <v>1</v>
      </c>
      <c r="B43" s="22" t="str">
        <f>VLOOKUP(Ruimtestaat[[#This Row],[Code]],Locaties[#All],2,FALSE)</f>
        <v>ESH Secondary School</v>
      </c>
      <c r="C43" s="22" t="str">
        <f>VLOOKUP(Ruimtestaat[[#This Row],[Code]],Locaties[#All],4,FALSE)</f>
        <v>Oostduinlaan 50</v>
      </c>
      <c r="D43" s="334" t="str">
        <f>VLOOKUP(Ruimtestaat[[#This Row],[Code]],Locaties[#All],5,FALSE)</f>
        <v>2596 JP</v>
      </c>
      <c r="E43" s="334" t="str">
        <f>VLOOKUP(Ruimtestaat[[#This Row],[Code]],Locaties[#All],6,FALSE)</f>
        <v>Den Haag</v>
      </c>
      <c r="F43" s="333"/>
      <c r="G43" s="334" t="s">
        <v>1611</v>
      </c>
      <c r="H43" s="333" t="s">
        <v>1359</v>
      </c>
      <c r="I43" s="335" t="s">
        <v>1484</v>
      </c>
      <c r="J43" s="328">
        <v>2</v>
      </c>
      <c r="K43" s="335" t="str">
        <f>VLOOKUP(J43,Ruimtegroepen[],2,FALSE)</f>
        <v>Kantoren</v>
      </c>
      <c r="L43" s="212" t="s">
        <v>123</v>
      </c>
      <c r="M43" s="334" t="s">
        <v>144</v>
      </c>
      <c r="N43" s="337">
        <v>15</v>
      </c>
      <c r="O43" s="331"/>
      <c r="P43" s="332" t="str">
        <f>VLOOKUP(Ruimtestaat[[#This Row],[Ruimte code]],Ruimtegroepen[],4,FALSE)</f>
        <v>B  (Bureauruimte)</v>
      </c>
      <c r="Q43" s="332"/>
      <c r="R43" s="333">
        <v>40</v>
      </c>
      <c r="S43" s="333" t="s">
        <v>2</v>
      </c>
      <c r="T43" s="37"/>
      <c r="U43" s="37">
        <f>IF(R43&gt;0,IF(RIGHT(Ruimtestaat[[#This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3" s="37">
        <f>IF(U43&gt;0,VLOOKUP($J43,Ruimtegroepen[],3,FALSE)*VLOOKUP($L43,Vloersoorten[],3,FALSE)*VLOOKUP($S43,Frequenties[],3,FALSE)*VLOOKUP($A43,Locaties[],3,FALSE),0)</f>
        <v>0</v>
      </c>
      <c r="W43" s="37">
        <f>Ruimtestaat[[#This Row],[Uitvoeringen werkdagen]]*Ruimtestaat[[#This Row],[Oppervlak (netto)]]</f>
        <v>3000</v>
      </c>
      <c r="X43" s="37">
        <f>IF(V43&gt;0,Ruimtestaat[[#This Row],[Prest. (m2 /jaar) werkdagen]]/Ruimtestaat[[#This Row],[Norm (m2/uur) werkdagen]],0)</f>
        <v>0</v>
      </c>
      <c r="Y43" s="37">
        <f>Ruimtestaat[[#This Row],[uren / jaar werkdagen]]*Tariefsopbouw!$D$38</f>
        <v>0</v>
      </c>
      <c r="Z43" s="37">
        <f>IF(Ruimtestaat[[#This Row],[Frequentie weekend]]&gt;0,VALUE(LEFT(T43,1))*R43,0)</f>
        <v>0</v>
      </c>
      <c r="AA43" s="37">
        <f>IF($Z43&gt;0,VLOOKUP($J43,Ruimtegroepen[],3,FALSE)*VLOOKUP($L43,Vloersoorten[],3,FALSE)*VLOOKUP($T43,Frequenties[],3,FALSE)*VLOOKUP($A43,Locaties[],3,FALSE),0)</f>
        <v>0</v>
      </c>
      <c r="AB43" s="37">
        <f>Ruimtestaat[[#This Row],[Uitvoeringen weekend]]*Ruimtestaat[[#This Row],[Oppervlak (netto)]]</f>
        <v>0</v>
      </c>
      <c r="AC43" s="37">
        <f>IF(AA43&gt;0,Ruimtestaat[[#This Row],[Prest. (m2 /jaar) weekend]]/Ruimtestaat[[#This Row],[Norm (m2/uur) weekend]],0)</f>
        <v>0</v>
      </c>
      <c r="AD43" s="37">
        <f>Ruimtestaat[[#This Row],[uren / jaar weekend]]*Tariefsopbouw!$D$40</f>
        <v>0</v>
      </c>
      <c r="AE43" s="89">
        <f>Ruimtestaat[[#This Row],[Prest. (m2 /jaar) weekend]]+Ruimtestaat[[#This Row],[Prest. (m2 /jaar) werkdagen]]</f>
        <v>3000</v>
      </c>
      <c r="AF43" s="89">
        <f>Ruimtestaat[[#This Row],[uren / jaar weekend]]+Ruimtestaat[[#This Row],[uren / jaar werkdagen]]</f>
        <v>0</v>
      </c>
      <c r="AG43" s="90">
        <f>Ruimtestaat[[#This Row],[kosten / jaar weekend]]+Ruimtestaat[[#This Row],[kosten / jaar werkdagen]]</f>
        <v>0</v>
      </c>
      <c r="AH43" s="253"/>
      <c r="AI43" s="252" t="str">
        <f>IF(Ruimtestaat[[#This Row],[Frequentie werkdagen]]="","",_xlfn.CONCAT(Ruimtestaat[[#This Row],[Ruimte code]],"-",Ruimtestaat[[#This Row],[Frequentie werkdagen]]," ",Ruimtestaat[[#This Row],[Vloer code]]))</f>
        <v>2-5w P</v>
      </c>
      <c r="AJ43" s="247" t="str">
        <f>_xlfn.IFNA(VLOOKUP(Ruimtestaat[[#This Row],[Programmacode
Regulier]],Programma!$F$4:$Y$36148,2,0),"_")</f>
        <v>_</v>
      </c>
      <c r="AK43" s="247" t="str">
        <f>_xlfn.IFNA(VLOOKUP(Ruimtestaat[[#This Row],[Programmacode
Regulier]],Programma!$F$4:$Y$36148,3,0),"_")</f>
        <v>_</v>
      </c>
      <c r="AL43" s="247" t="str">
        <f>_xlfn.IFNA(VLOOKUP(Ruimtestaat[[#This Row],[Programmacode
Regulier]],Programma!$F$4:$Y$36148,4,0),"_")</f>
        <v>5w</v>
      </c>
      <c r="AM43" s="247" t="str">
        <f>_xlfn.IFNA(VLOOKUP(Ruimtestaat[[#This Row],[Programmacode
Regulier]],Programma!$F$4:$Y$36148,5,0),"_")</f>
        <v>1w</v>
      </c>
      <c r="AN43" s="247" t="str">
        <f>_xlfn.IFNA(VLOOKUP(Ruimtestaat[[#This Row],[Programmacode
Regulier]],Programma!$F$4:$Y$36148,6,0),"_")</f>
        <v>1m</v>
      </c>
      <c r="AO43" s="247" t="str">
        <f>_xlfn.IFNA(VLOOKUP(Ruimtestaat[[#This Row],[Programmacode
Regulier]],Programma!$F$4:$Y$36148,7,0),"_")</f>
        <v>_</v>
      </c>
      <c r="AP43" s="247" t="str">
        <f>_xlfn.IFNA(VLOOKUP(Ruimtestaat[[#This Row],[Programmacode
Regulier]],Programma!$F$4:$Y$36148,8,0),"_")</f>
        <v>_</v>
      </c>
      <c r="AQ43" s="247" t="str">
        <f>_xlfn.IFNA(VLOOKUP(Ruimtestaat[[#This Row],[Programmacode
Regulier]],Programma!$F$4:$Y$36148,9,0),"_")</f>
        <v>_</v>
      </c>
      <c r="AR43" s="248" t="str">
        <f>_xlfn.IFNA(VLOOKUP(Ruimtestaat[[#This Row],[Programmacode
Regulier]],Programma!$F$4:$Y$36148,10,0),"_")</f>
        <v>5w</v>
      </c>
      <c r="AS43" s="248" t="str">
        <f>_xlfn.IFNA(VLOOKUP(Ruimtestaat[[#This Row],[Programmacode
Regulier]],Programma!$F$4:$Y$36148,11,0),"_")</f>
        <v>5w</v>
      </c>
      <c r="AT43" s="248" t="str">
        <f>_xlfn.IFNA(VLOOKUP(Ruimtestaat[[#This Row],[Programmacode
Regulier]],Programma!$F$4:$Y$36148,12,0),"_")</f>
        <v>1w</v>
      </c>
      <c r="AU43" s="248" t="str">
        <f>_xlfn.IFNA(VLOOKUP(Ruimtestaat[[#This Row],[Programmacode
Regulier]],Programma!$F$4:$Y$36148,13,0),"_")</f>
        <v>1w</v>
      </c>
      <c r="AV43" s="248" t="str">
        <f>_xlfn.IFNA(VLOOKUP(Ruimtestaat[[#This Row],[Programmacode
Regulier]],Programma!$F$4:$Y$36148,14,0),"_")</f>
        <v>1m</v>
      </c>
      <c r="AW43" s="248" t="str">
        <f>_xlfn.IFNA(VLOOKUP(Ruimtestaat[[#This Row],[Programmacode
Regulier]],Programma!$F$4:$Y$36148,15,0),"_")</f>
        <v>2j</v>
      </c>
      <c r="AX43" s="248" t="str">
        <f>_xlfn.IFNA(VLOOKUP(Ruimtestaat[[#This Row],[Programmacode
Regulier]],Programma!$F$4:$Y$36148,16,0),"_")</f>
        <v>1j</v>
      </c>
      <c r="AY43" s="248" t="str">
        <f>_xlfn.IFNA(VLOOKUP(Ruimtestaat[[#This Row],[Programmacode
Regulier]],Programma!$F$4:$Y$36148,17,0),"_")</f>
        <v>_</v>
      </c>
      <c r="AZ43" s="249" t="str">
        <f>_xlfn.IFNA(VLOOKUP(Ruimtestaat[[#This Row],[Programmacode
Regulier]],Programma!$F$4:$Y$36148,18,0),"_")</f>
        <v>_</v>
      </c>
      <c r="BA43" s="249" t="str">
        <f>_xlfn.IFNA(VLOOKUP(Ruimtestaat[[#This Row],[Programmacode
Regulier]],Programma!$F$4:$Y$36148,19,0),"_")</f>
        <v>_</v>
      </c>
      <c r="BB43" s="249" t="str">
        <f>_xlfn.IFNA(VLOOKUP(Ruimtestaat[[#This Row],[Programmacode
Regulier]],Programma!$F$4:$Y$36148,20,0),"_")</f>
        <v>_</v>
      </c>
      <c r="BC43" s="250"/>
      <c r="BD43" s="212" t="str">
        <f>IF(Ruimtestaat[[#This Row],[Frequentie weekend]]="","",_xlfn.CONCAT(Ruimtestaat[[#This Row],[Ruimte code]],"-",Ruimtestaat[[#This Row],[Frequentie weekend]]," ",Ruimtestaat[[#This Row],[Vloer code]]))</f>
        <v/>
      </c>
      <c r="BE43" s="247" t="str">
        <f>_xlfn.IFNA(VLOOKUP(Ruimtestaat[[#This Row],[Code Weekend]],Programma!$F$4:$Y$36148,2,0),"_")</f>
        <v>_</v>
      </c>
      <c r="BF43" s="247" t="str">
        <f>_xlfn.IFNA(VLOOKUP(Ruimtestaat[[#This Row],[Code Weekend]],Programma!$F$4:$Y$36148,3,0),"_")</f>
        <v>_</v>
      </c>
      <c r="BG43" s="247" t="str">
        <f>_xlfn.IFNA(VLOOKUP(Ruimtestaat[[#This Row],[Code Weekend]],Programma!$F$4:$Y$36148,4,0),"_")</f>
        <v>_</v>
      </c>
      <c r="BH43" s="247" t="str">
        <f>_xlfn.IFNA(VLOOKUP(Ruimtestaat[[#This Row],[Code Weekend]],Programma!$F$4:$Y$36148,5,0),"_")</f>
        <v>_</v>
      </c>
      <c r="BI43" s="247" t="str">
        <f>_xlfn.IFNA(VLOOKUP(Ruimtestaat[[#This Row],[Code Weekend]],Programma!$F$4:$Y$36148,6,0),"_")</f>
        <v>_</v>
      </c>
      <c r="BJ43" s="247" t="str">
        <f>_xlfn.IFNA(VLOOKUP(Ruimtestaat[[#This Row],[Code Weekend]],Programma!$F$4:$Y$36148,7,0),"_")</f>
        <v>_</v>
      </c>
      <c r="BK43" s="247" t="str">
        <f>_xlfn.IFNA(VLOOKUP(Ruimtestaat[[#This Row],[Code Weekend]],Programma!$F$4:$Y$36148,8,0),"_")</f>
        <v>_</v>
      </c>
      <c r="BL43" s="247" t="str">
        <f>_xlfn.IFNA(VLOOKUP(Ruimtestaat[[#This Row],[Code Weekend]],Programma!$F$4:$Y$36148,9,0),"_")</f>
        <v>_</v>
      </c>
      <c r="BM43" s="248" t="str">
        <f>_xlfn.IFNA(VLOOKUP(Ruimtestaat[[#This Row],[Code Weekend]],Programma!$F$4:$Y$36148,10,0),"_")</f>
        <v>_</v>
      </c>
      <c r="BN43" s="248" t="str">
        <f>_xlfn.IFNA(VLOOKUP(Ruimtestaat[[#This Row],[Code Weekend]],Programma!$F$4:$Y$36148,11,0),"_")</f>
        <v>_</v>
      </c>
      <c r="BO43" s="248" t="str">
        <f>_xlfn.IFNA(VLOOKUP(Ruimtestaat[[#This Row],[Code Weekend]],Programma!$F$4:$Y$36148,12,0),"_")</f>
        <v>_</v>
      </c>
      <c r="BP43" s="248" t="str">
        <f>_xlfn.IFNA(VLOOKUP(Ruimtestaat[[#This Row],[Code Weekend]],Programma!$F$4:$Y$36148,13,0),"_")</f>
        <v>_</v>
      </c>
      <c r="BQ43" s="248" t="str">
        <f>_xlfn.IFNA(VLOOKUP(Ruimtestaat[[#This Row],[Code Weekend]],Programma!$F$4:$Y$36148,14,0),"_")</f>
        <v>_</v>
      </c>
      <c r="BR43" s="248" t="str">
        <f>_xlfn.IFNA(VLOOKUP(Ruimtestaat[[#This Row],[Code Weekend]],Programma!$F$4:$Y$36148,15,0),"_")</f>
        <v>_</v>
      </c>
      <c r="BS43" s="248" t="str">
        <f>_xlfn.IFNA(VLOOKUP(Ruimtestaat[[#This Row],[Code Weekend]],Programma!$F$4:$Y$36148,16,0),"_")</f>
        <v>_</v>
      </c>
      <c r="BT43" s="248" t="str">
        <f>_xlfn.IFNA(VLOOKUP(Ruimtestaat[[#This Row],[Code Weekend]],Programma!$F$4:$Y$36148,17,0),"_")</f>
        <v>_</v>
      </c>
      <c r="BU43" s="249" t="str">
        <f>_xlfn.IFNA(VLOOKUP(Ruimtestaat[[#This Row],[Code Weekend]],Programma!$F$4:$Y$36148,18,0),"_")</f>
        <v>_</v>
      </c>
      <c r="BV43" s="249" t="str">
        <f>_xlfn.IFNA(VLOOKUP(Ruimtestaat[[#This Row],[Code Weekend]],Programma!$F$4:$Y$36148,19,0),"_")</f>
        <v>_</v>
      </c>
      <c r="BW43" s="249" t="str">
        <f>_xlfn.IFNA(VLOOKUP(Ruimtestaat[[#This Row],[Code Weekend]],Programma!$F$4:$Y$36148,20,0),"_")</f>
        <v>_</v>
      </c>
      <c r="BX43" s="91"/>
      <c r="BY43" s="91"/>
      <c r="BZ43" s="91"/>
      <c r="CA43" s="91"/>
      <c r="CB43" s="91"/>
      <c r="CC43" s="91"/>
      <c r="CD43" s="91"/>
      <c r="CE43" s="91"/>
      <c r="CF43" s="91"/>
      <c r="CG43" s="91"/>
      <c r="CH43" s="91"/>
      <c r="CI43" s="91"/>
      <c r="CJ43" s="91"/>
      <c r="CK43" s="91"/>
      <c r="CL43" s="91"/>
      <c r="CM43" s="91"/>
      <c r="CN43" s="91"/>
      <c r="CO43" s="91"/>
      <c r="CP43" s="91"/>
      <c r="CQ43" s="91"/>
      <c r="CR43" s="91"/>
      <c r="CS43" s="91"/>
      <c r="CT43" s="91"/>
      <c r="CU43" s="91"/>
      <c r="CV43" s="91"/>
      <c r="CW43" s="91"/>
      <c r="CX43" s="91"/>
      <c r="CY43" s="91"/>
      <c r="CZ43" s="91"/>
      <c r="DA43" s="91"/>
      <c r="DB43" s="91"/>
      <c r="DC43" s="91"/>
      <c r="DD43" s="91"/>
      <c r="DE43" s="91"/>
      <c r="DF43" s="91"/>
      <c r="DG43" s="91"/>
      <c r="DH43" s="91"/>
      <c r="DI43" s="91"/>
      <c r="DJ43" s="91"/>
      <c r="DK43" s="91"/>
      <c r="DL43" s="91"/>
      <c r="DM43" s="91"/>
      <c r="DN43" s="91"/>
      <c r="DO43" s="91"/>
      <c r="DP43" s="91"/>
      <c r="DQ43" s="91"/>
      <c r="DR43" s="91"/>
      <c r="DS43" s="91"/>
      <c r="DT43" s="91"/>
      <c r="DU43" s="91"/>
      <c r="DV43" s="91"/>
      <c r="DW43" s="91"/>
      <c r="DX43" s="91"/>
      <c r="DY43" s="91"/>
      <c r="DZ43" s="91"/>
      <c r="EA43" s="91"/>
      <c r="EB43" s="91"/>
      <c r="EC43" s="91"/>
      <c r="ED43" s="91"/>
      <c r="EE43" s="91"/>
      <c r="EF43" s="91"/>
      <c r="EG43" s="91"/>
      <c r="EH43" s="91"/>
      <c r="EI43" s="91"/>
      <c r="EJ43" s="91"/>
      <c r="EK43" s="91"/>
      <c r="EL43" s="91"/>
      <c r="EM43" s="91"/>
      <c r="EN43" s="91"/>
      <c r="EO43" s="91"/>
      <c r="EP43" s="91"/>
      <c r="EQ43" s="91"/>
      <c r="ER43" s="91"/>
      <c r="ES43" s="91"/>
      <c r="ET43" s="91"/>
      <c r="EU43" s="91"/>
      <c r="EV43" s="91"/>
      <c r="EW43" s="91"/>
      <c r="EX43" s="91"/>
      <c r="EY43" s="91"/>
      <c r="EZ43" s="91"/>
      <c r="FA43" s="91"/>
      <c r="FB43" s="91"/>
      <c r="FC43" s="91"/>
      <c r="FD43" s="91"/>
      <c r="FE43" s="91"/>
      <c r="FF43" s="91"/>
      <c r="FG43" s="91"/>
      <c r="FH43" s="91"/>
      <c r="FI43" s="91"/>
      <c r="FJ43" s="91"/>
      <c r="FK43" s="91"/>
      <c r="FL43" s="91"/>
      <c r="FM43" s="91"/>
      <c r="FN43" s="91"/>
      <c r="FO43" s="91"/>
      <c r="FP43" s="91"/>
      <c r="FQ43" s="91"/>
      <c r="FR43" s="91"/>
      <c r="FS43" s="91"/>
      <c r="FT43" s="91"/>
      <c r="FU43" s="91"/>
      <c r="FV43" s="91"/>
      <c r="FW43" s="91"/>
      <c r="FX43" s="91"/>
      <c r="FY43" s="91"/>
      <c r="FZ43" s="91"/>
      <c r="GA43" s="91"/>
      <c r="GB43" s="91"/>
      <c r="GC43" s="91"/>
      <c r="GD43" s="91"/>
      <c r="GE43" s="91"/>
      <c r="GF43" s="91"/>
      <c r="GG43" s="91"/>
      <c r="GH43" s="91"/>
      <c r="GI43" s="91"/>
      <c r="GJ43" s="91"/>
      <c r="GK43" s="91"/>
      <c r="GL43" s="91"/>
      <c r="GM43" s="91"/>
      <c r="GN43" s="91"/>
      <c r="GO43" s="91"/>
      <c r="GP43" s="91"/>
      <c r="GQ43" s="91"/>
      <c r="GR43" s="91"/>
      <c r="GS43" s="91"/>
      <c r="GT43" s="91"/>
      <c r="GU43" s="91"/>
      <c r="GV43" s="91"/>
      <c r="GW43" s="91"/>
      <c r="GX43" s="91"/>
      <c r="GY43" s="91"/>
      <c r="GZ43" s="91"/>
      <c r="HA43" s="91"/>
      <c r="HB43" s="91"/>
      <c r="HC43" s="91"/>
      <c r="HD43" s="91"/>
      <c r="HE43" s="91"/>
      <c r="HF43" s="91"/>
      <c r="HG43" s="91"/>
      <c r="HH43" s="91"/>
      <c r="HI43" s="91"/>
      <c r="HJ43" s="91"/>
      <c r="HK43" s="91"/>
    </row>
    <row r="44" spans="1:219" s="8" customFormat="1" ht="12.75" customHeight="1">
      <c r="A44" s="131">
        <v>1</v>
      </c>
      <c r="B44" s="22" t="str">
        <f>VLOOKUP(Ruimtestaat[[#This Row],[Code]],Locaties[#All],2,FALSE)</f>
        <v>ESH Secondary School</v>
      </c>
      <c r="C44" s="22" t="str">
        <f>VLOOKUP(Ruimtestaat[[#This Row],[Code]],Locaties[#All],4,FALSE)</f>
        <v>Oostduinlaan 50</v>
      </c>
      <c r="D44" s="334" t="str">
        <f>VLOOKUP(Ruimtestaat[[#This Row],[Code]],Locaties[#All],5,FALSE)</f>
        <v>2596 JP</v>
      </c>
      <c r="E44" s="334" t="str">
        <f>VLOOKUP(Ruimtestaat[[#This Row],[Code]],Locaties[#All],6,FALSE)</f>
        <v>Den Haag</v>
      </c>
      <c r="F44" s="333"/>
      <c r="G44" s="334" t="s">
        <v>1611</v>
      </c>
      <c r="H44" s="333" t="s">
        <v>1360</v>
      </c>
      <c r="I44" s="335" t="s">
        <v>1612</v>
      </c>
      <c r="J44" s="328">
        <v>1</v>
      </c>
      <c r="K44" s="335" t="s">
        <v>69</v>
      </c>
      <c r="L44" s="212" t="s">
        <v>123</v>
      </c>
      <c r="M44" s="333" t="s">
        <v>144</v>
      </c>
      <c r="N44" s="337">
        <v>2</v>
      </c>
      <c r="O44" s="331"/>
      <c r="P44" s="332" t="str">
        <f>VLOOKUP(Ruimtestaat[[#This Row],[Ruimte code]],Ruimtegroepen[],4,FALSE)</f>
        <v>V  (Verkeersruimte)</v>
      </c>
      <c r="Q44" s="332"/>
      <c r="R44" s="333">
        <v>40</v>
      </c>
      <c r="S44" s="333" t="s">
        <v>16</v>
      </c>
      <c r="T44" s="37"/>
      <c r="U44" s="37">
        <f>IF(R44&gt;0,IF(RIGHT(Ruimtestaat[[#This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44" s="37">
        <f>IF(U44&gt;0,VLOOKUP($J44,Ruimtegroepen[],3,FALSE)*VLOOKUP($L44,Vloersoorten[],3,FALSE)*VLOOKUP($S44,Frequenties[],3,FALSE)*VLOOKUP($A44,Locaties[],3,FALSE),0)</f>
        <v>0</v>
      </c>
      <c r="W44" s="37">
        <f>Ruimtestaat[[#This Row],[Uitvoeringen werkdagen]]*Ruimtestaat[[#This Row],[Oppervlak (netto)]]</f>
        <v>24</v>
      </c>
      <c r="X44" s="37">
        <f>IF(V44&gt;0,Ruimtestaat[[#This Row],[Prest. (m2 /jaar) werkdagen]]/Ruimtestaat[[#This Row],[Norm (m2/uur) werkdagen]],0)</f>
        <v>0</v>
      </c>
      <c r="Y44" s="37">
        <f>Ruimtestaat[[#This Row],[uren / jaar werkdagen]]*Tariefsopbouw!$D$38</f>
        <v>0</v>
      </c>
      <c r="Z44" s="37">
        <f>IF(Ruimtestaat[[#This Row],[Frequentie weekend]]&gt;0,VALUE(LEFT(T44,1))*R44,0)</f>
        <v>0</v>
      </c>
      <c r="AA44" s="37">
        <f>IF($Z44&gt;0,VLOOKUP($J44,Ruimtegroepen[],3,FALSE)*VLOOKUP($L44,Vloersoorten[],3,FALSE)*VLOOKUP($T44,Frequenties[],3,FALSE)*VLOOKUP($A44,Locaties[],3,FALSE),0)</f>
        <v>0</v>
      </c>
      <c r="AB44" s="37">
        <f>Ruimtestaat[[#This Row],[Uitvoeringen weekend]]*Ruimtestaat[[#This Row],[Oppervlak (netto)]]</f>
        <v>0</v>
      </c>
      <c r="AC44" s="37">
        <f>IF(AA44&gt;0,Ruimtestaat[[#This Row],[Prest. (m2 /jaar) weekend]]/Ruimtestaat[[#This Row],[Norm (m2/uur) weekend]],0)</f>
        <v>0</v>
      </c>
      <c r="AD44" s="37">
        <f>Ruimtestaat[[#This Row],[uren / jaar weekend]]*Tariefsopbouw!$D$40</f>
        <v>0</v>
      </c>
      <c r="AE44" s="89">
        <f>Ruimtestaat[[#This Row],[Prest. (m2 /jaar) weekend]]+Ruimtestaat[[#This Row],[Prest. (m2 /jaar) werkdagen]]</f>
        <v>24</v>
      </c>
      <c r="AF44" s="89">
        <f>Ruimtestaat[[#This Row],[uren / jaar weekend]]+Ruimtestaat[[#This Row],[uren / jaar werkdagen]]</f>
        <v>0</v>
      </c>
      <c r="AG44" s="90">
        <f>Ruimtestaat[[#This Row],[kosten / jaar weekend]]+Ruimtestaat[[#This Row],[kosten / jaar werkdagen]]</f>
        <v>0</v>
      </c>
      <c r="AH44" s="253"/>
      <c r="AI44" s="252" t="str">
        <f>IF(Ruimtestaat[[#This Row],[Frequentie werkdagen]]="","",_xlfn.CONCAT(Ruimtestaat[[#This Row],[Ruimte code]],"-",Ruimtestaat[[#This Row],[Frequentie werkdagen]]," ",Ruimtestaat[[#This Row],[Vloer code]]))</f>
        <v>1-1m P</v>
      </c>
      <c r="AJ44" s="247" t="str">
        <f>_xlfn.IFNA(VLOOKUP(Ruimtestaat[[#This Row],[Programmacode
Regulier]],Programma!$F$4:$Y$36148,2,0),"_")</f>
        <v>_</v>
      </c>
      <c r="AK44" s="247" t="str">
        <f>_xlfn.IFNA(VLOOKUP(Ruimtestaat[[#This Row],[Programmacode
Regulier]],Programma!$F$4:$Y$36148,3,0),"_")</f>
        <v>_</v>
      </c>
      <c r="AL44" s="247" t="str">
        <f>_xlfn.IFNA(VLOOKUP(Ruimtestaat[[#This Row],[Programmacode
Regulier]],Programma!$F$4:$Y$36148,4,0),"_")</f>
        <v>1m</v>
      </c>
      <c r="AM44" s="247" t="str">
        <f>_xlfn.IFNA(VLOOKUP(Ruimtestaat[[#This Row],[Programmacode
Regulier]],Programma!$F$4:$Y$36148,5,0),"_")</f>
        <v>1m</v>
      </c>
      <c r="AN44" s="247" t="str">
        <f>_xlfn.IFNA(VLOOKUP(Ruimtestaat[[#This Row],[Programmacode
Regulier]],Programma!$F$4:$Y$36148,6,0),"_")</f>
        <v>_</v>
      </c>
      <c r="AO44" s="247" t="str">
        <f>_xlfn.IFNA(VLOOKUP(Ruimtestaat[[#This Row],[Programmacode
Regulier]],Programma!$F$4:$Y$36148,7,0),"_")</f>
        <v>_</v>
      </c>
      <c r="AP44" s="247" t="str">
        <f>_xlfn.IFNA(VLOOKUP(Ruimtestaat[[#This Row],[Programmacode
Regulier]],Programma!$F$4:$Y$36148,8,0),"_")</f>
        <v>_</v>
      </c>
      <c r="AQ44" s="247" t="str">
        <f>_xlfn.IFNA(VLOOKUP(Ruimtestaat[[#This Row],[Programmacode
Regulier]],Programma!$F$4:$Y$36148,9,0),"_")</f>
        <v>_</v>
      </c>
      <c r="AR44" s="248" t="str">
        <f>_xlfn.IFNA(VLOOKUP(Ruimtestaat[[#This Row],[Programmacode
Regulier]],Programma!$F$4:$Y$36148,10,0),"_")</f>
        <v>_</v>
      </c>
      <c r="AS44" s="248" t="str">
        <f>_xlfn.IFNA(VLOOKUP(Ruimtestaat[[#This Row],[Programmacode
Regulier]],Programma!$F$4:$Y$36148,11,0),"_")</f>
        <v>_</v>
      </c>
      <c r="AT44" s="248" t="str">
        <f>_xlfn.IFNA(VLOOKUP(Ruimtestaat[[#This Row],[Programmacode
Regulier]],Programma!$F$4:$Y$36148,12,0),"_")</f>
        <v>_</v>
      </c>
      <c r="AU44" s="248" t="str">
        <f>_xlfn.IFNA(VLOOKUP(Ruimtestaat[[#This Row],[Programmacode
Regulier]],Programma!$F$4:$Y$36148,13,0),"_")</f>
        <v>_</v>
      </c>
      <c r="AV44" s="248" t="str">
        <f>_xlfn.IFNA(VLOOKUP(Ruimtestaat[[#This Row],[Programmacode
Regulier]],Programma!$F$4:$Y$36148,14,0),"_")</f>
        <v>1j</v>
      </c>
      <c r="AW44" s="248" t="str">
        <f>_xlfn.IFNA(VLOOKUP(Ruimtestaat[[#This Row],[Programmacode
Regulier]],Programma!$F$4:$Y$36148,15,0),"_")</f>
        <v>1j</v>
      </c>
      <c r="AX44" s="248" t="str">
        <f>_xlfn.IFNA(VLOOKUP(Ruimtestaat[[#This Row],[Programmacode
Regulier]],Programma!$F$4:$Y$36148,16,0),"_")</f>
        <v>1j</v>
      </c>
      <c r="AY44" s="248" t="str">
        <f>_xlfn.IFNA(VLOOKUP(Ruimtestaat[[#This Row],[Programmacode
Regulier]],Programma!$F$4:$Y$36148,17,0),"_")</f>
        <v>_</v>
      </c>
      <c r="AZ44" s="249" t="str">
        <f>_xlfn.IFNA(VLOOKUP(Ruimtestaat[[#This Row],[Programmacode
Regulier]],Programma!$F$4:$Y$36148,18,0),"_")</f>
        <v>_</v>
      </c>
      <c r="BA44" s="249" t="str">
        <f>_xlfn.IFNA(VLOOKUP(Ruimtestaat[[#This Row],[Programmacode
Regulier]],Programma!$F$4:$Y$36148,19,0),"_")</f>
        <v>_</v>
      </c>
      <c r="BB44" s="249" t="str">
        <f>_xlfn.IFNA(VLOOKUP(Ruimtestaat[[#This Row],[Programmacode
Regulier]],Programma!$F$4:$Y$36148,20,0),"_")</f>
        <v>_</v>
      </c>
      <c r="BC44" s="250"/>
      <c r="BD44" s="212" t="str">
        <f>IF(Ruimtestaat[[#This Row],[Frequentie weekend]]="","",_xlfn.CONCAT(Ruimtestaat[[#This Row],[Ruimte code]],"-",Ruimtestaat[[#This Row],[Frequentie weekend]]," ",Ruimtestaat[[#This Row],[Vloer code]]))</f>
        <v/>
      </c>
      <c r="BE44" s="247" t="str">
        <f>_xlfn.IFNA(VLOOKUP(Ruimtestaat[[#This Row],[Code Weekend]],Programma!$F$4:$Y$36148,2,0),"_")</f>
        <v>_</v>
      </c>
      <c r="BF44" s="247" t="str">
        <f>_xlfn.IFNA(VLOOKUP(Ruimtestaat[[#This Row],[Code Weekend]],Programma!$F$4:$Y$36148,3,0),"_")</f>
        <v>_</v>
      </c>
      <c r="BG44" s="247" t="str">
        <f>_xlfn.IFNA(VLOOKUP(Ruimtestaat[[#This Row],[Code Weekend]],Programma!$F$4:$Y$36148,4,0),"_")</f>
        <v>_</v>
      </c>
      <c r="BH44" s="247" t="str">
        <f>_xlfn.IFNA(VLOOKUP(Ruimtestaat[[#This Row],[Code Weekend]],Programma!$F$4:$Y$36148,5,0),"_")</f>
        <v>_</v>
      </c>
      <c r="BI44" s="247" t="str">
        <f>_xlfn.IFNA(VLOOKUP(Ruimtestaat[[#This Row],[Code Weekend]],Programma!$F$4:$Y$36148,6,0),"_")</f>
        <v>_</v>
      </c>
      <c r="BJ44" s="247" t="str">
        <f>_xlfn.IFNA(VLOOKUP(Ruimtestaat[[#This Row],[Code Weekend]],Programma!$F$4:$Y$36148,7,0),"_")</f>
        <v>_</v>
      </c>
      <c r="BK44" s="247" t="str">
        <f>_xlfn.IFNA(VLOOKUP(Ruimtestaat[[#This Row],[Code Weekend]],Programma!$F$4:$Y$36148,8,0),"_")</f>
        <v>_</v>
      </c>
      <c r="BL44" s="247" t="str">
        <f>_xlfn.IFNA(VLOOKUP(Ruimtestaat[[#This Row],[Code Weekend]],Programma!$F$4:$Y$36148,9,0),"_")</f>
        <v>_</v>
      </c>
      <c r="BM44" s="248" t="str">
        <f>_xlfn.IFNA(VLOOKUP(Ruimtestaat[[#This Row],[Code Weekend]],Programma!$F$4:$Y$36148,10,0),"_")</f>
        <v>_</v>
      </c>
      <c r="BN44" s="248" t="str">
        <f>_xlfn.IFNA(VLOOKUP(Ruimtestaat[[#This Row],[Code Weekend]],Programma!$F$4:$Y$36148,11,0),"_")</f>
        <v>_</v>
      </c>
      <c r="BO44" s="248" t="str">
        <f>_xlfn.IFNA(VLOOKUP(Ruimtestaat[[#This Row],[Code Weekend]],Programma!$F$4:$Y$36148,12,0),"_")</f>
        <v>_</v>
      </c>
      <c r="BP44" s="248" t="str">
        <f>_xlfn.IFNA(VLOOKUP(Ruimtestaat[[#This Row],[Code Weekend]],Programma!$F$4:$Y$36148,13,0),"_")</f>
        <v>_</v>
      </c>
      <c r="BQ44" s="248" t="str">
        <f>_xlfn.IFNA(VLOOKUP(Ruimtestaat[[#This Row],[Code Weekend]],Programma!$F$4:$Y$36148,14,0),"_")</f>
        <v>_</v>
      </c>
      <c r="BR44" s="248" t="str">
        <f>_xlfn.IFNA(VLOOKUP(Ruimtestaat[[#This Row],[Code Weekend]],Programma!$F$4:$Y$36148,15,0),"_")</f>
        <v>_</v>
      </c>
      <c r="BS44" s="248" t="str">
        <f>_xlfn.IFNA(VLOOKUP(Ruimtestaat[[#This Row],[Code Weekend]],Programma!$F$4:$Y$36148,16,0),"_")</f>
        <v>_</v>
      </c>
      <c r="BT44" s="248" t="str">
        <f>_xlfn.IFNA(VLOOKUP(Ruimtestaat[[#This Row],[Code Weekend]],Programma!$F$4:$Y$36148,17,0),"_")</f>
        <v>_</v>
      </c>
      <c r="BU44" s="249" t="str">
        <f>_xlfn.IFNA(VLOOKUP(Ruimtestaat[[#This Row],[Code Weekend]],Programma!$F$4:$Y$36148,18,0),"_")</f>
        <v>_</v>
      </c>
      <c r="BV44" s="249" t="str">
        <f>_xlfn.IFNA(VLOOKUP(Ruimtestaat[[#This Row],[Code Weekend]],Programma!$F$4:$Y$36148,19,0),"_")</f>
        <v>_</v>
      </c>
      <c r="BW44" s="249" t="str">
        <f>_xlfn.IFNA(VLOOKUP(Ruimtestaat[[#This Row],[Code Weekend]],Programma!$F$4:$Y$36148,20,0),"_")</f>
        <v>_</v>
      </c>
      <c r="BX44" s="91"/>
      <c r="BY44" s="91"/>
      <c r="BZ44" s="91"/>
      <c r="CA44" s="91"/>
      <c r="CB44" s="91"/>
      <c r="CC44" s="91"/>
      <c r="CD44" s="91"/>
      <c r="CE44" s="91"/>
      <c r="CF44" s="91"/>
      <c r="CG44" s="91"/>
      <c r="CH44" s="91"/>
      <c r="CI44" s="91"/>
      <c r="CJ44" s="91"/>
      <c r="CK44" s="91"/>
      <c r="CL44" s="91"/>
      <c r="CM44" s="91"/>
      <c r="CN44" s="91"/>
      <c r="CO44" s="91"/>
      <c r="CP44" s="91"/>
      <c r="CQ44" s="91"/>
      <c r="CR44" s="91"/>
      <c r="CS44" s="91"/>
      <c r="CT44" s="91"/>
      <c r="CU44" s="91"/>
      <c r="CV44" s="91"/>
      <c r="CW44" s="91"/>
      <c r="CX44" s="91"/>
      <c r="CY44" s="91"/>
      <c r="CZ44" s="91"/>
      <c r="DA44" s="91"/>
      <c r="DB44" s="91"/>
      <c r="DC44" s="91"/>
      <c r="DD44" s="91"/>
      <c r="DE44" s="91"/>
      <c r="DF44" s="91"/>
      <c r="DG44" s="91"/>
      <c r="DH44" s="91"/>
      <c r="DI44" s="91"/>
      <c r="DJ44" s="91"/>
      <c r="DK44" s="91"/>
      <c r="DL44" s="91"/>
      <c r="DM44" s="91"/>
      <c r="DN44" s="91"/>
      <c r="DO44" s="91"/>
      <c r="DP44" s="91"/>
      <c r="DQ44" s="91"/>
      <c r="DR44" s="91"/>
      <c r="DS44" s="91"/>
      <c r="DT44" s="91"/>
      <c r="DU44" s="91"/>
      <c r="DV44" s="91"/>
      <c r="DW44" s="91"/>
      <c r="DX44" s="91"/>
      <c r="DY44" s="91"/>
      <c r="DZ44" s="91"/>
      <c r="EA44" s="91"/>
      <c r="EB44" s="91"/>
      <c r="EC44" s="91"/>
      <c r="ED44" s="91"/>
      <c r="EE44" s="91"/>
      <c r="EF44" s="91"/>
      <c r="EG44" s="91"/>
      <c r="EH44" s="91"/>
      <c r="EI44" s="91"/>
      <c r="EJ44" s="91"/>
      <c r="EK44" s="91"/>
      <c r="EL44" s="91"/>
      <c r="EM44" s="91"/>
      <c r="EN44" s="91"/>
      <c r="EO44" s="91"/>
      <c r="EP44" s="91"/>
      <c r="EQ44" s="91"/>
      <c r="ER44" s="91"/>
      <c r="ES44" s="91"/>
      <c r="ET44" s="91"/>
      <c r="EU44" s="91"/>
      <c r="EV44" s="91"/>
      <c r="EW44" s="91"/>
      <c r="EX44" s="91"/>
      <c r="EY44" s="91"/>
      <c r="EZ44" s="91"/>
      <c r="FA44" s="91"/>
      <c r="FB44" s="91"/>
      <c r="FC44" s="91"/>
      <c r="FD44" s="91"/>
      <c r="FE44" s="91"/>
      <c r="FF44" s="91"/>
      <c r="FG44" s="91"/>
      <c r="FH44" s="91"/>
      <c r="FI44" s="91"/>
      <c r="FJ44" s="91"/>
      <c r="FK44" s="91"/>
      <c r="FL44" s="91"/>
      <c r="FM44" s="91"/>
      <c r="FN44" s="91"/>
      <c r="FO44" s="91"/>
      <c r="FP44" s="91"/>
      <c r="FQ44" s="91"/>
      <c r="FR44" s="91"/>
      <c r="FS44" s="91"/>
      <c r="FT44" s="91"/>
      <c r="FU44" s="91"/>
      <c r="FV44" s="91"/>
      <c r="FW44" s="91"/>
      <c r="FX44" s="91"/>
      <c r="FY44" s="91"/>
      <c r="FZ44" s="91"/>
      <c r="GA44" s="91"/>
      <c r="GB44" s="91"/>
      <c r="GC44" s="91"/>
      <c r="GD44" s="91"/>
      <c r="GE44" s="91"/>
      <c r="GF44" s="91"/>
      <c r="GG44" s="91"/>
      <c r="GH44" s="91"/>
      <c r="GI44" s="91"/>
      <c r="GJ44" s="91"/>
      <c r="GK44" s="91"/>
      <c r="GL44" s="91"/>
      <c r="GM44" s="91"/>
      <c r="GN44" s="91"/>
      <c r="GO44" s="91"/>
      <c r="GP44" s="91"/>
      <c r="GQ44" s="91"/>
      <c r="GR44" s="91"/>
      <c r="GS44" s="91"/>
      <c r="GT44" s="91"/>
      <c r="GU44" s="91"/>
      <c r="GV44" s="91"/>
      <c r="GW44" s="91"/>
      <c r="GX44" s="91"/>
      <c r="GY44" s="91"/>
      <c r="GZ44" s="91"/>
      <c r="HA44" s="91"/>
      <c r="HB44" s="91"/>
      <c r="HC44" s="91"/>
      <c r="HD44" s="91"/>
      <c r="HE44" s="91"/>
      <c r="HF44" s="91"/>
      <c r="HG44" s="91"/>
      <c r="HH44" s="91"/>
      <c r="HI44" s="91"/>
      <c r="HJ44" s="91"/>
      <c r="HK44" s="91"/>
    </row>
    <row r="45" spans="1:219" s="8" customFormat="1" ht="12.75" customHeight="1">
      <c r="A45" s="131">
        <v>1</v>
      </c>
      <c r="B45" s="22" t="str">
        <f>VLOOKUP(Ruimtestaat[[#This Row],[Code]],Locaties[#All],2,FALSE)</f>
        <v>ESH Secondary School</v>
      </c>
      <c r="C45" s="22" t="str">
        <f>VLOOKUP(Ruimtestaat[[#This Row],[Code]],Locaties[#All],4,FALSE)</f>
        <v>Oostduinlaan 50</v>
      </c>
      <c r="D45" s="334" t="str">
        <f>VLOOKUP(Ruimtestaat[[#This Row],[Code]],Locaties[#All],5,FALSE)</f>
        <v>2596 JP</v>
      </c>
      <c r="E45" s="334" t="str">
        <f>VLOOKUP(Ruimtestaat[[#This Row],[Code]],Locaties[#All],6,FALSE)</f>
        <v>Den Haag</v>
      </c>
      <c r="F45" s="333"/>
      <c r="G45" s="334" t="s">
        <v>1611</v>
      </c>
      <c r="H45" s="333" t="s">
        <v>1361</v>
      </c>
      <c r="I45" s="335" t="s">
        <v>1518</v>
      </c>
      <c r="J45" s="328">
        <v>1</v>
      </c>
      <c r="K45" s="335" t="s">
        <v>69</v>
      </c>
      <c r="L45" s="212" t="s">
        <v>123</v>
      </c>
      <c r="M45" s="333" t="s">
        <v>144</v>
      </c>
      <c r="N45" s="337">
        <v>2</v>
      </c>
      <c r="O45" s="331"/>
      <c r="P45" s="332" t="str">
        <f>VLOOKUP(Ruimtestaat[[#This Row],[Ruimte code]],Ruimtegroepen[],4,FALSE)</f>
        <v>V  (Verkeersruimte)</v>
      </c>
      <c r="Q45" s="332"/>
      <c r="R45" s="333">
        <v>40</v>
      </c>
      <c r="S45" s="333" t="s">
        <v>16</v>
      </c>
      <c r="T45" s="37"/>
      <c r="U45" s="37">
        <f>IF(R45&gt;0,IF(RIGHT(Ruimtestaat[[#This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45" s="37">
        <f>IF(U45&gt;0,VLOOKUP($J45,Ruimtegroepen[],3,FALSE)*VLOOKUP($L45,Vloersoorten[],3,FALSE)*VLOOKUP($S45,Frequenties[],3,FALSE)*VLOOKUP($A45,Locaties[],3,FALSE),0)</f>
        <v>0</v>
      </c>
      <c r="W45" s="37">
        <f>Ruimtestaat[[#This Row],[Uitvoeringen werkdagen]]*Ruimtestaat[[#This Row],[Oppervlak (netto)]]</f>
        <v>24</v>
      </c>
      <c r="X45" s="37">
        <f>IF(V45&gt;0,Ruimtestaat[[#This Row],[Prest. (m2 /jaar) werkdagen]]/Ruimtestaat[[#This Row],[Norm (m2/uur) werkdagen]],0)</f>
        <v>0</v>
      </c>
      <c r="Y45" s="37">
        <f>Ruimtestaat[[#This Row],[uren / jaar werkdagen]]*Tariefsopbouw!$D$38</f>
        <v>0</v>
      </c>
      <c r="Z45" s="37">
        <f>IF(Ruimtestaat[[#This Row],[Frequentie weekend]]&gt;0,VALUE(LEFT(T45,1))*R45,0)</f>
        <v>0</v>
      </c>
      <c r="AA45" s="37">
        <f>IF($Z45&gt;0,VLOOKUP($J45,Ruimtegroepen[],3,FALSE)*VLOOKUP($L45,Vloersoorten[],3,FALSE)*VLOOKUP($T45,Frequenties[],3,FALSE)*VLOOKUP($A45,Locaties[],3,FALSE),0)</f>
        <v>0</v>
      </c>
      <c r="AB45" s="37">
        <f>Ruimtestaat[[#This Row],[Uitvoeringen weekend]]*Ruimtestaat[[#This Row],[Oppervlak (netto)]]</f>
        <v>0</v>
      </c>
      <c r="AC45" s="37">
        <f>IF(AA45&gt;0,Ruimtestaat[[#This Row],[Prest. (m2 /jaar) weekend]]/Ruimtestaat[[#This Row],[Norm (m2/uur) weekend]],0)</f>
        <v>0</v>
      </c>
      <c r="AD45" s="37">
        <f>Ruimtestaat[[#This Row],[uren / jaar weekend]]*Tariefsopbouw!$D$40</f>
        <v>0</v>
      </c>
      <c r="AE45" s="89">
        <f>Ruimtestaat[[#This Row],[Prest. (m2 /jaar) weekend]]+Ruimtestaat[[#This Row],[Prest. (m2 /jaar) werkdagen]]</f>
        <v>24</v>
      </c>
      <c r="AF45" s="89">
        <f>Ruimtestaat[[#This Row],[uren / jaar weekend]]+Ruimtestaat[[#This Row],[uren / jaar werkdagen]]</f>
        <v>0</v>
      </c>
      <c r="AG45" s="90">
        <f>Ruimtestaat[[#This Row],[kosten / jaar weekend]]+Ruimtestaat[[#This Row],[kosten / jaar werkdagen]]</f>
        <v>0</v>
      </c>
      <c r="AH45" s="253"/>
      <c r="AI45" s="252" t="str">
        <f>IF(Ruimtestaat[[#This Row],[Frequentie werkdagen]]="","",_xlfn.CONCAT(Ruimtestaat[[#This Row],[Ruimte code]],"-",Ruimtestaat[[#This Row],[Frequentie werkdagen]]," ",Ruimtestaat[[#This Row],[Vloer code]]))</f>
        <v>1-1m P</v>
      </c>
      <c r="AJ45" s="247" t="str">
        <f>_xlfn.IFNA(VLOOKUP(Ruimtestaat[[#This Row],[Programmacode
Regulier]],Programma!$F$4:$Y$36148,2,0),"_")</f>
        <v>_</v>
      </c>
      <c r="AK45" s="247" t="str">
        <f>_xlfn.IFNA(VLOOKUP(Ruimtestaat[[#This Row],[Programmacode
Regulier]],Programma!$F$4:$Y$36148,3,0),"_")</f>
        <v>_</v>
      </c>
      <c r="AL45" s="247" t="str">
        <f>_xlfn.IFNA(VLOOKUP(Ruimtestaat[[#This Row],[Programmacode
Regulier]],Programma!$F$4:$Y$36148,4,0),"_")</f>
        <v>1m</v>
      </c>
      <c r="AM45" s="247" t="str">
        <f>_xlfn.IFNA(VLOOKUP(Ruimtestaat[[#This Row],[Programmacode
Regulier]],Programma!$F$4:$Y$36148,5,0),"_")</f>
        <v>1m</v>
      </c>
      <c r="AN45" s="247" t="str">
        <f>_xlfn.IFNA(VLOOKUP(Ruimtestaat[[#This Row],[Programmacode
Regulier]],Programma!$F$4:$Y$36148,6,0),"_")</f>
        <v>_</v>
      </c>
      <c r="AO45" s="247" t="str">
        <f>_xlfn.IFNA(VLOOKUP(Ruimtestaat[[#This Row],[Programmacode
Regulier]],Programma!$F$4:$Y$36148,7,0),"_")</f>
        <v>_</v>
      </c>
      <c r="AP45" s="247" t="str">
        <f>_xlfn.IFNA(VLOOKUP(Ruimtestaat[[#This Row],[Programmacode
Regulier]],Programma!$F$4:$Y$36148,8,0),"_")</f>
        <v>_</v>
      </c>
      <c r="AQ45" s="247" t="str">
        <f>_xlfn.IFNA(VLOOKUP(Ruimtestaat[[#This Row],[Programmacode
Regulier]],Programma!$F$4:$Y$36148,9,0),"_")</f>
        <v>_</v>
      </c>
      <c r="AR45" s="248" t="str">
        <f>_xlfn.IFNA(VLOOKUP(Ruimtestaat[[#This Row],[Programmacode
Regulier]],Programma!$F$4:$Y$36148,10,0),"_")</f>
        <v>_</v>
      </c>
      <c r="AS45" s="248" t="str">
        <f>_xlfn.IFNA(VLOOKUP(Ruimtestaat[[#This Row],[Programmacode
Regulier]],Programma!$F$4:$Y$36148,11,0),"_")</f>
        <v>_</v>
      </c>
      <c r="AT45" s="248" t="str">
        <f>_xlfn.IFNA(VLOOKUP(Ruimtestaat[[#This Row],[Programmacode
Regulier]],Programma!$F$4:$Y$36148,12,0),"_")</f>
        <v>_</v>
      </c>
      <c r="AU45" s="248" t="str">
        <f>_xlfn.IFNA(VLOOKUP(Ruimtestaat[[#This Row],[Programmacode
Regulier]],Programma!$F$4:$Y$36148,13,0),"_")</f>
        <v>_</v>
      </c>
      <c r="AV45" s="248" t="str">
        <f>_xlfn.IFNA(VLOOKUP(Ruimtestaat[[#This Row],[Programmacode
Regulier]],Programma!$F$4:$Y$36148,14,0),"_")</f>
        <v>1j</v>
      </c>
      <c r="AW45" s="248" t="str">
        <f>_xlfn.IFNA(VLOOKUP(Ruimtestaat[[#This Row],[Programmacode
Regulier]],Programma!$F$4:$Y$36148,15,0),"_")</f>
        <v>1j</v>
      </c>
      <c r="AX45" s="248" t="str">
        <f>_xlfn.IFNA(VLOOKUP(Ruimtestaat[[#This Row],[Programmacode
Regulier]],Programma!$F$4:$Y$36148,16,0),"_")</f>
        <v>1j</v>
      </c>
      <c r="AY45" s="248" t="str">
        <f>_xlfn.IFNA(VLOOKUP(Ruimtestaat[[#This Row],[Programmacode
Regulier]],Programma!$F$4:$Y$36148,17,0),"_")</f>
        <v>_</v>
      </c>
      <c r="AZ45" s="249" t="str">
        <f>_xlfn.IFNA(VLOOKUP(Ruimtestaat[[#This Row],[Programmacode
Regulier]],Programma!$F$4:$Y$36148,18,0),"_")</f>
        <v>_</v>
      </c>
      <c r="BA45" s="249" t="str">
        <f>_xlfn.IFNA(VLOOKUP(Ruimtestaat[[#This Row],[Programmacode
Regulier]],Programma!$F$4:$Y$36148,19,0),"_")</f>
        <v>_</v>
      </c>
      <c r="BB45" s="249" t="str">
        <f>_xlfn.IFNA(VLOOKUP(Ruimtestaat[[#This Row],[Programmacode
Regulier]],Programma!$F$4:$Y$36148,20,0),"_")</f>
        <v>_</v>
      </c>
      <c r="BC45" s="250"/>
      <c r="BD45" s="212" t="str">
        <f>IF(Ruimtestaat[[#This Row],[Frequentie weekend]]="","",_xlfn.CONCAT(Ruimtestaat[[#This Row],[Ruimte code]],"-",Ruimtestaat[[#This Row],[Frequentie weekend]]," ",Ruimtestaat[[#This Row],[Vloer code]]))</f>
        <v/>
      </c>
      <c r="BE45" s="247" t="str">
        <f>_xlfn.IFNA(VLOOKUP(Ruimtestaat[[#This Row],[Code Weekend]],Programma!$F$4:$Y$36148,2,0),"_")</f>
        <v>_</v>
      </c>
      <c r="BF45" s="247" t="str">
        <f>_xlfn.IFNA(VLOOKUP(Ruimtestaat[[#This Row],[Code Weekend]],Programma!$F$4:$Y$36148,3,0),"_")</f>
        <v>_</v>
      </c>
      <c r="BG45" s="247" t="str">
        <f>_xlfn.IFNA(VLOOKUP(Ruimtestaat[[#This Row],[Code Weekend]],Programma!$F$4:$Y$36148,4,0),"_")</f>
        <v>_</v>
      </c>
      <c r="BH45" s="247" t="str">
        <f>_xlfn.IFNA(VLOOKUP(Ruimtestaat[[#This Row],[Code Weekend]],Programma!$F$4:$Y$36148,5,0),"_")</f>
        <v>_</v>
      </c>
      <c r="BI45" s="247" t="str">
        <f>_xlfn.IFNA(VLOOKUP(Ruimtestaat[[#This Row],[Code Weekend]],Programma!$F$4:$Y$36148,6,0),"_")</f>
        <v>_</v>
      </c>
      <c r="BJ45" s="247" t="str">
        <f>_xlfn.IFNA(VLOOKUP(Ruimtestaat[[#This Row],[Code Weekend]],Programma!$F$4:$Y$36148,7,0),"_")</f>
        <v>_</v>
      </c>
      <c r="BK45" s="247" t="str">
        <f>_xlfn.IFNA(VLOOKUP(Ruimtestaat[[#This Row],[Code Weekend]],Programma!$F$4:$Y$36148,8,0),"_")</f>
        <v>_</v>
      </c>
      <c r="BL45" s="247" t="str">
        <f>_xlfn.IFNA(VLOOKUP(Ruimtestaat[[#This Row],[Code Weekend]],Programma!$F$4:$Y$36148,9,0),"_")</f>
        <v>_</v>
      </c>
      <c r="BM45" s="248" t="str">
        <f>_xlfn.IFNA(VLOOKUP(Ruimtestaat[[#This Row],[Code Weekend]],Programma!$F$4:$Y$36148,10,0),"_")</f>
        <v>_</v>
      </c>
      <c r="BN45" s="248" t="str">
        <f>_xlfn.IFNA(VLOOKUP(Ruimtestaat[[#This Row],[Code Weekend]],Programma!$F$4:$Y$36148,11,0),"_")</f>
        <v>_</v>
      </c>
      <c r="BO45" s="248" t="str">
        <f>_xlfn.IFNA(VLOOKUP(Ruimtestaat[[#This Row],[Code Weekend]],Programma!$F$4:$Y$36148,12,0),"_")</f>
        <v>_</v>
      </c>
      <c r="BP45" s="248" t="str">
        <f>_xlfn.IFNA(VLOOKUP(Ruimtestaat[[#This Row],[Code Weekend]],Programma!$F$4:$Y$36148,13,0),"_")</f>
        <v>_</v>
      </c>
      <c r="BQ45" s="248" t="str">
        <f>_xlfn.IFNA(VLOOKUP(Ruimtestaat[[#This Row],[Code Weekend]],Programma!$F$4:$Y$36148,14,0),"_")</f>
        <v>_</v>
      </c>
      <c r="BR45" s="248" t="str">
        <f>_xlfn.IFNA(VLOOKUP(Ruimtestaat[[#This Row],[Code Weekend]],Programma!$F$4:$Y$36148,15,0),"_")</f>
        <v>_</v>
      </c>
      <c r="BS45" s="248" t="str">
        <f>_xlfn.IFNA(VLOOKUP(Ruimtestaat[[#This Row],[Code Weekend]],Programma!$F$4:$Y$36148,16,0),"_")</f>
        <v>_</v>
      </c>
      <c r="BT45" s="248" t="str">
        <f>_xlfn.IFNA(VLOOKUP(Ruimtestaat[[#This Row],[Code Weekend]],Programma!$F$4:$Y$36148,17,0),"_")</f>
        <v>_</v>
      </c>
      <c r="BU45" s="249" t="str">
        <f>_xlfn.IFNA(VLOOKUP(Ruimtestaat[[#This Row],[Code Weekend]],Programma!$F$4:$Y$36148,18,0),"_")</f>
        <v>_</v>
      </c>
      <c r="BV45" s="249" t="str">
        <f>_xlfn.IFNA(VLOOKUP(Ruimtestaat[[#This Row],[Code Weekend]],Programma!$F$4:$Y$36148,19,0),"_")</f>
        <v>_</v>
      </c>
      <c r="BW45" s="249" t="str">
        <f>_xlfn.IFNA(VLOOKUP(Ruimtestaat[[#This Row],[Code Weekend]],Programma!$F$4:$Y$36148,20,0),"_")</f>
        <v>_</v>
      </c>
      <c r="BX45" s="91"/>
      <c r="BY45" s="91"/>
      <c r="BZ45" s="91"/>
      <c r="CA45" s="91"/>
      <c r="CB45" s="91"/>
      <c r="CC45" s="91"/>
      <c r="CD45" s="91"/>
      <c r="CE45" s="91"/>
      <c r="CF45" s="91"/>
      <c r="CG45" s="91"/>
      <c r="CH45" s="91"/>
      <c r="CI45" s="91"/>
      <c r="CJ45" s="91"/>
      <c r="CK45" s="91"/>
      <c r="CL45" s="91"/>
      <c r="CM45" s="91"/>
      <c r="CN45" s="91"/>
      <c r="CO45" s="91"/>
      <c r="CP45" s="91"/>
      <c r="CQ45" s="91"/>
      <c r="CR45" s="91"/>
      <c r="CS45" s="91"/>
      <c r="CT45" s="91"/>
      <c r="CU45" s="91"/>
      <c r="CV45" s="91"/>
      <c r="CW45" s="91"/>
      <c r="CX45" s="91"/>
      <c r="CY45" s="91"/>
      <c r="CZ45" s="91"/>
      <c r="DA45" s="91"/>
      <c r="DB45" s="91"/>
      <c r="DC45" s="91"/>
      <c r="DD45" s="91"/>
      <c r="DE45" s="91"/>
      <c r="DF45" s="91"/>
      <c r="DG45" s="91"/>
      <c r="DH45" s="91"/>
      <c r="DI45" s="91"/>
      <c r="DJ45" s="91"/>
      <c r="DK45" s="91"/>
      <c r="DL45" s="91"/>
      <c r="DM45" s="91"/>
      <c r="DN45" s="91"/>
      <c r="DO45" s="91"/>
      <c r="DP45" s="91"/>
      <c r="DQ45" s="91"/>
      <c r="DR45" s="91"/>
      <c r="DS45" s="91"/>
      <c r="DT45" s="91"/>
      <c r="DU45" s="91"/>
      <c r="DV45" s="91"/>
      <c r="DW45" s="91"/>
      <c r="DX45" s="91"/>
      <c r="DY45" s="91"/>
      <c r="DZ45" s="91"/>
      <c r="EA45" s="91"/>
      <c r="EB45" s="91"/>
      <c r="EC45" s="91"/>
      <c r="ED45" s="91"/>
      <c r="EE45" s="91"/>
      <c r="EF45" s="91"/>
      <c r="EG45" s="91"/>
      <c r="EH45" s="91"/>
      <c r="EI45" s="91"/>
      <c r="EJ45" s="91"/>
      <c r="EK45" s="91"/>
      <c r="EL45" s="91"/>
      <c r="EM45" s="91"/>
      <c r="EN45" s="91"/>
      <c r="EO45" s="91"/>
      <c r="EP45" s="91"/>
      <c r="EQ45" s="91"/>
      <c r="ER45" s="91"/>
      <c r="ES45" s="91"/>
      <c r="ET45" s="91"/>
      <c r="EU45" s="91"/>
      <c r="EV45" s="91"/>
      <c r="EW45" s="91"/>
      <c r="EX45" s="91"/>
      <c r="EY45" s="91"/>
      <c r="EZ45" s="91"/>
      <c r="FA45" s="91"/>
      <c r="FB45" s="91"/>
      <c r="FC45" s="91"/>
      <c r="FD45" s="91"/>
      <c r="FE45" s="91"/>
      <c r="FF45" s="91"/>
      <c r="FG45" s="91"/>
      <c r="FH45" s="91"/>
      <c r="FI45" s="91"/>
      <c r="FJ45" s="91"/>
      <c r="FK45" s="91"/>
      <c r="FL45" s="91"/>
      <c r="FM45" s="91"/>
      <c r="FN45" s="91"/>
      <c r="FO45" s="91"/>
      <c r="FP45" s="91"/>
      <c r="FQ45" s="91"/>
      <c r="FR45" s="91"/>
      <c r="FS45" s="91"/>
      <c r="FT45" s="91"/>
      <c r="FU45" s="91"/>
      <c r="FV45" s="91"/>
      <c r="FW45" s="91"/>
      <c r="FX45" s="91"/>
      <c r="FY45" s="91"/>
      <c r="FZ45" s="91"/>
      <c r="GA45" s="91"/>
      <c r="GB45" s="91"/>
      <c r="GC45" s="91"/>
      <c r="GD45" s="91"/>
      <c r="GE45" s="91"/>
      <c r="GF45" s="91"/>
      <c r="GG45" s="91"/>
      <c r="GH45" s="91"/>
      <c r="GI45" s="91"/>
      <c r="GJ45" s="91"/>
      <c r="GK45" s="91"/>
      <c r="GL45" s="91"/>
      <c r="GM45" s="91"/>
      <c r="GN45" s="91"/>
      <c r="GO45" s="91"/>
      <c r="GP45" s="91"/>
      <c r="GQ45" s="91"/>
      <c r="GR45" s="91"/>
      <c r="GS45" s="91"/>
      <c r="GT45" s="91"/>
      <c r="GU45" s="91"/>
      <c r="GV45" s="91"/>
      <c r="GW45" s="91"/>
      <c r="GX45" s="91"/>
      <c r="GY45" s="91"/>
      <c r="GZ45" s="91"/>
      <c r="HA45" s="91"/>
      <c r="HB45" s="91"/>
      <c r="HC45" s="91"/>
      <c r="HD45" s="91"/>
      <c r="HE45" s="91"/>
      <c r="HF45" s="91"/>
      <c r="HG45" s="91"/>
      <c r="HH45" s="91"/>
      <c r="HI45" s="91"/>
      <c r="HJ45" s="91"/>
      <c r="HK45" s="91"/>
    </row>
    <row r="46" spans="1:219" s="8" customFormat="1" ht="12.75" customHeight="1">
      <c r="A46" s="131">
        <v>1</v>
      </c>
      <c r="B46" s="22" t="str">
        <f>VLOOKUP(Ruimtestaat[[#This Row],[Code]],Locaties[#All],2,FALSE)</f>
        <v>ESH Secondary School</v>
      </c>
      <c r="C46" s="22" t="str">
        <f>VLOOKUP(Ruimtestaat[[#This Row],[Code]],Locaties[#All],4,FALSE)</f>
        <v>Oostduinlaan 50</v>
      </c>
      <c r="D46" s="334" t="str">
        <f>VLOOKUP(Ruimtestaat[[#This Row],[Code]],Locaties[#All],5,FALSE)</f>
        <v>2596 JP</v>
      </c>
      <c r="E46" s="334" t="str">
        <f>VLOOKUP(Ruimtestaat[[#This Row],[Code]],Locaties[#All],6,FALSE)</f>
        <v>Den Haag</v>
      </c>
      <c r="F46" s="333"/>
      <c r="G46" s="334" t="s">
        <v>1611</v>
      </c>
      <c r="H46" s="333" t="s">
        <v>1362</v>
      </c>
      <c r="I46" s="335" t="s">
        <v>50</v>
      </c>
      <c r="J46" s="333">
        <v>7</v>
      </c>
      <c r="K46" s="335" t="str">
        <f>VLOOKUP(J46,Ruimtegroepen[],2,FALSE)</f>
        <v>Entree</v>
      </c>
      <c r="L46" s="212" t="s">
        <v>122</v>
      </c>
      <c r="M46" s="333" t="s">
        <v>143</v>
      </c>
      <c r="N46" s="337">
        <v>18</v>
      </c>
      <c r="O46" s="331"/>
      <c r="P46" s="332" t="str">
        <f>VLOOKUP(Ruimtestaat[[#This Row],[Ruimte code]],Ruimtegroepen[],4,FALSE)</f>
        <v>V  (Verkeersruimte)</v>
      </c>
      <c r="Q46" s="332"/>
      <c r="R46" s="333">
        <v>40</v>
      </c>
      <c r="S46" s="333" t="s">
        <v>2</v>
      </c>
      <c r="T46" s="37"/>
      <c r="U46" s="37">
        <f>IF(R46&gt;0,IF(RIGHT(Ruimtestaat[[#This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6" s="37">
        <f>IF(U46&gt;0,VLOOKUP($J46,Ruimtegroepen[],3,FALSE)*VLOOKUP($L46,Vloersoorten[],3,FALSE)*VLOOKUP($S46,Frequenties[],3,FALSE)*VLOOKUP($A46,Locaties[],3,FALSE),0)</f>
        <v>0</v>
      </c>
      <c r="W46" s="37">
        <f>Ruimtestaat[[#This Row],[Uitvoeringen werkdagen]]*Ruimtestaat[[#This Row],[Oppervlak (netto)]]</f>
        <v>3600</v>
      </c>
      <c r="X46" s="37">
        <f>IF(V46&gt;0,Ruimtestaat[[#This Row],[Prest. (m2 /jaar) werkdagen]]/Ruimtestaat[[#This Row],[Norm (m2/uur) werkdagen]],0)</f>
        <v>0</v>
      </c>
      <c r="Y46" s="37">
        <f>Ruimtestaat[[#This Row],[uren / jaar werkdagen]]*Tariefsopbouw!$D$38</f>
        <v>0</v>
      </c>
      <c r="Z46" s="37">
        <f>IF(Ruimtestaat[[#This Row],[Frequentie weekend]]&gt;0,VALUE(LEFT(T46,1))*R46,0)</f>
        <v>0</v>
      </c>
      <c r="AA46" s="37">
        <f>IF($Z46&gt;0,VLOOKUP($J46,Ruimtegroepen[],3,FALSE)*VLOOKUP($L46,Vloersoorten[],3,FALSE)*VLOOKUP($T46,Frequenties[],3,FALSE)*VLOOKUP($A46,Locaties[],3,FALSE),0)</f>
        <v>0</v>
      </c>
      <c r="AB46" s="37">
        <f>Ruimtestaat[[#This Row],[Uitvoeringen weekend]]*Ruimtestaat[[#This Row],[Oppervlak (netto)]]</f>
        <v>0</v>
      </c>
      <c r="AC46" s="37">
        <f>IF(AA46&gt;0,Ruimtestaat[[#This Row],[Prest. (m2 /jaar) weekend]]/Ruimtestaat[[#This Row],[Norm (m2/uur) weekend]],0)</f>
        <v>0</v>
      </c>
      <c r="AD46" s="37">
        <f>Ruimtestaat[[#This Row],[uren / jaar weekend]]*Tariefsopbouw!$D$40</f>
        <v>0</v>
      </c>
      <c r="AE46" s="89">
        <f>Ruimtestaat[[#This Row],[Prest. (m2 /jaar) weekend]]+Ruimtestaat[[#This Row],[Prest. (m2 /jaar) werkdagen]]</f>
        <v>3600</v>
      </c>
      <c r="AF46" s="89">
        <f>Ruimtestaat[[#This Row],[uren / jaar weekend]]+Ruimtestaat[[#This Row],[uren / jaar werkdagen]]</f>
        <v>0</v>
      </c>
      <c r="AG46" s="90">
        <f>Ruimtestaat[[#This Row],[kosten / jaar weekend]]+Ruimtestaat[[#This Row],[kosten / jaar werkdagen]]</f>
        <v>0</v>
      </c>
      <c r="AH46" s="253"/>
      <c r="AI46" s="252" t="str">
        <f>IF(Ruimtestaat[[#This Row],[Frequentie werkdagen]]="","",_xlfn.CONCAT(Ruimtestaat[[#This Row],[Ruimte code]],"-",Ruimtestaat[[#This Row],[Frequentie werkdagen]]," ",Ruimtestaat[[#This Row],[Vloer code]]))</f>
        <v>7-5w S</v>
      </c>
      <c r="AJ46" s="247" t="str">
        <f>_xlfn.IFNA(VLOOKUP(Ruimtestaat[[#This Row],[Programmacode
Regulier]],Programma!$F$4:$Y$36148,2,0),"_")</f>
        <v>_</v>
      </c>
      <c r="AK46" s="247" t="str">
        <f>_xlfn.IFNA(VLOOKUP(Ruimtestaat[[#This Row],[Programmacode
Regulier]],Programma!$F$4:$Y$36148,3,0),"_")</f>
        <v>_</v>
      </c>
      <c r="AL46" s="247" t="str">
        <f>_xlfn.IFNA(VLOOKUP(Ruimtestaat[[#This Row],[Programmacode
Regulier]],Programma!$F$4:$Y$36148,4,0),"_")</f>
        <v>5w</v>
      </c>
      <c r="AM46" s="247" t="str">
        <f>_xlfn.IFNA(VLOOKUP(Ruimtestaat[[#This Row],[Programmacode
Regulier]],Programma!$F$4:$Y$36148,5,0),"_")</f>
        <v>_</v>
      </c>
      <c r="AN46" s="247" t="str">
        <f>_xlfn.IFNA(VLOOKUP(Ruimtestaat[[#This Row],[Programmacode
Regulier]],Programma!$F$4:$Y$36148,6,0),"_")</f>
        <v>5w</v>
      </c>
      <c r="AO46" s="247" t="str">
        <f>_xlfn.IFNA(VLOOKUP(Ruimtestaat[[#This Row],[Programmacode
Regulier]],Programma!$F$4:$Y$36148,7,0),"_")</f>
        <v>_</v>
      </c>
      <c r="AP46" s="247" t="str">
        <f>_xlfn.IFNA(VLOOKUP(Ruimtestaat[[#This Row],[Programmacode
Regulier]],Programma!$F$4:$Y$36148,8,0),"_")</f>
        <v>_</v>
      </c>
      <c r="AQ46" s="247" t="str">
        <f>_xlfn.IFNA(VLOOKUP(Ruimtestaat[[#This Row],[Programmacode
Regulier]],Programma!$F$4:$Y$36148,9,0),"_")</f>
        <v>_</v>
      </c>
      <c r="AR46" s="248" t="str">
        <f>_xlfn.IFNA(VLOOKUP(Ruimtestaat[[#This Row],[Programmacode
Regulier]],Programma!$F$4:$Y$36148,10,0),"_")</f>
        <v>5w</v>
      </c>
      <c r="AS46" s="248" t="str">
        <f>_xlfn.IFNA(VLOOKUP(Ruimtestaat[[#This Row],[Programmacode
Regulier]],Programma!$F$4:$Y$36148,11,0),"_")</f>
        <v>5w</v>
      </c>
      <c r="AT46" s="248" t="str">
        <f>_xlfn.IFNA(VLOOKUP(Ruimtestaat[[#This Row],[Programmacode
Regulier]],Programma!$F$4:$Y$36148,12,0),"_")</f>
        <v>1w</v>
      </c>
      <c r="AU46" s="248" t="str">
        <f>_xlfn.IFNA(VLOOKUP(Ruimtestaat[[#This Row],[Programmacode
Regulier]],Programma!$F$4:$Y$36148,13,0),"_")</f>
        <v>1w</v>
      </c>
      <c r="AV46" s="248" t="str">
        <f>_xlfn.IFNA(VLOOKUP(Ruimtestaat[[#This Row],[Programmacode
Regulier]],Programma!$F$4:$Y$36148,14,0),"_")</f>
        <v>1m</v>
      </c>
      <c r="AW46" s="248" t="str">
        <f>_xlfn.IFNA(VLOOKUP(Ruimtestaat[[#This Row],[Programmacode
Regulier]],Programma!$F$4:$Y$36148,15,0),"_")</f>
        <v>2j</v>
      </c>
      <c r="AX46" s="248" t="str">
        <f>_xlfn.IFNA(VLOOKUP(Ruimtestaat[[#This Row],[Programmacode
Regulier]],Programma!$F$4:$Y$36148,16,0),"_")</f>
        <v>1j</v>
      </c>
      <c r="AY46" s="248" t="str">
        <f>_xlfn.IFNA(VLOOKUP(Ruimtestaat[[#This Row],[Programmacode
Regulier]],Programma!$F$4:$Y$36148,17,0),"_")</f>
        <v>_</v>
      </c>
      <c r="AZ46" s="249" t="str">
        <f>_xlfn.IFNA(VLOOKUP(Ruimtestaat[[#This Row],[Programmacode
Regulier]],Programma!$F$4:$Y$36148,18,0),"_")</f>
        <v>_</v>
      </c>
      <c r="BA46" s="249" t="str">
        <f>_xlfn.IFNA(VLOOKUP(Ruimtestaat[[#This Row],[Programmacode
Regulier]],Programma!$F$4:$Y$36148,19,0),"_")</f>
        <v>_</v>
      </c>
      <c r="BB46" s="249" t="str">
        <f>_xlfn.IFNA(VLOOKUP(Ruimtestaat[[#This Row],[Programmacode
Regulier]],Programma!$F$4:$Y$36148,20,0),"_")</f>
        <v>_</v>
      </c>
      <c r="BC46" s="250"/>
      <c r="BD46" s="212" t="str">
        <f>IF(Ruimtestaat[[#This Row],[Frequentie weekend]]="","",_xlfn.CONCAT(Ruimtestaat[[#This Row],[Ruimte code]],"-",Ruimtestaat[[#This Row],[Frequentie weekend]]," ",Ruimtestaat[[#This Row],[Vloer code]]))</f>
        <v/>
      </c>
      <c r="BE46" s="247" t="str">
        <f>_xlfn.IFNA(VLOOKUP(Ruimtestaat[[#This Row],[Code Weekend]],Programma!$F$4:$Y$36148,2,0),"_")</f>
        <v>_</v>
      </c>
      <c r="BF46" s="247" t="str">
        <f>_xlfn.IFNA(VLOOKUP(Ruimtestaat[[#This Row],[Code Weekend]],Programma!$F$4:$Y$36148,3,0),"_")</f>
        <v>_</v>
      </c>
      <c r="BG46" s="247" t="str">
        <f>_xlfn.IFNA(VLOOKUP(Ruimtestaat[[#This Row],[Code Weekend]],Programma!$F$4:$Y$36148,4,0),"_")</f>
        <v>_</v>
      </c>
      <c r="BH46" s="247" t="str">
        <f>_xlfn.IFNA(VLOOKUP(Ruimtestaat[[#This Row],[Code Weekend]],Programma!$F$4:$Y$36148,5,0),"_")</f>
        <v>_</v>
      </c>
      <c r="BI46" s="247" t="str">
        <f>_xlfn.IFNA(VLOOKUP(Ruimtestaat[[#This Row],[Code Weekend]],Programma!$F$4:$Y$36148,6,0),"_")</f>
        <v>_</v>
      </c>
      <c r="BJ46" s="247" t="str">
        <f>_xlfn.IFNA(VLOOKUP(Ruimtestaat[[#This Row],[Code Weekend]],Programma!$F$4:$Y$36148,7,0),"_")</f>
        <v>_</v>
      </c>
      <c r="BK46" s="247" t="str">
        <f>_xlfn.IFNA(VLOOKUP(Ruimtestaat[[#This Row],[Code Weekend]],Programma!$F$4:$Y$36148,8,0),"_")</f>
        <v>_</v>
      </c>
      <c r="BL46" s="247" t="str">
        <f>_xlfn.IFNA(VLOOKUP(Ruimtestaat[[#This Row],[Code Weekend]],Programma!$F$4:$Y$36148,9,0),"_")</f>
        <v>_</v>
      </c>
      <c r="BM46" s="248" t="str">
        <f>_xlfn.IFNA(VLOOKUP(Ruimtestaat[[#This Row],[Code Weekend]],Programma!$F$4:$Y$36148,10,0),"_")</f>
        <v>_</v>
      </c>
      <c r="BN46" s="248" t="str">
        <f>_xlfn.IFNA(VLOOKUP(Ruimtestaat[[#This Row],[Code Weekend]],Programma!$F$4:$Y$36148,11,0),"_")</f>
        <v>_</v>
      </c>
      <c r="BO46" s="248" t="str">
        <f>_xlfn.IFNA(VLOOKUP(Ruimtestaat[[#This Row],[Code Weekend]],Programma!$F$4:$Y$36148,12,0),"_")</f>
        <v>_</v>
      </c>
      <c r="BP46" s="248" t="str">
        <f>_xlfn.IFNA(VLOOKUP(Ruimtestaat[[#This Row],[Code Weekend]],Programma!$F$4:$Y$36148,13,0),"_")</f>
        <v>_</v>
      </c>
      <c r="BQ46" s="248" t="str">
        <f>_xlfn.IFNA(VLOOKUP(Ruimtestaat[[#This Row],[Code Weekend]],Programma!$F$4:$Y$36148,14,0),"_")</f>
        <v>_</v>
      </c>
      <c r="BR46" s="248" t="str">
        <f>_xlfn.IFNA(VLOOKUP(Ruimtestaat[[#This Row],[Code Weekend]],Programma!$F$4:$Y$36148,15,0),"_")</f>
        <v>_</v>
      </c>
      <c r="BS46" s="248" t="str">
        <f>_xlfn.IFNA(VLOOKUP(Ruimtestaat[[#This Row],[Code Weekend]],Programma!$F$4:$Y$36148,16,0),"_")</f>
        <v>_</v>
      </c>
      <c r="BT46" s="248" t="str">
        <f>_xlfn.IFNA(VLOOKUP(Ruimtestaat[[#This Row],[Code Weekend]],Programma!$F$4:$Y$36148,17,0),"_")</f>
        <v>_</v>
      </c>
      <c r="BU46" s="249" t="str">
        <f>_xlfn.IFNA(VLOOKUP(Ruimtestaat[[#This Row],[Code Weekend]],Programma!$F$4:$Y$36148,18,0),"_")</f>
        <v>_</v>
      </c>
      <c r="BV46" s="249" t="str">
        <f>_xlfn.IFNA(VLOOKUP(Ruimtestaat[[#This Row],[Code Weekend]],Programma!$F$4:$Y$36148,19,0),"_")</f>
        <v>_</v>
      </c>
      <c r="BW46" s="249" t="str">
        <f>_xlfn.IFNA(VLOOKUP(Ruimtestaat[[#This Row],[Code Weekend]],Programma!$F$4:$Y$36148,20,0),"_")</f>
        <v>_</v>
      </c>
      <c r="BX46" s="91"/>
      <c r="BY46" s="91"/>
      <c r="BZ46" s="91"/>
      <c r="CA46" s="91"/>
      <c r="CB46" s="91"/>
      <c r="CC46" s="91"/>
      <c r="CD46" s="91"/>
      <c r="CE46" s="91"/>
      <c r="CF46" s="91"/>
      <c r="CG46" s="91"/>
      <c r="CH46" s="91"/>
      <c r="CI46" s="91"/>
      <c r="CJ46" s="91"/>
      <c r="CK46" s="91"/>
      <c r="CL46" s="91"/>
      <c r="CM46" s="91"/>
      <c r="CN46" s="91"/>
      <c r="CO46" s="91"/>
      <c r="CP46" s="91"/>
      <c r="CQ46" s="91"/>
      <c r="CR46" s="91"/>
      <c r="CS46" s="91"/>
      <c r="CT46" s="91"/>
      <c r="CU46" s="91"/>
      <c r="CV46" s="91"/>
      <c r="CW46" s="91"/>
      <c r="CX46" s="91"/>
      <c r="CY46" s="91"/>
      <c r="CZ46" s="91"/>
      <c r="DA46" s="91"/>
      <c r="DB46" s="91"/>
      <c r="DC46" s="91"/>
      <c r="DD46" s="91"/>
      <c r="DE46" s="91"/>
      <c r="DF46" s="91"/>
      <c r="DG46" s="91"/>
      <c r="DH46" s="91"/>
      <c r="DI46" s="91"/>
      <c r="DJ46" s="91"/>
      <c r="DK46" s="91"/>
      <c r="DL46" s="91"/>
      <c r="DM46" s="91"/>
      <c r="DN46" s="91"/>
      <c r="DO46" s="91"/>
      <c r="DP46" s="91"/>
      <c r="DQ46" s="91"/>
      <c r="DR46" s="91"/>
      <c r="DS46" s="91"/>
      <c r="DT46" s="91"/>
      <c r="DU46" s="91"/>
      <c r="DV46" s="91"/>
      <c r="DW46" s="91"/>
      <c r="DX46" s="91"/>
      <c r="DY46" s="91"/>
      <c r="DZ46" s="91"/>
      <c r="EA46" s="91"/>
      <c r="EB46" s="91"/>
      <c r="EC46" s="91"/>
      <c r="ED46" s="91"/>
      <c r="EE46" s="91"/>
      <c r="EF46" s="91"/>
      <c r="EG46" s="91"/>
      <c r="EH46" s="91"/>
      <c r="EI46" s="91"/>
      <c r="EJ46" s="91"/>
      <c r="EK46" s="91"/>
      <c r="EL46" s="91"/>
      <c r="EM46" s="91"/>
      <c r="EN46" s="91"/>
      <c r="EO46" s="91"/>
      <c r="EP46" s="91"/>
      <c r="EQ46" s="91"/>
      <c r="ER46" s="91"/>
      <c r="ES46" s="91"/>
      <c r="ET46" s="91"/>
      <c r="EU46" s="91"/>
      <c r="EV46" s="91"/>
      <c r="EW46" s="91"/>
      <c r="EX46" s="91"/>
      <c r="EY46" s="91"/>
      <c r="EZ46" s="91"/>
      <c r="FA46" s="91"/>
      <c r="FB46" s="91"/>
      <c r="FC46" s="91"/>
      <c r="FD46" s="91"/>
      <c r="FE46" s="91"/>
      <c r="FF46" s="91"/>
      <c r="FG46" s="91"/>
      <c r="FH46" s="91"/>
      <c r="FI46" s="91"/>
      <c r="FJ46" s="91"/>
      <c r="FK46" s="91"/>
      <c r="FL46" s="91"/>
      <c r="FM46" s="91"/>
      <c r="FN46" s="91"/>
      <c r="FO46" s="91"/>
      <c r="FP46" s="91"/>
      <c r="FQ46" s="91"/>
      <c r="FR46" s="91"/>
      <c r="FS46" s="91"/>
      <c r="FT46" s="91"/>
      <c r="FU46" s="91"/>
      <c r="FV46" s="91"/>
      <c r="FW46" s="91"/>
      <c r="FX46" s="91"/>
      <c r="FY46" s="91"/>
      <c r="FZ46" s="91"/>
      <c r="GA46" s="91"/>
      <c r="GB46" s="91"/>
      <c r="GC46" s="91"/>
      <c r="GD46" s="91"/>
      <c r="GE46" s="91"/>
      <c r="GF46" s="91"/>
      <c r="GG46" s="91"/>
      <c r="GH46" s="91"/>
      <c r="GI46" s="91"/>
      <c r="GJ46" s="91"/>
      <c r="GK46" s="91"/>
      <c r="GL46" s="91"/>
      <c r="GM46" s="91"/>
      <c r="GN46" s="91"/>
      <c r="GO46" s="91"/>
      <c r="GP46" s="91"/>
      <c r="GQ46" s="91"/>
      <c r="GR46" s="91"/>
      <c r="GS46" s="91"/>
      <c r="GT46" s="91"/>
      <c r="GU46" s="91"/>
      <c r="GV46" s="91"/>
      <c r="GW46" s="91"/>
      <c r="GX46" s="91"/>
      <c r="GY46" s="91"/>
      <c r="GZ46" s="91"/>
      <c r="HA46" s="91"/>
      <c r="HB46" s="91"/>
      <c r="HC46" s="91"/>
      <c r="HD46" s="91"/>
      <c r="HE46" s="91"/>
      <c r="HF46" s="91"/>
      <c r="HG46" s="91"/>
      <c r="HH46" s="91"/>
      <c r="HI46" s="91"/>
      <c r="HJ46" s="91"/>
      <c r="HK46" s="91"/>
    </row>
    <row r="47" spans="1:219" s="8" customFormat="1" ht="12.75" customHeight="1">
      <c r="A47" s="131">
        <v>1</v>
      </c>
      <c r="B47" s="22" t="str">
        <f>VLOOKUP(Ruimtestaat[[#This Row],[Code]],Locaties[#All],2,FALSE)</f>
        <v>ESH Secondary School</v>
      </c>
      <c r="C47" s="22" t="str">
        <f>VLOOKUP(Ruimtestaat[[#This Row],[Code]],Locaties[#All],4,FALSE)</f>
        <v>Oostduinlaan 50</v>
      </c>
      <c r="D47" s="334" t="str">
        <f>VLOOKUP(Ruimtestaat[[#This Row],[Code]],Locaties[#All],5,FALSE)</f>
        <v>2596 JP</v>
      </c>
      <c r="E47" s="334" t="str">
        <f>VLOOKUP(Ruimtestaat[[#This Row],[Code]],Locaties[#All],6,FALSE)</f>
        <v>Den Haag</v>
      </c>
      <c r="F47" s="333"/>
      <c r="G47" s="334" t="s">
        <v>1611</v>
      </c>
      <c r="H47" s="333" t="s">
        <v>1363</v>
      </c>
      <c r="I47" s="335" t="s">
        <v>1486</v>
      </c>
      <c r="J47" s="328">
        <v>2</v>
      </c>
      <c r="K47" s="335" t="str">
        <f>VLOOKUP(J47,Ruimtegroepen[],2,FALSE)</f>
        <v>Kantoren</v>
      </c>
      <c r="L47" s="212" t="s">
        <v>123</v>
      </c>
      <c r="M47" s="333" t="s">
        <v>144</v>
      </c>
      <c r="N47" s="337">
        <v>16</v>
      </c>
      <c r="O47" s="331"/>
      <c r="P47" s="332" t="str">
        <f>VLOOKUP(Ruimtestaat[[#This Row],[Ruimte code]],Ruimtegroepen[],4,FALSE)</f>
        <v>B  (Bureauruimte)</v>
      </c>
      <c r="Q47" s="332"/>
      <c r="R47" s="333">
        <v>40</v>
      </c>
      <c r="S47" s="333" t="s">
        <v>2</v>
      </c>
      <c r="T47" s="37"/>
      <c r="U47" s="37">
        <f>IF(R47&gt;0,IF(RIGHT(Ruimtestaat[[#This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7" s="37">
        <f>IF(U47&gt;0,VLOOKUP($J47,Ruimtegroepen[],3,FALSE)*VLOOKUP($L47,Vloersoorten[],3,FALSE)*VLOOKUP($S47,Frequenties[],3,FALSE)*VLOOKUP($A47,Locaties[],3,FALSE),0)</f>
        <v>0</v>
      </c>
      <c r="W47" s="37">
        <f>Ruimtestaat[[#This Row],[Uitvoeringen werkdagen]]*Ruimtestaat[[#This Row],[Oppervlak (netto)]]</f>
        <v>3200</v>
      </c>
      <c r="X47" s="37">
        <f>IF(V47&gt;0,Ruimtestaat[[#This Row],[Prest. (m2 /jaar) werkdagen]]/Ruimtestaat[[#This Row],[Norm (m2/uur) werkdagen]],0)</f>
        <v>0</v>
      </c>
      <c r="Y47" s="37">
        <f>Ruimtestaat[[#This Row],[uren / jaar werkdagen]]*Tariefsopbouw!$D$38</f>
        <v>0</v>
      </c>
      <c r="Z47" s="37">
        <f>IF(Ruimtestaat[[#This Row],[Frequentie weekend]]&gt;0,VALUE(LEFT(T47,1))*R47,0)</f>
        <v>0</v>
      </c>
      <c r="AA47" s="37">
        <f>IF($Z47&gt;0,VLOOKUP($J47,Ruimtegroepen[],3,FALSE)*VLOOKUP($L47,Vloersoorten[],3,FALSE)*VLOOKUP($T47,Frequenties[],3,FALSE)*VLOOKUP($A47,Locaties[],3,FALSE),0)</f>
        <v>0</v>
      </c>
      <c r="AB47" s="37">
        <f>Ruimtestaat[[#This Row],[Uitvoeringen weekend]]*Ruimtestaat[[#This Row],[Oppervlak (netto)]]</f>
        <v>0</v>
      </c>
      <c r="AC47" s="37">
        <f>IF(AA47&gt;0,Ruimtestaat[[#This Row],[Prest. (m2 /jaar) weekend]]/Ruimtestaat[[#This Row],[Norm (m2/uur) weekend]],0)</f>
        <v>0</v>
      </c>
      <c r="AD47" s="37">
        <f>Ruimtestaat[[#This Row],[uren / jaar weekend]]*Tariefsopbouw!$D$40</f>
        <v>0</v>
      </c>
      <c r="AE47" s="89">
        <f>Ruimtestaat[[#This Row],[Prest. (m2 /jaar) weekend]]+Ruimtestaat[[#This Row],[Prest. (m2 /jaar) werkdagen]]</f>
        <v>3200</v>
      </c>
      <c r="AF47" s="89">
        <f>Ruimtestaat[[#This Row],[uren / jaar weekend]]+Ruimtestaat[[#This Row],[uren / jaar werkdagen]]</f>
        <v>0</v>
      </c>
      <c r="AG47" s="90">
        <f>Ruimtestaat[[#This Row],[kosten / jaar weekend]]+Ruimtestaat[[#This Row],[kosten / jaar werkdagen]]</f>
        <v>0</v>
      </c>
      <c r="AH47" s="253"/>
      <c r="AI47" s="252" t="str">
        <f>IF(Ruimtestaat[[#This Row],[Frequentie werkdagen]]="","",_xlfn.CONCAT(Ruimtestaat[[#This Row],[Ruimte code]],"-",Ruimtestaat[[#This Row],[Frequentie werkdagen]]," ",Ruimtestaat[[#This Row],[Vloer code]]))</f>
        <v>2-5w P</v>
      </c>
      <c r="AJ47" s="247" t="str">
        <f>_xlfn.IFNA(VLOOKUP(Ruimtestaat[[#This Row],[Programmacode
Regulier]],Programma!$F$4:$Y$36148,2,0),"_")</f>
        <v>_</v>
      </c>
      <c r="AK47" s="247" t="str">
        <f>_xlfn.IFNA(VLOOKUP(Ruimtestaat[[#This Row],[Programmacode
Regulier]],Programma!$F$4:$Y$36148,3,0),"_")</f>
        <v>_</v>
      </c>
      <c r="AL47" s="247" t="str">
        <f>_xlfn.IFNA(VLOOKUP(Ruimtestaat[[#This Row],[Programmacode
Regulier]],Programma!$F$4:$Y$36148,4,0),"_")</f>
        <v>5w</v>
      </c>
      <c r="AM47" s="247" t="str">
        <f>_xlfn.IFNA(VLOOKUP(Ruimtestaat[[#This Row],[Programmacode
Regulier]],Programma!$F$4:$Y$36148,5,0),"_")</f>
        <v>1w</v>
      </c>
      <c r="AN47" s="247" t="str">
        <f>_xlfn.IFNA(VLOOKUP(Ruimtestaat[[#This Row],[Programmacode
Regulier]],Programma!$F$4:$Y$36148,6,0),"_")</f>
        <v>1m</v>
      </c>
      <c r="AO47" s="247" t="str">
        <f>_xlfn.IFNA(VLOOKUP(Ruimtestaat[[#This Row],[Programmacode
Regulier]],Programma!$F$4:$Y$36148,7,0),"_")</f>
        <v>_</v>
      </c>
      <c r="AP47" s="247" t="str">
        <f>_xlfn.IFNA(VLOOKUP(Ruimtestaat[[#This Row],[Programmacode
Regulier]],Programma!$F$4:$Y$36148,8,0),"_")</f>
        <v>_</v>
      </c>
      <c r="AQ47" s="247" t="str">
        <f>_xlfn.IFNA(VLOOKUP(Ruimtestaat[[#This Row],[Programmacode
Regulier]],Programma!$F$4:$Y$36148,9,0),"_")</f>
        <v>_</v>
      </c>
      <c r="AR47" s="248" t="str">
        <f>_xlfn.IFNA(VLOOKUP(Ruimtestaat[[#This Row],[Programmacode
Regulier]],Programma!$F$4:$Y$36148,10,0),"_")</f>
        <v>5w</v>
      </c>
      <c r="AS47" s="248" t="str">
        <f>_xlfn.IFNA(VLOOKUP(Ruimtestaat[[#This Row],[Programmacode
Regulier]],Programma!$F$4:$Y$36148,11,0),"_")</f>
        <v>5w</v>
      </c>
      <c r="AT47" s="248" t="str">
        <f>_xlfn.IFNA(VLOOKUP(Ruimtestaat[[#This Row],[Programmacode
Regulier]],Programma!$F$4:$Y$36148,12,0),"_")</f>
        <v>1w</v>
      </c>
      <c r="AU47" s="248" t="str">
        <f>_xlfn.IFNA(VLOOKUP(Ruimtestaat[[#This Row],[Programmacode
Regulier]],Programma!$F$4:$Y$36148,13,0),"_")</f>
        <v>1w</v>
      </c>
      <c r="AV47" s="248" t="str">
        <f>_xlfn.IFNA(VLOOKUP(Ruimtestaat[[#This Row],[Programmacode
Regulier]],Programma!$F$4:$Y$36148,14,0),"_")</f>
        <v>1m</v>
      </c>
      <c r="AW47" s="248" t="str">
        <f>_xlfn.IFNA(VLOOKUP(Ruimtestaat[[#This Row],[Programmacode
Regulier]],Programma!$F$4:$Y$36148,15,0),"_")</f>
        <v>2j</v>
      </c>
      <c r="AX47" s="248" t="str">
        <f>_xlfn.IFNA(VLOOKUP(Ruimtestaat[[#This Row],[Programmacode
Regulier]],Programma!$F$4:$Y$36148,16,0),"_")</f>
        <v>1j</v>
      </c>
      <c r="AY47" s="248" t="str">
        <f>_xlfn.IFNA(VLOOKUP(Ruimtestaat[[#This Row],[Programmacode
Regulier]],Programma!$F$4:$Y$36148,17,0),"_")</f>
        <v>_</v>
      </c>
      <c r="AZ47" s="249" t="str">
        <f>_xlfn.IFNA(VLOOKUP(Ruimtestaat[[#This Row],[Programmacode
Regulier]],Programma!$F$4:$Y$36148,18,0),"_")</f>
        <v>_</v>
      </c>
      <c r="BA47" s="249" t="str">
        <f>_xlfn.IFNA(VLOOKUP(Ruimtestaat[[#This Row],[Programmacode
Regulier]],Programma!$F$4:$Y$36148,19,0),"_")</f>
        <v>_</v>
      </c>
      <c r="BB47" s="249" t="str">
        <f>_xlfn.IFNA(VLOOKUP(Ruimtestaat[[#This Row],[Programmacode
Regulier]],Programma!$F$4:$Y$36148,20,0),"_")</f>
        <v>_</v>
      </c>
      <c r="BC47" s="250"/>
      <c r="BD47" s="212" t="str">
        <f>IF(Ruimtestaat[[#This Row],[Frequentie weekend]]="","",_xlfn.CONCAT(Ruimtestaat[[#This Row],[Ruimte code]],"-",Ruimtestaat[[#This Row],[Frequentie weekend]]," ",Ruimtestaat[[#This Row],[Vloer code]]))</f>
        <v/>
      </c>
      <c r="BE47" s="247" t="str">
        <f>_xlfn.IFNA(VLOOKUP(Ruimtestaat[[#This Row],[Code Weekend]],Programma!$F$4:$Y$36148,2,0),"_")</f>
        <v>_</v>
      </c>
      <c r="BF47" s="247" t="str">
        <f>_xlfn.IFNA(VLOOKUP(Ruimtestaat[[#This Row],[Code Weekend]],Programma!$F$4:$Y$36148,3,0),"_")</f>
        <v>_</v>
      </c>
      <c r="BG47" s="247" t="str">
        <f>_xlfn.IFNA(VLOOKUP(Ruimtestaat[[#This Row],[Code Weekend]],Programma!$F$4:$Y$36148,4,0),"_")</f>
        <v>_</v>
      </c>
      <c r="BH47" s="247" t="str">
        <f>_xlfn.IFNA(VLOOKUP(Ruimtestaat[[#This Row],[Code Weekend]],Programma!$F$4:$Y$36148,5,0),"_")</f>
        <v>_</v>
      </c>
      <c r="BI47" s="247" t="str">
        <f>_xlfn.IFNA(VLOOKUP(Ruimtestaat[[#This Row],[Code Weekend]],Programma!$F$4:$Y$36148,6,0),"_")</f>
        <v>_</v>
      </c>
      <c r="BJ47" s="247" t="str">
        <f>_xlfn.IFNA(VLOOKUP(Ruimtestaat[[#This Row],[Code Weekend]],Programma!$F$4:$Y$36148,7,0),"_")</f>
        <v>_</v>
      </c>
      <c r="BK47" s="247" t="str">
        <f>_xlfn.IFNA(VLOOKUP(Ruimtestaat[[#This Row],[Code Weekend]],Programma!$F$4:$Y$36148,8,0),"_")</f>
        <v>_</v>
      </c>
      <c r="BL47" s="247" t="str">
        <f>_xlfn.IFNA(VLOOKUP(Ruimtestaat[[#This Row],[Code Weekend]],Programma!$F$4:$Y$36148,9,0),"_")</f>
        <v>_</v>
      </c>
      <c r="BM47" s="248" t="str">
        <f>_xlfn.IFNA(VLOOKUP(Ruimtestaat[[#This Row],[Code Weekend]],Programma!$F$4:$Y$36148,10,0),"_")</f>
        <v>_</v>
      </c>
      <c r="BN47" s="248" t="str">
        <f>_xlfn.IFNA(VLOOKUP(Ruimtestaat[[#This Row],[Code Weekend]],Programma!$F$4:$Y$36148,11,0),"_")</f>
        <v>_</v>
      </c>
      <c r="BO47" s="248" t="str">
        <f>_xlfn.IFNA(VLOOKUP(Ruimtestaat[[#This Row],[Code Weekend]],Programma!$F$4:$Y$36148,12,0),"_")</f>
        <v>_</v>
      </c>
      <c r="BP47" s="248" t="str">
        <f>_xlfn.IFNA(VLOOKUP(Ruimtestaat[[#This Row],[Code Weekend]],Programma!$F$4:$Y$36148,13,0),"_")</f>
        <v>_</v>
      </c>
      <c r="BQ47" s="248" t="str">
        <f>_xlfn.IFNA(VLOOKUP(Ruimtestaat[[#This Row],[Code Weekend]],Programma!$F$4:$Y$36148,14,0),"_")</f>
        <v>_</v>
      </c>
      <c r="BR47" s="248" t="str">
        <f>_xlfn.IFNA(VLOOKUP(Ruimtestaat[[#This Row],[Code Weekend]],Programma!$F$4:$Y$36148,15,0),"_")</f>
        <v>_</v>
      </c>
      <c r="BS47" s="248" t="str">
        <f>_xlfn.IFNA(VLOOKUP(Ruimtestaat[[#This Row],[Code Weekend]],Programma!$F$4:$Y$36148,16,0),"_")</f>
        <v>_</v>
      </c>
      <c r="BT47" s="248" t="str">
        <f>_xlfn.IFNA(VLOOKUP(Ruimtestaat[[#This Row],[Code Weekend]],Programma!$F$4:$Y$36148,17,0),"_")</f>
        <v>_</v>
      </c>
      <c r="BU47" s="249" t="str">
        <f>_xlfn.IFNA(VLOOKUP(Ruimtestaat[[#This Row],[Code Weekend]],Programma!$F$4:$Y$36148,18,0),"_")</f>
        <v>_</v>
      </c>
      <c r="BV47" s="249" t="str">
        <f>_xlfn.IFNA(VLOOKUP(Ruimtestaat[[#This Row],[Code Weekend]],Programma!$F$4:$Y$36148,19,0),"_")</f>
        <v>_</v>
      </c>
      <c r="BW47" s="249" t="str">
        <f>_xlfn.IFNA(VLOOKUP(Ruimtestaat[[#This Row],[Code Weekend]],Programma!$F$4:$Y$36148,20,0),"_")</f>
        <v>_</v>
      </c>
      <c r="BX47" s="91"/>
      <c r="BY47" s="91"/>
      <c r="BZ47" s="91"/>
      <c r="CA47" s="91"/>
      <c r="CB47" s="91"/>
      <c r="CC47" s="91"/>
      <c r="CD47" s="91"/>
      <c r="CE47" s="91"/>
      <c r="CF47" s="91"/>
      <c r="CG47" s="91"/>
      <c r="CH47" s="91"/>
      <c r="CI47" s="91"/>
      <c r="CJ47" s="91"/>
      <c r="CK47" s="91"/>
      <c r="CL47" s="91"/>
      <c r="CM47" s="91"/>
      <c r="CN47" s="91"/>
      <c r="CO47" s="91"/>
      <c r="CP47" s="91"/>
      <c r="CQ47" s="91"/>
      <c r="CR47" s="91"/>
      <c r="CS47" s="91"/>
      <c r="CT47" s="91"/>
      <c r="CU47" s="91"/>
      <c r="CV47" s="91"/>
      <c r="CW47" s="91"/>
      <c r="CX47" s="91"/>
      <c r="CY47" s="91"/>
      <c r="CZ47" s="91"/>
      <c r="DA47" s="91"/>
      <c r="DB47" s="91"/>
      <c r="DC47" s="91"/>
      <c r="DD47" s="91"/>
      <c r="DE47" s="91"/>
      <c r="DF47" s="91"/>
      <c r="DG47" s="91"/>
      <c r="DH47" s="91"/>
      <c r="DI47" s="91"/>
      <c r="DJ47" s="91"/>
      <c r="DK47" s="91"/>
      <c r="DL47" s="91"/>
      <c r="DM47" s="91"/>
      <c r="DN47" s="91"/>
      <c r="DO47" s="91"/>
      <c r="DP47" s="91"/>
      <c r="DQ47" s="91"/>
      <c r="DR47" s="91"/>
      <c r="DS47" s="91"/>
      <c r="DT47" s="91"/>
      <c r="DU47" s="91"/>
      <c r="DV47" s="91"/>
      <c r="DW47" s="91"/>
      <c r="DX47" s="91"/>
      <c r="DY47" s="91"/>
      <c r="DZ47" s="91"/>
      <c r="EA47" s="91"/>
      <c r="EB47" s="91"/>
      <c r="EC47" s="91"/>
      <c r="ED47" s="91"/>
      <c r="EE47" s="91"/>
      <c r="EF47" s="91"/>
      <c r="EG47" s="91"/>
      <c r="EH47" s="91"/>
      <c r="EI47" s="91"/>
      <c r="EJ47" s="91"/>
      <c r="EK47" s="91"/>
      <c r="EL47" s="91"/>
      <c r="EM47" s="91"/>
      <c r="EN47" s="91"/>
      <c r="EO47" s="91"/>
      <c r="EP47" s="91"/>
      <c r="EQ47" s="91"/>
      <c r="ER47" s="91"/>
      <c r="ES47" s="91"/>
      <c r="ET47" s="91"/>
      <c r="EU47" s="91"/>
      <c r="EV47" s="91"/>
      <c r="EW47" s="91"/>
      <c r="EX47" s="91"/>
      <c r="EY47" s="91"/>
      <c r="EZ47" s="91"/>
      <c r="FA47" s="91"/>
      <c r="FB47" s="91"/>
      <c r="FC47" s="91"/>
      <c r="FD47" s="91"/>
      <c r="FE47" s="91"/>
      <c r="FF47" s="91"/>
      <c r="FG47" s="91"/>
      <c r="FH47" s="91"/>
      <c r="FI47" s="91"/>
      <c r="FJ47" s="91"/>
      <c r="FK47" s="91"/>
      <c r="FL47" s="91"/>
      <c r="FM47" s="91"/>
      <c r="FN47" s="91"/>
      <c r="FO47" s="91"/>
      <c r="FP47" s="91"/>
      <c r="FQ47" s="91"/>
      <c r="FR47" s="91"/>
      <c r="FS47" s="91"/>
      <c r="FT47" s="91"/>
      <c r="FU47" s="91"/>
      <c r="FV47" s="91"/>
      <c r="FW47" s="91"/>
      <c r="FX47" s="91"/>
      <c r="FY47" s="91"/>
      <c r="FZ47" s="91"/>
      <c r="GA47" s="91"/>
      <c r="GB47" s="91"/>
      <c r="GC47" s="91"/>
      <c r="GD47" s="91"/>
      <c r="GE47" s="91"/>
      <c r="GF47" s="91"/>
      <c r="GG47" s="91"/>
      <c r="GH47" s="91"/>
      <c r="GI47" s="91"/>
      <c r="GJ47" s="91"/>
      <c r="GK47" s="91"/>
      <c r="GL47" s="91"/>
      <c r="GM47" s="91"/>
      <c r="GN47" s="91"/>
      <c r="GO47" s="91"/>
      <c r="GP47" s="91"/>
      <c r="GQ47" s="91"/>
      <c r="GR47" s="91"/>
      <c r="GS47" s="91"/>
      <c r="GT47" s="91"/>
      <c r="GU47" s="91"/>
      <c r="GV47" s="91"/>
      <c r="GW47" s="91"/>
      <c r="GX47" s="91"/>
      <c r="GY47" s="91"/>
      <c r="GZ47" s="91"/>
      <c r="HA47" s="91"/>
      <c r="HB47" s="91"/>
      <c r="HC47" s="91"/>
      <c r="HD47" s="91"/>
      <c r="HE47" s="91"/>
      <c r="HF47" s="91"/>
      <c r="HG47" s="91"/>
      <c r="HH47" s="91"/>
      <c r="HI47" s="91"/>
      <c r="HJ47" s="91"/>
      <c r="HK47" s="91"/>
    </row>
    <row r="48" spans="1:219" ht="12.75" customHeight="1">
      <c r="A48" s="131">
        <v>1</v>
      </c>
      <c r="B48" s="22" t="str">
        <f>VLOOKUP(Ruimtestaat[[#This Row],[Code]],Locaties[#All],2,FALSE)</f>
        <v>ESH Secondary School</v>
      </c>
      <c r="C48" s="22" t="str">
        <f>VLOOKUP(Ruimtestaat[[#This Row],[Code]],Locaties[#All],4,FALSE)</f>
        <v>Oostduinlaan 50</v>
      </c>
      <c r="D48" s="334" t="str">
        <f>VLOOKUP(Ruimtestaat[[#This Row],[Code]],Locaties[#All],5,FALSE)</f>
        <v>2596 JP</v>
      </c>
      <c r="E48" s="334" t="str">
        <f>VLOOKUP(Ruimtestaat[[#This Row],[Code]],Locaties[#All],6,FALSE)</f>
        <v>Den Haag</v>
      </c>
      <c r="F48" s="335"/>
      <c r="G48" s="334" t="s">
        <v>1611</v>
      </c>
      <c r="H48" s="334" t="s">
        <v>1364</v>
      </c>
      <c r="I48" s="335" t="s">
        <v>1394</v>
      </c>
      <c r="J48" s="328">
        <v>10</v>
      </c>
      <c r="K48" s="335" t="str">
        <f>VLOOKUP(J48,Ruimtegroepen[],2,FALSE)</f>
        <v>Trappenhuizen/lift</v>
      </c>
      <c r="L48" s="212" t="s">
        <v>122</v>
      </c>
      <c r="M48" s="334" t="s">
        <v>143</v>
      </c>
      <c r="N48" s="337">
        <v>2</v>
      </c>
      <c r="O48" s="331"/>
      <c r="P48" s="332" t="str">
        <f>VLOOKUP(Ruimtestaat[[#This Row],[Ruimte code]],Ruimtegroepen[],4,FALSE)</f>
        <v>V  (Verkeersruimte)</v>
      </c>
      <c r="Q48" s="332"/>
      <c r="R48" s="333">
        <v>40</v>
      </c>
      <c r="S48" s="333" t="s">
        <v>2</v>
      </c>
      <c r="T48" s="37"/>
      <c r="U48" s="37">
        <f>IF(R48&gt;0,IF(RIGHT(Ruimtestaat[[#This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8" s="37">
        <f>IF(U48&gt;0,VLOOKUP($J48,Ruimtegroepen[],3,FALSE)*VLOOKUP($L48,Vloersoorten[],3,FALSE)*VLOOKUP($S48,Frequenties[],3,FALSE)*VLOOKUP($A48,Locaties[],3,FALSE),0)</f>
        <v>0</v>
      </c>
      <c r="W48" s="37">
        <f>Ruimtestaat[[#This Row],[Uitvoeringen werkdagen]]*Ruimtestaat[[#This Row],[Oppervlak (netto)]]</f>
        <v>400</v>
      </c>
      <c r="X48" s="37">
        <f>IF(V48&gt;0,Ruimtestaat[[#This Row],[Prest. (m2 /jaar) werkdagen]]/Ruimtestaat[[#This Row],[Norm (m2/uur) werkdagen]],0)</f>
        <v>0</v>
      </c>
      <c r="Y48" s="37">
        <f>Ruimtestaat[[#This Row],[uren / jaar werkdagen]]*Tariefsopbouw!$D$38</f>
        <v>0</v>
      </c>
      <c r="Z48" s="37">
        <f>IF(Ruimtestaat[[#This Row],[Frequentie weekend]]&gt;0,VALUE(LEFT(T48,1))*R48,0)</f>
        <v>0</v>
      </c>
      <c r="AA48" s="37">
        <f>IF($Z48&gt;0,VLOOKUP($J48,Ruimtegroepen[],3,FALSE)*VLOOKUP($L48,Vloersoorten[],3,FALSE)*VLOOKUP($T48,Frequenties[],3,FALSE)*VLOOKUP($A48,Locaties[],3,FALSE),0)</f>
        <v>0</v>
      </c>
      <c r="AB48" s="37">
        <f>Ruimtestaat[[#This Row],[Uitvoeringen weekend]]*Ruimtestaat[[#This Row],[Oppervlak (netto)]]</f>
        <v>0</v>
      </c>
      <c r="AC48" s="37">
        <f>IF(AA48&gt;0,Ruimtestaat[[#This Row],[Prest. (m2 /jaar) weekend]]/Ruimtestaat[[#This Row],[Norm (m2/uur) weekend]],0)</f>
        <v>0</v>
      </c>
      <c r="AD48" s="37">
        <f>Ruimtestaat[[#This Row],[uren / jaar weekend]]*Tariefsopbouw!$D$40</f>
        <v>0</v>
      </c>
      <c r="AE48" s="89">
        <f>Ruimtestaat[[#This Row],[Prest. (m2 /jaar) weekend]]+Ruimtestaat[[#This Row],[Prest. (m2 /jaar) werkdagen]]</f>
        <v>400</v>
      </c>
      <c r="AF48" s="89">
        <f>Ruimtestaat[[#This Row],[uren / jaar weekend]]+Ruimtestaat[[#This Row],[uren / jaar werkdagen]]</f>
        <v>0</v>
      </c>
      <c r="AG48" s="90">
        <f>Ruimtestaat[[#This Row],[kosten / jaar weekend]]+Ruimtestaat[[#This Row],[kosten / jaar werkdagen]]</f>
        <v>0</v>
      </c>
      <c r="AH48" s="253"/>
      <c r="AI48" s="252" t="str">
        <f>IF(Ruimtestaat[[#This Row],[Frequentie werkdagen]]="","",_xlfn.CONCAT(Ruimtestaat[[#This Row],[Ruimte code]],"-",Ruimtestaat[[#This Row],[Frequentie werkdagen]]," ",Ruimtestaat[[#This Row],[Vloer code]]))</f>
        <v>10-5w S</v>
      </c>
      <c r="AJ48" s="247" t="str">
        <f>_xlfn.IFNA(VLOOKUP(Ruimtestaat[[#This Row],[Programmacode
Regulier]],Programma!$F$4:$Y$36148,2,0),"_")</f>
        <v>_</v>
      </c>
      <c r="AK48" s="247" t="str">
        <f>_xlfn.IFNA(VLOOKUP(Ruimtestaat[[#This Row],[Programmacode
Regulier]],Programma!$F$4:$Y$36148,3,0),"_")</f>
        <v>5w</v>
      </c>
      <c r="AL48" s="247" t="str">
        <f>_xlfn.IFNA(VLOOKUP(Ruimtestaat[[#This Row],[Programmacode
Regulier]],Programma!$F$4:$Y$36148,4,0),"_")</f>
        <v>_</v>
      </c>
      <c r="AM48" s="247" t="str">
        <f>_xlfn.IFNA(VLOOKUP(Ruimtestaat[[#This Row],[Programmacode
Regulier]],Programma!$F$4:$Y$36148,5,0),"_")</f>
        <v>5w</v>
      </c>
      <c r="AN48" s="247" t="str">
        <f>_xlfn.IFNA(VLOOKUP(Ruimtestaat[[#This Row],[Programmacode
Regulier]],Programma!$F$4:$Y$36148,6,0),"_")</f>
        <v>1m</v>
      </c>
      <c r="AO48" s="247" t="str">
        <f>_xlfn.IFNA(VLOOKUP(Ruimtestaat[[#This Row],[Programmacode
Regulier]],Programma!$F$4:$Y$36148,7,0),"_")</f>
        <v>_</v>
      </c>
      <c r="AP48" s="247" t="str">
        <f>_xlfn.IFNA(VLOOKUP(Ruimtestaat[[#This Row],[Programmacode
Regulier]],Programma!$F$4:$Y$36148,8,0),"_")</f>
        <v>_</v>
      </c>
      <c r="AQ48" s="247" t="str">
        <f>_xlfn.IFNA(VLOOKUP(Ruimtestaat[[#This Row],[Programmacode
Regulier]],Programma!$F$4:$Y$36148,9,0),"_")</f>
        <v>_</v>
      </c>
      <c r="AR48" s="248" t="str">
        <f>_xlfn.IFNA(VLOOKUP(Ruimtestaat[[#This Row],[Programmacode
Regulier]],Programma!$F$4:$Y$36148,10,0),"_")</f>
        <v>5w</v>
      </c>
      <c r="AS48" s="248" t="str">
        <f>_xlfn.IFNA(VLOOKUP(Ruimtestaat[[#This Row],[Programmacode
Regulier]],Programma!$F$4:$Y$36148,11,0),"_")</f>
        <v>5w</v>
      </c>
      <c r="AT48" s="248" t="str">
        <f>_xlfn.IFNA(VLOOKUP(Ruimtestaat[[#This Row],[Programmacode
Regulier]],Programma!$F$4:$Y$36148,12,0),"_")</f>
        <v>1w</v>
      </c>
      <c r="AU48" s="248" t="str">
        <f>_xlfn.IFNA(VLOOKUP(Ruimtestaat[[#This Row],[Programmacode
Regulier]],Programma!$F$4:$Y$36148,13,0),"_")</f>
        <v>1w</v>
      </c>
      <c r="AV48" s="248" t="str">
        <f>_xlfn.IFNA(VLOOKUP(Ruimtestaat[[#This Row],[Programmacode
Regulier]],Programma!$F$4:$Y$36148,14,0),"_")</f>
        <v>1m</v>
      </c>
      <c r="AW48" s="248" t="str">
        <f>_xlfn.IFNA(VLOOKUP(Ruimtestaat[[#This Row],[Programmacode
Regulier]],Programma!$F$4:$Y$36148,15,0),"_")</f>
        <v>2j</v>
      </c>
      <c r="AX48" s="248" t="str">
        <f>_xlfn.IFNA(VLOOKUP(Ruimtestaat[[#This Row],[Programmacode
Regulier]],Programma!$F$4:$Y$36148,16,0),"_")</f>
        <v>1j</v>
      </c>
      <c r="AY48" s="248" t="str">
        <f>_xlfn.IFNA(VLOOKUP(Ruimtestaat[[#This Row],[Programmacode
Regulier]],Programma!$F$4:$Y$36148,17,0),"_")</f>
        <v>_</v>
      </c>
      <c r="AZ48" s="249" t="str">
        <f>_xlfn.IFNA(VLOOKUP(Ruimtestaat[[#This Row],[Programmacode
Regulier]],Programma!$F$4:$Y$36148,18,0),"_")</f>
        <v>_</v>
      </c>
      <c r="BA48" s="249" t="str">
        <f>_xlfn.IFNA(VLOOKUP(Ruimtestaat[[#This Row],[Programmacode
Regulier]],Programma!$F$4:$Y$36148,19,0),"_")</f>
        <v>_</v>
      </c>
      <c r="BB48" s="249" t="str">
        <f>_xlfn.IFNA(VLOOKUP(Ruimtestaat[[#This Row],[Programmacode
Regulier]],Programma!$F$4:$Y$36148,20,0),"_")</f>
        <v>_</v>
      </c>
      <c r="BC48" s="250"/>
      <c r="BD48" s="212" t="str">
        <f>IF(Ruimtestaat[[#This Row],[Frequentie weekend]]="","",_xlfn.CONCAT(Ruimtestaat[[#This Row],[Ruimte code]],"-",Ruimtestaat[[#This Row],[Frequentie weekend]]," ",Ruimtestaat[[#This Row],[Vloer code]]))</f>
        <v/>
      </c>
      <c r="BE48" s="247" t="str">
        <f>_xlfn.IFNA(VLOOKUP(Ruimtestaat[[#This Row],[Code Weekend]],Programma!$F$4:$Y$36148,2,0),"_")</f>
        <v>_</v>
      </c>
      <c r="BF48" s="247" t="str">
        <f>_xlfn.IFNA(VLOOKUP(Ruimtestaat[[#This Row],[Code Weekend]],Programma!$F$4:$Y$36148,3,0),"_")</f>
        <v>_</v>
      </c>
      <c r="BG48" s="247" t="str">
        <f>_xlfn.IFNA(VLOOKUP(Ruimtestaat[[#This Row],[Code Weekend]],Programma!$F$4:$Y$36148,4,0),"_")</f>
        <v>_</v>
      </c>
      <c r="BH48" s="247" t="str">
        <f>_xlfn.IFNA(VLOOKUP(Ruimtestaat[[#This Row],[Code Weekend]],Programma!$F$4:$Y$36148,5,0),"_")</f>
        <v>_</v>
      </c>
      <c r="BI48" s="247" t="str">
        <f>_xlfn.IFNA(VLOOKUP(Ruimtestaat[[#This Row],[Code Weekend]],Programma!$F$4:$Y$36148,6,0),"_")</f>
        <v>_</v>
      </c>
      <c r="BJ48" s="247" t="str">
        <f>_xlfn.IFNA(VLOOKUP(Ruimtestaat[[#This Row],[Code Weekend]],Programma!$F$4:$Y$36148,7,0),"_")</f>
        <v>_</v>
      </c>
      <c r="BK48" s="247" t="str">
        <f>_xlfn.IFNA(VLOOKUP(Ruimtestaat[[#This Row],[Code Weekend]],Programma!$F$4:$Y$36148,8,0),"_")</f>
        <v>_</v>
      </c>
      <c r="BL48" s="247" t="str">
        <f>_xlfn.IFNA(VLOOKUP(Ruimtestaat[[#This Row],[Code Weekend]],Programma!$F$4:$Y$36148,9,0),"_")</f>
        <v>_</v>
      </c>
      <c r="BM48" s="248" t="str">
        <f>_xlfn.IFNA(VLOOKUP(Ruimtestaat[[#This Row],[Code Weekend]],Programma!$F$4:$Y$36148,10,0),"_")</f>
        <v>_</v>
      </c>
      <c r="BN48" s="248" t="str">
        <f>_xlfn.IFNA(VLOOKUP(Ruimtestaat[[#This Row],[Code Weekend]],Programma!$F$4:$Y$36148,11,0),"_")</f>
        <v>_</v>
      </c>
      <c r="BO48" s="248" t="str">
        <f>_xlfn.IFNA(VLOOKUP(Ruimtestaat[[#This Row],[Code Weekend]],Programma!$F$4:$Y$36148,12,0),"_")</f>
        <v>_</v>
      </c>
      <c r="BP48" s="248" t="str">
        <f>_xlfn.IFNA(VLOOKUP(Ruimtestaat[[#This Row],[Code Weekend]],Programma!$F$4:$Y$36148,13,0),"_")</f>
        <v>_</v>
      </c>
      <c r="BQ48" s="248" t="str">
        <f>_xlfn.IFNA(VLOOKUP(Ruimtestaat[[#This Row],[Code Weekend]],Programma!$F$4:$Y$36148,14,0),"_")</f>
        <v>_</v>
      </c>
      <c r="BR48" s="248" t="str">
        <f>_xlfn.IFNA(VLOOKUP(Ruimtestaat[[#This Row],[Code Weekend]],Programma!$F$4:$Y$36148,15,0),"_")</f>
        <v>_</v>
      </c>
      <c r="BS48" s="248" t="str">
        <f>_xlfn.IFNA(VLOOKUP(Ruimtestaat[[#This Row],[Code Weekend]],Programma!$F$4:$Y$36148,16,0),"_")</f>
        <v>_</v>
      </c>
      <c r="BT48" s="248" t="str">
        <f>_xlfn.IFNA(VLOOKUP(Ruimtestaat[[#This Row],[Code Weekend]],Programma!$F$4:$Y$36148,17,0),"_")</f>
        <v>_</v>
      </c>
      <c r="BU48" s="249" t="str">
        <f>_xlfn.IFNA(VLOOKUP(Ruimtestaat[[#This Row],[Code Weekend]],Programma!$F$4:$Y$36148,18,0),"_")</f>
        <v>_</v>
      </c>
      <c r="BV48" s="249" t="str">
        <f>_xlfn.IFNA(VLOOKUP(Ruimtestaat[[#This Row],[Code Weekend]],Programma!$F$4:$Y$36148,19,0),"_")</f>
        <v>_</v>
      </c>
      <c r="BW48" s="249" t="str">
        <f>_xlfn.IFNA(VLOOKUP(Ruimtestaat[[#This Row],[Code Weekend]],Programma!$F$4:$Y$36148,20,0),"_")</f>
        <v>_</v>
      </c>
      <c r="HK48" s="88"/>
    </row>
    <row r="49" spans="1:219" ht="12.75" customHeight="1">
      <c r="A49" s="131">
        <v>1</v>
      </c>
      <c r="B49" s="22" t="str">
        <f>VLOOKUP(Ruimtestaat[[#This Row],[Code]],Locaties[#All],2,FALSE)</f>
        <v>ESH Secondary School</v>
      </c>
      <c r="C49" s="22" t="str">
        <f>VLOOKUP(Ruimtestaat[[#This Row],[Code]],Locaties[#All],4,FALSE)</f>
        <v>Oostduinlaan 50</v>
      </c>
      <c r="D49" s="334" t="str">
        <f>VLOOKUP(Ruimtestaat[[#This Row],[Code]],Locaties[#All],5,FALSE)</f>
        <v>2596 JP</v>
      </c>
      <c r="E49" s="334" t="str">
        <f>VLOOKUP(Ruimtestaat[[#This Row],[Code]],Locaties[#All],6,FALSE)</f>
        <v>Den Haag</v>
      </c>
      <c r="F49" s="335"/>
      <c r="G49" s="334" t="s">
        <v>1611</v>
      </c>
      <c r="H49" s="334" t="s">
        <v>1365</v>
      </c>
      <c r="I49" s="335" t="s">
        <v>50</v>
      </c>
      <c r="J49" s="333">
        <v>7</v>
      </c>
      <c r="K49" s="335" t="str">
        <f>VLOOKUP(J49,Ruimtegroepen[],2,FALSE)</f>
        <v>Entree</v>
      </c>
      <c r="L49" s="212" t="s">
        <v>122</v>
      </c>
      <c r="M49" s="334" t="s">
        <v>143</v>
      </c>
      <c r="N49" s="337">
        <v>154</v>
      </c>
      <c r="O49" s="331"/>
      <c r="P49" s="332" t="str">
        <f>VLOOKUP(Ruimtestaat[[#This Row],[Ruimte code]],Ruimtegroepen[],4,FALSE)</f>
        <v>V  (Verkeersruimte)</v>
      </c>
      <c r="Q49" s="332"/>
      <c r="R49" s="333">
        <v>40</v>
      </c>
      <c r="S49" s="333" t="s">
        <v>2</v>
      </c>
      <c r="T49" s="37"/>
      <c r="U49" s="37">
        <f>IF(R49&gt;0,IF(RIGHT(Ruimtestaat[[#This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9" s="37">
        <f>IF(U49&gt;0,VLOOKUP($J49,Ruimtegroepen[],3,FALSE)*VLOOKUP($L49,Vloersoorten[],3,FALSE)*VLOOKUP($S49,Frequenties[],3,FALSE)*VLOOKUP($A49,Locaties[],3,FALSE),0)</f>
        <v>0</v>
      </c>
      <c r="W49" s="37">
        <f>Ruimtestaat[[#This Row],[Uitvoeringen werkdagen]]*Ruimtestaat[[#This Row],[Oppervlak (netto)]]</f>
        <v>30800</v>
      </c>
      <c r="X49" s="37">
        <f>IF(V49&gt;0,Ruimtestaat[[#This Row],[Prest. (m2 /jaar) werkdagen]]/Ruimtestaat[[#This Row],[Norm (m2/uur) werkdagen]],0)</f>
        <v>0</v>
      </c>
      <c r="Y49" s="37">
        <f>Ruimtestaat[[#This Row],[uren / jaar werkdagen]]*Tariefsopbouw!$D$38</f>
        <v>0</v>
      </c>
      <c r="Z49" s="37">
        <f>IF(Ruimtestaat[[#This Row],[Frequentie weekend]]&gt;0,VALUE(LEFT(T49,1))*R49,0)</f>
        <v>0</v>
      </c>
      <c r="AA49" s="37">
        <f>IF($Z49&gt;0,VLOOKUP($J49,Ruimtegroepen[],3,FALSE)*VLOOKUP($L49,Vloersoorten[],3,FALSE)*VLOOKUP($T49,Frequenties[],3,FALSE)*VLOOKUP($A49,Locaties[],3,FALSE),0)</f>
        <v>0</v>
      </c>
      <c r="AB49" s="37">
        <f>Ruimtestaat[[#This Row],[Uitvoeringen weekend]]*Ruimtestaat[[#This Row],[Oppervlak (netto)]]</f>
        <v>0</v>
      </c>
      <c r="AC49" s="37">
        <f>IF(AA49&gt;0,Ruimtestaat[[#This Row],[Prest. (m2 /jaar) weekend]]/Ruimtestaat[[#This Row],[Norm (m2/uur) weekend]],0)</f>
        <v>0</v>
      </c>
      <c r="AD49" s="37">
        <f>Ruimtestaat[[#This Row],[uren / jaar weekend]]*Tariefsopbouw!$D$40</f>
        <v>0</v>
      </c>
      <c r="AE49" s="89">
        <f>Ruimtestaat[[#This Row],[Prest. (m2 /jaar) weekend]]+Ruimtestaat[[#This Row],[Prest. (m2 /jaar) werkdagen]]</f>
        <v>30800</v>
      </c>
      <c r="AF49" s="89">
        <f>Ruimtestaat[[#This Row],[uren / jaar weekend]]+Ruimtestaat[[#This Row],[uren / jaar werkdagen]]</f>
        <v>0</v>
      </c>
      <c r="AG49" s="90">
        <f>Ruimtestaat[[#This Row],[kosten / jaar weekend]]+Ruimtestaat[[#This Row],[kosten / jaar werkdagen]]</f>
        <v>0</v>
      </c>
      <c r="AH49" s="253"/>
      <c r="AI49" s="252" t="str">
        <f>IF(Ruimtestaat[[#This Row],[Frequentie werkdagen]]="","",_xlfn.CONCAT(Ruimtestaat[[#This Row],[Ruimte code]],"-",Ruimtestaat[[#This Row],[Frequentie werkdagen]]," ",Ruimtestaat[[#This Row],[Vloer code]]))</f>
        <v>7-5w S</v>
      </c>
      <c r="AJ49" s="247" t="str">
        <f>_xlfn.IFNA(VLOOKUP(Ruimtestaat[[#This Row],[Programmacode
Regulier]],Programma!$F$4:$Y$36148,2,0),"_")</f>
        <v>_</v>
      </c>
      <c r="AK49" s="247" t="str">
        <f>_xlfn.IFNA(VLOOKUP(Ruimtestaat[[#This Row],[Programmacode
Regulier]],Programma!$F$4:$Y$36148,3,0),"_")</f>
        <v>_</v>
      </c>
      <c r="AL49" s="247" t="str">
        <f>_xlfn.IFNA(VLOOKUP(Ruimtestaat[[#This Row],[Programmacode
Regulier]],Programma!$F$4:$Y$36148,4,0),"_")</f>
        <v>5w</v>
      </c>
      <c r="AM49" s="247" t="str">
        <f>_xlfn.IFNA(VLOOKUP(Ruimtestaat[[#This Row],[Programmacode
Regulier]],Programma!$F$4:$Y$36148,5,0),"_")</f>
        <v>_</v>
      </c>
      <c r="AN49" s="247" t="str">
        <f>_xlfn.IFNA(VLOOKUP(Ruimtestaat[[#This Row],[Programmacode
Regulier]],Programma!$F$4:$Y$36148,6,0),"_")</f>
        <v>5w</v>
      </c>
      <c r="AO49" s="247" t="str">
        <f>_xlfn.IFNA(VLOOKUP(Ruimtestaat[[#This Row],[Programmacode
Regulier]],Programma!$F$4:$Y$36148,7,0),"_")</f>
        <v>_</v>
      </c>
      <c r="AP49" s="247" t="str">
        <f>_xlfn.IFNA(VLOOKUP(Ruimtestaat[[#This Row],[Programmacode
Regulier]],Programma!$F$4:$Y$36148,8,0),"_")</f>
        <v>_</v>
      </c>
      <c r="AQ49" s="247" t="str">
        <f>_xlfn.IFNA(VLOOKUP(Ruimtestaat[[#This Row],[Programmacode
Regulier]],Programma!$F$4:$Y$36148,9,0),"_")</f>
        <v>_</v>
      </c>
      <c r="AR49" s="248" t="str">
        <f>_xlfn.IFNA(VLOOKUP(Ruimtestaat[[#This Row],[Programmacode
Regulier]],Programma!$F$4:$Y$36148,10,0),"_")</f>
        <v>5w</v>
      </c>
      <c r="AS49" s="248" t="str">
        <f>_xlfn.IFNA(VLOOKUP(Ruimtestaat[[#This Row],[Programmacode
Regulier]],Programma!$F$4:$Y$36148,11,0),"_")</f>
        <v>5w</v>
      </c>
      <c r="AT49" s="248" t="str">
        <f>_xlfn.IFNA(VLOOKUP(Ruimtestaat[[#This Row],[Programmacode
Regulier]],Programma!$F$4:$Y$36148,12,0),"_")</f>
        <v>1w</v>
      </c>
      <c r="AU49" s="248" t="str">
        <f>_xlfn.IFNA(VLOOKUP(Ruimtestaat[[#This Row],[Programmacode
Regulier]],Programma!$F$4:$Y$36148,13,0),"_")</f>
        <v>1w</v>
      </c>
      <c r="AV49" s="248" t="str">
        <f>_xlfn.IFNA(VLOOKUP(Ruimtestaat[[#This Row],[Programmacode
Regulier]],Programma!$F$4:$Y$36148,14,0),"_")</f>
        <v>1m</v>
      </c>
      <c r="AW49" s="248" t="str">
        <f>_xlfn.IFNA(VLOOKUP(Ruimtestaat[[#This Row],[Programmacode
Regulier]],Programma!$F$4:$Y$36148,15,0),"_")</f>
        <v>2j</v>
      </c>
      <c r="AX49" s="248" t="str">
        <f>_xlfn.IFNA(VLOOKUP(Ruimtestaat[[#This Row],[Programmacode
Regulier]],Programma!$F$4:$Y$36148,16,0),"_")</f>
        <v>1j</v>
      </c>
      <c r="AY49" s="248" t="str">
        <f>_xlfn.IFNA(VLOOKUP(Ruimtestaat[[#This Row],[Programmacode
Regulier]],Programma!$F$4:$Y$36148,17,0),"_")</f>
        <v>_</v>
      </c>
      <c r="AZ49" s="249" t="str">
        <f>_xlfn.IFNA(VLOOKUP(Ruimtestaat[[#This Row],[Programmacode
Regulier]],Programma!$F$4:$Y$36148,18,0),"_")</f>
        <v>_</v>
      </c>
      <c r="BA49" s="249" t="str">
        <f>_xlfn.IFNA(VLOOKUP(Ruimtestaat[[#This Row],[Programmacode
Regulier]],Programma!$F$4:$Y$36148,19,0),"_")</f>
        <v>_</v>
      </c>
      <c r="BB49" s="249" t="str">
        <f>_xlfn.IFNA(VLOOKUP(Ruimtestaat[[#This Row],[Programmacode
Regulier]],Programma!$F$4:$Y$36148,20,0),"_")</f>
        <v>_</v>
      </c>
      <c r="BC49" s="250"/>
      <c r="BD49" s="212" t="str">
        <f>IF(Ruimtestaat[[#This Row],[Frequentie weekend]]="","",_xlfn.CONCAT(Ruimtestaat[[#This Row],[Ruimte code]],"-",Ruimtestaat[[#This Row],[Frequentie weekend]]," ",Ruimtestaat[[#This Row],[Vloer code]]))</f>
        <v/>
      </c>
      <c r="BE49" s="247" t="str">
        <f>_xlfn.IFNA(VLOOKUP(Ruimtestaat[[#This Row],[Code Weekend]],Programma!$F$4:$Y$36148,2,0),"_")</f>
        <v>_</v>
      </c>
      <c r="BF49" s="247" t="str">
        <f>_xlfn.IFNA(VLOOKUP(Ruimtestaat[[#This Row],[Code Weekend]],Programma!$F$4:$Y$36148,3,0),"_")</f>
        <v>_</v>
      </c>
      <c r="BG49" s="247" t="str">
        <f>_xlfn.IFNA(VLOOKUP(Ruimtestaat[[#This Row],[Code Weekend]],Programma!$F$4:$Y$36148,4,0),"_")</f>
        <v>_</v>
      </c>
      <c r="BH49" s="247" t="str">
        <f>_xlfn.IFNA(VLOOKUP(Ruimtestaat[[#This Row],[Code Weekend]],Programma!$F$4:$Y$36148,5,0),"_")</f>
        <v>_</v>
      </c>
      <c r="BI49" s="247" t="str">
        <f>_xlfn.IFNA(VLOOKUP(Ruimtestaat[[#This Row],[Code Weekend]],Programma!$F$4:$Y$36148,6,0),"_")</f>
        <v>_</v>
      </c>
      <c r="BJ49" s="247" t="str">
        <f>_xlfn.IFNA(VLOOKUP(Ruimtestaat[[#This Row],[Code Weekend]],Programma!$F$4:$Y$36148,7,0),"_")</f>
        <v>_</v>
      </c>
      <c r="BK49" s="247" t="str">
        <f>_xlfn.IFNA(VLOOKUP(Ruimtestaat[[#This Row],[Code Weekend]],Programma!$F$4:$Y$36148,8,0),"_")</f>
        <v>_</v>
      </c>
      <c r="BL49" s="247" t="str">
        <f>_xlfn.IFNA(VLOOKUP(Ruimtestaat[[#This Row],[Code Weekend]],Programma!$F$4:$Y$36148,9,0),"_")</f>
        <v>_</v>
      </c>
      <c r="BM49" s="248" t="str">
        <f>_xlfn.IFNA(VLOOKUP(Ruimtestaat[[#This Row],[Code Weekend]],Programma!$F$4:$Y$36148,10,0),"_")</f>
        <v>_</v>
      </c>
      <c r="BN49" s="248" t="str">
        <f>_xlfn.IFNA(VLOOKUP(Ruimtestaat[[#This Row],[Code Weekend]],Programma!$F$4:$Y$36148,11,0),"_")</f>
        <v>_</v>
      </c>
      <c r="BO49" s="248" t="str">
        <f>_xlfn.IFNA(VLOOKUP(Ruimtestaat[[#This Row],[Code Weekend]],Programma!$F$4:$Y$36148,12,0),"_")</f>
        <v>_</v>
      </c>
      <c r="BP49" s="248" t="str">
        <f>_xlfn.IFNA(VLOOKUP(Ruimtestaat[[#This Row],[Code Weekend]],Programma!$F$4:$Y$36148,13,0),"_")</f>
        <v>_</v>
      </c>
      <c r="BQ49" s="248" t="str">
        <f>_xlfn.IFNA(VLOOKUP(Ruimtestaat[[#This Row],[Code Weekend]],Programma!$F$4:$Y$36148,14,0),"_")</f>
        <v>_</v>
      </c>
      <c r="BR49" s="248" t="str">
        <f>_xlfn.IFNA(VLOOKUP(Ruimtestaat[[#This Row],[Code Weekend]],Programma!$F$4:$Y$36148,15,0),"_")</f>
        <v>_</v>
      </c>
      <c r="BS49" s="248" t="str">
        <f>_xlfn.IFNA(VLOOKUP(Ruimtestaat[[#This Row],[Code Weekend]],Programma!$F$4:$Y$36148,16,0),"_")</f>
        <v>_</v>
      </c>
      <c r="BT49" s="248" t="str">
        <f>_xlfn.IFNA(VLOOKUP(Ruimtestaat[[#This Row],[Code Weekend]],Programma!$F$4:$Y$36148,17,0),"_")</f>
        <v>_</v>
      </c>
      <c r="BU49" s="249" t="str">
        <f>_xlfn.IFNA(VLOOKUP(Ruimtestaat[[#This Row],[Code Weekend]],Programma!$F$4:$Y$36148,18,0),"_")</f>
        <v>_</v>
      </c>
      <c r="BV49" s="249" t="str">
        <f>_xlfn.IFNA(VLOOKUP(Ruimtestaat[[#This Row],[Code Weekend]],Programma!$F$4:$Y$36148,19,0),"_")</f>
        <v>_</v>
      </c>
      <c r="BW49" s="249" t="str">
        <f>_xlfn.IFNA(VLOOKUP(Ruimtestaat[[#This Row],[Code Weekend]],Programma!$F$4:$Y$36148,20,0),"_")</f>
        <v>_</v>
      </c>
      <c r="HK49" s="88"/>
    </row>
    <row r="50" spans="1:219" ht="12.75" customHeight="1">
      <c r="A50" s="131">
        <v>1</v>
      </c>
      <c r="B50" s="22" t="str">
        <f>VLOOKUP(Ruimtestaat[[#This Row],[Code]],Locaties[#All],2,FALSE)</f>
        <v>ESH Secondary School</v>
      </c>
      <c r="C50" s="22" t="str">
        <f>VLOOKUP(Ruimtestaat[[#This Row],[Code]],Locaties[#All],4,FALSE)</f>
        <v>Oostduinlaan 50</v>
      </c>
      <c r="D50" s="334" t="str">
        <f>VLOOKUP(Ruimtestaat[[#This Row],[Code]],Locaties[#All],5,FALSE)</f>
        <v>2596 JP</v>
      </c>
      <c r="E50" s="334" t="str">
        <f>VLOOKUP(Ruimtestaat[[#This Row],[Code]],Locaties[#All],6,FALSE)</f>
        <v>Den Haag</v>
      </c>
      <c r="F50" s="335"/>
      <c r="G50" s="334" t="s">
        <v>1611</v>
      </c>
      <c r="H50" s="334" t="s">
        <v>1366</v>
      </c>
      <c r="I50" s="335" t="s">
        <v>145</v>
      </c>
      <c r="J50" s="334">
        <v>15</v>
      </c>
      <c r="K50" s="335" t="str">
        <f>VLOOKUP(J50,Ruimtegroepen[],2,FALSE)</f>
        <v>Keuken/pantry</v>
      </c>
      <c r="L50" s="212" t="s">
        <v>123</v>
      </c>
      <c r="M50" s="334" t="s">
        <v>144</v>
      </c>
      <c r="N50" s="337">
        <v>5</v>
      </c>
      <c r="O50" s="331"/>
      <c r="P50" s="332" t="str">
        <f>VLOOKUP(Ruimtestaat[[#This Row],[Ruimte code]],Ruimtegroepen[],4,FALSE)</f>
        <v>V  (Verkeersruimte)</v>
      </c>
      <c r="Q50" s="332"/>
      <c r="R50" s="333">
        <v>40</v>
      </c>
      <c r="S50" s="333" t="s">
        <v>19</v>
      </c>
      <c r="T50" s="37"/>
      <c r="U50" s="37">
        <f>IF(R50&gt;0,IF(RIGHT(Ruimtestaat[[#This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50" s="37">
        <f>IF(U50&gt;0,VLOOKUP($J50,Ruimtegroepen[],3,FALSE)*VLOOKUP($L50,Vloersoorten[],3,FALSE)*VLOOKUP($S50,Frequenties[],3,FALSE)*VLOOKUP($A50,Locaties[],3,FALSE),0)</f>
        <v>0</v>
      </c>
      <c r="W50" s="37">
        <f>Ruimtestaat[[#This Row],[Uitvoeringen werkdagen]]*Ruimtestaat[[#This Row],[Oppervlak (netto)]]</f>
        <v>2000</v>
      </c>
      <c r="X50" s="37">
        <f>IF(V50&gt;0,Ruimtestaat[[#This Row],[Prest. (m2 /jaar) werkdagen]]/Ruimtestaat[[#This Row],[Norm (m2/uur) werkdagen]],0)</f>
        <v>0</v>
      </c>
      <c r="Y50" s="37">
        <f>Ruimtestaat[[#This Row],[uren / jaar werkdagen]]*Tariefsopbouw!$D$38</f>
        <v>0</v>
      </c>
      <c r="Z50" s="37">
        <f>IF(Ruimtestaat[[#This Row],[Frequentie weekend]]&gt;0,VALUE(LEFT(T50,1))*R50,0)</f>
        <v>0</v>
      </c>
      <c r="AA50" s="37">
        <f>IF($Z50&gt;0,VLOOKUP($J50,Ruimtegroepen[],3,FALSE)*VLOOKUP($L50,Vloersoorten[],3,FALSE)*VLOOKUP($T50,Frequenties[],3,FALSE)*VLOOKUP($A50,Locaties[],3,FALSE),0)</f>
        <v>0</v>
      </c>
      <c r="AB50" s="37">
        <f>Ruimtestaat[[#This Row],[Uitvoeringen weekend]]*Ruimtestaat[[#This Row],[Oppervlak (netto)]]</f>
        <v>0</v>
      </c>
      <c r="AC50" s="37">
        <f>IF(AA50&gt;0,Ruimtestaat[[#This Row],[Prest. (m2 /jaar) weekend]]/Ruimtestaat[[#This Row],[Norm (m2/uur) weekend]],0)</f>
        <v>0</v>
      </c>
      <c r="AD50" s="37">
        <f>Ruimtestaat[[#This Row],[uren / jaar weekend]]*Tariefsopbouw!$D$40</f>
        <v>0</v>
      </c>
      <c r="AE50" s="89">
        <f>Ruimtestaat[[#This Row],[Prest. (m2 /jaar) weekend]]+Ruimtestaat[[#This Row],[Prest. (m2 /jaar) werkdagen]]</f>
        <v>2000</v>
      </c>
      <c r="AF50" s="89">
        <f>Ruimtestaat[[#This Row],[uren / jaar weekend]]+Ruimtestaat[[#This Row],[uren / jaar werkdagen]]</f>
        <v>0</v>
      </c>
      <c r="AG50" s="90">
        <f>Ruimtestaat[[#This Row],[kosten / jaar weekend]]+Ruimtestaat[[#This Row],[kosten / jaar werkdagen]]</f>
        <v>0</v>
      </c>
      <c r="AH50" s="253"/>
      <c r="AI50" s="252" t="str">
        <f>IF(Ruimtestaat[[#This Row],[Frequentie werkdagen]]="","",_xlfn.CONCAT(Ruimtestaat[[#This Row],[Ruimte code]],"-",Ruimtestaat[[#This Row],[Frequentie werkdagen]]," ",Ruimtestaat[[#This Row],[Vloer code]]))</f>
        <v>15-10w P</v>
      </c>
      <c r="AJ50" s="247" t="str">
        <f>_xlfn.IFNA(VLOOKUP(Ruimtestaat[[#This Row],[Programmacode
Regulier]],Programma!$F$4:$Y$36148,2,0),"_")</f>
        <v>_</v>
      </c>
      <c r="AK50" s="247" t="str">
        <f>_xlfn.IFNA(VLOOKUP(Ruimtestaat[[#This Row],[Programmacode
Regulier]],Programma!$F$4:$Y$36148,3,0),"_")</f>
        <v>_</v>
      </c>
      <c r="AL50" s="247" t="str">
        <f>_xlfn.IFNA(VLOOKUP(Ruimtestaat[[#This Row],[Programmacode
Regulier]],Programma!$F$4:$Y$36148,4,0),"_")</f>
        <v>5w</v>
      </c>
      <c r="AM50" s="247" t="str">
        <f>_xlfn.IFNA(VLOOKUP(Ruimtestaat[[#This Row],[Programmacode
Regulier]],Programma!$F$4:$Y$36148,5,0),"_")</f>
        <v>4w</v>
      </c>
      <c r="AN50" s="247" t="str">
        <f>_xlfn.IFNA(VLOOKUP(Ruimtestaat[[#This Row],[Programmacode
Regulier]],Programma!$F$4:$Y$36148,6,0),"_")</f>
        <v>1w</v>
      </c>
      <c r="AO50" s="247" t="str">
        <f>_xlfn.IFNA(VLOOKUP(Ruimtestaat[[#This Row],[Programmacode
Regulier]],Programma!$F$4:$Y$36148,7,0),"_")</f>
        <v>_</v>
      </c>
      <c r="AP50" s="247" t="str">
        <f>_xlfn.IFNA(VLOOKUP(Ruimtestaat[[#This Row],[Programmacode
Regulier]],Programma!$F$4:$Y$36148,8,0),"_")</f>
        <v>_</v>
      </c>
      <c r="AQ50" s="247" t="str">
        <f>_xlfn.IFNA(VLOOKUP(Ruimtestaat[[#This Row],[Programmacode
Regulier]],Programma!$F$4:$Y$36148,9,0),"_")</f>
        <v>5w</v>
      </c>
      <c r="AR50" s="248" t="str">
        <f>_xlfn.IFNA(VLOOKUP(Ruimtestaat[[#This Row],[Programmacode
Regulier]],Programma!$F$4:$Y$36148,10,0),"_")</f>
        <v>5w</v>
      </c>
      <c r="AS50" s="248" t="str">
        <f>_xlfn.IFNA(VLOOKUP(Ruimtestaat[[#This Row],[Programmacode
Regulier]],Programma!$F$4:$Y$36148,11,0),"_")</f>
        <v>5w</v>
      </c>
      <c r="AT50" s="248" t="str">
        <f>_xlfn.IFNA(VLOOKUP(Ruimtestaat[[#This Row],[Programmacode
Regulier]],Programma!$F$4:$Y$36148,12,0),"_")</f>
        <v>1w</v>
      </c>
      <c r="AU50" s="248" t="str">
        <f>_xlfn.IFNA(VLOOKUP(Ruimtestaat[[#This Row],[Programmacode
Regulier]],Programma!$F$4:$Y$36148,13,0),"_")</f>
        <v>1w</v>
      </c>
      <c r="AV50" s="248" t="str">
        <f>_xlfn.IFNA(VLOOKUP(Ruimtestaat[[#This Row],[Programmacode
Regulier]],Programma!$F$4:$Y$36148,14,0),"_")</f>
        <v>1m</v>
      </c>
      <c r="AW50" s="248" t="str">
        <f>_xlfn.IFNA(VLOOKUP(Ruimtestaat[[#This Row],[Programmacode
Regulier]],Programma!$F$4:$Y$36148,15,0),"_")</f>
        <v>2j</v>
      </c>
      <c r="AX50" s="248" t="str">
        <f>_xlfn.IFNA(VLOOKUP(Ruimtestaat[[#This Row],[Programmacode
Regulier]],Programma!$F$4:$Y$36148,16,0),"_")</f>
        <v>1j</v>
      </c>
      <c r="AY50" s="248" t="str">
        <f>_xlfn.IFNA(VLOOKUP(Ruimtestaat[[#This Row],[Programmacode
Regulier]],Programma!$F$4:$Y$36148,17,0),"_")</f>
        <v>5w</v>
      </c>
      <c r="AZ50" s="249" t="str">
        <f>_xlfn.IFNA(VLOOKUP(Ruimtestaat[[#This Row],[Programmacode
Regulier]],Programma!$F$4:$Y$36148,18,0),"_")</f>
        <v>_</v>
      </c>
      <c r="BA50" s="249" t="str">
        <f>_xlfn.IFNA(VLOOKUP(Ruimtestaat[[#This Row],[Programmacode
Regulier]],Programma!$F$4:$Y$36148,19,0),"_")</f>
        <v>_</v>
      </c>
      <c r="BB50" s="249" t="str">
        <f>_xlfn.IFNA(VLOOKUP(Ruimtestaat[[#This Row],[Programmacode
Regulier]],Programma!$F$4:$Y$36148,20,0),"_")</f>
        <v>_</v>
      </c>
      <c r="BC50" s="250"/>
      <c r="BD50" s="212" t="str">
        <f>IF(Ruimtestaat[[#This Row],[Frequentie weekend]]="","",_xlfn.CONCAT(Ruimtestaat[[#This Row],[Ruimte code]],"-",Ruimtestaat[[#This Row],[Frequentie weekend]]," ",Ruimtestaat[[#This Row],[Vloer code]]))</f>
        <v/>
      </c>
      <c r="BE50" s="247" t="str">
        <f>_xlfn.IFNA(VLOOKUP(Ruimtestaat[[#This Row],[Code Weekend]],Programma!$F$4:$Y$36148,2,0),"_")</f>
        <v>_</v>
      </c>
      <c r="BF50" s="247" t="str">
        <f>_xlfn.IFNA(VLOOKUP(Ruimtestaat[[#This Row],[Code Weekend]],Programma!$F$4:$Y$36148,3,0),"_")</f>
        <v>_</v>
      </c>
      <c r="BG50" s="247" t="str">
        <f>_xlfn.IFNA(VLOOKUP(Ruimtestaat[[#This Row],[Code Weekend]],Programma!$F$4:$Y$36148,4,0),"_")</f>
        <v>_</v>
      </c>
      <c r="BH50" s="247" t="str">
        <f>_xlfn.IFNA(VLOOKUP(Ruimtestaat[[#This Row],[Code Weekend]],Programma!$F$4:$Y$36148,5,0),"_")</f>
        <v>_</v>
      </c>
      <c r="BI50" s="247" t="str">
        <f>_xlfn.IFNA(VLOOKUP(Ruimtestaat[[#This Row],[Code Weekend]],Programma!$F$4:$Y$36148,6,0),"_")</f>
        <v>_</v>
      </c>
      <c r="BJ50" s="247" t="str">
        <f>_xlfn.IFNA(VLOOKUP(Ruimtestaat[[#This Row],[Code Weekend]],Programma!$F$4:$Y$36148,7,0),"_")</f>
        <v>_</v>
      </c>
      <c r="BK50" s="247" t="str">
        <f>_xlfn.IFNA(VLOOKUP(Ruimtestaat[[#This Row],[Code Weekend]],Programma!$F$4:$Y$36148,8,0),"_")</f>
        <v>_</v>
      </c>
      <c r="BL50" s="247" t="str">
        <f>_xlfn.IFNA(VLOOKUP(Ruimtestaat[[#This Row],[Code Weekend]],Programma!$F$4:$Y$36148,9,0),"_")</f>
        <v>_</v>
      </c>
      <c r="BM50" s="248" t="str">
        <f>_xlfn.IFNA(VLOOKUP(Ruimtestaat[[#This Row],[Code Weekend]],Programma!$F$4:$Y$36148,10,0),"_")</f>
        <v>_</v>
      </c>
      <c r="BN50" s="248" t="str">
        <f>_xlfn.IFNA(VLOOKUP(Ruimtestaat[[#This Row],[Code Weekend]],Programma!$F$4:$Y$36148,11,0),"_")</f>
        <v>_</v>
      </c>
      <c r="BO50" s="248" t="str">
        <f>_xlfn.IFNA(VLOOKUP(Ruimtestaat[[#This Row],[Code Weekend]],Programma!$F$4:$Y$36148,12,0),"_")</f>
        <v>_</v>
      </c>
      <c r="BP50" s="248" t="str">
        <f>_xlfn.IFNA(VLOOKUP(Ruimtestaat[[#This Row],[Code Weekend]],Programma!$F$4:$Y$36148,13,0),"_")</f>
        <v>_</v>
      </c>
      <c r="BQ50" s="248" t="str">
        <f>_xlfn.IFNA(VLOOKUP(Ruimtestaat[[#This Row],[Code Weekend]],Programma!$F$4:$Y$36148,14,0),"_")</f>
        <v>_</v>
      </c>
      <c r="BR50" s="248" t="str">
        <f>_xlfn.IFNA(VLOOKUP(Ruimtestaat[[#This Row],[Code Weekend]],Programma!$F$4:$Y$36148,15,0),"_")</f>
        <v>_</v>
      </c>
      <c r="BS50" s="248" t="str">
        <f>_xlfn.IFNA(VLOOKUP(Ruimtestaat[[#This Row],[Code Weekend]],Programma!$F$4:$Y$36148,16,0),"_")</f>
        <v>_</v>
      </c>
      <c r="BT50" s="248" t="str">
        <f>_xlfn.IFNA(VLOOKUP(Ruimtestaat[[#This Row],[Code Weekend]],Programma!$F$4:$Y$36148,17,0),"_")</f>
        <v>_</v>
      </c>
      <c r="BU50" s="249" t="str">
        <f>_xlfn.IFNA(VLOOKUP(Ruimtestaat[[#This Row],[Code Weekend]],Programma!$F$4:$Y$36148,18,0),"_")</f>
        <v>_</v>
      </c>
      <c r="BV50" s="249" t="str">
        <f>_xlfn.IFNA(VLOOKUP(Ruimtestaat[[#This Row],[Code Weekend]],Programma!$F$4:$Y$36148,19,0),"_")</f>
        <v>_</v>
      </c>
      <c r="BW50" s="249" t="str">
        <f>_xlfn.IFNA(VLOOKUP(Ruimtestaat[[#This Row],[Code Weekend]],Programma!$F$4:$Y$36148,20,0),"_")</f>
        <v>_</v>
      </c>
      <c r="HK50" s="88"/>
    </row>
    <row r="51" spans="1:219" ht="12.75" customHeight="1">
      <c r="A51" s="131">
        <v>1</v>
      </c>
      <c r="B51" s="22" t="str">
        <f>VLOOKUP(Ruimtestaat[[#This Row],[Code]],Locaties[#All],2,FALSE)</f>
        <v>ESH Secondary School</v>
      </c>
      <c r="C51" s="22" t="str">
        <f>VLOOKUP(Ruimtestaat[[#This Row],[Code]],Locaties[#All],4,FALSE)</f>
        <v>Oostduinlaan 50</v>
      </c>
      <c r="D51" s="334" t="str">
        <f>VLOOKUP(Ruimtestaat[[#This Row],[Code]],Locaties[#All],5,FALSE)</f>
        <v>2596 JP</v>
      </c>
      <c r="E51" s="334" t="str">
        <f>VLOOKUP(Ruimtestaat[[#This Row],[Code]],Locaties[#All],6,FALSE)</f>
        <v>Den Haag</v>
      </c>
      <c r="F51" s="335"/>
      <c r="G51" s="334" t="s">
        <v>1611</v>
      </c>
      <c r="H51" s="334" t="s">
        <v>1367</v>
      </c>
      <c r="I51" s="335" t="s">
        <v>1487</v>
      </c>
      <c r="J51" s="328">
        <v>2</v>
      </c>
      <c r="K51" s="335" t="str">
        <f>VLOOKUP(J51,Ruimtegroepen[],2,FALSE)</f>
        <v>Kantoren</v>
      </c>
      <c r="L51" s="212" t="s">
        <v>123</v>
      </c>
      <c r="M51" s="334" t="s">
        <v>144</v>
      </c>
      <c r="N51" s="337">
        <v>34</v>
      </c>
      <c r="O51" s="331"/>
      <c r="P51" s="332" t="str">
        <f>VLOOKUP(Ruimtestaat[[#This Row],[Ruimte code]],Ruimtegroepen[],4,FALSE)</f>
        <v>B  (Bureauruimte)</v>
      </c>
      <c r="Q51" s="332"/>
      <c r="R51" s="333">
        <v>40</v>
      </c>
      <c r="S51" s="333" t="s">
        <v>2</v>
      </c>
      <c r="T51" s="37"/>
      <c r="U51" s="37">
        <f>IF(R51&gt;0,IF(RIGHT(Ruimtestaat[[#This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1" s="37">
        <f>IF(U51&gt;0,VLOOKUP($J51,Ruimtegroepen[],3,FALSE)*VLOOKUP($L51,Vloersoorten[],3,FALSE)*VLOOKUP($S51,Frequenties[],3,FALSE)*VLOOKUP($A51,Locaties[],3,FALSE),0)</f>
        <v>0</v>
      </c>
      <c r="W51" s="37">
        <f>Ruimtestaat[[#This Row],[Uitvoeringen werkdagen]]*Ruimtestaat[[#This Row],[Oppervlak (netto)]]</f>
        <v>6800</v>
      </c>
      <c r="X51" s="37">
        <f>IF(V51&gt;0,Ruimtestaat[[#This Row],[Prest. (m2 /jaar) werkdagen]]/Ruimtestaat[[#This Row],[Norm (m2/uur) werkdagen]],0)</f>
        <v>0</v>
      </c>
      <c r="Y51" s="37">
        <f>Ruimtestaat[[#This Row],[uren / jaar werkdagen]]*Tariefsopbouw!$D$38</f>
        <v>0</v>
      </c>
      <c r="Z51" s="37">
        <f>IF(Ruimtestaat[[#This Row],[Frequentie weekend]]&gt;0,VALUE(LEFT(T51,1))*R51,0)</f>
        <v>0</v>
      </c>
      <c r="AA51" s="37">
        <f>IF($Z51&gt;0,VLOOKUP($J51,Ruimtegroepen[],3,FALSE)*VLOOKUP($L51,Vloersoorten[],3,FALSE)*VLOOKUP($T51,Frequenties[],3,FALSE)*VLOOKUP($A51,Locaties[],3,FALSE),0)</f>
        <v>0</v>
      </c>
      <c r="AB51" s="37">
        <f>Ruimtestaat[[#This Row],[Uitvoeringen weekend]]*Ruimtestaat[[#This Row],[Oppervlak (netto)]]</f>
        <v>0</v>
      </c>
      <c r="AC51" s="37">
        <f>IF(AA51&gt;0,Ruimtestaat[[#This Row],[Prest. (m2 /jaar) weekend]]/Ruimtestaat[[#This Row],[Norm (m2/uur) weekend]],0)</f>
        <v>0</v>
      </c>
      <c r="AD51" s="37">
        <f>Ruimtestaat[[#This Row],[uren / jaar weekend]]*Tariefsopbouw!$D$40</f>
        <v>0</v>
      </c>
      <c r="AE51" s="89">
        <f>Ruimtestaat[[#This Row],[Prest. (m2 /jaar) weekend]]+Ruimtestaat[[#This Row],[Prest. (m2 /jaar) werkdagen]]</f>
        <v>6800</v>
      </c>
      <c r="AF51" s="89">
        <f>Ruimtestaat[[#This Row],[uren / jaar weekend]]+Ruimtestaat[[#This Row],[uren / jaar werkdagen]]</f>
        <v>0</v>
      </c>
      <c r="AG51" s="90">
        <f>Ruimtestaat[[#This Row],[kosten / jaar weekend]]+Ruimtestaat[[#This Row],[kosten / jaar werkdagen]]</f>
        <v>0</v>
      </c>
      <c r="AH51" s="253"/>
      <c r="AI51" s="252" t="str">
        <f>IF(Ruimtestaat[[#This Row],[Frequentie werkdagen]]="","",_xlfn.CONCAT(Ruimtestaat[[#This Row],[Ruimte code]],"-",Ruimtestaat[[#This Row],[Frequentie werkdagen]]," ",Ruimtestaat[[#This Row],[Vloer code]]))</f>
        <v>2-5w P</v>
      </c>
      <c r="AJ51" s="247" t="str">
        <f>_xlfn.IFNA(VLOOKUP(Ruimtestaat[[#This Row],[Programmacode
Regulier]],Programma!$F$4:$Y$36148,2,0),"_")</f>
        <v>_</v>
      </c>
      <c r="AK51" s="247" t="str">
        <f>_xlfn.IFNA(VLOOKUP(Ruimtestaat[[#This Row],[Programmacode
Regulier]],Programma!$F$4:$Y$36148,3,0),"_")</f>
        <v>_</v>
      </c>
      <c r="AL51" s="247" t="str">
        <f>_xlfn.IFNA(VLOOKUP(Ruimtestaat[[#This Row],[Programmacode
Regulier]],Programma!$F$4:$Y$36148,4,0),"_")</f>
        <v>5w</v>
      </c>
      <c r="AM51" s="247" t="str">
        <f>_xlfn.IFNA(VLOOKUP(Ruimtestaat[[#This Row],[Programmacode
Regulier]],Programma!$F$4:$Y$36148,5,0),"_")</f>
        <v>1w</v>
      </c>
      <c r="AN51" s="247" t="str">
        <f>_xlfn.IFNA(VLOOKUP(Ruimtestaat[[#This Row],[Programmacode
Regulier]],Programma!$F$4:$Y$36148,6,0),"_")</f>
        <v>1m</v>
      </c>
      <c r="AO51" s="247" t="str">
        <f>_xlfn.IFNA(VLOOKUP(Ruimtestaat[[#This Row],[Programmacode
Regulier]],Programma!$F$4:$Y$36148,7,0),"_")</f>
        <v>_</v>
      </c>
      <c r="AP51" s="247" t="str">
        <f>_xlfn.IFNA(VLOOKUP(Ruimtestaat[[#This Row],[Programmacode
Regulier]],Programma!$F$4:$Y$36148,8,0),"_")</f>
        <v>_</v>
      </c>
      <c r="AQ51" s="247" t="str">
        <f>_xlfn.IFNA(VLOOKUP(Ruimtestaat[[#This Row],[Programmacode
Regulier]],Programma!$F$4:$Y$36148,9,0),"_")</f>
        <v>_</v>
      </c>
      <c r="AR51" s="248" t="str">
        <f>_xlfn.IFNA(VLOOKUP(Ruimtestaat[[#This Row],[Programmacode
Regulier]],Programma!$F$4:$Y$36148,10,0),"_")</f>
        <v>5w</v>
      </c>
      <c r="AS51" s="248" t="str">
        <f>_xlfn.IFNA(VLOOKUP(Ruimtestaat[[#This Row],[Programmacode
Regulier]],Programma!$F$4:$Y$36148,11,0),"_")</f>
        <v>5w</v>
      </c>
      <c r="AT51" s="248" t="str">
        <f>_xlfn.IFNA(VLOOKUP(Ruimtestaat[[#This Row],[Programmacode
Regulier]],Programma!$F$4:$Y$36148,12,0),"_")</f>
        <v>1w</v>
      </c>
      <c r="AU51" s="248" t="str">
        <f>_xlfn.IFNA(VLOOKUP(Ruimtestaat[[#This Row],[Programmacode
Regulier]],Programma!$F$4:$Y$36148,13,0),"_")</f>
        <v>1w</v>
      </c>
      <c r="AV51" s="248" t="str">
        <f>_xlfn.IFNA(VLOOKUP(Ruimtestaat[[#This Row],[Programmacode
Regulier]],Programma!$F$4:$Y$36148,14,0),"_")</f>
        <v>1m</v>
      </c>
      <c r="AW51" s="248" t="str">
        <f>_xlfn.IFNA(VLOOKUP(Ruimtestaat[[#This Row],[Programmacode
Regulier]],Programma!$F$4:$Y$36148,15,0),"_")</f>
        <v>2j</v>
      </c>
      <c r="AX51" s="248" t="str">
        <f>_xlfn.IFNA(VLOOKUP(Ruimtestaat[[#This Row],[Programmacode
Regulier]],Programma!$F$4:$Y$36148,16,0),"_")</f>
        <v>1j</v>
      </c>
      <c r="AY51" s="248" t="str">
        <f>_xlfn.IFNA(VLOOKUP(Ruimtestaat[[#This Row],[Programmacode
Regulier]],Programma!$F$4:$Y$36148,17,0),"_")</f>
        <v>_</v>
      </c>
      <c r="AZ51" s="249" t="str">
        <f>_xlfn.IFNA(VLOOKUP(Ruimtestaat[[#This Row],[Programmacode
Regulier]],Programma!$F$4:$Y$36148,18,0),"_")</f>
        <v>_</v>
      </c>
      <c r="BA51" s="249" t="str">
        <f>_xlfn.IFNA(VLOOKUP(Ruimtestaat[[#This Row],[Programmacode
Regulier]],Programma!$F$4:$Y$36148,19,0),"_")</f>
        <v>_</v>
      </c>
      <c r="BB51" s="249" t="str">
        <f>_xlfn.IFNA(VLOOKUP(Ruimtestaat[[#This Row],[Programmacode
Regulier]],Programma!$F$4:$Y$36148,20,0),"_")</f>
        <v>_</v>
      </c>
      <c r="BC51" s="250"/>
      <c r="BD51" s="212" t="str">
        <f>IF(Ruimtestaat[[#This Row],[Frequentie weekend]]="","",_xlfn.CONCAT(Ruimtestaat[[#This Row],[Ruimte code]],"-",Ruimtestaat[[#This Row],[Frequentie weekend]]," ",Ruimtestaat[[#This Row],[Vloer code]]))</f>
        <v/>
      </c>
      <c r="BE51" s="247" t="str">
        <f>_xlfn.IFNA(VLOOKUP(Ruimtestaat[[#This Row],[Code Weekend]],Programma!$F$4:$Y$36148,2,0),"_")</f>
        <v>_</v>
      </c>
      <c r="BF51" s="247" t="str">
        <f>_xlfn.IFNA(VLOOKUP(Ruimtestaat[[#This Row],[Code Weekend]],Programma!$F$4:$Y$36148,3,0),"_")</f>
        <v>_</v>
      </c>
      <c r="BG51" s="247" t="str">
        <f>_xlfn.IFNA(VLOOKUP(Ruimtestaat[[#This Row],[Code Weekend]],Programma!$F$4:$Y$36148,4,0),"_")</f>
        <v>_</v>
      </c>
      <c r="BH51" s="247" t="str">
        <f>_xlfn.IFNA(VLOOKUP(Ruimtestaat[[#This Row],[Code Weekend]],Programma!$F$4:$Y$36148,5,0),"_")</f>
        <v>_</v>
      </c>
      <c r="BI51" s="247" t="str">
        <f>_xlfn.IFNA(VLOOKUP(Ruimtestaat[[#This Row],[Code Weekend]],Programma!$F$4:$Y$36148,6,0),"_")</f>
        <v>_</v>
      </c>
      <c r="BJ51" s="247" t="str">
        <f>_xlfn.IFNA(VLOOKUP(Ruimtestaat[[#This Row],[Code Weekend]],Programma!$F$4:$Y$36148,7,0),"_")</f>
        <v>_</v>
      </c>
      <c r="BK51" s="247" t="str">
        <f>_xlfn.IFNA(VLOOKUP(Ruimtestaat[[#This Row],[Code Weekend]],Programma!$F$4:$Y$36148,8,0),"_")</f>
        <v>_</v>
      </c>
      <c r="BL51" s="247" t="str">
        <f>_xlfn.IFNA(VLOOKUP(Ruimtestaat[[#This Row],[Code Weekend]],Programma!$F$4:$Y$36148,9,0),"_")</f>
        <v>_</v>
      </c>
      <c r="BM51" s="248" t="str">
        <f>_xlfn.IFNA(VLOOKUP(Ruimtestaat[[#This Row],[Code Weekend]],Programma!$F$4:$Y$36148,10,0),"_")</f>
        <v>_</v>
      </c>
      <c r="BN51" s="248" t="str">
        <f>_xlfn.IFNA(VLOOKUP(Ruimtestaat[[#This Row],[Code Weekend]],Programma!$F$4:$Y$36148,11,0),"_")</f>
        <v>_</v>
      </c>
      <c r="BO51" s="248" t="str">
        <f>_xlfn.IFNA(VLOOKUP(Ruimtestaat[[#This Row],[Code Weekend]],Programma!$F$4:$Y$36148,12,0),"_")</f>
        <v>_</v>
      </c>
      <c r="BP51" s="248" t="str">
        <f>_xlfn.IFNA(VLOOKUP(Ruimtestaat[[#This Row],[Code Weekend]],Programma!$F$4:$Y$36148,13,0),"_")</f>
        <v>_</v>
      </c>
      <c r="BQ51" s="248" t="str">
        <f>_xlfn.IFNA(VLOOKUP(Ruimtestaat[[#This Row],[Code Weekend]],Programma!$F$4:$Y$36148,14,0),"_")</f>
        <v>_</v>
      </c>
      <c r="BR51" s="248" t="str">
        <f>_xlfn.IFNA(VLOOKUP(Ruimtestaat[[#This Row],[Code Weekend]],Programma!$F$4:$Y$36148,15,0),"_")</f>
        <v>_</v>
      </c>
      <c r="BS51" s="248" t="str">
        <f>_xlfn.IFNA(VLOOKUP(Ruimtestaat[[#This Row],[Code Weekend]],Programma!$F$4:$Y$36148,16,0),"_")</f>
        <v>_</v>
      </c>
      <c r="BT51" s="248" t="str">
        <f>_xlfn.IFNA(VLOOKUP(Ruimtestaat[[#This Row],[Code Weekend]],Programma!$F$4:$Y$36148,17,0),"_")</f>
        <v>_</v>
      </c>
      <c r="BU51" s="249" t="str">
        <f>_xlfn.IFNA(VLOOKUP(Ruimtestaat[[#This Row],[Code Weekend]],Programma!$F$4:$Y$36148,18,0),"_")</f>
        <v>_</v>
      </c>
      <c r="BV51" s="249" t="str">
        <f>_xlfn.IFNA(VLOOKUP(Ruimtestaat[[#This Row],[Code Weekend]],Programma!$F$4:$Y$36148,19,0),"_")</f>
        <v>_</v>
      </c>
      <c r="BW51" s="249" t="str">
        <f>_xlfn.IFNA(VLOOKUP(Ruimtestaat[[#This Row],[Code Weekend]],Programma!$F$4:$Y$36148,20,0),"_")</f>
        <v>_</v>
      </c>
      <c r="HK51" s="88"/>
    </row>
    <row r="52" spans="1:219" ht="12.75" customHeight="1">
      <c r="A52" s="131">
        <v>1</v>
      </c>
      <c r="B52" s="22" t="str">
        <f>VLOOKUP(Ruimtestaat[[#This Row],[Code]],Locaties[#All],2,FALSE)</f>
        <v>ESH Secondary School</v>
      </c>
      <c r="C52" s="22" t="str">
        <f>VLOOKUP(Ruimtestaat[[#This Row],[Code]],Locaties[#All],4,FALSE)</f>
        <v>Oostduinlaan 50</v>
      </c>
      <c r="D52" s="334" t="str">
        <f>VLOOKUP(Ruimtestaat[[#This Row],[Code]],Locaties[#All],5,FALSE)</f>
        <v>2596 JP</v>
      </c>
      <c r="E52" s="334" t="str">
        <f>VLOOKUP(Ruimtestaat[[#This Row],[Code]],Locaties[#All],6,FALSE)</f>
        <v>Den Haag</v>
      </c>
      <c r="F52" s="335"/>
      <c r="G52" s="334" t="s">
        <v>1611</v>
      </c>
      <c r="H52" s="334" t="s">
        <v>1524</v>
      </c>
      <c r="I52" s="335" t="s">
        <v>1488</v>
      </c>
      <c r="J52" s="334">
        <v>15</v>
      </c>
      <c r="K52" s="335" t="str">
        <f>VLOOKUP(J52,Ruimtegroepen[],2,FALSE)</f>
        <v>Keuken/pantry</v>
      </c>
      <c r="L52" s="212" t="s">
        <v>123</v>
      </c>
      <c r="M52" s="334" t="s">
        <v>144</v>
      </c>
      <c r="N52" s="337">
        <v>55</v>
      </c>
      <c r="O52" s="331"/>
      <c r="P52" s="332" t="str">
        <f>VLOOKUP(Ruimtestaat[[#This Row],[Ruimte code]],Ruimtegroepen[],4,FALSE)</f>
        <v>V  (Verkeersruimte)</v>
      </c>
      <c r="Q52" s="332"/>
      <c r="R52" s="333">
        <v>40</v>
      </c>
      <c r="S52" s="333" t="s">
        <v>19</v>
      </c>
      <c r="T52" s="37"/>
      <c r="U52" s="37">
        <f>IF(R52&gt;0,IF(RIGHT(Ruimtestaat[[#This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52" s="37">
        <f>IF(U52&gt;0,VLOOKUP($J52,Ruimtegroepen[],3,FALSE)*VLOOKUP($L52,Vloersoorten[],3,FALSE)*VLOOKUP($S52,Frequenties[],3,FALSE)*VLOOKUP($A52,Locaties[],3,FALSE),0)</f>
        <v>0</v>
      </c>
      <c r="W52" s="37">
        <f>Ruimtestaat[[#This Row],[Uitvoeringen werkdagen]]*Ruimtestaat[[#This Row],[Oppervlak (netto)]]</f>
        <v>22000</v>
      </c>
      <c r="X52" s="37">
        <f>IF(V52&gt;0,Ruimtestaat[[#This Row],[Prest. (m2 /jaar) werkdagen]]/Ruimtestaat[[#This Row],[Norm (m2/uur) werkdagen]],0)</f>
        <v>0</v>
      </c>
      <c r="Y52" s="37">
        <f>Ruimtestaat[[#This Row],[uren / jaar werkdagen]]*Tariefsopbouw!$D$38</f>
        <v>0</v>
      </c>
      <c r="Z52" s="37">
        <f>IF(Ruimtestaat[[#This Row],[Frequentie weekend]]&gt;0,VALUE(LEFT(T52,1))*R52,0)</f>
        <v>0</v>
      </c>
      <c r="AA52" s="37">
        <f>IF($Z52&gt;0,VLOOKUP($J52,Ruimtegroepen[],3,FALSE)*VLOOKUP($L52,Vloersoorten[],3,FALSE)*VLOOKUP($T52,Frequenties[],3,FALSE)*VLOOKUP($A52,Locaties[],3,FALSE),0)</f>
        <v>0</v>
      </c>
      <c r="AB52" s="37">
        <f>Ruimtestaat[[#This Row],[Uitvoeringen weekend]]*Ruimtestaat[[#This Row],[Oppervlak (netto)]]</f>
        <v>0</v>
      </c>
      <c r="AC52" s="37">
        <f>IF(AA52&gt;0,Ruimtestaat[[#This Row],[Prest. (m2 /jaar) weekend]]/Ruimtestaat[[#This Row],[Norm (m2/uur) weekend]],0)</f>
        <v>0</v>
      </c>
      <c r="AD52" s="37">
        <f>Ruimtestaat[[#This Row],[uren / jaar weekend]]*Tariefsopbouw!$D$40</f>
        <v>0</v>
      </c>
      <c r="AE52" s="89">
        <f>Ruimtestaat[[#This Row],[Prest. (m2 /jaar) weekend]]+Ruimtestaat[[#This Row],[Prest. (m2 /jaar) werkdagen]]</f>
        <v>22000</v>
      </c>
      <c r="AF52" s="89">
        <f>Ruimtestaat[[#This Row],[uren / jaar weekend]]+Ruimtestaat[[#This Row],[uren / jaar werkdagen]]</f>
        <v>0</v>
      </c>
      <c r="AG52" s="90">
        <f>Ruimtestaat[[#This Row],[kosten / jaar weekend]]+Ruimtestaat[[#This Row],[kosten / jaar werkdagen]]</f>
        <v>0</v>
      </c>
      <c r="AH52" s="253"/>
      <c r="AI52" s="252" t="str">
        <f>IF(Ruimtestaat[[#This Row],[Frequentie werkdagen]]="","",_xlfn.CONCAT(Ruimtestaat[[#This Row],[Ruimte code]],"-",Ruimtestaat[[#This Row],[Frequentie werkdagen]]," ",Ruimtestaat[[#This Row],[Vloer code]]))</f>
        <v>15-10w P</v>
      </c>
      <c r="AJ52" s="247" t="str">
        <f>_xlfn.IFNA(VLOOKUP(Ruimtestaat[[#This Row],[Programmacode
Regulier]],Programma!$F$4:$Y$36148,2,0),"_")</f>
        <v>_</v>
      </c>
      <c r="AK52" s="247" t="str">
        <f>_xlfn.IFNA(VLOOKUP(Ruimtestaat[[#This Row],[Programmacode
Regulier]],Programma!$F$4:$Y$36148,3,0),"_")</f>
        <v>_</v>
      </c>
      <c r="AL52" s="247" t="str">
        <f>_xlfn.IFNA(VLOOKUP(Ruimtestaat[[#This Row],[Programmacode
Regulier]],Programma!$F$4:$Y$36148,4,0),"_")</f>
        <v>5w</v>
      </c>
      <c r="AM52" s="247" t="str">
        <f>_xlfn.IFNA(VLOOKUP(Ruimtestaat[[#This Row],[Programmacode
Regulier]],Programma!$F$4:$Y$36148,5,0),"_")</f>
        <v>4w</v>
      </c>
      <c r="AN52" s="247" t="str">
        <f>_xlfn.IFNA(VLOOKUP(Ruimtestaat[[#This Row],[Programmacode
Regulier]],Programma!$F$4:$Y$36148,6,0),"_")</f>
        <v>1w</v>
      </c>
      <c r="AO52" s="247" t="str">
        <f>_xlfn.IFNA(VLOOKUP(Ruimtestaat[[#This Row],[Programmacode
Regulier]],Programma!$F$4:$Y$36148,7,0),"_")</f>
        <v>_</v>
      </c>
      <c r="AP52" s="247" t="str">
        <f>_xlfn.IFNA(VLOOKUP(Ruimtestaat[[#This Row],[Programmacode
Regulier]],Programma!$F$4:$Y$36148,8,0),"_")</f>
        <v>_</v>
      </c>
      <c r="AQ52" s="247" t="str">
        <f>_xlfn.IFNA(VLOOKUP(Ruimtestaat[[#This Row],[Programmacode
Regulier]],Programma!$F$4:$Y$36148,9,0),"_")</f>
        <v>5w</v>
      </c>
      <c r="AR52" s="248" t="str">
        <f>_xlfn.IFNA(VLOOKUP(Ruimtestaat[[#This Row],[Programmacode
Regulier]],Programma!$F$4:$Y$36148,10,0),"_")</f>
        <v>5w</v>
      </c>
      <c r="AS52" s="248" t="str">
        <f>_xlfn.IFNA(VLOOKUP(Ruimtestaat[[#This Row],[Programmacode
Regulier]],Programma!$F$4:$Y$36148,11,0),"_")</f>
        <v>5w</v>
      </c>
      <c r="AT52" s="248" t="str">
        <f>_xlfn.IFNA(VLOOKUP(Ruimtestaat[[#This Row],[Programmacode
Regulier]],Programma!$F$4:$Y$36148,12,0),"_")</f>
        <v>1w</v>
      </c>
      <c r="AU52" s="248" t="str">
        <f>_xlfn.IFNA(VLOOKUP(Ruimtestaat[[#This Row],[Programmacode
Regulier]],Programma!$F$4:$Y$36148,13,0),"_")</f>
        <v>1w</v>
      </c>
      <c r="AV52" s="248" t="str">
        <f>_xlfn.IFNA(VLOOKUP(Ruimtestaat[[#This Row],[Programmacode
Regulier]],Programma!$F$4:$Y$36148,14,0),"_")</f>
        <v>1m</v>
      </c>
      <c r="AW52" s="248" t="str">
        <f>_xlfn.IFNA(VLOOKUP(Ruimtestaat[[#This Row],[Programmacode
Regulier]],Programma!$F$4:$Y$36148,15,0),"_")</f>
        <v>2j</v>
      </c>
      <c r="AX52" s="248" t="str">
        <f>_xlfn.IFNA(VLOOKUP(Ruimtestaat[[#This Row],[Programmacode
Regulier]],Programma!$F$4:$Y$36148,16,0),"_")</f>
        <v>1j</v>
      </c>
      <c r="AY52" s="248" t="str">
        <f>_xlfn.IFNA(VLOOKUP(Ruimtestaat[[#This Row],[Programmacode
Regulier]],Programma!$F$4:$Y$36148,17,0),"_")</f>
        <v>5w</v>
      </c>
      <c r="AZ52" s="249" t="str">
        <f>_xlfn.IFNA(VLOOKUP(Ruimtestaat[[#This Row],[Programmacode
Regulier]],Programma!$F$4:$Y$36148,18,0),"_")</f>
        <v>_</v>
      </c>
      <c r="BA52" s="249" t="str">
        <f>_xlfn.IFNA(VLOOKUP(Ruimtestaat[[#This Row],[Programmacode
Regulier]],Programma!$F$4:$Y$36148,19,0),"_")</f>
        <v>_</v>
      </c>
      <c r="BB52" s="249" t="str">
        <f>_xlfn.IFNA(VLOOKUP(Ruimtestaat[[#This Row],[Programmacode
Regulier]],Programma!$F$4:$Y$36148,20,0),"_")</f>
        <v>_</v>
      </c>
      <c r="BC52" s="250"/>
      <c r="BD52" s="212" t="str">
        <f>IF(Ruimtestaat[[#This Row],[Frequentie weekend]]="","",_xlfn.CONCAT(Ruimtestaat[[#This Row],[Ruimte code]],"-",Ruimtestaat[[#This Row],[Frequentie weekend]]," ",Ruimtestaat[[#This Row],[Vloer code]]))</f>
        <v/>
      </c>
      <c r="BE52" s="247" t="str">
        <f>_xlfn.IFNA(VLOOKUP(Ruimtestaat[[#This Row],[Code Weekend]],Programma!$F$4:$Y$36148,2,0),"_")</f>
        <v>_</v>
      </c>
      <c r="BF52" s="247" t="str">
        <f>_xlfn.IFNA(VLOOKUP(Ruimtestaat[[#This Row],[Code Weekend]],Programma!$F$4:$Y$36148,3,0),"_")</f>
        <v>_</v>
      </c>
      <c r="BG52" s="247" t="str">
        <f>_xlfn.IFNA(VLOOKUP(Ruimtestaat[[#This Row],[Code Weekend]],Programma!$F$4:$Y$36148,4,0),"_")</f>
        <v>_</v>
      </c>
      <c r="BH52" s="247" t="str">
        <f>_xlfn.IFNA(VLOOKUP(Ruimtestaat[[#This Row],[Code Weekend]],Programma!$F$4:$Y$36148,5,0),"_")</f>
        <v>_</v>
      </c>
      <c r="BI52" s="247" t="str">
        <f>_xlfn.IFNA(VLOOKUP(Ruimtestaat[[#This Row],[Code Weekend]],Programma!$F$4:$Y$36148,6,0),"_")</f>
        <v>_</v>
      </c>
      <c r="BJ52" s="247" t="str">
        <f>_xlfn.IFNA(VLOOKUP(Ruimtestaat[[#This Row],[Code Weekend]],Programma!$F$4:$Y$36148,7,0),"_")</f>
        <v>_</v>
      </c>
      <c r="BK52" s="247" t="str">
        <f>_xlfn.IFNA(VLOOKUP(Ruimtestaat[[#This Row],[Code Weekend]],Programma!$F$4:$Y$36148,8,0),"_")</f>
        <v>_</v>
      </c>
      <c r="BL52" s="247" t="str">
        <f>_xlfn.IFNA(VLOOKUP(Ruimtestaat[[#This Row],[Code Weekend]],Programma!$F$4:$Y$36148,9,0),"_")</f>
        <v>_</v>
      </c>
      <c r="BM52" s="248" t="str">
        <f>_xlfn.IFNA(VLOOKUP(Ruimtestaat[[#This Row],[Code Weekend]],Programma!$F$4:$Y$36148,10,0),"_")</f>
        <v>_</v>
      </c>
      <c r="BN52" s="248" t="str">
        <f>_xlfn.IFNA(VLOOKUP(Ruimtestaat[[#This Row],[Code Weekend]],Programma!$F$4:$Y$36148,11,0),"_")</f>
        <v>_</v>
      </c>
      <c r="BO52" s="248" t="str">
        <f>_xlfn.IFNA(VLOOKUP(Ruimtestaat[[#This Row],[Code Weekend]],Programma!$F$4:$Y$36148,12,0),"_")</f>
        <v>_</v>
      </c>
      <c r="BP52" s="248" t="str">
        <f>_xlfn.IFNA(VLOOKUP(Ruimtestaat[[#This Row],[Code Weekend]],Programma!$F$4:$Y$36148,13,0),"_")</f>
        <v>_</v>
      </c>
      <c r="BQ52" s="248" t="str">
        <f>_xlfn.IFNA(VLOOKUP(Ruimtestaat[[#This Row],[Code Weekend]],Programma!$F$4:$Y$36148,14,0),"_")</f>
        <v>_</v>
      </c>
      <c r="BR52" s="248" t="str">
        <f>_xlfn.IFNA(VLOOKUP(Ruimtestaat[[#This Row],[Code Weekend]],Programma!$F$4:$Y$36148,15,0),"_")</f>
        <v>_</v>
      </c>
      <c r="BS52" s="248" t="str">
        <f>_xlfn.IFNA(VLOOKUP(Ruimtestaat[[#This Row],[Code Weekend]],Programma!$F$4:$Y$36148,16,0),"_")</f>
        <v>_</v>
      </c>
      <c r="BT52" s="248" t="str">
        <f>_xlfn.IFNA(VLOOKUP(Ruimtestaat[[#This Row],[Code Weekend]],Programma!$F$4:$Y$36148,17,0),"_")</f>
        <v>_</v>
      </c>
      <c r="BU52" s="249" t="str">
        <f>_xlfn.IFNA(VLOOKUP(Ruimtestaat[[#This Row],[Code Weekend]],Programma!$F$4:$Y$36148,18,0),"_")</f>
        <v>_</v>
      </c>
      <c r="BV52" s="249" t="str">
        <f>_xlfn.IFNA(VLOOKUP(Ruimtestaat[[#This Row],[Code Weekend]],Programma!$F$4:$Y$36148,19,0),"_")</f>
        <v>_</v>
      </c>
      <c r="BW52" s="249" t="str">
        <f>_xlfn.IFNA(VLOOKUP(Ruimtestaat[[#This Row],[Code Weekend]],Programma!$F$4:$Y$36148,20,0),"_")</f>
        <v>_</v>
      </c>
      <c r="HK52" s="88"/>
    </row>
    <row r="53" spans="1:219" ht="12.75" customHeight="1">
      <c r="A53" s="131">
        <v>1</v>
      </c>
      <c r="B53" s="22" t="str">
        <f>VLOOKUP(Ruimtestaat[[#This Row],[Code]],Locaties[#All],2,FALSE)</f>
        <v>ESH Secondary School</v>
      </c>
      <c r="C53" s="22" t="str">
        <f>VLOOKUP(Ruimtestaat[[#This Row],[Code]],Locaties[#All],4,FALSE)</f>
        <v>Oostduinlaan 50</v>
      </c>
      <c r="D53" s="334" t="str">
        <f>VLOOKUP(Ruimtestaat[[#This Row],[Code]],Locaties[#All],5,FALSE)</f>
        <v>2596 JP</v>
      </c>
      <c r="E53" s="334" t="str">
        <f>VLOOKUP(Ruimtestaat[[#This Row],[Code]],Locaties[#All],6,FALSE)</f>
        <v>Den Haag</v>
      </c>
      <c r="F53" s="335"/>
      <c r="G53" s="334" t="s">
        <v>1611</v>
      </c>
      <c r="H53" s="334" t="s">
        <v>1368</v>
      </c>
      <c r="I53" s="335" t="s">
        <v>1489</v>
      </c>
      <c r="J53" s="334">
        <v>8</v>
      </c>
      <c r="K53" s="335" t="str">
        <f>VLOOKUP(J53,Ruimtegroepen[],2,FALSE)</f>
        <v>Toneel</v>
      </c>
      <c r="L53" s="334" t="s">
        <v>1793</v>
      </c>
      <c r="M53" s="334" t="s">
        <v>1765</v>
      </c>
      <c r="N53" s="337">
        <v>322</v>
      </c>
      <c r="O53" s="331"/>
      <c r="P53" s="332" t="str">
        <f>VLOOKUP(Ruimtestaat[[#This Row],[Ruimte code]],Ruimtegroepen[],4,FALSE)</f>
        <v>V  (Verkeersruimte)</v>
      </c>
      <c r="Q53" s="332"/>
      <c r="R53" s="333">
        <v>40</v>
      </c>
      <c r="S53" s="333" t="s">
        <v>2</v>
      </c>
      <c r="T53" s="37"/>
      <c r="U53" s="37">
        <f>IF(R53&gt;0,IF(RIGHT(Ruimtestaat[[#This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3" s="37">
        <f>IF(U53&gt;0,VLOOKUP($J53,Ruimtegroepen[],3,FALSE)*VLOOKUP($L53,Vloersoorten[],3,FALSE)*VLOOKUP($S53,Frequenties[],3,FALSE)*VLOOKUP($A53,Locaties[],3,FALSE),0)</f>
        <v>0</v>
      </c>
      <c r="W53" s="37">
        <f>Ruimtestaat[[#This Row],[Uitvoeringen werkdagen]]*Ruimtestaat[[#This Row],[Oppervlak (netto)]]</f>
        <v>64400</v>
      </c>
      <c r="X53" s="37">
        <f>IF(V53&gt;0,Ruimtestaat[[#This Row],[Prest. (m2 /jaar) werkdagen]]/Ruimtestaat[[#This Row],[Norm (m2/uur) werkdagen]],0)</f>
        <v>0</v>
      </c>
      <c r="Y53" s="37">
        <f>Ruimtestaat[[#This Row],[uren / jaar werkdagen]]*Tariefsopbouw!$D$38</f>
        <v>0</v>
      </c>
      <c r="Z53" s="37">
        <f>IF(Ruimtestaat[[#This Row],[Frequentie weekend]]&gt;0,VALUE(LEFT(T53,1))*R53,0)</f>
        <v>0</v>
      </c>
      <c r="AA53" s="37">
        <f>IF($Z53&gt;0,VLOOKUP($J53,Ruimtegroepen[],3,FALSE)*VLOOKUP($L53,Vloersoorten[],3,FALSE)*VLOOKUP($T53,Frequenties[],3,FALSE)*VLOOKUP($A53,Locaties[],3,FALSE),0)</f>
        <v>0</v>
      </c>
      <c r="AB53" s="37">
        <f>Ruimtestaat[[#This Row],[Uitvoeringen weekend]]*Ruimtestaat[[#This Row],[Oppervlak (netto)]]</f>
        <v>0</v>
      </c>
      <c r="AC53" s="37">
        <f>IF(AA53&gt;0,Ruimtestaat[[#This Row],[Prest. (m2 /jaar) weekend]]/Ruimtestaat[[#This Row],[Norm (m2/uur) weekend]],0)</f>
        <v>0</v>
      </c>
      <c r="AD53" s="37">
        <f>Ruimtestaat[[#This Row],[uren / jaar weekend]]*Tariefsopbouw!$D$40</f>
        <v>0</v>
      </c>
      <c r="AE53" s="89">
        <f>Ruimtestaat[[#This Row],[Prest. (m2 /jaar) weekend]]+Ruimtestaat[[#This Row],[Prest. (m2 /jaar) werkdagen]]</f>
        <v>64400</v>
      </c>
      <c r="AF53" s="89">
        <f>Ruimtestaat[[#This Row],[uren / jaar weekend]]+Ruimtestaat[[#This Row],[uren / jaar werkdagen]]</f>
        <v>0</v>
      </c>
      <c r="AG53" s="90">
        <f>Ruimtestaat[[#This Row],[kosten / jaar weekend]]+Ruimtestaat[[#This Row],[kosten / jaar werkdagen]]</f>
        <v>0</v>
      </c>
      <c r="AH53" s="253"/>
      <c r="AI53" s="252" t="str">
        <f>IF(Ruimtestaat[[#This Row],[Frequentie werkdagen]]="","",_xlfn.CONCAT(Ruimtestaat[[#This Row],[Ruimte code]],"-",Ruimtestaat[[#This Row],[Frequentie werkdagen]]," ",Ruimtestaat[[#This Row],[Vloer code]]))</f>
        <v>8-5w H</v>
      </c>
      <c r="AJ53" s="247" t="str">
        <f>_xlfn.IFNA(VLOOKUP(Ruimtestaat[[#This Row],[Programmacode
Regulier]],Programma!$F$4:$Y$36148,2,0),"_")</f>
        <v>_</v>
      </c>
      <c r="AK53" s="247" t="str">
        <f>_xlfn.IFNA(VLOOKUP(Ruimtestaat[[#This Row],[Programmacode
Regulier]],Programma!$F$4:$Y$36148,3,0),"_")</f>
        <v>_</v>
      </c>
      <c r="AL53" s="247" t="str">
        <f>_xlfn.IFNA(VLOOKUP(Ruimtestaat[[#This Row],[Programmacode
Regulier]],Programma!$F$4:$Y$36148,4,0),"_")</f>
        <v>_</v>
      </c>
      <c r="AM53" s="247" t="str">
        <f>_xlfn.IFNA(VLOOKUP(Ruimtestaat[[#This Row],[Programmacode
Regulier]],Programma!$F$4:$Y$36148,5,0),"_")</f>
        <v>_</v>
      </c>
      <c r="AN53" s="247" t="str">
        <f>_xlfn.IFNA(VLOOKUP(Ruimtestaat[[#This Row],[Programmacode
Regulier]],Programma!$F$4:$Y$36148,6,0),"_")</f>
        <v>_</v>
      </c>
      <c r="AO53" s="247" t="str">
        <f>_xlfn.IFNA(VLOOKUP(Ruimtestaat[[#This Row],[Programmacode
Regulier]],Programma!$F$4:$Y$36148,7,0),"_")</f>
        <v>_</v>
      </c>
      <c r="AP53" s="247" t="str">
        <f>_xlfn.IFNA(VLOOKUP(Ruimtestaat[[#This Row],[Programmacode
Regulier]],Programma!$F$4:$Y$36148,8,0),"_")</f>
        <v>_</v>
      </c>
      <c r="AQ53" s="247" t="str">
        <f>_xlfn.IFNA(VLOOKUP(Ruimtestaat[[#This Row],[Programmacode
Regulier]],Programma!$F$4:$Y$36148,9,0),"_")</f>
        <v>_</v>
      </c>
      <c r="AR53" s="248" t="str">
        <f>_xlfn.IFNA(VLOOKUP(Ruimtestaat[[#This Row],[Programmacode
Regulier]],Programma!$F$4:$Y$36148,10,0),"_")</f>
        <v>_</v>
      </c>
      <c r="AS53" s="248" t="str">
        <f>_xlfn.IFNA(VLOOKUP(Ruimtestaat[[#This Row],[Programmacode
Regulier]],Programma!$F$4:$Y$36148,11,0),"_")</f>
        <v>_</v>
      </c>
      <c r="AT53" s="248" t="str">
        <f>_xlfn.IFNA(VLOOKUP(Ruimtestaat[[#This Row],[Programmacode
Regulier]],Programma!$F$4:$Y$36148,12,0),"_")</f>
        <v>_</v>
      </c>
      <c r="AU53" s="248" t="str">
        <f>_xlfn.IFNA(VLOOKUP(Ruimtestaat[[#This Row],[Programmacode
Regulier]],Programma!$F$4:$Y$36148,13,0),"_")</f>
        <v>_</v>
      </c>
      <c r="AV53" s="248" t="str">
        <f>_xlfn.IFNA(VLOOKUP(Ruimtestaat[[#This Row],[Programmacode
Regulier]],Programma!$F$4:$Y$36148,14,0),"_")</f>
        <v>_</v>
      </c>
      <c r="AW53" s="248" t="str">
        <f>_xlfn.IFNA(VLOOKUP(Ruimtestaat[[#This Row],[Programmacode
Regulier]],Programma!$F$4:$Y$36148,15,0),"_")</f>
        <v>_</v>
      </c>
      <c r="AX53" s="248" t="str">
        <f>_xlfn.IFNA(VLOOKUP(Ruimtestaat[[#This Row],[Programmacode
Regulier]],Programma!$F$4:$Y$36148,16,0),"_")</f>
        <v>_</v>
      </c>
      <c r="AY53" s="248" t="str">
        <f>_xlfn.IFNA(VLOOKUP(Ruimtestaat[[#This Row],[Programmacode
Regulier]],Programma!$F$4:$Y$36148,17,0),"_")</f>
        <v>_</v>
      </c>
      <c r="AZ53" s="249" t="str">
        <f>_xlfn.IFNA(VLOOKUP(Ruimtestaat[[#This Row],[Programmacode
Regulier]],Programma!$F$4:$Y$36148,18,0),"_")</f>
        <v>_</v>
      </c>
      <c r="BA53" s="249" t="str">
        <f>_xlfn.IFNA(VLOOKUP(Ruimtestaat[[#This Row],[Programmacode
Regulier]],Programma!$F$4:$Y$36148,19,0),"_")</f>
        <v>_</v>
      </c>
      <c r="BB53" s="249" t="str">
        <f>_xlfn.IFNA(VLOOKUP(Ruimtestaat[[#This Row],[Programmacode
Regulier]],Programma!$F$4:$Y$36148,20,0),"_")</f>
        <v>_</v>
      </c>
      <c r="BC53" s="250"/>
      <c r="BD53" s="212" t="str">
        <f>IF(Ruimtestaat[[#This Row],[Frequentie weekend]]="","",_xlfn.CONCAT(Ruimtestaat[[#This Row],[Ruimte code]],"-",Ruimtestaat[[#This Row],[Frequentie weekend]]," ",Ruimtestaat[[#This Row],[Vloer code]]))</f>
        <v/>
      </c>
      <c r="BE53" s="247" t="str">
        <f>_xlfn.IFNA(VLOOKUP(Ruimtestaat[[#This Row],[Code Weekend]],Programma!$F$4:$Y$36148,2,0),"_")</f>
        <v>_</v>
      </c>
      <c r="BF53" s="247" t="str">
        <f>_xlfn.IFNA(VLOOKUP(Ruimtestaat[[#This Row],[Code Weekend]],Programma!$F$4:$Y$36148,3,0),"_")</f>
        <v>_</v>
      </c>
      <c r="BG53" s="247" t="str">
        <f>_xlfn.IFNA(VLOOKUP(Ruimtestaat[[#This Row],[Code Weekend]],Programma!$F$4:$Y$36148,4,0),"_")</f>
        <v>_</v>
      </c>
      <c r="BH53" s="247" t="str">
        <f>_xlfn.IFNA(VLOOKUP(Ruimtestaat[[#This Row],[Code Weekend]],Programma!$F$4:$Y$36148,5,0),"_")</f>
        <v>_</v>
      </c>
      <c r="BI53" s="247" t="str">
        <f>_xlfn.IFNA(VLOOKUP(Ruimtestaat[[#This Row],[Code Weekend]],Programma!$F$4:$Y$36148,6,0),"_")</f>
        <v>_</v>
      </c>
      <c r="BJ53" s="247" t="str">
        <f>_xlfn.IFNA(VLOOKUP(Ruimtestaat[[#This Row],[Code Weekend]],Programma!$F$4:$Y$36148,7,0),"_")</f>
        <v>_</v>
      </c>
      <c r="BK53" s="247" t="str">
        <f>_xlfn.IFNA(VLOOKUP(Ruimtestaat[[#This Row],[Code Weekend]],Programma!$F$4:$Y$36148,8,0),"_")</f>
        <v>_</v>
      </c>
      <c r="BL53" s="247" t="str">
        <f>_xlfn.IFNA(VLOOKUP(Ruimtestaat[[#This Row],[Code Weekend]],Programma!$F$4:$Y$36148,9,0),"_")</f>
        <v>_</v>
      </c>
      <c r="BM53" s="248" t="str">
        <f>_xlfn.IFNA(VLOOKUP(Ruimtestaat[[#This Row],[Code Weekend]],Programma!$F$4:$Y$36148,10,0),"_")</f>
        <v>_</v>
      </c>
      <c r="BN53" s="248" t="str">
        <f>_xlfn.IFNA(VLOOKUP(Ruimtestaat[[#This Row],[Code Weekend]],Programma!$F$4:$Y$36148,11,0),"_")</f>
        <v>_</v>
      </c>
      <c r="BO53" s="248" t="str">
        <f>_xlfn.IFNA(VLOOKUP(Ruimtestaat[[#This Row],[Code Weekend]],Programma!$F$4:$Y$36148,12,0),"_")</f>
        <v>_</v>
      </c>
      <c r="BP53" s="248" t="str">
        <f>_xlfn.IFNA(VLOOKUP(Ruimtestaat[[#This Row],[Code Weekend]],Programma!$F$4:$Y$36148,13,0),"_")</f>
        <v>_</v>
      </c>
      <c r="BQ53" s="248" t="str">
        <f>_xlfn.IFNA(VLOOKUP(Ruimtestaat[[#This Row],[Code Weekend]],Programma!$F$4:$Y$36148,14,0),"_")</f>
        <v>_</v>
      </c>
      <c r="BR53" s="248" t="str">
        <f>_xlfn.IFNA(VLOOKUP(Ruimtestaat[[#This Row],[Code Weekend]],Programma!$F$4:$Y$36148,15,0),"_")</f>
        <v>_</v>
      </c>
      <c r="BS53" s="248" t="str">
        <f>_xlfn.IFNA(VLOOKUP(Ruimtestaat[[#This Row],[Code Weekend]],Programma!$F$4:$Y$36148,16,0),"_")</f>
        <v>_</v>
      </c>
      <c r="BT53" s="248" t="str">
        <f>_xlfn.IFNA(VLOOKUP(Ruimtestaat[[#This Row],[Code Weekend]],Programma!$F$4:$Y$36148,17,0),"_")</f>
        <v>_</v>
      </c>
      <c r="BU53" s="249" t="str">
        <f>_xlfn.IFNA(VLOOKUP(Ruimtestaat[[#This Row],[Code Weekend]],Programma!$F$4:$Y$36148,18,0),"_")</f>
        <v>_</v>
      </c>
      <c r="BV53" s="249" t="str">
        <f>_xlfn.IFNA(VLOOKUP(Ruimtestaat[[#This Row],[Code Weekend]],Programma!$F$4:$Y$36148,19,0),"_")</f>
        <v>_</v>
      </c>
      <c r="BW53" s="249" t="str">
        <f>_xlfn.IFNA(VLOOKUP(Ruimtestaat[[#This Row],[Code Weekend]],Programma!$F$4:$Y$36148,20,0),"_")</f>
        <v>_</v>
      </c>
      <c r="HK53" s="88"/>
    </row>
    <row r="54" spans="1:219" ht="12.75" customHeight="1">
      <c r="A54" s="131">
        <v>1</v>
      </c>
      <c r="B54" s="22" t="str">
        <f>VLOOKUP(Ruimtestaat[[#This Row],[Code]],Locaties[#All],2,FALSE)</f>
        <v>ESH Secondary School</v>
      </c>
      <c r="C54" s="22" t="str">
        <f>VLOOKUP(Ruimtestaat[[#This Row],[Code]],Locaties[#All],4,FALSE)</f>
        <v>Oostduinlaan 50</v>
      </c>
      <c r="D54" s="334" t="str">
        <f>VLOOKUP(Ruimtestaat[[#This Row],[Code]],Locaties[#All],5,FALSE)</f>
        <v>2596 JP</v>
      </c>
      <c r="E54" s="334" t="str">
        <f>VLOOKUP(Ruimtestaat[[#This Row],[Code]],Locaties[#All],6,FALSE)</f>
        <v>Den Haag</v>
      </c>
      <c r="F54" s="335"/>
      <c r="G54" s="334" t="s">
        <v>1611</v>
      </c>
      <c r="H54" s="334" t="s">
        <v>1369</v>
      </c>
      <c r="I54" s="335" t="s">
        <v>1396</v>
      </c>
      <c r="J54" s="328">
        <v>21</v>
      </c>
      <c r="K54" s="335" t="str">
        <f>VLOOKUP(J54,Ruimtegroepen[],2,FALSE)</f>
        <v>Niet in onderhoud</v>
      </c>
      <c r="L54" s="334"/>
      <c r="M54" s="334"/>
      <c r="N54" s="337"/>
      <c r="O54" s="331">
        <v>6</v>
      </c>
      <c r="P54" s="332" t="str">
        <f>VLOOKUP(Ruimtestaat[[#This Row],[Ruimte code]],Ruimtegroepen[],4,FALSE)</f>
        <v>NIO</v>
      </c>
      <c r="Q54" s="332"/>
      <c r="R54" s="333"/>
      <c r="S54" s="333"/>
      <c r="T54" s="37"/>
      <c r="U54" s="37">
        <f>IF(R54&gt;0,IF(RIGHT(Ruimtestaat[[#This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4" s="37">
        <f>IF(U54&gt;0,VLOOKUP($J54,Ruimtegroepen[],3,FALSE)*VLOOKUP($L54,Vloersoorten[],3,FALSE)*VLOOKUP($S54,Frequenties[],3,FALSE)*VLOOKUP($A54,Locaties[],3,FALSE),0)</f>
        <v>0</v>
      </c>
      <c r="W54" s="37">
        <f>Ruimtestaat[[#This Row],[Uitvoeringen werkdagen]]*Ruimtestaat[[#This Row],[Oppervlak (netto)]]</f>
        <v>0</v>
      </c>
      <c r="X54" s="37">
        <f>IF(V54&gt;0,Ruimtestaat[[#This Row],[Prest. (m2 /jaar) werkdagen]]/Ruimtestaat[[#This Row],[Norm (m2/uur) werkdagen]],0)</f>
        <v>0</v>
      </c>
      <c r="Y54" s="37">
        <f>Ruimtestaat[[#This Row],[uren / jaar werkdagen]]*Tariefsopbouw!$D$38</f>
        <v>0</v>
      </c>
      <c r="Z54" s="37">
        <f>IF(Ruimtestaat[[#This Row],[Frequentie weekend]]&gt;0,VALUE(LEFT(T54,1))*R54,0)</f>
        <v>0</v>
      </c>
      <c r="AA54" s="37">
        <f>IF($Z54&gt;0,VLOOKUP($J54,Ruimtegroepen[],3,FALSE)*VLOOKUP($L54,Vloersoorten[],3,FALSE)*VLOOKUP($T54,Frequenties[],3,FALSE)*VLOOKUP($A54,Locaties[],3,FALSE),0)</f>
        <v>0</v>
      </c>
      <c r="AB54" s="37">
        <f>Ruimtestaat[[#This Row],[Uitvoeringen weekend]]*Ruimtestaat[[#This Row],[Oppervlak (netto)]]</f>
        <v>0</v>
      </c>
      <c r="AC54" s="37">
        <f>IF(AA54&gt;0,Ruimtestaat[[#This Row],[Prest. (m2 /jaar) weekend]]/Ruimtestaat[[#This Row],[Norm (m2/uur) weekend]],0)</f>
        <v>0</v>
      </c>
      <c r="AD54" s="37">
        <f>Ruimtestaat[[#This Row],[uren / jaar weekend]]*Tariefsopbouw!$D$40</f>
        <v>0</v>
      </c>
      <c r="AE54" s="89">
        <f>Ruimtestaat[[#This Row],[Prest. (m2 /jaar) weekend]]+Ruimtestaat[[#This Row],[Prest. (m2 /jaar) werkdagen]]</f>
        <v>0</v>
      </c>
      <c r="AF54" s="89">
        <f>Ruimtestaat[[#This Row],[uren / jaar weekend]]+Ruimtestaat[[#This Row],[uren / jaar werkdagen]]</f>
        <v>0</v>
      </c>
      <c r="AG54" s="90">
        <f>Ruimtestaat[[#This Row],[kosten / jaar weekend]]+Ruimtestaat[[#This Row],[kosten / jaar werkdagen]]</f>
        <v>0</v>
      </c>
      <c r="AH54" s="253"/>
      <c r="AI54" s="252" t="str">
        <f>IF(Ruimtestaat[[#This Row],[Frequentie werkdagen]]="","",_xlfn.CONCAT(Ruimtestaat[[#This Row],[Ruimte code]],"-",Ruimtestaat[[#This Row],[Frequentie werkdagen]]," ",Ruimtestaat[[#This Row],[Vloer code]]))</f>
        <v/>
      </c>
      <c r="AJ54" s="247" t="str">
        <f>_xlfn.IFNA(VLOOKUP(Ruimtestaat[[#This Row],[Programmacode
Regulier]],Programma!$F$4:$Y$36148,2,0),"_")</f>
        <v>_</v>
      </c>
      <c r="AK54" s="247" t="str">
        <f>_xlfn.IFNA(VLOOKUP(Ruimtestaat[[#This Row],[Programmacode
Regulier]],Programma!$F$4:$Y$36148,3,0),"_")</f>
        <v>_</v>
      </c>
      <c r="AL54" s="247" t="str">
        <f>_xlfn.IFNA(VLOOKUP(Ruimtestaat[[#This Row],[Programmacode
Regulier]],Programma!$F$4:$Y$36148,4,0),"_")</f>
        <v>_</v>
      </c>
      <c r="AM54" s="247" t="str">
        <f>_xlfn.IFNA(VLOOKUP(Ruimtestaat[[#This Row],[Programmacode
Regulier]],Programma!$F$4:$Y$36148,5,0),"_")</f>
        <v>_</v>
      </c>
      <c r="AN54" s="247" t="str">
        <f>_xlfn.IFNA(VLOOKUP(Ruimtestaat[[#This Row],[Programmacode
Regulier]],Programma!$F$4:$Y$36148,6,0),"_")</f>
        <v>_</v>
      </c>
      <c r="AO54" s="247" t="str">
        <f>_xlfn.IFNA(VLOOKUP(Ruimtestaat[[#This Row],[Programmacode
Regulier]],Programma!$F$4:$Y$36148,7,0),"_")</f>
        <v>_</v>
      </c>
      <c r="AP54" s="247" t="str">
        <f>_xlfn.IFNA(VLOOKUP(Ruimtestaat[[#This Row],[Programmacode
Regulier]],Programma!$F$4:$Y$36148,8,0),"_")</f>
        <v>_</v>
      </c>
      <c r="AQ54" s="247" t="str">
        <f>_xlfn.IFNA(VLOOKUP(Ruimtestaat[[#This Row],[Programmacode
Regulier]],Programma!$F$4:$Y$36148,9,0),"_")</f>
        <v>_</v>
      </c>
      <c r="AR54" s="248" t="str">
        <f>_xlfn.IFNA(VLOOKUP(Ruimtestaat[[#This Row],[Programmacode
Regulier]],Programma!$F$4:$Y$36148,10,0),"_")</f>
        <v>_</v>
      </c>
      <c r="AS54" s="248" t="str">
        <f>_xlfn.IFNA(VLOOKUP(Ruimtestaat[[#This Row],[Programmacode
Regulier]],Programma!$F$4:$Y$36148,11,0),"_")</f>
        <v>_</v>
      </c>
      <c r="AT54" s="248" t="str">
        <f>_xlfn.IFNA(VLOOKUP(Ruimtestaat[[#This Row],[Programmacode
Regulier]],Programma!$F$4:$Y$36148,12,0),"_")</f>
        <v>_</v>
      </c>
      <c r="AU54" s="248" t="str">
        <f>_xlfn.IFNA(VLOOKUP(Ruimtestaat[[#This Row],[Programmacode
Regulier]],Programma!$F$4:$Y$36148,13,0),"_")</f>
        <v>_</v>
      </c>
      <c r="AV54" s="248" t="str">
        <f>_xlfn.IFNA(VLOOKUP(Ruimtestaat[[#This Row],[Programmacode
Regulier]],Programma!$F$4:$Y$36148,14,0),"_")</f>
        <v>_</v>
      </c>
      <c r="AW54" s="248" t="str">
        <f>_xlfn.IFNA(VLOOKUP(Ruimtestaat[[#This Row],[Programmacode
Regulier]],Programma!$F$4:$Y$36148,15,0),"_")</f>
        <v>_</v>
      </c>
      <c r="AX54" s="248" t="str">
        <f>_xlfn.IFNA(VLOOKUP(Ruimtestaat[[#This Row],[Programmacode
Regulier]],Programma!$F$4:$Y$36148,16,0),"_")</f>
        <v>_</v>
      </c>
      <c r="AY54" s="248" t="str">
        <f>_xlfn.IFNA(VLOOKUP(Ruimtestaat[[#This Row],[Programmacode
Regulier]],Programma!$F$4:$Y$36148,17,0),"_")</f>
        <v>_</v>
      </c>
      <c r="AZ54" s="249" t="str">
        <f>_xlfn.IFNA(VLOOKUP(Ruimtestaat[[#This Row],[Programmacode
Regulier]],Programma!$F$4:$Y$36148,18,0),"_")</f>
        <v>_</v>
      </c>
      <c r="BA54" s="249" t="str">
        <f>_xlfn.IFNA(VLOOKUP(Ruimtestaat[[#This Row],[Programmacode
Regulier]],Programma!$F$4:$Y$36148,19,0),"_")</f>
        <v>_</v>
      </c>
      <c r="BB54" s="249" t="str">
        <f>_xlfn.IFNA(VLOOKUP(Ruimtestaat[[#This Row],[Programmacode
Regulier]],Programma!$F$4:$Y$36148,20,0),"_")</f>
        <v>_</v>
      </c>
      <c r="BC54" s="244"/>
      <c r="BD54" s="212" t="str">
        <f>IF(Ruimtestaat[[#This Row],[Frequentie weekend]]="","",_xlfn.CONCAT(Ruimtestaat[[#This Row],[Ruimte code]],"-",Ruimtestaat[[#This Row],[Frequentie weekend]]," ",Ruimtestaat[[#This Row],[Vloer code]]))</f>
        <v/>
      </c>
      <c r="BE54" s="247" t="str">
        <f>_xlfn.IFNA(VLOOKUP(Ruimtestaat[[#This Row],[Code Weekend]],Programma!$F$4:$Y$36148,2,0),"_")</f>
        <v>_</v>
      </c>
      <c r="BF54" s="247" t="str">
        <f>_xlfn.IFNA(VLOOKUP(Ruimtestaat[[#This Row],[Code Weekend]],Programma!$F$4:$Y$36148,3,0),"_")</f>
        <v>_</v>
      </c>
      <c r="BG54" s="247" t="str">
        <f>_xlfn.IFNA(VLOOKUP(Ruimtestaat[[#This Row],[Code Weekend]],Programma!$F$4:$Y$36148,4,0),"_")</f>
        <v>_</v>
      </c>
      <c r="BH54" s="247" t="str">
        <f>_xlfn.IFNA(VLOOKUP(Ruimtestaat[[#This Row],[Code Weekend]],Programma!$F$4:$Y$36148,5,0),"_")</f>
        <v>_</v>
      </c>
      <c r="BI54" s="247" t="str">
        <f>_xlfn.IFNA(VLOOKUP(Ruimtestaat[[#This Row],[Code Weekend]],Programma!$F$4:$Y$36148,6,0),"_")</f>
        <v>_</v>
      </c>
      <c r="BJ54" s="247" t="str">
        <f>_xlfn.IFNA(VLOOKUP(Ruimtestaat[[#This Row],[Code Weekend]],Programma!$F$4:$Y$36148,7,0),"_")</f>
        <v>_</v>
      </c>
      <c r="BK54" s="247" t="str">
        <f>_xlfn.IFNA(VLOOKUP(Ruimtestaat[[#This Row],[Code Weekend]],Programma!$F$4:$Y$36148,8,0),"_")</f>
        <v>_</v>
      </c>
      <c r="BL54" s="247" t="str">
        <f>_xlfn.IFNA(VLOOKUP(Ruimtestaat[[#This Row],[Code Weekend]],Programma!$F$4:$Y$36148,9,0),"_")</f>
        <v>_</v>
      </c>
      <c r="BM54" s="248" t="str">
        <f>_xlfn.IFNA(VLOOKUP(Ruimtestaat[[#This Row],[Code Weekend]],Programma!$F$4:$Y$36148,10,0),"_")</f>
        <v>_</v>
      </c>
      <c r="BN54" s="248" t="str">
        <f>_xlfn.IFNA(VLOOKUP(Ruimtestaat[[#This Row],[Code Weekend]],Programma!$F$4:$Y$36148,11,0),"_")</f>
        <v>_</v>
      </c>
      <c r="BO54" s="248" t="str">
        <f>_xlfn.IFNA(VLOOKUP(Ruimtestaat[[#This Row],[Code Weekend]],Programma!$F$4:$Y$36148,12,0),"_")</f>
        <v>_</v>
      </c>
      <c r="BP54" s="248" t="str">
        <f>_xlfn.IFNA(VLOOKUP(Ruimtestaat[[#This Row],[Code Weekend]],Programma!$F$4:$Y$36148,13,0),"_")</f>
        <v>_</v>
      </c>
      <c r="BQ54" s="248" t="str">
        <f>_xlfn.IFNA(VLOOKUP(Ruimtestaat[[#This Row],[Code Weekend]],Programma!$F$4:$Y$36148,14,0),"_")</f>
        <v>_</v>
      </c>
      <c r="BR54" s="248" t="str">
        <f>_xlfn.IFNA(VLOOKUP(Ruimtestaat[[#This Row],[Code Weekend]],Programma!$F$4:$Y$36148,15,0),"_")</f>
        <v>_</v>
      </c>
      <c r="BS54" s="248" t="str">
        <f>_xlfn.IFNA(VLOOKUP(Ruimtestaat[[#This Row],[Code Weekend]],Programma!$F$4:$Y$36148,16,0),"_")</f>
        <v>_</v>
      </c>
      <c r="BT54" s="248" t="str">
        <f>_xlfn.IFNA(VLOOKUP(Ruimtestaat[[#This Row],[Code Weekend]],Programma!$F$4:$Y$36148,17,0),"_")</f>
        <v>_</v>
      </c>
      <c r="BU54" s="249" t="str">
        <f>_xlfn.IFNA(VLOOKUP(Ruimtestaat[[#This Row],[Code Weekend]],Programma!$F$4:$Y$36148,18,0),"_")</f>
        <v>_</v>
      </c>
      <c r="BV54" s="249" t="str">
        <f>_xlfn.IFNA(VLOOKUP(Ruimtestaat[[#This Row],[Code Weekend]],Programma!$F$4:$Y$36148,19,0),"_")</f>
        <v>_</v>
      </c>
      <c r="BW54" s="249" t="str">
        <f>_xlfn.IFNA(VLOOKUP(Ruimtestaat[[#This Row],[Code Weekend]],Programma!$F$4:$Y$36148,20,0),"_")</f>
        <v>_</v>
      </c>
      <c r="HK54" s="88"/>
    </row>
    <row r="55" spans="1:219" ht="12.75" customHeight="1">
      <c r="A55" s="131">
        <v>1</v>
      </c>
      <c r="B55" s="22" t="str">
        <f>VLOOKUP(Ruimtestaat[[#This Row],[Code]],Locaties[#All],2,FALSE)</f>
        <v>ESH Secondary School</v>
      </c>
      <c r="C55" s="22" t="str">
        <f>VLOOKUP(Ruimtestaat[[#This Row],[Code]],Locaties[#All],4,FALSE)</f>
        <v>Oostduinlaan 50</v>
      </c>
      <c r="D55" s="334" t="str">
        <f>VLOOKUP(Ruimtestaat[[#This Row],[Code]],Locaties[#All],5,FALSE)</f>
        <v>2596 JP</v>
      </c>
      <c r="E55" s="334" t="str">
        <f>VLOOKUP(Ruimtestaat[[#This Row],[Code]],Locaties[#All],6,FALSE)</f>
        <v>Den Haag</v>
      </c>
      <c r="F55" s="335"/>
      <c r="G55" s="334" t="s">
        <v>1611</v>
      </c>
      <c r="H55" s="334" t="s">
        <v>1370</v>
      </c>
      <c r="I55" s="335" t="s">
        <v>1490</v>
      </c>
      <c r="J55" s="334">
        <v>8</v>
      </c>
      <c r="K55" s="335" t="str">
        <f>VLOOKUP(J55,Ruimtegroepen[],2,FALSE)</f>
        <v>Toneel</v>
      </c>
      <c r="L55" s="212" t="s">
        <v>123</v>
      </c>
      <c r="M55" s="334" t="s">
        <v>1766</v>
      </c>
      <c r="N55" s="337">
        <v>110</v>
      </c>
      <c r="O55" s="331"/>
      <c r="P55" s="332" t="str">
        <f>VLOOKUP(Ruimtestaat[[#This Row],[Ruimte code]],Ruimtegroepen[],4,FALSE)</f>
        <v>V  (Verkeersruimte)</v>
      </c>
      <c r="Q55" s="332"/>
      <c r="R55" s="333">
        <v>40</v>
      </c>
      <c r="S55" s="333" t="s">
        <v>2</v>
      </c>
      <c r="T55" s="37"/>
      <c r="U55" s="37">
        <f>IF(R55&gt;0,IF(RIGHT(Ruimtestaat[[#This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5" s="37">
        <f>IF(U55&gt;0,VLOOKUP($J55,Ruimtegroepen[],3,FALSE)*VLOOKUP($L55,Vloersoorten[],3,FALSE)*VLOOKUP($S55,Frequenties[],3,FALSE)*VLOOKUP($A55,Locaties[],3,FALSE),0)</f>
        <v>0</v>
      </c>
      <c r="W55" s="37">
        <f>Ruimtestaat[[#This Row],[Uitvoeringen werkdagen]]*Ruimtestaat[[#This Row],[Oppervlak (netto)]]</f>
        <v>22000</v>
      </c>
      <c r="X55" s="37">
        <f>IF(V55&gt;0,Ruimtestaat[[#This Row],[Prest. (m2 /jaar) werkdagen]]/Ruimtestaat[[#This Row],[Norm (m2/uur) werkdagen]],0)</f>
        <v>0</v>
      </c>
      <c r="Y55" s="37">
        <f>Ruimtestaat[[#This Row],[uren / jaar werkdagen]]*Tariefsopbouw!$D$38</f>
        <v>0</v>
      </c>
      <c r="Z55" s="37">
        <f>IF(Ruimtestaat[[#This Row],[Frequentie weekend]]&gt;0,VALUE(LEFT(T55,1))*R55,0)</f>
        <v>0</v>
      </c>
      <c r="AA55" s="37">
        <f>IF($Z55&gt;0,VLOOKUP($J55,Ruimtegroepen[],3,FALSE)*VLOOKUP($L55,Vloersoorten[],3,FALSE)*VLOOKUP($T55,Frequenties[],3,FALSE)*VLOOKUP($A55,Locaties[],3,FALSE),0)</f>
        <v>0</v>
      </c>
      <c r="AB55" s="37">
        <f>Ruimtestaat[[#This Row],[Uitvoeringen weekend]]*Ruimtestaat[[#This Row],[Oppervlak (netto)]]</f>
        <v>0</v>
      </c>
      <c r="AC55" s="37">
        <f>IF(AA55&gt;0,Ruimtestaat[[#This Row],[Prest. (m2 /jaar) weekend]]/Ruimtestaat[[#This Row],[Norm (m2/uur) weekend]],0)</f>
        <v>0</v>
      </c>
      <c r="AD55" s="37">
        <f>Ruimtestaat[[#This Row],[uren / jaar weekend]]*Tariefsopbouw!$D$40</f>
        <v>0</v>
      </c>
      <c r="AE55" s="89">
        <f>Ruimtestaat[[#This Row],[Prest. (m2 /jaar) weekend]]+Ruimtestaat[[#This Row],[Prest. (m2 /jaar) werkdagen]]</f>
        <v>22000</v>
      </c>
      <c r="AF55" s="89">
        <f>Ruimtestaat[[#This Row],[uren / jaar weekend]]+Ruimtestaat[[#This Row],[uren / jaar werkdagen]]</f>
        <v>0</v>
      </c>
      <c r="AG55" s="90">
        <f>Ruimtestaat[[#This Row],[kosten / jaar weekend]]+Ruimtestaat[[#This Row],[kosten / jaar werkdagen]]</f>
        <v>0</v>
      </c>
      <c r="AH55" s="253"/>
      <c r="AI55" s="252" t="str">
        <f>IF(Ruimtestaat[[#This Row],[Frequentie werkdagen]]="","",_xlfn.CONCAT(Ruimtestaat[[#This Row],[Ruimte code]],"-",Ruimtestaat[[#This Row],[Frequentie werkdagen]]," ",Ruimtestaat[[#This Row],[Vloer code]]))</f>
        <v>8-5w P</v>
      </c>
      <c r="AJ55" s="247" t="str">
        <f>_xlfn.IFNA(VLOOKUP(Ruimtestaat[[#This Row],[Programmacode
Regulier]],Programma!$F$4:$Y$36148,2,0),"_")</f>
        <v>_</v>
      </c>
      <c r="AK55" s="247" t="str">
        <f>_xlfn.IFNA(VLOOKUP(Ruimtestaat[[#This Row],[Programmacode
Regulier]],Programma!$F$4:$Y$36148,3,0),"_")</f>
        <v>_</v>
      </c>
      <c r="AL55" s="247" t="str">
        <f>_xlfn.IFNA(VLOOKUP(Ruimtestaat[[#This Row],[Programmacode
Regulier]],Programma!$F$4:$Y$36148,4,0),"_")</f>
        <v>5w</v>
      </c>
      <c r="AM55" s="247" t="str">
        <f>_xlfn.IFNA(VLOOKUP(Ruimtestaat[[#This Row],[Programmacode
Regulier]],Programma!$F$4:$Y$36148,5,0),"_")</f>
        <v>1w</v>
      </c>
      <c r="AN55" s="247" t="str">
        <f>_xlfn.IFNA(VLOOKUP(Ruimtestaat[[#This Row],[Programmacode
Regulier]],Programma!$F$4:$Y$36148,6,0),"_")</f>
        <v>1m</v>
      </c>
      <c r="AO55" s="247" t="str">
        <f>_xlfn.IFNA(VLOOKUP(Ruimtestaat[[#This Row],[Programmacode
Regulier]],Programma!$F$4:$Y$36148,7,0),"_")</f>
        <v>_</v>
      </c>
      <c r="AP55" s="247" t="str">
        <f>_xlfn.IFNA(VLOOKUP(Ruimtestaat[[#This Row],[Programmacode
Regulier]],Programma!$F$4:$Y$36148,8,0),"_")</f>
        <v>_</v>
      </c>
      <c r="AQ55" s="247" t="str">
        <f>_xlfn.IFNA(VLOOKUP(Ruimtestaat[[#This Row],[Programmacode
Regulier]],Programma!$F$4:$Y$36148,9,0),"_")</f>
        <v>_</v>
      </c>
      <c r="AR55" s="248" t="str">
        <f>_xlfn.IFNA(VLOOKUP(Ruimtestaat[[#This Row],[Programmacode
Regulier]],Programma!$F$4:$Y$36148,10,0),"_")</f>
        <v>5w</v>
      </c>
      <c r="AS55" s="248" t="str">
        <f>_xlfn.IFNA(VLOOKUP(Ruimtestaat[[#This Row],[Programmacode
Regulier]],Programma!$F$4:$Y$36148,11,0),"_")</f>
        <v>5w</v>
      </c>
      <c r="AT55" s="248" t="str">
        <f>_xlfn.IFNA(VLOOKUP(Ruimtestaat[[#This Row],[Programmacode
Regulier]],Programma!$F$4:$Y$36148,12,0),"_")</f>
        <v>1w</v>
      </c>
      <c r="AU55" s="248" t="str">
        <f>_xlfn.IFNA(VLOOKUP(Ruimtestaat[[#This Row],[Programmacode
Regulier]],Programma!$F$4:$Y$36148,13,0),"_")</f>
        <v>1w</v>
      </c>
      <c r="AV55" s="248" t="str">
        <f>_xlfn.IFNA(VLOOKUP(Ruimtestaat[[#This Row],[Programmacode
Regulier]],Programma!$F$4:$Y$36148,14,0),"_")</f>
        <v>1m</v>
      </c>
      <c r="AW55" s="248" t="str">
        <f>_xlfn.IFNA(VLOOKUP(Ruimtestaat[[#This Row],[Programmacode
Regulier]],Programma!$F$4:$Y$36148,15,0),"_")</f>
        <v>2j</v>
      </c>
      <c r="AX55" s="248" t="str">
        <f>_xlfn.IFNA(VLOOKUP(Ruimtestaat[[#This Row],[Programmacode
Regulier]],Programma!$F$4:$Y$36148,16,0),"_")</f>
        <v>1j</v>
      </c>
      <c r="AY55" s="248" t="str">
        <f>_xlfn.IFNA(VLOOKUP(Ruimtestaat[[#This Row],[Programmacode
Regulier]],Programma!$F$4:$Y$36148,17,0),"_")</f>
        <v>_</v>
      </c>
      <c r="AZ55" s="249" t="str">
        <f>_xlfn.IFNA(VLOOKUP(Ruimtestaat[[#This Row],[Programmacode
Regulier]],Programma!$F$4:$Y$36148,18,0),"_")</f>
        <v>_</v>
      </c>
      <c r="BA55" s="249" t="str">
        <f>_xlfn.IFNA(VLOOKUP(Ruimtestaat[[#This Row],[Programmacode
Regulier]],Programma!$F$4:$Y$36148,19,0),"_")</f>
        <v>_</v>
      </c>
      <c r="BB55" s="249" t="str">
        <f>_xlfn.IFNA(VLOOKUP(Ruimtestaat[[#This Row],[Programmacode
Regulier]],Programma!$F$4:$Y$36148,20,0),"_")</f>
        <v>_</v>
      </c>
      <c r="BC55" s="250"/>
      <c r="BD55" s="212" t="str">
        <f>IF(Ruimtestaat[[#This Row],[Frequentie weekend]]="","",_xlfn.CONCAT(Ruimtestaat[[#This Row],[Ruimte code]],"-",Ruimtestaat[[#This Row],[Frequentie weekend]]," ",Ruimtestaat[[#This Row],[Vloer code]]))</f>
        <v/>
      </c>
      <c r="BE55" s="247" t="str">
        <f>_xlfn.IFNA(VLOOKUP(Ruimtestaat[[#This Row],[Code Weekend]],Programma!$F$4:$Y$36148,2,0),"_")</f>
        <v>_</v>
      </c>
      <c r="BF55" s="247" t="str">
        <f>_xlfn.IFNA(VLOOKUP(Ruimtestaat[[#This Row],[Code Weekend]],Programma!$F$4:$Y$36148,3,0),"_")</f>
        <v>_</v>
      </c>
      <c r="BG55" s="247" t="str">
        <f>_xlfn.IFNA(VLOOKUP(Ruimtestaat[[#This Row],[Code Weekend]],Programma!$F$4:$Y$36148,4,0),"_")</f>
        <v>_</v>
      </c>
      <c r="BH55" s="247" t="str">
        <f>_xlfn.IFNA(VLOOKUP(Ruimtestaat[[#This Row],[Code Weekend]],Programma!$F$4:$Y$36148,5,0),"_")</f>
        <v>_</v>
      </c>
      <c r="BI55" s="247" t="str">
        <f>_xlfn.IFNA(VLOOKUP(Ruimtestaat[[#This Row],[Code Weekend]],Programma!$F$4:$Y$36148,6,0),"_")</f>
        <v>_</v>
      </c>
      <c r="BJ55" s="247" t="str">
        <f>_xlfn.IFNA(VLOOKUP(Ruimtestaat[[#This Row],[Code Weekend]],Programma!$F$4:$Y$36148,7,0),"_")</f>
        <v>_</v>
      </c>
      <c r="BK55" s="247" t="str">
        <f>_xlfn.IFNA(VLOOKUP(Ruimtestaat[[#This Row],[Code Weekend]],Programma!$F$4:$Y$36148,8,0),"_")</f>
        <v>_</v>
      </c>
      <c r="BL55" s="247" t="str">
        <f>_xlfn.IFNA(VLOOKUP(Ruimtestaat[[#This Row],[Code Weekend]],Programma!$F$4:$Y$36148,9,0),"_")</f>
        <v>_</v>
      </c>
      <c r="BM55" s="248" t="str">
        <f>_xlfn.IFNA(VLOOKUP(Ruimtestaat[[#This Row],[Code Weekend]],Programma!$F$4:$Y$36148,10,0),"_")</f>
        <v>_</v>
      </c>
      <c r="BN55" s="248" t="str">
        <f>_xlfn.IFNA(VLOOKUP(Ruimtestaat[[#This Row],[Code Weekend]],Programma!$F$4:$Y$36148,11,0),"_")</f>
        <v>_</v>
      </c>
      <c r="BO55" s="248" t="str">
        <f>_xlfn.IFNA(VLOOKUP(Ruimtestaat[[#This Row],[Code Weekend]],Programma!$F$4:$Y$36148,12,0),"_")</f>
        <v>_</v>
      </c>
      <c r="BP55" s="248" t="str">
        <f>_xlfn.IFNA(VLOOKUP(Ruimtestaat[[#This Row],[Code Weekend]],Programma!$F$4:$Y$36148,13,0),"_")</f>
        <v>_</v>
      </c>
      <c r="BQ55" s="248" t="str">
        <f>_xlfn.IFNA(VLOOKUP(Ruimtestaat[[#This Row],[Code Weekend]],Programma!$F$4:$Y$36148,14,0),"_")</f>
        <v>_</v>
      </c>
      <c r="BR55" s="248" t="str">
        <f>_xlfn.IFNA(VLOOKUP(Ruimtestaat[[#This Row],[Code Weekend]],Programma!$F$4:$Y$36148,15,0),"_")</f>
        <v>_</v>
      </c>
      <c r="BS55" s="248" t="str">
        <f>_xlfn.IFNA(VLOOKUP(Ruimtestaat[[#This Row],[Code Weekend]],Programma!$F$4:$Y$36148,16,0),"_")</f>
        <v>_</v>
      </c>
      <c r="BT55" s="248" t="str">
        <f>_xlfn.IFNA(VLOOKUP(Ruimtestaat[[#This Row],[Code Weekend]],Programma!$F$4:$Y$36148,17,0),"_")</f>
        <v>_</v>
      </c>
      <c r="BU55" s="249" t="str">
        <f>_xlfn.IFNA(VLOOKUP(Ruimtestaat[[#This Row],[Code Weekend]],Programma!$F$4:$Y$36148,18,0),"_")</f>
        <v>_</v>
      </c>
      <c r="BV55" s="249" t="str">
        <f>_xlfn.IFNA(VLOOKUP(Ruimtestaat[[#This Row],[Code Weekend]],Programma!$F$4:$Y$36148,19,0),"_")</f>
        <v>_</v>
      </c>
      <c r="BW55" s="249" t="str">
        <f>_xlfn.IFNA(VLOOKUP(Ruimtestaat[[#This Row],[Code Weekend]],Programma!$F$4:$Y$36148,20,0),"_")</f>
        <v>_</v>
      </c>
      <c r="HK55" s="88"/>
    </row>
    <row r="56" spans="1:219" ht="12.75" customHeight="1">
      <c r="A56" s="131">
        <v>1</v>
      </c>
      <c r="B56" s="22" t="str">
        <f>VLOOKUP(Ruimtestaat[[#This Row],[Code]],Locaties[#All],2,FALSE)</f>
        <v>ESH Secondary School</v>
      </c>
      <c r="C56" s="22" t="str">
        <f>VLOOKUP(Ruimtestaat[[#This Row],[Code]],Locaties[#All],4,FALSE)</f>
        <v>Oostduinlaan 50</v>
      </c>
      <c r="D56" s="334" t="str">
        <f>VLOOKUP(Ruimtestaat[[#This Row],[Code]],Locaties[#All],5,FALSE)</f>
        <v>2596 JP</v>
      </c>
      <c r="E56" s="334" t="str">
        <f>VLOOKUP(Ruimtestaat[[#This Row],[Code]],Locaties[#All],6,FALSE)</f>
        <v>Den Haag</v>
      </c>
      <c r="F56" s="335"/>
      <c r="G56" s="334" t="s">
        <v>1611</v>
      </c>
      <c r="H56" s="334" t="s">
        <v>1371</v>
      </c>
      <c r="I56" s="335" t="s">
        <v>1491</v>
      </c>
      <c r="J56" s="333">
        <v>16</v>
      </c>
      <c r="K56" s="335" t="str">
        <f>VLOOKUP(J56,Ruimtegroepen[],2,FALSE)</f>
        <v>Leslokalen</v>
      </c>
      <c r="L56" s="212" t="s">
        <v>123</v>
      </c>
      <c r="M56" s="334" t="s">
        <v>144</v>
      </c>
      <c r="N56" s="337">
        <v>76</v>
      </c>
      <c r="O56" s="331"/>
      <c r="P56" s="332" t="str">
        <f>VLOOKUP(Ruimtestaat[[#This Row],[Ruimte code]],Ruimtegroepen[],4,FALSE)</f>
        <v>L  (Lesruimte)</v>
      </c>
      <c r="Q56" s="332"/>
      <c r="R56" s="333">
        <v>40</v>
      </c>
      <c r="S56" s="333" t="s">
        <v>2</v>
      </c>
      <c r="T56" s="37"/>
      <c r="U56" s="37">
        <f>IF(R56&gt;0,IF(RIGHT(Ruimtestaat[[#This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6" s="37">
        <f>IF(U56&gt;0,VLOOKUP($J56,Ruimtegroepen[],3,FALSE)*VLOOKUP($L56,Vloersoorten[],3,FALSE)*VLOOKUP($S56,Frequenties[],3,FALSE)*VLOOKUP($A56,Locaties[],3,FALSE),0)</f>
        <v>0</v>
      </c>
      <c r="W56" s="37">
        <f>Ruimtestaat[[#This Row],[Uitvoeringen werkdagen]]*Ruimtestaat[[#This Row],[Oppervlak (netto)]]</f>
        <v>15200</v>
      </c>
      <c r="X56" s="37">
        <f>IF(V56&gt;0,Ruimtestaat[[#This Row],[Prest. (m2 /jaar) werkdagen]]/Ruimtestaat[[#This Row],[Norm (m2/uur) werkdagen]],0)</f>
        <v>0</v>
      </c>
      <c r="Y56" s="37">
        <f>Ruimtestaat[[#This Row],[uren / jaar werkdagen]]*Tariefsopbouw!$D$38</f>
        <v>0</v>
      </c>
      <c r="Z56" s="37">
        <f>IF(Ruimtestaat[[#This Row],[Frequentie weekend]]&gt;0,VALUE(LEFT(T56,1))*R56,0)</f>
        <v>0</v>
      </c>
      <c r="AA56" s="37">
        <f>IF($Z56&gt;0,VLOOKUP($J56,Ruimtegroepen[],3,FALSE)*VLOOKUP($L56,Vloersoorten[],3,FALSE)*VLOOKUP($T56,Frequenties[],3,FALSE)*VLOOKUP($A56,Locaties[],3,FALSE),0)</f>
        <v>0</v>
      </c>
      <c r="AB56" s="37">
        <f>Ruimtestaat[[#This Row],[Uitvoeringen weekend]]*Ruimtestaat[[#This Row],[Oppervlak (netto)]]</f>
        <v>0</v>
      </c>
      <c r="AC56" s="37">
        <f>IF(AA56&gt;0,Ruimtestaat[[#This Row],[Prest. (m2 /jaar) weekend]]/Ruimtestaat[[#This Row],[Norm (m2/uur) weekend]],0)</f>
        <v>0</v>
      </c>
      <c r="AD56" s="37">
        <f>Ruimtestaat[[#This Row],[uren / jaar weekend]]*Tariefsopbouw!$D$40</f>
        <v>0</v>
      </c>
      <c r="AE56" s="89">
        <f>Ruimtestaat[[#This Row],[Prest. (m2 /jaar) weekend]]+Ruimtestaat[[#This Row],[Prest. (m2 /jaar) werkdagen]]</f>
        <v>15200</v>
      </c>
      <c r="AF56" s="89">
        <f>Ruimtestaat[[#This Row],[uren / jaar weekend]]+Ruimtestaat[[#This Row],[uren / jaar werkdagen]]</f>
        <v>0</v>
      </c>
      <c r="AG56" s="90">
        <f>Ruimtestaat[[#This Row],[kosten / jaar weekend]]+Ruimtestaat[[#This Row],[kosten / jaar werkdagen]]</f>
        <v>0</v>
      </c>
      <c r="AH56" s="253"/>
      <c r="AI56" s="252" t="str">
        <f>IF(Ruimtestaat[[#This Row],[Frequentie werkdagen]]="","",_xlfn.CONCAT(Ruimtestaat[[#This Row],[Ruimte code]],"-",Ruimtestaat[[#This Row],[Frequentie werkdagen]]," ",Ruimtestaat[[#This Row],[Vloer code]]))</f>
        <v>16-5w P</v>
      </c>
      <c r="AJ56" s="247" t="str">
        <f>_xlfn.IFNA(VLOOKUP(Ruimtestaat[[#This Row],[Programmacode
Regulier]],Programma!$F$4:$Y$36148,2,0),"_")</f>
        <v>_</v>
      </c>
      <c r="AK56" s="247" t="str">
        <f>_xlfn.IFNA(VLOOKUP(Ruimtestaat[[#This Row],[Programmacode
Regulier]],Programma!$F$4:$Y$36148,3,0),"_")</f>
        <v>_</v>
      </c>
      <c r="AL56" s="247" t="str">
        <f>_xlfn.IFNA(VLOOKUP(Ruimtestaat[[#This Row],[Programmacode
Regulier]],Programma!$F$4:$Y$36148,4,0),"_")</f>
        <v>5w</v>
      </c>
      <c r="AM56" s="247" t="str">
        <f>_xlfn.IFNA(VLOOKUP(Ruimtestaat[[#This Row],[Programmacode
Regulier]],Programma!$F$4:$Y$36148,5,0),"_")</f>
        <v>1w</v>
      </c>
      <c r="AN56" s="247" t="str">
        <f>_xlfn.IFNA(VLOOKUP(Ruimtestaat[[#This Row],[Programmacode
Regulier]],Programma!$F$4:$Y$36148,6,0),"_")</f>
        <v>1m</v>
      </c>
      <c r="AO56" s="247" t="str">
        <f>_xlfn.IFNA(VLOOKUP(Ruimtestaat[[#This Row],[Programmacode
Regulier]],Programma!$F$4:$Y$36148,7,0),"_")</f>
        <v>_</v>
      </c>
      <c r="AP56" s="247" t="str">
        <f>_xlfn.IFNA(VLOOKUP(Ruimtestaat[[#This Row],[Programmacode
Regulier]],Programma!$F$4:$Y$36148,8,0),"_")</f>
        <v>_</v>
      </c>
      <c r="AQ56" s="247" t="str">
        <f>_xlfn.IFNA(VLOOKUP(Ruimtestaat[[#This Row],[Programmacode
Regulier]],Programma!$F$4:$Y$36148,9,0),"_")</f>
        <v>_</v>
      </c>
      <c r="AR56" s="248" t="str">
        <f>_xlfn.IFNA(VLOOKUP(Ruimtestaat[[#This Row],[Programmacode
Regulier]],Programma!$F$4:$Y$36148,10,0),"_")</f>
        <v>5w</v>
      </c>
      <c r="AS56" s="248" t="str">
        <f>_xlfn.IFNA(VLOOKUP(Ruimtestaat[[#This Row],[Programmacode
Regulier]],Programma!$F$4:$Y$36148,11,0),"_")</f>
        <v>5w</v>
      </c>
      <c r="AT56" s="248" t="str">
        <f>_xlfn.IFNA(VLOOKUP(Ruimtestaat[[#This Row],[Programmacode
Regulier]],Programma!$F$4:$Y$36148,12,0),"_")</f>
        <v>1w</v>
      </c>
      <c r="AU56" s="248" t="str">
        <f>_xlfn.IFNA(VLOOKUP(Ruimtestaat[[#This Row],[Programmacode
Regulier]],Programma!$F$4:$Y$36148,13,0),"_")</f>
        <v>1w</v>
      </c>
      <c r="AV56" s="248" t="str">
        <f>_xlfn.IFNA(VLOOKUP(Ruimtestaat[[#This Row],[Programmacode
Regulier]],Programma!$F$4:$Y$36148,14,0),"_")</f>
        <v>1m</v>
      </c>
      <c r="AW56" s="248" t="str">
        <f>_xlfn.IFNA(VLOOKUP(Ruimtestaat[[#This Row],[Programmacode
Regulier]],Programma!$F$4:$Y$36148,15,0),"_")</f>
        <v>2j</v>
      </c>
      <c r="AX56" s="248" t="str">
        <f>_xlfn.IFNA(VLOOKUP(Ruimtestaat[[#This Row],[Programmacode
Regulier]],Programma!$F$4:$Y$36148,16,0),"_")</f>
        <v>1j</v>
      </c>
      <c r="AY56" s="248" t="str">
        <f>_xlfn.IFNA(VLOOKUP(Ruimtestaat[[#This Row],[Programmacode
Regulier]],Programma!$F$4:$Y$36148,17,0),"_")</f>
        <v>_</v>
      </c>
      <c r="AZ56" s="249" t="str">
        <f>_xlfn.IFNA(VLOOKUP(Ruimtestaat[[#This Row],[Programmacode
Regulier]],Programma!$F$4:$Y$36148,18,0),"_")</f>
        <v>_</v>
      </c>
      <c r="BA56" s="249" t="str">
        <f>_xlfn.IFNA(VLOOKUP(Ruimtestaat[[#This Row],[Programmacode
Regulier]],Programma!$F$4:$Y$36148,19,0),"_")</f>
        <v>_</v>
      </c>
      <c r="BB56" s="249" t="str">
        <f>_xlfn.IFNA(VLOOKUP(Ruimtestaat[[#This Row],[Programmacode
Regulier]],Programma!$F$4:$Y$36148,20,0),"_")</f>
        <v>_</v>
      </c>
      <c r="BC56" s="250"/>
      <c r="BD56" s="212" t="str">
        <f>IF(Ruimtestaat[[#This Row],[Frequentie weekend]]="","",_xlfn.CONCAT(Ruimtestaat[[#This Row],[Ruimte code]],"-",Ruimtestaat[[#This Row],[Frequentie weekend]]," ",Ruimtestaat[[#This Row],[Vloer code]]))</f>
        <v/>
      </c>
      <c r="BE56" s="247" t="str">
        <f>_xlfn.IFNA(VLOOKUP(Ruimtestaat[[#This Row],[Code Weekend]],Programma!$F$4:$Y$36148,2,0),"_")</f>
        <v>_</v>
      </c>
      <c r="BF56" s="247" t="str">
        <f>_xlfn.IFNA(VLOOKUP(Ruimtestaat[[#This Row],[Code Weekend]],Programma!$F$4:$Y$36148,3,0),"_")</f>
        <v>_</v>
      </c>
      <c r="BG56" s="247" t="str">
        <f>_xlfn.IFNA(VLOOKUP(Ruimtestaat[[#This Row],[Code Weekend]],Programma!$F$4:$Y$36148,4,0),"_")</f>
        <v>_</v>
      </c>
      <c r="BH56" s="247" t="str">
        <f>_xlfn.IFNA(VLOOKUP(Ruimtestaat[[#This Row],[Code Weekend]],Programma!$F$4:$Y$36148,5,0),"_")</f>
        <v>_</v>
      </c>
      <c r="BI56" s="247" t="str">
        <f>_xlfn.IFNA(VLOOKUP(Ruimtestaat[[#This Row],[Code Weekend]],Programma!$F$4:$Y$36148,6,0),"_")</f>
        <v>_</v>
      </c>
      <c r="BJ56" s="247" t="str">
        <f>_xlfn.IFNA(VLOOKUP(Ruimtestaat[[#This Row],[Code Weekend]],Programma!$F$4:$Y$36148,7,0),"_")</f>
        <v>_</v>
      </c>
      <c r="BK56" s="247" t="str">
        <f>_xlfn.IFNA(VLOOKUP(Ruimtestaat[[#This Row],[Code Weekend]],Programma!$F$4:$Y$36148,8,0),"_")</f>
        <v>_</v>
      </c>
      <c r="BL56" s="247" t="str">
        <f>_xlfn.IFNA(VLOOKUP(Ruimtestaat[[#This Row],[Code Weekend]],Programma!$F$4:$Y$36148,9,0),"_")</f>
        <v>_</v>
      </c>
      <c r="BM56" s="248" t="str">
        <f>_xlfn.IFNA(VLOOKUP(Ruimtestaat[[#This Row],[Code Weekend]],Programma!$F$4:$Y$36148,10,0),"_")</f>
        <v>_</v>
      </c>
      <c r="BN56" s="248" t="str">
        <f>_xlfn.IFNA(VLOOKUP(Ruimtestaat[[#This Row],[Code Weekend]],Programma!$F$4:$Y$36148,11,0),"_")</f>
        <v>_</v>
      </c>
      <c r="BO56" s="248" t="str">
        <f>_xlfn.IFNA(VLOOKUP(Ruimtestaat[[#This Row],[Code Weekend]],Programma!$F$4:$Y$36148,12,0),"_")</f>
        <v>_</v>
      </c>
      <c r="BP56" s="248" t="str">
        <f>_xlfn.IFNA(VLOOKUP(Ruimtestaat[[#This Row],[Code Weekend]],Programma!$F$4:$Y$36148,13,0),"_")</f>
        <v>_</v>
      </c>
      <c r="BQ56" s="248" t="str">
        <f>_xlfn.IFNA(VLOOKUP(Ruimtestaat[[#This Row],[Code Weekend]],Programma!$F$4:$Y$36148,14,0),"_")</f>
        <v>_</v>
      </c>
      <c r="BR56" s="248" t="str">
        <f>_xlfn.IFNA(VLOOKUP(Ruimtestaat[[#This Row],[Code Weekend]],Programma!$F$4:$Y$36148,15,0),"_")</f>
        <v>_</v>
      </c>
      <c r="BS56" s="248" t="str">
        <f>_xlfn.IFNA(VLOOKUP(Ruimtestaat[[#This Row],[Code Weekend]],Programma!$F$4:$Y$36148,16,0),"_")</f>
        <v>_</v>
      </c>
      <c r="BT56" s="248" t="str">
        <f>_xlfn.IFNA(VLOOKUP(Ruimtestaat[[#This Row],[Code Weekend]],Programma!$F$4:$Y$36148,17,0),"_")</f>
        <v>_</v>
      </c>
      <c r="BU56" s="249" t="str">
        <f>_xlfn.IFNA(VLOOKUP(Ruimtestaat[[#This Row],[Code Weekend]],Programma!$F$4:$Y$36148,18,0),"_")</f>
        <v>_</v>
      </c>
      <c r="BV56" s="249" t="str">
        <f>_xlfn.IFNA(VLOOKUP(Ruimtestaat[[#This Row],[Code Weekend]],Programma!$F$4:$Y$36148,19,0),"_")</f>
        <v>_</v>
      </c>
      <c r="BW56" s="249" t="str">
        <f>_xlfn.IFNA(VLOOKUP(Ruimtestaat[[#This Row],[Code Weekend]],Programma!$F$4:$Y$36148,20,0),"_")</f>
        <v>_</v>
      </c>
      <c r="HK56" s="88"/>
    </row>
    <row r="57" spans="1:219" ht="12.75" customHeight="1">
      <c r="A57" s="131">
        <v>1</v>
      </c>
      <c r="B57" s="22" t="str">
        <f>VLOOKUP(Ruimtestaat[[#This Row],[Code]],Locaties[#All],2,FALSE)</f>
        <v>ESH Secondary School</v>
      </c>
      <c r="C57" s="22" t="str">
        <f>VLOOKUP(Ruimtestaat[[#This Row],[Code]],Locaties[#All],4,FALSE)</f>
        <v>Oostduinlaan 50</v>
      </c>
      <c r="D57" s="334" t="str">
        <f>VLOOKUP(Ruimtestaat[[#This Row],[Code]],Locaties[#All],5,FALSE)</f>
        <v>2596 JP</v>
      </c>
      <c r="E57" s="334" t="str">
        <f>VLOOKUP(Ruimtestaat[[#This Row],[Code]],Locaties[#All],6,FALSE)</f>
        <v>Den Haag</v>
      </c>
      <c r="F57" s="335"/>
      <c r="G57" s="334" t="s">
        <v>1611</v>
      </c>
      <c r="H57" s="334" t="s">
        <v>1372</v>
      </c>
      <c r="I57" s="335" t="s">
        <v>1492</v>
      </c>
      <c r="J57" s="328">
        <v>2</v>
      </c>
      <c r="K57" s="335" t="str">
        <f>VLOOKUP(J57,Ruimtegroepen[],2,FALSE)</f>
        <v>Kantoren</v>
      </c>
      <c r="L57" s="212" t="s">
        <v>123</v>
      </c>
      <c r="M57" s="334" t="s">
        <v>144</v>
      </c>
      <c r="N57" s="337">
        <v>18</v>
      </c>
      <c r="O57" s="331"/>
      <c r="P57" s="332" t="str">
        <f>VLOOKUP(Ruimtestaat[[#This Row],[Ruimte code]],Ruimtegroepen[],4,FALSE)</f>
        <v>B  (Bureauruimte)</v>
      </c>
      <c r="Q57" s="332"/>
      <c r="R57" s="333">
        <v>40</v>
      </c>
      <c r="S57" s="333" t="s">
        <v>2</v>
      </c>
      <c r="T57" s="37"/>
      <c r="U57" s="37">
        <f>IF(R57&gt;0,IF(RIGHT(Ruimtestaat[[#This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7" s="37">
        <f>IF(U57&gt;0,VLOOKUP($J57,Ruimtegroepen[],3,FALSE)*VLOOKUP($L57,Vloersoorten[],3,FALSE)*VLOOKUP($S57,Frequenties[],3,FALSE)*VLOOKUP($A57,Locaties[],3,FALSE),0)</f>
        <v>0</v>
      </c>
      <c r="W57" s="37">
        <f>Ruimtestaat[[#This Row],[Uitvoeringen werkdagen]]*Ruimtestaat[[#This Row],[Oppervlak (netto)]]</f>
        <v>3600</v>
      </c>
      <c r="X57" s="37">
        <f>IF(V57&gt;0,Ruimtestaat[[#This Row],[Prest. (m2 /jaar) werkdagen]]/Ruimtestaat[[#This Row],[Norm (m2/uur) werkdagen]],0)</f>
        <v>0</v>
      </c>
      <c r="Y57" s="37">
        <f>Ruimtestaat[[#This Row],[uren / jaar werkdagen]]*Tariefsopbouw!$D$38</f>
        <v>0</v>
      </c>
      <c r="Z57" s="37">
        <f>IF(Ruimtestaat[[#This Row],[Frequentie weekend]]&gt;0,VALUE(LEFT(T57,1))*R57,0)</f>
        <v>0</v>
      </c>
      <c r="AA57" s="37">
        <f>IF($Z57&gt;0,VLOOKUP($J57,Ruimtegroepen[],3,FALSE)*VLOOKUP($L57,Vloersoorten[],3,FALSE)*VLOOKUP($T57,Frequenties[],3,FALSE)*VLOOKUP($A57,Locaties[],3,FALSE),0)</f>
        <v>0</v>
      </c>
      <c r="AB57" s="37">
        <f>Ruimtestaat[[#This Row],[Uitvoeringen weekend]]*Ruimtestaat[[#This Row],[Oppervlak (netto)]]</f>
        <v>0</v>
      </c>
      <c r="AC57" s="37">
        <f>IF(AA57&gt;0,Ruimtestaat[[#This Row],[Prest. (m2 /jaar) weekend]]/Ruimtestaat[[#This Row],[Norm (m2/uur) weekend]],0)</f>
        <v>0</v>
      </c>
      <c r="AD57" s="37">
        <f>Ruimtestaat[[#This Row],[uren / jaar weekend]]*Tariefsopbouw!$D$40</f>
        <v>0</v>
      </c>
      <c r="AE57" s="89">
        <f>Ruimtestaat[[#This Row],[Prest. (m2 /jaar) weekend]]+Ruimtestaat[[#This Row],[Prest. (m2 /jaar) werkdagen]]</f>
        <v>3600</v>
      </c>
      <c r="AF57" s="89">
        <f>Ruimtestaat[[#This Row],[uren / jaar weekend]]+Ruimtestaat[[#This Row],[uren / jaar werkdagen]]</f>
        <v>0</v>
      </c>
      <c r="AG57" s="90">
        <f>Ruimtestaat[[#This Row],[kosten / jaar weekend]]+Ruimtestaat[[#This Row],[kosten / jaar werkdagen]]</f>
        <v>0</v>
      </c>
      <c r="AH57" s="253"/>
      <c r="AI57" s="252" t="str">
        <f>IF(Ruimtestaat[[#This Row],[Frequentie werkdagen]]="","",_xlfn.CONCAT(Ruimtestaat[[#This Row],[Ruimte code]],"-",Ruimtestaat[[#This Row],[Frequentie werkdagen]]," ",Ruimtestaat[[#This Row],[Vloer code]]))</f>
        <v>2-5w P</v>
      </c>
      <c r="AJ57" s="247" t="str">
        <f>_xlfn.IFNA(VLOOKUP(Ruimtestaat[[#This Row],[Programmacode
Regulier]],Programma!$F$4:$Y$36148,2,0),"_")</f>
        <v>_</v>
      </c>
      <c r="AK57" s="247" t="str">
        <f>_xlfn.IFNA(VLOOKUP(Ruimtestaat[[#This Row],[Programmacode
Regulier]],Programma!$F$4:$Y$36148,3,0),"_")</f>
        <v>_</v>
      </c>
      <c r="AL57" s="247" t="str">
        <f>_xlfn.IFNA(VLOOKUP(Ruimtestaat[[#This Row],[Programmacode
Regulier]],Programma!$F$4:$Y$36148,4,0),"_")</f>
        <v>5w</v>
      </c>
      <c r="AM57" s="247" t="str">
        <f>_xlfn.IFNA(VLOOKUP(Ruimtestaat[[#This Row],[Programmacode
Regulier]],Programma!$F$4:$Y$36148,5,0),"_")</f>
        <v>1w</v>
      </c>
      <c r="AN57" s="247" t="str">
        <f>_xlfn.IFNA(VLOOKUP(Ruimtestaat[[#This Row],[Programmacode
Regulier]],Programma!$F$4:$Y$36148,6,0),"_")</f>
        <v>1m</v>
      </c>
      <c r="AO57" s="247" t="str">
        <f>_xlfn.IFNA(VLOOKUP(Ruimtestaat[[#This Row],[Programmacode
Regulier]],Programma!$F$4:$Y$36148,7,0),"_")</f>
        <v>_</v>
      </c>
      <c r="AP57" s="247" t="str">
        <f>_xlfn.IFNA(VLOOKUP(Ruimtestaat[[#This Row],[Programmacode
Regulier]],Programma!$F$4:$Y$36148,8,0),"_")</f>
        <v>_</v>
      </c>
      <c r="AQ57" s="247" t="str">
        <f>_xlfn.IFNA(VLOOKUP(Ruimtestaat[[#This Row],[Programmacode
Regulier]],Programma!$F$4:$Y$36148,9,0),"_")</f>
        <v>_</v>
      </c>
      <c r="AR57" s="248" t="str">
        <f>_xlfn.IFNA(VLOOKUP(Ruimtestaat[[#This Row],[Programmacode
Regulier]],Programma!$F$4:$Y$36148,10,0),"_")</f>
        <v>5w</v>
      </c>
      <c r="AS57" s="248" t="str">
        <f>_xlfn.IFNA(VLOOKUP(Ruimtestaat[[#This Row],[Programmacode
Regulier]],Programma!$F$4:$Y$36148,11,0),"_")</f>
        <v>5w</v>
      </c>
      <c r="AT57" s="248" t="str">
        <f>_xlfn.IFNA(VLOOKUP(Ruimtestaat[[#This Row],[Programmacode
Regulier]],Programma!$F$4:$Y$36148,12,0),"_")</f>
        <v>1w</v>
      </c>
      <c r="AU57" s="248" t="str">
        <f>_xlfn.IFNA(VLOOKUP(Ruimtestaat[[#This Row],[Programmacode
Regulier]],Programma!$F$4:$Y$36148,13,0),"_")</f>
        <v>1w</v>
      </c>
      <c r="AV57" s="248" t="str">
        <f>_xlfn.IFNA(VLOOKUP(Ruimtestaat[[#This Row],[Programmacode
Regulier]],Programma!$F$4:$Y$36148,14,0),"_")</f>
        <v>1m</v>
      </c>
      <c r="AW57" s="248" t="str">
        <f>_xlfn.IFNA(VLOOKUP(Ruimtestaat[[#This Row],[Programmacode
Regulier]],Programma!$F$4:$Y$36148,15,0),"_")</f>
        <v>2j</v>
      </c>
      <c r="AX57" s="248" t="str">
        <f>_xlfn.IFNA(VLOOKUP(Ruimtestaat[[#This Row],[Programmacode
Regulier]],Programma!$F$4:$Y$36148,16,0),"_")</f>
        <v>1j</v>
      </c>
      <c r="AY57" s="248" t="str">
        <f>_xlfn.IFNA(VLOOKUP(Ruimtestaat[[#This Row],[Programmacode
Regulier]],Programma!$F$4:$Y$36148,17,0),"_")</f>
        <v>_</v>
      </c>
      <c r="AZ57" s="249" t="str">
        <f>_xlfn.IFNA(VLOOKUP(Ruimtestaat[[#This Row],[Programmacode
Regulier]],Programma!$F$4:$Y$36148,18,0),"_")</f>
        <v>_</v>
      </c>
      <c r="BA57" s="249" t="str">
        <f>_xlfn.IFNA(VLOOKUP(Ruimtestaat[[#This Row],[Programmacode
Regulier]],Programma!$F$4:$Y$36148,19,0),"_")</f>
        <v>_</v>
      </c>
      <c r="BB57" s="249" t="str">
        <f>_xlfn.IFNA(VLOOKUP(Ruimtestaat[[#This Row],[Programmacode
Regulier]],Programma!$F$4:$Y$36148,20,0),"_")</f>
        <v>_</v>
      </c>
      <c r="BC57" s="250"/>
      <c r="BD57" s="212" t="str">
        <f>IF(Ruimtestaat[[#This Row],[Frequentie weekend]]="","",_xlfn.CONCAT(Ruimtestaat[[#This Row],[Ruimte code]],"-",Ruimtestaat[[#This Row],[Frequentie weekend]]," ",Ruimtestaat[[#This Row],[Vloer code]]))</f>
        <v/>
      </c>
      <c r="BE57" s="247" t="str">
        <f>_xlfn.IFNA(VLOOKUP(Ruimtestaat[[#This Row],[Code Weekend]],Programma!$F$4:$Y$36148,2,0),"_")</f>
        <v>_</v>
      </c>
      <c r="BF57" s="247" t="str">
        <f>_xlfn.IFNA(VLOOKUP(Ruimtestaat[[#This Row],[Code Weekend]],Programma!$F$4:$Y$36148,3,0),"_")</f>
        <v>_</v>
      </c>
      <c r="BG57" s="247" t="str">
        <f>_xlfn.IFNA(VLOOKUP(Ruimtestaat[[#This Row],[Code Weekend]],Programma!$F$4:$Y$36148,4,0),"_")</f>
        <v>_</v>
      </c>
      <c r="BH57" s="247" t="str">
        <f>_xlfn.IFNA(VLOOKUP(Ruimtestaat[[#This Row],[Code Weekend]],Programma!$F$4:$Y$36148,5,0),"_")</f>
        <v>_</v>
      </c>
      <c r="BI57" s="247" t="str">
        <f>_xlfn.IFNA(VLOOKUP(Ruimtestaat[[#This Row],[Code Weekend]],Programma!$F$4:$Y$36148,6,0),"_")</f>
        <v>_</v>
      </c>
      <c r="BJ57" s="247" t="str">
        <f>_xlfn.IFNA(VLOOKUP(Ruimtestaat[[#This Row],[Code Weekend]],Programma!$F$4:$Y$36148,7,0),"_")</f>
        <v>_</v>
      </c>
      <c r="BK57" s="247" t="str">
        <f>_xlfn.IFNA(VLOOKUP(Ruimtestaat[[#This Row],[Code Weekend]],Programma!$F$4:$Y$36148,8,0),"_")</f>
        <v>_</v>
      </c>
      <c r="BL57" s="247" t="str">
        <f>_xlfn.IFNA(VLOOKUP(Ruimtestaat[[#This Row],[Code Weekend]],Programma!$F$4:$Y$36148,9,0),"_")</f>
        <v>_</v>
      </c>
      <c r="BM57" s="248" t="str">
        <f>_xlfn.IFNA(VLOOKUP(Ruimtestaat[[#This Row],[Code Weekend]],Programma!$F$4:$Y$36148,10,0),"_")</f>
        <v>_</v>
      </c>
      <c r="BN57" s="248" t="str">
        <f>_xlfn.IFNA(VLOOKUP(Ruimtestaat[[#This Row],[Code Weekend]],Programma!$F$4:$Y$36148,11,0),"_")</f>
        <v>_</v>
      </c>
      <c r="BO57" s="248" t="str">
        <f>_xlfn.IFNA(VLOOKUP(Ruimtestaat[[#This Row],[Code Weekend]],Programma!$F$4:$Y$36148,12,0),"_")</f>
        <v>_</v>
      </c>
      <c r="BP57" s="248" t="str">
        <f>_xlfn.IFNA(VLOOKUP(Ruimtestaat[[#This Row],[Code Weekend]],Programma!$F$4:$Y$36148,13,0),"_")</f>
        <v>_</v>
      </c>
      <c r="BQ57" s="248" t="str">
        <f>_xlfn.IFNA(VLOOKUP(Ruimtestaat[[#This Row],[Code Weekend]],Programma!$F$4:$Y$36148,14,0),"_")</f>
        <v>_</v>
      </c>
      <c r="BR57" s="248" t="str">
        <f>_xlfn.IFNA(VLOOKUP(Ruimtestaat[[#This Row],[Code Weekend]],Programma!$F$4:$Y$36148,15,0),"_")</f>
        <v>_</v>
      </c>
      <c r="BS57" s="248" t="str">
        <f>_xlfn.IFNA(VLOOKUP(Ruimtestaat[[#This Row],[Code Weekend]],Programma!$F$4:$Y$36148,16,0),"_")</f>
        <v>_</v>
      </c>
      <c r="BT57" s="248" t="str">
        <f>_xlfn.IFNA(VLOOKUP(Ruimtestaat[[#This Row],[Code Weekend]],Programma!$F$4:$Y$36148,17,0),"_")</f>
        <v>_</v>
      </c>
      <c r="BU57" s="249" t="str">
        <f>_xlfn.IFNA(VLOOKUP(Ruimtestaat[[#This Row],[Code Weekend]],Programma!$F$4:$Y$36148,18,0),"_")</f>
        <v>_</v>
      </c>
      <c r="BV57" s="249" t="str">
        <f>_xlfn.IFNA(VLOOKUP(Ruimtestaat[[#This Row],[Code Weekend]],Programma!$F$4:$Y$36148,19,0),"_")</f>
        <v>_</v>
      </c>
      <c r="BW57" s="249" t="str">
        <f>_xlfn.IFNA(VLOOKUP(Ruimtestaat[[#This Row],[Code Weekend]],Programma!$F$4:$Y$36148,20,0),"_")</f>
        <v>_</v>
      </c>
      <c r="HK57" s="88"/>
    </row>
    <row r="58" spans="1:219" ht="12.75" customHeight="1">
      <c r="A58" s="131">
        <v>1</v>
      </c>
      <c r="B58" s="22" t="str">
        <f>VLOOKUP(Ruimtestaat[[#This Row],[Code]],Locaties[#All],2,FALSE)</f>
        <v>ESH Secondary School</v>
      </c>
      <c r="C58" s="22" t="str">
        <f>VLOOKUP(Ruimtestaat[[#This Row],[Code]],Locaties[#All],4,FALSE)</f>
        <v>Oostduinlaan 50</v>
      </c>
      <c r="D58" s="334" t="str">
        <f>VLOOKUP(Ruimtestaat[[#This Row],[Code]],Locaties[#All],5,FALSE)</f>
        <v>2596 JP</v>
      </c>
      <c r="E58" s="334" t="str">
        <f>VLOOKUP(Ruimtestaat[[#This Row],[Code]],Locaties[#All],6,FALSE)</f>
        <v>Den Haag</v>
      </c>
      <c r="F58" s="335"/>
      <c r="G58" s="334" t="s">
        <v>1611</v>
      </c>
      <c r="H58" s="351" t="s">
        <v>1373</v>
      </c>
      <c r="I58" s="335" t="s">
        <v>1493</v>
      </c>
      <c r="J58" s="328">
        <v>5</v>
      </c>
      <c r="K58" s="335" t="str">
        <f>VLOOKUP(J58,Ruimtegroepen[],2,FALSE)</f>
        <v>Sanitair</v>
      </c>
      <c r="L58" s="212" t="s">
        <v>123</v>
      </c>
      <c r="M58" s="334" t="s">
        <v>144</v>
      </c>
      <c r="N58" s="337">
        <v>21</v>
      </c>
      <c r="O58" s="331"/>
      <c r="P58" s="332" t="str">
        <f>VLOOKUP(Ruimtestaat[[#This Row],[Ruimte code]],Ruimtegroepen[],4,FALSE)</f>
        <v>S  (Sanitair)</v>
      </c>
      <c r="Q58" s="332"/>
      <c r="R58" s="333">
        <v>40</v>
      </c>
      <c r="S58" s="333" t="s">
        <v>19</v>
      </c>
      <c r="T58" s="37"/>
      <c r="U58" s="37">
        <f>IF(R58&gt;0,IF(RIGHT(Ruimtestaat[[#This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58" s="37">
        <f>IF(U58&gt;0,VLOOKUP($J58,Ruimtegroepen[],3,FALSE)*VLOOKUP($L58,Vloersoorten[],3,FALSE)*VLOOKUP($S58,Frequenties[],3,FALSE)*VLOOKUP($A58,Locaties[],3,FALSE),0)</f>
        <v>0</v>
      </c>
      <c r="W58" s="37">
        <f>Ruimtestaat[[#This Row],[Uitvoeringen werkdagen]]*Ruimtestaat[[#This Row],[Oppervlak (netto)]]</f>
        <v>8400</v>
      </c>
      <c r="X58" s="37">
        <f>IF(V58&gt;0,Ruimtestaat[[#This Row],[Prest. (m2 /jaar) werkdagen]]/Ruimtestaat[[#This Row],[Norm (m2/uur) werkdagen]],0)</f>
        <v>0</v>
      </c>
      <c r="Y58" s="37">
        <f>Ruimtestaat[[#This Row],[uren / jaar werkdagen]]*Tariefsopbouw!$D$38</f>
        <v>0</v>
      </c>
      <c r="Z58" s="37">
        <f>IF(Ruimtestaat[[#This Row],[Frequentie weekend]]&gt;0,VALUE(LEFT(T58,1))*R58,0)</f>
        <v>0</v>
      </c>
      <c r="AA58" s="37">
        <f>IF($Z58&gt;0,VLOOKUP($J58,Ruimtegroepen[],3,FALSE)*VLOOKUP($L58,Vloersoorten[],3,FALSE)*VLOOKUP($T58,Frequenties[],3,FALSE)*VLOOKUP($A58,Locaties[],3,FALSE),0)</f>
        <v>0</v>
      </c>
      <c r="AB58" s="37">
        <f>Ruimtestaat[[#This Row],[Uitvoeringen weekend]]*Ruimtestaat[[#This Row],[Oppervlak (netto)]]</f>
        <v>0</v>
      </c>
      <c r="AC58" s="37">
        <f>IF(AA58&gt;0,Ruimtestaat[[#This Row],[Prest. (m2 /jaar) weekend]]/Ruimtestaat[[#This Row],[Norm (m2/uur) weekend]],0)</f>
        <v>0</v>
      </c>
      <c r="AD58" s="37">
        <f>Ruimtestaat[[#This Row],[uren / jaar weekend]]*Tariefsopbouw!$D$40</f>
        <v>0</v>
      </c>
      <c r="AE58" s="89">
        <f>Ruimtestaat[[#This Row],[Prest. (m2 /jaar) weekend]]+Ruimtestaat[[#This Row],[Prest. (m2 /jaar) werkdagen]]</f>
        <v>8400</v>
      </c>
      <c r="AF58" s="89">
        <f>Ruimtestaat[[#This Row],[uren / jaar weekend]]+Ruimtestaat[[#This Row],[uren / jaar werkdagen]]</f>
        <v>0</v>
      </c>
      <c r="AG58" s="90">
        <f>Ruimtestaat[[#This Row],[kosten / jaar weekend]]+Ruimtestaat[[#This Row],[kosten / jaar werkdagen]]</f>
        <v>0</v>
      </c>
      <c r="AH58" s="253"/>
      <c r="AI58" s="252" t="str">
        <f>IF(Ruimtestaat[[#This Row],[Frequentie werkdagen]]="","",_xlfn.CONCAT(Ruimtestaat[[#This Row],[Ruimte code]],"-",Ruimtestaat[[#This Row],[Frequentie werkdagen]]," ",Ruimtestaat[[#This Row],[Vloer code]]))</f>
        <v>5-10w P</v>
      </c>
      <c r="AJ58" s="247" t="str">
        <f>_xlfn.IFNA(VLOOKUP(Ruimtestaat[[#This Row],[Programmacode
Regulier]],Programma!$F$4:$Y$36148,2,0),"_")</f>
        <v>_</v>
      </c>
      <c r="AK58" s="247" t="str">
        <f>_xlfn.IFNA(VLOOKUP(Ruimtestaat[[#This Row],[Programmacode
Regulier]],Programma!$F$4:$Y$36148,3,0),"_")</f>
        <v>_</v>
      </c>
      <c r="AL58" s="247" t="str">
        <f>_xlfn.IFNA(VLOOKUP(Ruimtestaat[[#This Row],[Programmacode
Regulier]],Programma!$F$4:$Y$36148,4,0),"_")</f>
        <v>_</v>
      </c>
      <c r="AM58" s="247" t="str">
        <f>_xlfn.IFNA(VLOOKUP(Ruimtestaat[[#This Row],[Programmacode
Regulier]],Programma!$F$4:$Y$36148,5,0),"_")</f>
        <v>4w</v>
      </c>
      <c r="AN58" s="247" t="str">
        <f>_xlfn.IFNA(VLOOKUP(Ruimtestaat[[#This Row],[Programmacode
Regulier]],Programma!$F$4:$Y$36148,6,0),"_")</f>
        <v>1w</v>
      </c>
      <c r="AO58" s="247" t="str">
        <f>_xlfn.IFNA(VLOOKUP(Ruimtestaat[[#This Row],[Programmacode
Regulier]],Programma!$F$4:$Y$36148,7,0),"_")</f>
        <v>_</v>
      </c>
      <c r="AP58" s="247" t="str">
        <f>_xlfn.IFNA(VLOOKUP(Ruimtestaat[[#This Row],[Programmacode
Regulier]],Programma!$F$4:$Y$36148,8,0),"_")</f>
        <v>_</v>
      </c>
      <c r="AQ58" s="247" t="str">
        <f>_xlfn.IFNA(VLOOKUP(Ruimtestaat[[#This Row],[Programmacode
Regulier]],Programma!$F$4:$Y$36148,9,0),"_")</f>
        <v>5w</v>
      </c>
      <c r="AR58" s="248" t="str">
        <f>_xlfn.IFNA(VLOOKUP(Ruimtestaat[[#This Row],[Programmacode
Regulier]],Programma!$F$4:$Y$36148,10,0),"_")</f>
        <v>_</v>
      </c>
      <c r="AS58" s="248" t="str">
        <f>_xlfn.IFNA(VLOOKUP(Ruimtestaat[[#This Row],[Programmacode
Regulier]],Programma!$F$4:$Y$36148,11,0),"_")</f>
        <v>_</v>
      </c>
      <c r="AT58" s="248" t="str">
        <f>_xlfn.IFNA(VLOOKUP(Ruimtestaat[[#This Row],[Programmacode
Regulier]],Programma!$F$4:$Y$36148,12,0),"_")</f>
        <v>_</v>
      </c>
      <c r="AU58" s="248" t="str">
        <f>_xlfn.IFNA(VLOOKUP(Ruimtestaat[[#This Row],[Programmacode
Regulier]],Programma!$F$4:$Y$36148,13,0),"_")</f>
        <v>_</v>
      </c>
      <c r="AV58" s="248" t="str">
        <f>_xlfn.IFNA(VLOOKUP(Ruimtestaat[[#This Row],[Programmacode
Regulier]],Programma!$F$4:$Y$36148,14,0),"_")</f>
        <v>_</v>
      </c>
      <c r="AW58" s="248" t="str">
        <f>_xlfn.IFNA(VLOOKUP(Ruimtestaat[[#This Row],[Programmacode
Regulier]],Programma!$F$4:$Y$36148,15,0),"_")</f>
        <v>_</v>
      </c>
      <c r="AX58" s="248" t="str">
        <f>_xlfn.IFNA(VLOOKUP(Ruimtestaat[[#This Row],[Programmacode
Regulier]],Programma!$F$4:$Y$36148,16,0),"_")</f>
        <v>_</v>
      </c>
      <c r="AY58" s="248" t="str">
        <f>_xlfn.IFNA(VLOOKUP(Ruimtestaat[[#This Row],[Programmacode
Regulier]],Programma!$F$4:$Y$36148,17,0),"_")</f>
        <v>_</v>
      </c>
      <c r="AZ58" s="249" t="str">
        <f>_xlfn.IFNA(VLOOKUP(Ruimtestaat[[#This Row],[Programmacode
Regulier]],Programma!$F$4:$Y$36148,18,0),"_")</f>
        <v>4w</v>
      </c>
      <c r="BA58" s="249" t="str">
        <f>_xlfn.IFNA(VLOOKUP(Ruimtestaat[[#This Row],[Programmacode
Regulier]],Programma!$F$4:$Y$36148,19,0),"_")</f>
        <v>1w</v>
      </c>
      <c r="BB58" s="249" t="str">
        <f>_xlfn.IFNA(VLOOKUP(Ruimtestaat[[#This Row],[Programmacode
Regulier]],Programma!$F$4:$Y$36148,20,0),"_")</f>
        <v>5w</v>
      </c>
      <c r="BC58" s="250"/>
      <c r="BD58" s="212" t="str">
        <f>IF(Ruimtestaat[[#This Row],[Frequentie weekend]]="","",_xlfn.CONCAT(Ruimtestaat[[#This Row],[Ruimte code]],"-",Ruimtestaat[[#This Row],[Frequentie weekend]]," ",Ruimtestaat[[#This Row],[Vloer code]]))</f>
        <v/>
      </c>
      <c r="BE58" s="247" t="str">
        <f>_xlfn.IFNA(VLOOKUP(Ruimtestaat[[#This Row],[Code Weekend]],Programma!$F$4:$Y$36148,2,0),"_")</f>
        <v>_</v>
      </c>
      <c r="BF58" s="247" t="str">
        <f>_xlfn.IFNA(VLOOKUP(Ruimtestaat[[#This Row],[Code Weekend]],Programma!$F$4:$Y$36148,3,0),"_")</f>
        <v>_</v>
      </c>
      <c r="BG58" s="247" t="str">
        <f>_xlfn.IFNA(VLOOKUP(Ruimtestaat[[#This Row],[Code Weekend]],Programma!$F$4:$Y$36148,4,0),"_")</f>
        <v>_</v>
      </c>
      <c r="BH58" s="247" t="str">
        <f>_xlfn.IFNA(VLOOKUP(Ruimtestaat[[#This Row],[Code Weekend]],Programma!$F$4:$Y$36148,5,0),"_")</f>
        <v>_</v>
      </c>
      <c r="BI58" s="247" t="str">
        <f>_xlfn.IFNA(VLOOKUP(Ruimtestaat[[#This Row],[Code Weekend]],Programma!$F$4:$Y$36148,6,0),"_")</f>
        <v>_</v>
      </c>
      <c r="BJ58" s="247" t="str">
        <f>_xlfn.IFNA(VLOOKUP(Ruimtestaat[[#This Row],[Code Weekend]],Programma!$F$4:$Y$36148,7,0),"_")</f>
        <v>_</v>
      </c>
      <c r="BK58" s="247" t="str">
        <f>_xlfn.IFNA(VLOOKUP(Ruimtestaat[[#This Row],[Code Weekend]],Programma!$F$4:$Y$36148,8,0),"_")</f>
        <v>_</v>
      </c>
      <c r="BL58" s="247" t="str">
        <f>_xlfn.IFNA(VLOOKUP(Ruimtestaat[[#This Row],[Code Weekend]],Programma!$F$4:$Y$36148,9,0),"_")</f>
        <v>_</v>
      </c>
      <c r="BM58" s="248" t="str">
        <f>_xlfn.IFNA(VLOOKUP(Ruimtestaat[[#This Row],[Code Weekend]],Programma!$F$4:$Y$36148,10,0),"_")</f>
        <v>_</v>
      </c>
      <c r="BN58" s="248" t="str">
        <f>_xlfn.IFNA(VLOOKUP(Ruimtestaat[[#This Row],[Code Weekend]],Programma!$F$4:$Y$36148,11,0),"_")</f>
        <v>_</v>
      </c>
      <c r="BO58" s="248" t="str">
        <f>_xlfn.IFNA(VLOOKUP(Ruimtestaat[[#This Row],[Code Weekend]],Programma!$F$4:$Y$36148,12,0),"_")</f>
        <v>_</v>
      </c>
      <c r="BP58" s="248" t="str">
        <f>_xlfn.IFNA(VLOOKUP(Ruimtestaat[[#This Row],[Code Weekend]],Programma!$F$4:$Y$36148,13,0),"_")</f>
        <v>_</v>
      </c>
      <c r="BQ58" s="248" t="str">
        <f>_xlfn.IFNA(VLOOKUP(Ruimtestaat[[#This Row],[Code Weekend]],Programma!$F$4:$Y$36148,14,0),"_")</f>
        <v>_</v>
      </c>
      <c r="BR58" s="248" t="str">
        <f>_xlfn.IFNA(VLOOKUP(Ruimtestaat[[#This Row],[Code Weekend]],Programma!$F$4:$Y$36148,15,0),"_")</f>
        <v>_</v>
      </c>
      <c r="BS58" s="248" t="str">
        <f>_xlfn.IFNA(VLOOKUP(Ruimtestaat[[#This Row],[Code Weekend]],Programma!$F$4:$Y$36148,16,0),"_")</f>
        <v>_</v>
      </c>
      <c r="BT58" s="248" t="str">
        <f>_xlfn.IFNA(VLOOKUP(Ruimtestaat[[#This Row],[Code Weekend]],Programma!$F$4:$Y$36148,17,0),"_")</f>
        <v>_</v>
      </c>
      <c r="BU58" s="249" t="str">
        <f>_xlfn.IFNA(VLOOKUP(Ruimtestaat[[#This Row],[Code Weekend]],Programma!$F$4:$Y$36148,18,0),"_")</f>
        <v>_</v>
      </c>
      <c r="BV58" s="249" t="str">
        <f>_xlfn.IFNA(VLOOKUP(Ruimtestaat[[#This Row],[Code Weekend]],Programma!$F$4:$Y$36148,19,0),"_")</f>
        <v>_</v>
      </c>
      <c r="BW58" s="249" t="str">
        <f>_xlfn.IFNA(VLOOKUP(Ruimtestaat[[#This Row],[Code Weekend]],Programma!$F$4:$Y$36148,20,0),"_")</f>
        <v>_</v>
      </c>
      <c r="HK58" s="88"/>
    </row>
    <row r="59" spans="1:219" ht="12.75" customHeight="1">
      <c r="A59" s="131">
        <v>1</v>
      </c>
      <c r="B59" s="22" t="str">
        <f>VLOOKUP(Ruimtestaat[[#This Row],[Code]],Locaties[#All],2,FALSE)</f>
        <v>ESH Secondary School</v>
      </c>
      <c r="C59" s="22" t="str">
        <f>VLOOKUP(Ruimtestaat[[#This Row],[Code]],Locaties[#All],4,FALSE)</f>
        <v>Oostduinlaan 50</v>
      </c>
      <c r="D59" s="334" t="str">
        <f>VLOOKUP(Ruimtestaat[[#This Row],[Code]],Locaties[#All],5,FALSE)</f>
        <v>2596 JP</v>
      </c>
      <c r="E59" s="334" t="str">
        <f>VLOOKUP(Ruimtestaat[[#This Row],[Code]],Locaties[#All],6,FALSE)</f>
        <v>Den Haag</v>
      </c>
      <c r="F59" s="335"/>
      <c r="G59" s="334" t="s">
        <v>1611</v>
      </c>
      <c r="H59" s="334" t="s">
        <v>1374</v>
      </c>
      <c r="I59" s="335" t="s">
        <v>1494</v>
      </c>
      <c r="J59" s="328">
        <v>5</v>
      </c>
      <c r="K59" s="335" t="str">
        <f>VLOOKUP(J59,Ruimtegroepen[],2,FALSE)</f>
        <v>Sanitair</v>
      </c>
      <c r="L59" s="212" t="s">
        <v>123</v>
      </c>
      <c r="M59" s="334" t="s">
        <v>144</v>
      </c>
      <c r="N59" s="337">
        <v>21</v>
      </c>
      <c r="O59" s="331"/>
      <c r="P59" s="332" t="str">
        <f>VLOOKUP(Ruimtestaat[[#This Row],[Ruimte code]],Ruimtegroepen[],4,FALSE)</f>
        <v>S  (Sanitair)</v>
      </c>
      <c r="Q59" s="332"/>
      <c r="R59" s="333">
        <v>40</v>
      </c>
      <c r="S59" s="333" t="s">
        <v>19</v>
      </c>
      <c r="T59" s="37"/>
      <c r="U59" s="37">
        <f>IF(R59&gt;0,IF(RIGHT(Ruimtestaat[[#This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59" s="37">
        <f>IF(U59&gt;0,VLOOKUP($J59,Ruimtegroepen[],3,FALSE)*VLOOKUP($L59,Vloersoorten[],3,FALSE)*VLOOKUP($S59,Frequenties[],3,FALSE)*VLOOKUP($A59,Locaties[],3,FALSE),0)</f>
        <v>0</v>
      </c>
      <c r="W59" s="37">
        <f>Ruimtestaat[[#This Row],[Uitvoeringen werkdagen]]*Ruimtestaat[[#This Row],[Oppervlak (netto)]]</f>
        <v>8400</v>
      </c>
      <c r="X59" s="37">
        <f>IF(V59&gt;0,Ruimtestaat[[#This Row],[Prest. (m2 /jaar) werkdagen]]/Ruimtestaat[[#This Row],[Norm (m2/uur) werkdagen]],0)</f>
        <v>0</v>
      </c>
      <c r="Y59" s="37">
        <f>Ruimtestaat[[#This Row],[uren / jaar werkdagen]]*Tariefsopbouw!$D$38</f>
        <v>0</v>
      </c>
      <c r="Z59" s="37">
        <f>IF(Ruimtestaat[[#This Row],[Frequentie weekend]]&gt;0,VALUE(LEFT(T59,1))*R59,0)</f>
        <v>0</v>
      </c>
      <c r="AA59" s="37">
        <f>IF($Z59&gt;0,VLOOKUP($J59,Ruimtegroepen[],3,FALSE)*VLOOKUP($L59,Vloersoorten[],3,FALSE)*VLOOKUP($T59,Frequenties[],3,FALSE)*VLOOKUP($A59,Locaties[],3,FALSE),0)</f>
        <v>0</v>
      </c>
      <c r="AB59" s="37">
        <f>Ruimtestaat[[#This Row],[Uitvoeringen weekend]]*Ruimtestaat[[#This Row],[Oppervlak (netto)]]</f>
        <v>0</v>
      </c>
      <c r="AC59" s="37">
        <f>IF(AA59&gt;0,Ruimtestaat[[#This Row],[Prest. (m2 /jaar) weekend]]/Ruimtestaat[[#This Row],[Norm (m2/uur) weekend]],0)</f>
        <v>0</v>
      </c>
      <c r="AD59" s="37">
        <f>Ruimtestaat[[#This Row],[uren / jaar weekend]]*Tariefsopbouw!$D$40</f>
        <v>0</v>
      </c>
      <c r="AE59" s="89">
        <f>Ruimtestaat[[#This Row],[Prest. (m2 /jaar) weekend]]+Ruimtestaat[[#This Row],[Prest. (m2 /jaar) werkdagen]]</f>
        <v>8400</v>
      </c>
      <c r="AF59" s="89">
        <f>Ruimtestaat[[#This Row],[uren / jaar weekend]]+Ruimtestaat[[#This Row],[uren / jaar werkdagen]]</f>
        <v>0</v>
      </c>
      <c r="AG59" s="90">
        <f>Ruimtestaat[[#This Row],[kosten / jaar weekend]]+Ruimtestaat[[#This Row],[kosten / jaar werkdagen]]</f>
        <v>0</v>
      </c>
      <c r="AH59" s="253"/>
      <c r="AI59" s="252" t="str">
        <f>IF(Ruimtestaat[[#This Row],[Frequentie werkdagen]]="","",_xlfn.CONCAT(Ruimtestaat[[#This Row],[Ruimte code]],"-",Ruimtestaat[[#This Row],[Frequentie werkdagen]]," ",Ruimtestaat[[#This Row],[Vloer code]]))</f>
        <v>5-10w P</v>
      </c>
      <c r="AJ59" s="247" t="str">
        <f>_xlfn.IFNA(VLOOKUP(Ruimtestaat[[#This Row],[Programmacode
Regulier]],Programma!$F$4:$Y$36148,2,0),"_")</f>
        <v>_</v>
      </c>
      <c r="AK59" s="247" t="str">
        <f>_xlfn.IFNA(VLOOKUP(Ruimtestaat[[#This Row],[Programmacode
Regulier]],Programma!$F$4:$Y$36148,3,0),"_")</f>
        <v>_</v>
      </c>
      <c r="AL59" s="247" t="str">
        <f>_xlfn.IFNA(VLOOKUP(Ruimtestaat[[#This Row],[Programmacode
Regulier]],Programma!$F$4:$Y$36148,4,0),"_")</f>
        <v>_</v>
      </c>
      <c r="AM59" s="247" t="str">
        <f>_xlfn.IFNA(VLOOKUP(Ruimtestaat[[#This Row],[Programmacode
Regulier]],Programma!$F$4:$Y$36148,5,0),"_")</f>
        <v>4w</v>
      </c>
      <c r="AN59" s="247" t="str">
        <f>_xlfn.IFNA(VLOOKUP(Ruimtestaat[[#This Row],[Programmacode
Regulier]],Programma!$F$4:$Y$36148,6,0),"_")</f>
        <v>1w</v>
      </c>
      <c r="AO59" s="247" t="str">
        <f>_xlfn.IFNA(VLOOKUP(Ruimtestaat[[#This Row],[Programmacode
Regulier]],Programma!$F$4:$Y$36148,7,0),"_")</f>
        <v>_</v>
      </c>
      <c r="AP59" s="247" t="str">
        <f>_xlfn.IFNA(VLOOKUP(Ruimtestaat[[#This Row],[Programmacode
Regulier]],Programma!$F$4:$Y$36148,8,0),"_")</f>
        <v>_</v>
      </c>
      <c r="AQ59" s="247" t="str">
        <f>_xlfn.IFNA(VLOOKUP(Ruimtestaat[[#This Row],[Programmacode
Regulier]],Programma!$F$4:$Y$36148,9,0),"_")</f>
        <v>5w</v>
      </c>
      <c r="AR59" s="248" t="str">
        <f>_xlfn.IFNA(VLOOKUP(Ruimtestaat[[#This Row],[Programmacode
Regulier]],Programma!$F$4:$Y$36148,10,0),"_")</f>
        <v>_</v>
      </c>
      <c r="AS59" s="248" t="str">
        <f>_xlfn.IFNA(VLOOKUP(Ruimtestaat[[#This Row],[Programmacode
Regulier]],Programma!$F$4:$Y$36148,11,0),"_")</f>
        <v>_</v>
      </c>
      <c r="AT59" s="248" t="str">
        <f>_xlfn.IFNA(VLOOKUP(Ruimtestaat[[#This Row],[Programmacode
Regulier]],Programma!$F$4:$Y$36148,12,0),"_")</f>
        <v>_</v>
      </c>
      <c r="AU59" s="248" t="str">
        <f>_xlfn.IFNA(VLOOKUP(Ruimtestaat[[#This Row],[Programmacode
Regulier]],Programma!$F$4:$Y$36148,13,0),"_")</f>
        <v>_</v>
      </c>
      <c r="AV59" s="248" t="str">
        <f>_xlfn.IFNA(VLOOKUP(Ruimtestaat[[#This Row],[Programmacode
Regulier]],Programma!$F$4:$Y$36148,14,0),"_")</f>
        <v>_</v>
      </c>
      <c r="AW59" s="248" t="str">
        <f>_xlfn.IFNA(VLOOKUP(Ruimtestaat[[#This Row],[Programmacode
Regulier]],Programma!$F$4:$Y$36148,15,0),"_")</f>
        <v>_</v>
      </c>
      <c r="AX59" s="248" t="str">
        <f>_xlfn.IFNA(VLOOKUP(Ruimtestaat[[#This Row],[Programmacode
Regulier]],Programma!$F$4:$Y$36148,16,0),"_")</f>
        <v>_</v>
      </c>
      <c r="AY59" s="248" t="str">
        <f>_xlfn.IFNA(VLOOKUP(Ruimtestaat[[#This Row],[Programmacode
Regulier]],Programma!$F$4:$Y$36148,17,0),"_")</f>
        <v>_</v>
      </c>
      <c r="AZ59" s="249" t="str">
        <f>_xlfn.IFNA(VLOOKUP(Ruimtestaat[[#This Row],[Programmacode
Regulier]],Programma!$F$4:$Y$36148,18,0),"_")</f>
        <v>4w</v>
      </c>
      <c r="BA59" s="249" t="str">
        <f>_xlfn.IFNA(VLOOKUP(Ruimtestaat[[#This Row],[Programmacode
Regulier]],Programma!$F$4:$Y$36148,19,0),"_")</f>
        <v>1w</v>
      </c>
      <c r="BB59" s="249" t="str">
        <f>_xlfn.IFNA(VLOOKUP(Ruimtestaat[[#This Row],[Programmacode
Regulier]],Programma!$F$4:$Y$36148,20,0),"_")</f>
        <v>5w</v>
      </c>
      <c r="BC59" s="250"/>
      <c r="BD59" s="212" t="str">
        <f>IF(Ruimtestaat[[#This Row],[Frequentie weekend]]="","",_xlfn.CONCAT(Ruimtestaat[[#This Row],[Ruimte code]],"-",Ruimtestaat[[#This Row],[Frequentie weekend]]," ",Ruimtestaat[[#This Row],[Vloer code]]))</f>
        <v/>
      </c>
      <c r="BE59" s="247" t="str">
        <f>_xlfn.IFNA(VLOOKUP(Ruimtestaat[[#This Row],[Code Weekend]],Programma!$F$4:$Y$36148,2,0),"_")</f>
        <v>_</v>
      </c>
      <c r="BF59" s="247" t="str">
        <f>_xlfn.IFNA(VLOOKUP(Ruimtestaat[[#This Row],[Code Weekend]],Programma!$F$4:$Y$36148,3,0),"_")</f>
        <v>_</v>
      </c>
      <c r="BG59" s="247" t="str">
        <f>_xlfn.IFNA(VLOOKUP(Ruimtestaat[[#This Row],[Code Weekend]],Programma!$F$4:$Y$36148,4,0),"_")</f>
        <v>_</v>
      </c>
      <c r="BH59" s="247" t="str">
        <f>_xlfn.IFNA(VLOOKUP(Ruimtestaat[[#This Row],[Code Weekend]],Programma!$F$4:$Y$36148,5,0),"_")</f>
        <v>_</v>
      </c>
      <c r="BI59" s="247" t="str">
        <f>_xlfn.IFNA(VLOOKUP(Ruimtestaat[[#This Row],[Code Weekend]],Programma!$F$4:$Y$36148,6,0),"_")</f>
        <v>_</v>
      </c>
      <c r="BJ59" s="247" t="str">
        <f>_xlfn.IFNA(VLOOKUP(Ruimtestaat[[#This Row],[Code Weekend]],Programma!$F$4:$Y$36148,7,0),"_")</f>
        <v>_</v>
      </c>
      <c r="BK59" s="247" t="str">
        <f>_xlfn.IFNA(VLOOKUP(Ruimtestaat[[#This Row],[Code Weekend]],Programma!$F$4:$Y$36148,8,0),"_")</f>
        <v>_</v>
      </c>
      <c r="BL59" s="247" t="str">
        <f>_xlfn.IFNA(VLOOKUP(Ruimtestaat[[#This Row],[Code Weekend]],Programma!$F$4:$Y$36148,9,0),"_")</f>
        <v>_</v>
      </c>
      <c r="BM59" s="248" t="str">
        <f>_xlfn.IFNA(VLOOKUP(Ruimtestaat[[#This Row],[Code Weekend]],Programma!$F$4:$Y$36148,10,0),"_")</f>
        <v>_</v>
      </c>
      <c r="BN59" s="248" t="str">
        <f>_xlfn.IFNA(VLOOKUP(Ruimtestaat[[#This Row],[Code Weekend]],Programma!$F$4:$Y$36148,11,0),"_")</f>
        <v>_</v>
      </c>
      <c r="BO59" s="248" t="str">
        <f>_xlfn.IFNA(VLOOKUP(Ruimtestaat[[#This Row],[Code Weekend]],Programma!$F$4:$Y$36148,12,0),"_")</f>
        <v>_</v>
      </c>
      <c r="BP59" s="248" t="str">
        <f>_xlfn.IFNA(VLOOKUP(Ruimtestaat[[#This Row],[Code Weekend]],Programma!$F$4:$Y$36148,13,0),"_")</f>
        <v>_</v>
      </c>
      <c r="BQ59" s="248" t="str">
        <f>_xlfn.IFNA(VLOOKUP(Ruimtestaat[[#This Row],[Code Weekend]],Programma!$F$4:$Y$36148,14,0),"_")</f>
        <v>_</v>
      </c>
      <c r="BR59" s="248" t="str">
        <f>_xlfn.IFNA(VLOOKUP(Ruimtestaat[[#This Row],[Code Weekend]],Programma!$F$4:$Y$36148,15,0),"_")</f>
        <v>_</v>
      </c>
      <c r="BS59" s="248" t="str">
        <f>_xlfn.IFNA(VLOOKUP(Ruimtestaat[[#This Row],[Code Weekend]],Programma!$F$4:$Y$36148,16,0),"_")</f>
        <v>_</v>
      </c>
      <c r="BT59" s="248" t="str">
        <f>_xlfn.IFNA(VLOOKUP(Ruimtestaat[[#This Row],[Code Weekend]],Programma!$F$4:$Y$36148,17,0),"_")</f>
        <v>_</v>
      </c>
      <c r="BU59" s="249" t="str">
        <f>_xlfn.IFNA(VLOOKUP(Ruimtestaat[[#This Row],[Code Weekend]],Programma!$F$4:$Y$36148,18,0),"_")</f>
        <v>_</v>
      </c>
      <c r="BV59" s="249" t="str">
        <f>_xlfn.IFNA(VLOOKUP(Ruimtestaat[[#This Row],[Code Weekend]],Programma!$F$4:$Y$36148,19,0),"_")</f>
        <v>_</v>
      </c>
      <c r="BW59" s="249" t="str">
        <f>_xlfn.IFNA(VLOOKUP(Ruimtestaat[[#This Row],[Code Weekend]],Programma!$F$4:$Y$36148,20,0),"_")</f>
        <v>_</v>
      </c>
      <c r="HK59" s="88"/>
    </row>
    <row r="60" spans="1:219" ht="12.75" customHeight="1">
      <c r="A60" s="131">
        <v>1</v>
      </c>
      <c r="B60" s="22" t="str">
        <f>VLOOKUP(Ruimtestaat[[#This Row],[Code]],Locaties[#All],2,FALSE)</f>
        <v>ESH Secondary School</v>
      </c>
      <c r="C60" s="22" t="str">
        <f>VLOOKUP(Ruimtestaat[[#This Row],[Code]],Locaties[#All],4,FALSE)</f>
        <v>Oostduinlaan 50</v>
      </c>
      <c r="D60" s="334" t="str">
        <f>VLOOKUP(Ruimtestaat[[#This Row],[Code]],Locaties[#All],5,FALSE)</f>
        <v>2596 JP</v>
      </c>
      <c r="E60" s="334" t="str">
        <f>VLOOKUP(Ruimtestaat[[#This Row],[Code]],Locaties[#All],6,FALSE)</f>
        <v>Den Haag</v>
      </c>
      <c r="F60" s="335"/>
      <c r="G60" s="334" t="s">
        <v>1611</v>
      </c>
      <c r="H60" s="351" t="s">
        <v>1375</v>
      </c>
      <c r="I60" s="335" t="s">
        <v>1495</v>
      </c>
      <c r="J60" s="328">
        <v>6</v>
      </c>
      <c r="K60" s="335" t="str">
        <f>VLOOKUP(J60,Ruimtegroepen[],2,FALSE)</f>
        <v>Gangen/hallen BG</v>
      </c>
      <c r="L60" s="212" t="s">
        <v>123</v>
      </c>
      <c r="M60" s="334" t="s">
        <v>144</v>
      </c>
      <c r="N60" s="337">
        <v>110</v>
      </c>
      <c r="O60" s="331"/>
      <c r="P60" s="332" t="str">
        <f>VLOOKUP(Ruimtestaat[[#This Row],[Ruimte code]],Ruimtegroepen[],4,FALSE)</f>
        <v>V  (Verkeersruimte)</v>
      </c>
      <c r="Q60" s="332"/>
      <c r="R60" s="333">
        <v>40</v>
      </c>
      <c r="S60" s="333" t="s">
        <v>2</v>
      </c>
      <c r="T60" s="37"/>
      <c r="U60" s="37">
        <f>IF(R60&gt;0,IF(RIGHT(Ruimtestaat[[#This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0" s="37">
        <f>IF(U60&gt;0,VLOOKUP($J60,Ruimtegroepen[],3,FALSE)*VLOOKUP($L60,Vloersoorten[],3,FALSE)*VLOOKUP($S60,Frequenties[],3,FALSE)*VLOOKUP($A60,Locaties[],3,FALSE),0)</f>
        <v>0</v>
      </c>
      <c r="W60" s="37">
        <f>Ruimtestaat[[#This Row],[Uitvoeringen werkdagen]]*Ruimtestaat[[#This Row],[Oppervlak (netto)]]</f>
        <v>22000</v>
      </c>
      <c r="X60" s="37">
        <f>IF(V60&gt;0,Ruimtestaat[[#This Row],[Prest. (m2 /jaar) werkdagen]]/Ruimtestaat[[#This Row],[Norm (m2/uur) werkdagen]],0)</f>
        <v>0</v>
      </c>
      <c r="Y60" s="37">
        <f>Ruimtestaat[[#This Row],[uren / jaar werkdagen]]*Tariefsopbouw!$D$38</f>
        <v>0</v>
      </c>
      <c r="Z60" s="37">
        <f>IF(Ruimtestaat[[#This Row],[Frequentie weekend]]&gt;0,VALUE(LEFT(T60,1))*R60,0)</f>
        <v>0</v>
      </c>
      <c r="AA60" s="37">
        <f>IF($Z60&gt;0,VLOOKUP($J60,Ruimtegroepen[],3,FALSE)*VLOOKUP($L60,Vloersoorten[],3,FALSE)*VLOOKUP($T60,Frequenties[],3,FALSE)*VLOOKUP($A60,Locaties[],3,FALSE),0)</f>
        <v>0</v>
      </c>
      <c r="AB60" s="37">
        <f>Ruimtestaat[[#This Row],[Uitvoeringen weekend]]*Ruimtestaat[[#This Row],[Oppervlak (netto)]]</f>
        <v>0</v>
      </c>
      <c r="AC60" s="37">
        <f>IF(AA60&gt;0,Ruimtestaat[[#This Row],[Prest. (m2 /jaar) weekend]]/Ruimtestaat[[#This Row],[Norm (m2/uur) weekend]],0)</f>
        <v>0</v>
      </c>
      <c r="AD60" s="37">
        <f>Ruimtestaat[[#This Row],[uren / jaar weekend]]*Tariefsopbouw!$D$40</f>
        <v>0</v>
      </c>
      <c r="AE60" s="89">
        <f>Ruimtestaat[[#This Row],[Prest. (m2 /jaar) weekend]]+Ruimtestaat[[#This Row],[Prest. (m2 /jaar) werkdagen]]</f>
        <v>22000</v>
      </c>
      <c r="AF60" s="89">
        <f>Ruimtestaat[[#This Row],[uren / jaar weekend]]+Ruimtestaat[[#This Row],[uren / jaar werkdagen]]</f>
        <v>0</v>
      </c>
      <c r="AG60" s="90">
        <f>Ruimtestaat[[#This Row],[kosten / jaar weekend]]+Ruimtestaat[[#This Row],[kosten / jaar werkdagen]]</f>
        <v>0</v>
      </c>
      <c r="AH60" s="253"/>
      <c r="AI60" s="252" t="str">
        <f>IF(Ruimtestaat[[#This Row],[Frequentie werkdagen]]="","",_xlfn.CONCAT(Ruimtestaat[[#This Row],[Ruimte code]],"-",Ruimtestaat[[#This Row],[Frequentie werkdagen]]," ",Ruimtestaat[[#This Row],[Vloer code]]))</f>
        <v>6-5w P</v>
      </c>
      <c r="AJ60" s="247" t="str">
        <f>_xlfn.IFNA(VLOOKUP(Ruimtestaat[[#This Row],[Programmacode
Regulier]],Programma!$F$4:$Y$36148,2,0),"_")</f>
        <v>_</v>
      </c>
      <c r="AK60" s="247" t="str">
        <f>_xlfn.IFNA(VLOOKUP(Ruimtestaat[[#This Row],[Programmacode
Regulier]],Programma!$F$4:$Y$36148,3,0),"_")</f>
        <v>_</v>
      </c>
      <c r="AL60" s="247" t="str">
        <f>_xlfn.IFNA(VLOOKUP(Ruimtestaat[[#This Row],[Programmacode
Regulier]],Programma!$F$4:$Y$36148,4,0),"_")</f>
        <v>5w</v>
      </c>
      <c r="AM60" s="247" t="str">
        <f>_xlfn.IFNA(VLOOKUP(Ruimtestaat[[#This Row],[Programmacode
Regulier]],Programma!$F$4:$Y$36148,5,0),"_")</f>
        <v>_</v>
      </c>
      <c r="AN60" s="247" t="str">
        <f>_xlfn.IFNA(VLOOKUP(Ruimtestaat[[#This Row],[Programmacode
Regulier]],Programma!$F$4:$Y$36148,6,0),"_")</f>
        <v>5w</v>
      </c>
      <c r="AO60" s="247" t="str">
        <f>_xlfn.IFNA(VLOOKUP(Ruimtestaat[[#This Row],[Programmacode
Regulier]],Programma!$F$4:$Y$36148,7,0),"_")</f>
        <v>_</v>
      </c>
      <c r="AP60" s="247" t="str">
        <f>_xlfn.IFNA(VLOOKUP(Ruimtestaat[[#This Row],[Programmacode
Regulier]],Programma!$F$4:$Y$36148,8,0),"_")</f>
        <v>_</v>
      </c>
      <c r="AQ60" s="247" t="str">
        <f>_xlfn.IFNA(VLOOKUP(Ruimtestaat[[#This Row],[Programmacode
Regulier]],Programma!$F$4:$Y$36148,9,0),"_")</f>
        <v>_</v>
      </c>
      <c r="AR60" s="248" t="str">
        <f>_xlfn.IFNA(VLOOKUP(Ruimtestaat[[#This Row],[Programmacode
Regulier]],Programma!$F$4:$Y$36148,10,0),"_")</f>
        <v>5w</v>
      </c>
      <c r="AS60" s="248" t="str">
        <f>_xlfn.IFNA(VLOOKUP(Ruimtestaat[[#This Row],[Programmacode
Regulier]],Programma!$F$4:$Y$36148,11,0),"_")</f>
        <v>5w</v>
      </c>
      <c r="AT60" s="248" t="str">
        <f>_xlfn.IFNA(VLOOKUP(Ruimtestaat[[#This Row],[Programmacode
Regulier]],Programma!$F$4:$Y$36148,12,0),"_")</f>
        <v>1w</v>
      </c>
      <c r="AU60" s="248" t="str">
        <f>_xlfn.IFNA(VLOOKUP(Ruimtestaat[[#This Row],[Programmacode
Regulier]],Programma!$F$4:$Y$36148,13,0),"_")</f>
        <v>1w</v>
      </c>
      <c r="AV60" s="248" t="str">
        <f>_xlfn.IFNA(VLOOKUP(Ruimtestaat[[#This Row],[Programmacode
Regulier]],Programma!$F$4:$Y$36148,14,0),"_")</f>
        <v>1m</v>
      </c>
      <c r="AW60" s="248" t="str">
        <f>_xlfn.IFNA(VLOOKUP(Ruimtestaat[[#This Row],[Programmacode
Regulier]],Programma!$F$4:$Y$36148,15,0),"_")</f>
        <v>2j</v>
      </c>
      <c r="AX60" s="248" t="str">
        <f>_xlfn.IFNA(VLOOKUP(Ruimtestaat[[#This Row],[Programmacode
Regulier]],Programma!$F$4:$Y$36148,16,0),"_")</f>
        <v>1j</v>
      </c>
      <c r="AY60" s="248" t="str">
        <f>_xlfn.IFNA(VLOOKUP(Ruimtestaat[[#This Row],[Programmacode
Regulier]],Programma!$F$4:$Y$36148,17,0),"_")</f>
        <v>_</v>
      </c>
      <c r="AZ60" s="249" t="str">
        <f>_xlfn.IFNA(VLOOKUP(Ruimtestaat[[#This Row],[Programmacode
Regulier]],Programma!$F$4:$Y$36148,18,0),"_")</f>
        <v>_</v>
      </c>
      <c r="BA60" s="249" t="str">
        <f>_xlfn.IFNA(VLOOKUP(Ruimtestaat[[#This Row],[Programmacode
Regulier]],Programma!$F$4:$Y$36148,19,0),"_")</f>
        <v>_</v>
      </c>
      <c r="BB60" s="249" t="str">
        <f>_xlfn.IFNA(VLOOKUP(Ruimtestaat[[#This Row],[Programmacode
Regulier]],Programma!$F$4:$Y$36148,20,0),"_")</f>
        <v>_</v>
      </c>
      <c r="BC60" s="250"/>
      <c r="BD60" s="212" t="str">
        <f>IF(Ruimtestaat[[#This Row],[Frequentie weekend]]="","",_xlfn.CONCAT(Ruimtestaat[[#This Row],[Ruimte code]],"-",Ruimtestaat[[#This Row],[Frequentie weekend]]," ",Ruimtestaat[[#This Row],[Vloer code]]))</f>
        <v/>
      </c>
      <c r="BE60" s="247" t="str">
        <f>_xlfn.IFNA(VLOOKUP(Ruimtestaat[[#This Row],[Code Weekend]],Programma!$F$4:$Y$36148,2,0),"_")</f>
        <v>_</v>
      </c>
      <c r="BF60" s="247" t="str">
        <f>_xlfn.IFNA(VLOOKUP(Ruimtestaat[[#This Row],[Code Weekend]],Programma!$F$4:$Y$36148,3,0),"_")</f>
        <v>_</v>
      </c>
      <c r="BG60" s="247" t="str">
        <f>_xlfn.IFNA(VLOOKUP(Ruimtestaat[[#This Row],[Code Weekend]],Programma!$F$4:$Y$36148,4,0),"_")</f>
        <v>_</v>
      </c>
      <c r="BH60" s="247" t="str">
        <f>_xlfn.IFNA(VLOOKUP(Ruimtestaat[[#This Row],[Code Weekend]],Programma!$F$4:$Y$36148,5,0),"_")</f>
        <v>_</v>
      </c>
      <c r="BI60" s="247" t="str">
        <f>_xlfn.IFNA(VLOOKUP(Ruimtestaat[[#This Row],[Code Weekend]],Programma!$F$4:$Y$36148,6,0),"_")</f>
        <v>_</v>
      </c>
      <c r="BJ60" s="247" t="str">
        <f>_xlfn.IFNA(VLOOKUP(Ruimtestaat[[#This Row],[Code Weekend]],Programma!$F$4:$Y$36148,7,0),"_")</f>
        <v>_</v>
      </c>
      <c r="BK60" s="247" t="str">
        <f>_xlfn.IFNA(VLOOKUP(Ruimtestaat[[#This Row],[Code Weekend]],Programma!$F$4:$Y$36148,8,0),"_")</f>
        <v>_</v>
      </c>
      <c r="BL60" s="247" t="str">
        <f>_xlfn.IFNA(VLOOKUP(Ruimtestaat[[#This Row],[Code Weekend]],Programma!$F$4:$Y$36148,9,0),"_")</f>
        <v>_</v>
      </c>
      <c r="BM60" s="248" t="str">
        <f>_xlfn.IFNA(VLOOKUP(Ruimtestaat[[#This Row],[Code Weekend]],Programma!$F$4:$Y$36148,10,0),"_")</f>
        <v>_</v>
      </c>
      <c r="BN60" s="248" t="str">
        <f>_xlfn.IFNA(VLOOKUP(Ruimtestaat[[#This Row],[Code Weekend]],Programma!$F$4:$Y$36148,11,0),"_")</f>
        <v>_</v>
      </c>
      <c r="BO60" s="248" t="str">
        <f>_xlfn.IFNA(VLOOKUP(Ruimtestaat[[#This Row],[Code Weekend]],Programma!$F$4:$Y$36148,12,0),"_")</f>
        <v>_</v>
      </c>
      <c r="BP60" s="248" t="str">
        <f>_xlfn.IFNA(VLOOKUP(Ruimtestaat[[#This Row],[Code Weekend]],Programma!$F$4:$Y$36148,13,0),"_")</f>
        <v>_</v>
      </c>
      <c r="BQ60" s="248" t="str">
        <f>_xlfn.IFNA(VLOOKUP(Ruimtestaat[[#This Row],[Code Weekend]],Programma!$F$4:$Y$36148,14,0),"_")</f>
        <v>_</v>
      </c>
      <c r="BR60" s="248" t="str">
        <f>_xlfn.IFNA(VLOOKUP(Ruimtestaat[[#This Row],[Code Weekend]],Programma!$F$4:$Y$36148,15,0),"_")</f>
        <v>_</v>
      </c>
      <c r="BS60" s="248" t="str">
        <f>_xlfn.IFNA(VLOOKUP(Ruimtestaat[[#This Row],[Code Weekend]],Programma!$F$4:$Y$36148,16,0),"_")</f>
        <v>_</v>
      </c>
      <c r="BT60" s="248" t="str">
        <f>_xlfn.IFNA(VLOOKUP(Ruimtestaat[[#This Row],[Code Weekend]],Programma!$F$4:$Y$36148,17,0),"_")</f>
        <v>_</v>
      </c>
      <c r="BU60" s="249" t="str">
        <f>_xlfn.IFNA(VLOOKUP(Ruimtestaat[[#This Row],[Code Weekend]],Programma!$F$4:$Y$36148,18,0),"_")</f>
        <v>_</v>
      </c>
      <c r="BV60" s="249" t="str">
        <f>_xlfn.IFNA(VLOOKUP(Ruimtestaat[[#This Row],[Code Weekend]],Programma!$F$4:$Y$36148,19,0),"_")</f>
        <v>_</v>
      </c>
      <c r="BW60" s="249" t="str">
        <f>_xlfn.IFNA(VLOOKUP(Ruimtestaat[[#This Row],[Code Weekend]],Programma!$F$4:$Y$36148,20,0),"_")</f>
        <v>_</v>
      </c>
      <c r="HK60" s="88"/>
    </row>
    <row r="61" spans="1:219" ht="12.75" customHeight="1">
      <c r="A61" s="131">
        <v>1</v>
      </c>
      <c r="B61" s="22" t="str">
        <f>VLOOKUP(Ruimtestaat[[#This Row],[Code]],Locaties[#All],2,FALSE)</f>
        <v>ESH Secondary School</v>
      </c>
      <c r="C61" s="22" t="str">
        <f>VLOOKUP(Ruimtestaat[[#This Row],[Code]],Locaties[#All],4,FALSE)</f>
        <v>Oostduinlaan 50</v>
      </c>
      <c r="D61" s="334" t="str">
        <f>VLOOKUP(Ruimtestaat[[#This Row],[Code]],Locaties[#All],5,FALSE)</f>
        <v>2596 JP</v>
      </c>
      <c r="E61" s="334" t="str">
        <f>VLOOKUP(Ruimtestaat[[#This Row],[Code]],Locaties[#All],6,FALSE)</f>
        <v>Den Haag</v>
      </c>
      <c r="F61" s="335"/>
      <c r="G61" s="334" t="s">
        <v>1611</v>
      </c>
      <c r="H61" s="351" t="s">
        <v>1525</v>
      </c>
      <c r="I61" s="335" t="s">
        <v>1496</v>
      </c>
      <c r="J61" s="328">
        <v>2</v>
      </c>
      <c r="K61" s="335" t="str">
        <f>VLOOKUP(J61,Ruimtegroepen[],2,FALSE)</f>
        <v>Kantoren</v>
      </c>
      <c r="L61" s="212" t="s">
        <v>123</v>
      </c>
      <c r="M61" s="334" t="s">
        <v>144</v>
      </c>
      <c r="N61" s="337">
        <v>43</v>
      </c>
      <c r="O61" s="331"/>
      <c r="P61" s="332" t="str">
        <f>VLOOKUP(Ruimtestaat[[#This Row],[Ruimte code]],Ruimtegroepen[],4,FALSE)</f>
        <v>B  (Bureauruimte)</v>
      </c>
      <c r="Q61" s="332"/>
      <c r="R61" s="333">
        <v>40</v>
      </c>
      <c r="S61" s="333" t="s">
        <v>2</v>
      </c>
      <c r="T61" s="37"/>
      <c r="U61" s="37">
        <f>IF(R61&gt;0,IF(RIGHT(Ruimtestaat[[#This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1" s="37">
        <f>IF(U61&gt;0,VLOOKUP($J61,Ruimtegroepen[],3,FALSE)*VLOOKUP($L61,Vloersoorten[],3,FALSE)*VLOOKUP($S61,Frequenties[],3,FALSE)*VLOOKUP($A61,Locaties[],3,FALSE),0)</f>
        <v>0</v>
      </c>
      <c r="W61" s="37">
        <f>Ruimtestaat[[#This Row],[Uitvoeringen werkdagen]]*Ruimtestaat[[#This Row],[Oppervlak (netto)]]</f>
        <v>8600</v>
      </c>
      <c r="X61" s="37">
        <f>IF(V61&gt;0,Ruimtestaat[[#This Row],[Prest. (m2 /jaar) werkdagen]]/Ruimtestaat[[#This Row],[Norm (m2/uur) werkdagen]],0)</f>
        <v>0</v>
      </c>
      <c r="Y61" s="37">
        <f>Ruimtestaat[[#This Row],[uren / jaar werkdagen]]*Tariefsopbouw!$D$38</f>
        <v>0</v>
      </c>
      <c r="Z61" s="37">
        <f>IF(Ruimtestaat[[#This Row],[Frequentie weekend]]&gt;0,VALUE(LEFT(T61,1))*R61,0)</f>
        <v>0</v>
      </c>
      <c r="AA61" s="37">
        <f>IF($Z61&gt;0,VLOOKUP($J61,Ruimtegroepen[],3,FALSE)*VLOOKUP($L61,Vloersoorten[],3,FALSE)*VLOOKUP($T61,Frequenties[],3,FALSE)*VLOOKUP($A61,Locaties[],3,FALSE),0)</f>
        <v>0</v>
      </c>
      <c r="AB61" s="37">
        <f>Ruimtestaat[[#This Row],[Uitvoeringen weekend]]*Ruimtestaat[[#This Row],[Oppervlak (netto)]]</f>
        <v>0</v>
      </c>
      <c r="AC61" s="37">
        <f>IF(AA61&gt;0,Ruimtestaat[[#This Row],[Prest. (m2 /jaar) weekend]]/Ruimtestaat[[#This Row],[Norm (m2/uur) weekend]],0)</f>
        <v>0</v>
      </c>
      <c r="AD61" s="37">
        <f>Ruimtestaat[[#This Row],[uren / jaar weekend]]*Tariefsopbouw!$D$40</f>
        <v>0</v>
      </c>
      <c r="AE61" s="89">
        <f>Ruimtestaat[[#This Row],[Prest. (m2 /jaar) weekend]]+Ruimtestaat[[#This Row],[Prest. (m2 /jaar) werkdagen]]</f>
        <v>8600</v>
      </c>
      <c r="AF61" s="89">
        <f>Ruimtestaat[[#This Row],[uren / jaar weekend]]+Ruimtestaat[[#This Row],[uren / jaar werkdagen]]</f>
        <v>0</v>
      </c>
      <c r="AG61" s="90">
        <f>Ruimtestaat[[#This Row],[kosten / jaar weekend]]+Ruimtestaat[[#This Row],[kosten / jaar werkdagen]]</f>
        <v>0</v>
      </c>
      <c r="AH61" s="253"/>
      <c r="AI61" s="252" t="str">
        <f>IF(Ruimtestaat[[#This Row],[Frequentie werkdagen]]="","",_xlfn.CONCAT(Ruimtestaat[[#This Row],[Ruimte code]],"-",Ruimtestaat[[#This Row],[Frequentie werkdagen]]," ",Ruimtestaat[[#This Row],[Vloer code]]))</f>
        <v>2-5w P</v>
      </c>
      <c r="AJ61" s="247" t="str">
        <f>_xlfn.IFNA(VLOOKUP(Ruimtestaat[[#This Row],[Programmacode
Regulier]],Programma!$F$4:$Y$36148,2,0),"_")</f>
        <v>_</v>
      </c>
      <c r="AK61" s="247" t="str">
        <f>_xlfn.IFNA(VLOOKUP(Ruimtestaat[[#This Row],[Programmacode
Regulier]],Programma!$F$4:$Y$36148,3,0),"_")</f>
        <v>_</v>
      </c>
      <c r="AL61" s="247" t="str">
        <f>_xlfn.IFNA(VLOOKUP(Ruimtestaat[[#This Row],[Programmacode
Regulier]],Programma!$F$4:$Y$36148,4,0),"_")</f>
        <v>5w</v>
      </c>
      <c r="AM61" s="247" t="str">
        <f>_xlfn.IFNA(VLOOKUP(Ruimtestaat[[#This Row],[Programmacode
Regulier]],Programma!$F$4:$Y$36148,5,0),"_")</f>
        <v>1w</v>
      </c>
      <c r="AN61" s="247" t="str">
        <f>_xlfn.IFNA(VLOOKUP(Ruimtestaat[[#This Row],[Programmacode
Regulier]],Programma!$F$4:$Y$36148,6,0),"_")</f>
        <v>1m</v>
      </c>
      <c r="AO61" s="247" t="str">
        <f>_xlfn.IFNA(VLOOKUP(Ruimtestaat[[#This Row],[Programmacode
Regulier]],Programma!$F$4:$Y$36148,7,0),"_")</f>
        <v>_</v>
      </c>
      <c r="AP61" s="247" t="str">
        <f>_xlfn.IFNA(VLOOKUP(Ruimtestaat[[#This Row],[Programmacode
Regulier]],Programma!$F$4:$Y$36148,8,0),"_")</f>
        <v>_</v>
      </c>
      <c r="AQ61" s="247" t="str">
        <f>_xlfn.IFNA(VLOOKUP(Ruimtestaat[[#This Row],[Programmacode
Regulier]],Programma!$F$4:$Y$36148,9,0),"_")</f>
        <v>_</v>
      </c>
      <c r="AR61" s="248" t="str">
        <f>_xlfn.IFNA(VLOOKUP(Ruimtestaat[[#This Row],[Programmacode
Regulier]],Programma!$F$4:$Y$36148,10,0),"_")</f>
        <v>5w</v>
      </c>
      <c r="AS61" s="248" t="str">
        <f>_xlfn.IFNA(VLOOKUP(Ruimtestaat[[#This Row],[Programmacode
Regulier]],Programma!$F$4:$Y$36148,11,0),"_")</f>
        <v>5w</v>
      </c>
      <c r="AT61" s="248" t="str">
        <f>_xlfn.IFNA(VLOOKUP(Ruimtestaat[[#This Row],[Programmacode
Regulier]],Programma!$F$4:$Y$36148,12,0),"_")</f>
        <v>1w</v>
      </c>
      <c r="AU61" s="248" t="str">
        <f>_xlfn.IFNA(VLOOKUP(Ruimtestaat[[#This Row],[Programmacode
Regulier]],Programma!$F$4:$Y$36148,13,0),"_")</f>
        <v>1w</v>
      </c>
      <c r="AV61" s="248" t="str">
        <f>_xlfn.IFNA(VLOOKUP(Ruimtestaat[[#This Row],[Programmacode
Regulier]],Programma!$F$4:$Y$36148,14,0),"_")</f>
        <v>1m</v>
      </c>
      <c r="AW61" s="248" t="str">
        <f>_xlfn.IFNA(VLOOKUP(Ruimtestaat[[#This Row],[Programmacode
Regulier]],Programma!$F$4:$Y$36148,15,0),"_")</f>
        <v>2j</v>
      </c>
      <c r="AX61" s="248" t="str">
        <f>_xlfn.IFNA(VLOOKUP(Ruimtestaat[[#This Row],[Programmacode
Regulier]],Programma!$F$4:$Y$36148,16,0),"_")</f>
        <v>1j</v>
      </c>
      <c r="AY61" s="248" t="str">
        <f>_xlfn.IFNA(VLOOKUP(Ruimtestaat[[#This Row],[Programmacode
Regulier]],Programma!$F$4:$Y$36148,17,0),"_")</f>
        <v>_</v>
      </c>
      <c r="AZ61" s="249" t="str">
        <f>_xlfn.IFNA(VLOOKUP(Ruimtestaat[[#This Row],[Programmacode
Regulier]],Programma!$F$4:$Y$36148,18,0),"_")</f>
        <v>_</v>
      </c>
      <c r="BA61" s="249" t="str">
        <f>_xlfn.IFNA(VLOOKUP(Ruimtestaat[[#This Row],[Programmacode
Regulier]],Programma!$F$4:$Y$36148,19,0),"_")</f>
        <v>_</v>
      </c>
      <c r="BB61" s="249" t="str">
        <f>_xlfn.IFNA(VLOOKUP(Ruimtestaat[[#This Row],[Programmacode
Regulier]],Programma!$F$4:$Y$36148,20,0),"_")</f>
        <v>_</v>
      </c>
      <c r="BC61" s="250"/>
      <c r="BD61" s="212" t="str">
        <f>IF(Ruimtestaat[[#This Row],[Frequentie weekend]]="","",_xlfn.CONCAT(Ruimtestaat[[#This Row],[Ruimte code]],"-",Ruimtestaat[[#This Row],[Frequentie weekend]]," ",Ruimtestaat[[#This Row],[Vloer code]]))</f>
        <v/>
      </c>
      <c r="BE61" s="247" t="str">
        <f>_xlfn.IFNA(VLOOKUP(Ruimtestaat[[#This Row],[Code Weekend]],Programma!$F$4:$Y$36148,2,0),"_")</f>
        <v>_</v>
      </c>
      <c r="BF61" s="247" t="str">
        <f>_xlfn.IFNA(VLOOKUP(Ruimtestaat[[#This Row],[Code Weekend]],Programma!$F$4:$Y$36148,3,0),"_")</f>
        <v>_</v>
      </c>
      <c r="BG61" s="247" t="str">
        <f>_xlfn.IFNA(VLOOKUP(Ruimtestaat[[#This Row],[Code Weekend]],Programma!$F$4:$Y$36148,4,0),"_")</f>
        <v>_</v>
      </c>
      <c r="BH61" s="247" t="str">
        <f>_xlfn.IFNA(VLOOKUP(Ruimtestaat[[#This Row],[Code Weekend]],Programma!$F$4:$Y$36148,5,0),"_")</f>
        <v>_</v>
      </c>
      <c r="BI61" s="247" t="str">
        <f>_xlfn.IFNA(VLOOKUP(Ruimtestaat[[#This Row],[Code Weekend]],Programma!$F$4:$Y$36148,6,0),"_")</f>
        <v>_</v>
      </c>
      <c r="BJ61" s="247" t="str">
        <f>_xlfn.IFNA(VLOOKUP(Ruimtestaat[[#This Row],[Code Weekend]],Programma!$F$4:$Y$36148,7,0),"_")</f>
        <v>_</v>
      </c>
      <c r="BK61" s="247" t="str">
        <f>_xlfn.IFNA(VLOOKUP(Ruimtestaat[[#This Row],[Code Weekend]],Programma!$F$4:$Y$36148,8,0),"_")</f>
        <v>_</v>
      </c>
      <c r="BL61" s="247" t="str">
        <f>_xlfn.IFNA(VLOOKUP(Ruimtestaat[[#This Row],[Code Weekend]],Programma!$F$4:$Y$36148,9,0),"_")</f>
        <v>_</v>
      </c>
      <c r="BM61" s="248" t="str">
        <f>_xlfn.IFNA(VLOOKUP(Ruimtestaat[[#This Row],[Code Weekend]],Programma!$F$4:$Y$36148,10,0),"_")</f>
        <v>_</v>
      </c>
      <c r="BN61" s="248" t="str">
        <f>_xlfn.IFNA(VLOOKUP(Ruimtestaat[[#This Row],[Code Weekend]],Programma!$F$4:$Y$36148,11,0),"_")</f>
        <v>_</v>
      </c>
      <c r="BO61" s="248" t="str">
        <f>_xlfn.IFNA(VLOOKUP(Ruimtestaat[[#This Row],[Code Weekend]],Programma!$F$4:$Y$36148,12,0),"_")</f>
        <v>_</v>
      </c>
      <c r="BP61" s="248" t="str">
        <f>_xlfn.IFNA(VLOOKUP(Ruimtestaat[[#This Row],[Code Weekend]],Programma!$F$4:$Y$36148,13,0),"_")</f>
        <v>_</v>
      </c>
      <c r="BQ61" s="248" t="str">
        <f>_xlfn.IFNA(VLOOKUP(Ruimtestaat[[#This Row],[Code Weekend]],Programma!$F$4:$Y$36148,14,0),"_")</f>
        <v>_</v>
      </c>
      <c r="BR61" s="248" t="str">
        <f>_xlfn.IFNA(VLOOKUP(Ruimtestaat[[#This Row],[Code Weekend]],Programma!$F$4:$Y$36148,15,0),"_")</f>
        <v>_</v>
      </c>
      <c r="BS61" s="248" t="str">
        <f>_xlfn.IFNA(VLOOKUP(Ruimtestaat[[#This Row],[Code Weekend]],Programma!$F$4:$Y$36148,16,0),"_")</f>
        <v>_</v>
      </c>
      <c r="BT61" s="248" t="str">
        <f>_xlfn.IFNA(VLOOKUP(Ruimtestaat[[#This Row],[Code Weekend]],Programma!$F$4:$Y$36148,17,0),"_")</f>
        <v>_</v>
      </c>
      <c r="BU61" s="249" t="str">
        <f>_xlfn.IFNA(VLOOKUP(Ruimtestaat[[#This Row],[Code Weekend]],Programma!$F$4:$Y$36148,18,0),"_")</f>
        <v>_</v>
      </c>
      <c r="BV61" s="249" t="str">
        <f>_xlfn.IFNA(VLOOKUP(Ruimtestaat[[#This Row],[Code Weekend]],Programma!$F$4:$Y$36148,19,0),"_")</f>
        <v>_</v>
      </c>
      <c r="BW61" s="249" t="str">
        <f>_xlfn.IFNA(VLOOKUP(Ruimtestaat[[#This Row],[Code Weekend]],Programma!$F$4:$Y$36148,20,0),"_")</f>
        <v>_</v>
      </c>
      <c r="HK61" s="88"/>
    </row>
    <row r="62" spans="1:219" ht="12.75" customHeight="1">
      <c r="A62" s="131">
        <v>1</v>
      </c>
      <c r="B62" s="22" t="str">
        <f>VLOOKUP(Ruimtestaat[[#This Row],[Code]],Locaties[#All],2,FALSE)</f>
        <v>ESH Secondary School</v>
      </c>
      <c r="C62" s="22" t="str">
        <f>VLOOKUP(Ruimtestaat[[#This Row],[Code]],Locaties[#All],4,FALSE)</f>
        <v>Oostduinlaan 50</v>
      </c>
      <c r="D62" s="334" t="str">
        <f>VLOOKUP(Ruimtestaat[[#This Row],[Code]],Locaties[#All],5,FALSE)</f>
        <v>2596 JP</v>
      </c>
      <c r="E62" s="334" t="str">
        <f>VLOOKUP(Ruimtestaat[[#This Row],[Code]],Locaties[#All],6,FALSE)</f>
        <v>Den Haag</v>
      </c>
      <c r="F62" s="335"/>
      <c r="G62" s="334" t="s">
        <v>1611</v>
      </c>
      <c r="H62" s="351" t="s">
        <v>1376</v>
      </c>
      <c r="I62" s="335" t="s">
        <v>1497</v>
      </c>
      <c r="J62" s="333">
        <v>16</v>
      </c>
      <c r="K62" s="335" t="str">
        <f>VLOOKUP(J62,Ruimtegroepen[],2,FALSE)</f>
        <v>Leslokalen</v>
      </c>
      <c r="L62" s="212" t="s">
        <v>123</v>
      </c>
      <c r="M62" s="334" t="s">
        <v>144</v>
      </c>
      <c r="N62" s="337">
        <v>42</v>
      </c>
      <c r="O62" s="331"/>
      <c r="P62" s="332" t="str">
        <f>VLOOKUP(Ruimtestaat[[#This Row],[Ruimte code]],Ruimtegroepen[],4,FALSE)</f>
        <v>L  (Lesruimte)</v>
      </c>
      <c r="Q62" s="332"/>
      <c r="R62" s="333">
        <v>40</v>
      </c>
      <c r="S62" s="333" t="s">
        <v>2</v>
      </c>
      <c r="T62" s="37"/>
      <c r="U62" s="37">
        <f>IF(R62&gt;0,IF(RIGHT(Ruimtestaat[[#This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2" s="37">
        <f>IF(U62&gt;0,VLOOKUP($J62,Ruimtegroepen[],3,FALSE)*VLOOKUP($L62,Vloersoorten[],3,FALSE)*VLOOKUP($S62,Frequenties[],3,FALSE)*VLOOKUP($A62,Locaties[],3,FALSE),0)</f>
        <v>0</v>
      </c>
      <c r="W62" s="37">
        <f>Ruimtestaat[[#This Row],[Uitvoeringen werkdagen]]*Ruimtestaat[[#This Row],[Oppervlak (netto)]]</f>
        <v>8400</v>
      </c>
      <c r="X62" s="37">
        <f>IF(V62&gt;0,Ruimtestaat[[#This Row],[Prest. (m2 /jaar) werkdagen]]/Ruimtestaat[[#This Row],[Norm (m2/uur) werkdagen]],0)</f>
        <v>0</v>
      </c>
      <c r="Y62" s="37">
        <f>Ruimtestaat[[#This Row],[uren / jaar werkdagen]]*Tariefsopbouw!$D$38</f>
        <v>0</v>
      </c>
      <c r="Z62" s="37">
        <f>IF(Ruimtestaat[[#This Row],[Frequentie weekend]]&gt;0,VALUE(LEFT(T62,1))*R62,0)</f>
        <v>0</v>
      </c>
      <c r="AA62" s="37">
        <f>IF($Z62&gt;0,VLOOKUP($J62,Ruimtegroepen[],3,FALSE)*VLOOKUP($L62,Vloersoorten[],3,FALSE)*VLOOKUP($T62,Frequenties[],3,FALSE)*VLOOKUP($A62,Locaties[],3,FALSE),0)</f>
        <v>0</v>
      </c>
      <c r="AB62" s="37">
        <f>Ruimtestaat[[#This Row],[Uitvoeringen weekend]]*Ruimtestaat[[#This Row],[Oppervlak (netto)]]</f>
        <v>0</v>
      </c>
      <c r="AC62" s="37">
        <f>IF(AA62&gt;0,Ruimtestaat[[#This Row],[Prest. (m2 /jaar) weekend]]/Ruimtestaat[[#This Row],[Norm (m2/uur) weekend]],0)</f>
        <v>0</v>
      </c>
      <c r="AD62" s="37">
        <f>Ruimtestaat[[#This Row],[uren / jaar weekend]]*Tariefsopbouw!$D$40</f>
        <v>0</v>
      </c>
      <c r="AE62" s="89">
        <f>Ruimtestaat[[#This Row],[Prest. (m2 /jaar) weekend]]+Ruimtestaat[[#This Row],[Prest. (m2 /jaar) werkdagen]]</f>
        <v>8400</v>
      </c>
      <c r="AF62" s="89">
        <f>Ruimtestaat[[#This Row],[uren / jaar weekend]]+Ruimtestaat[[#This Row],[uren / jaar werkdagen]]</f>
        <v>0</v>
      </c>
      <c r="AG62" s="90">
        <f>Ruimtestaat[[#This Row],[kosten / jaar weekend]]+Ruimtestaat[[#This Row],[kosten / jaar werkdagen]]</f>
        <v>0</v>
      </c>
      <c r="AH62" s="253"/>
      <c r="AI62" s="252" t="str">
        <f>IF(Ruimtestaat[[#This Row],[Frequentie werkdagen]]="","",_xlfn.CONCAT(Ruimtestaat[[#This Row],[Ruimte code]],"-",Ruimtestaat[[#This Row],[Frequentie werkdagen]]," ",Ruimtestaat[[#This Row],[Vloer code]]))</f>
        <v>16-5w P</v>
      </c>
      <c r="AJ62" s="247" t="str">
        <f>_xlfn.IFNA(VLOOKUP(Ruimtestaat[[#This Row],[Programmacode
Regulier]],Programma!$F$4:$Y$36148,2,0),"_")</f>
        <v>_</v>
      </c>
      <c r="AK62" s="247" t="str">
        <f>_xlfn.IFNA(VLOOKUP(Ruimtestaat[[#This Row],[Programmacode
Regulier]],Programma!$F$4:$Y$36148,3,0),"_")</f>
        <v>_</v>
      </c>
      <c r="AL62" s="247" t="str">
        <f>_xlfn.IFNA(VLOOKUP(Ruimtestaat[[#This Row],[Programmacode
Regulier]],Programma!$F$4:$Y$36148,4,0),"_")</f>
        <v>5w</v>
      </c>
      <c r="AM62" s="247" t="str">
        <f>_xlfn.IFNA(VLOOKUP(Ruimtestaat[[#This Row],[Programmacode
Regulier]],Programma!$F$4:$Y$36148,5,0),"_")</f>
        <v>1w</v>
      </c>
      <c r="AN62" s="247" t="str">
        <f>_xlfn.IFNA(VLOOKUP(Ruimtestaat[[#This Row],[Programmacode
Regulier]],Programma!$F$4:$Y$36148,6,0),"_")</f>
        <v>1m</v>
      </c>
      <c r="AO62" s="247" t="str">
        <f>_xlfn.IFNA(VLOOKUP(Ruimtestaat[[#This Row],[Programmacode
Regulier]],Programma!$F$4:$Y$36148,7,0),"_")</f>
        <v>_</v>
      </c>
      <c r="AP62" s="247" t="str">
        <f>_xlfn.IFNA(VLOOKUP(Ruimtestaat[[#This Row],[Programmacode
Regulier]],Programma!$F$4:$Y$36148,8,0),"_")</f>
        <v>_</v>
      </c>
      <c r="AQ62" s="247" t="str">
        <f>_xlfn.IFNA(VLOOKUP(Ruimtestaat[[#This Row],[Programmacode
Regulier]],Programma!$F$4:$Y$36148,9,0),"_")</f>
        <v>_</v>
      </c>
      <c r="AR62" s="248" t="str">
        <f>_xlfn.IFNA(VLOOKUP(Ruimtestaat[[#This Row],[Programmacode
Regulier]],Programma!$F$4:$Y$36148,10,0),"_")</f>
        <v>5w</v>
      </c>
      <c r="AS62" s="248" t="str">
        <f>_xlfn.IFNA(VLOOKUP(Ruimtestaat[[#This Row],[Programmacode
Regulier]],Programma!$F$4:$Y$36148,11,0),"_")</f>
        <v>5w</v>
      </c>
      <c r="AT62" s="248" t="str">
        <f>_xlfn.IFNA(VLOOKUP(Ruimtestaat[[#This Row],[Programmacode
Regulier]],Programma!$F$4:$Y$36148,12,0),"_")</f>
        <v>1w</v>
      </c>
      <c r="AU62" s="248" t="str">
        <f>_xlfn.IFNA(VLOOKUP(Ruimtestaat[[#This Row],[Programmacode
Regulier]],Programma!$F$4:$Y$36148,13,0),"_")</f>
        <v>1w</v>
      </c>
      <c r="AV62" s="248" t="str">
        <f>_xlfn.IFNA(VLOOKUP(Ruimtestaat[[#This Row],[Programmacode
Regulier]],Programma!$F$4:$Y$36148,14,0),"_")</f>
        <v>1m</v>
      </c>
      <c r="AW62" s="248" t="str">
        <f>_xlfn.IFNA(VLOOKUP(Ruimtestaat[[#This Row],[Programmacode
Regulier]],Programma!$F$4:$Y$36148,15,0),"_")</f>
        <v>2j</v>
      </c>
      <c r="AX62" s="248" t="str">
        <f>_xlfn.IFNA(VLOOKUP(Ruimtestaat[[#This Row],[Programmacode
Regulier]],Programma!$F$4:$Y$36148,16,0),"_")</f>
        <v>1j</v>
      </c>
      <c r="AY62" s="248" t="str">
        <f>_xlfn.IFNA(VLOOKUP(Ruimtestaat[[#This Row],[Programmacode
Regulier]],Programma!$F$4:$Y$36148,17,0),"_")</f>
        <v>_</v>
      </c>
      <c r="AZ62" s="249" t="str">
        <f>_xlfn.IFNA(VLOOKUP(Ruimtestaat[[#This Row],[Programmacode
Regulier]],Programma!$F$4:$Y$36148,18,0),"_")</f>
        <v>_</v>
      </c>
      <c r="BA62" s="249" t="str">
        <f>_xlfn.IFNA(VLOOKUP(Ruimtestaat[[#This Row],[Programmacode
Regulier]],Programma!$F$4:$Y$36148,19,0),"_")</f>
        <v>_</v>
      </c>
      <c r="BB62" s="249" t="str">
        <f>_xlfn.IFNA(VLOOKUP(Ruimtestaat[[#This Row],[Programmacode
Regulier]],Programma!$F$4:$Y$36148,20,0),"_")</f>
        <v>_</v>
      </c>
      <c r="BC62" s="250"/>
      <c r="BD62" s="212" t="str">
        <f>IF(Ruimtestaat[[#This Row],[Frequentie weekend]]="","",_xlfn.CONCAT(Ruimtestaat[[#This Row],[Ruimte code]],"-",Ruimtestaat[[#This Row],[Frequentie weekend]]," ",Ruimtestaat[[#This Row],[Vloer code]]))</f>
        <v/>
      </c>
      <c r="BE62" s="247" t="str">
        <f>_xlfn.IFNA(VLOOKUP(Ruimtestaat[[#This Row],[Code Weekend]],Programma!$F$4:$Y$36148,2,0),"_")</f>
        <v>_</v>
      </c>
      <c r="BF62" s="247" t="str">
        <f>_xlfn.IFNA(VLOOKUP(Ruimtestaat[[#This Row],[Code Weekend]],Programma!$F$4:$Y$36148,3,0),"_")</f>
        <v>_</v>
      </c>
      <c r="BG62" s="247" t="str">
        <f>_xlfn.IFNA(VLOOKUP(Ruimtestaat[[#This Row],[Code Weekend]],Programma!$F$4:$Y$36148,4,0),"_")</f>
        <v>_</v>
      </c>
      <c r="BH62" s="247" t="str">
        <f>_xlfn.IFNA(VLOOKUP(Ruimtestaat[[#This Row],[Code Weekend]],Programma!$F$4:$Y$36148,5,0),"_")</f>
        <v>_</v>
      </c>
      <c r="BI62" s="247" t="str">
        <f>_xlfn.IFNA(VLOOKUP(Ruimtestaat[[#This Row],[Code Weekend]],Programma!$F$4:$Y$36148,6,0),"_")</f>
        <v>_</v>
      </c>
      <c r="BJ62" s="247" t="str">
        <f>_xlfn.IFNA(VLOOKUP(Ruimtestaat[[#This Row],[Code Weekend]],Programma!$F$4:$Y$36148,7,0),"_")</f>
        <v>_</v>
      </c>
      <c r="BK62" s="247" t="str">
        <f>_xlfn.IFNA(VLOOKUP(Ruimtestaat[[#This Row],[Code Weekend]],Programma!$F$4:$Y$36148,8,0),"_")</f>
        <v>_</v>
      </c>
      <c r="BL62" s="247" t="str">
        <f>_xlfn.IFNA(VLOOKUP(Ruimtestaat[[#This Row],[Code Weekend]],Programma!$F$4:$Y$36148,9,0),"_")</f>
        <v>_</v>
      </c>
      <c r="BM62" s="248" t="str">
        <f>_xlfn.IFNA(VLOOKUP(Ruimtestaat[[#This Row],[Code Weekend]],Programma!$F$4:$Y$36148,10,0),"_")</f>
        <v>_</v>
      </c>
      <c r="BN62" s="248" t="str">
        <f>_xlfn.IFNA(VLOOKUP(Ruimtestaat[[#This Row],[Code Weekend]],Programma!$F$4:$Y$36148,11,0),"_")</f>
        <v>_</v>
      </c>
      <c r="BO62" s="248" t="str">
        <f>_xlfn.IFNA(VLOOKUP(Ruimtestaat[[#This Row],[Code Weekend]],Programma!$F$4:$Y$36148,12,0),"_")</f>
        <v>_</v>
      </c>
      <c r="BP62" s="248" t="str">
        <f>_xlfn.IFNA(VLOOKUP(Ruimtestaat[[#This Row],[Code Weekend]],Programma!$F$4:$Y$36148,13,0),"_")</f>
        <v>_</v>
      </c>
      <c r="BQ62" s="248" t="str">
        <f>_xlfn.IFNA(VLOOKUP(Ruimtestaat[[#This Row],[Code Weekend]],Programma!$F$4:$Y$36148,14,0),"_")</f>
        <v>_</v>
      </c>
      <c r="BR62" s="248" t="str">
        <f>_xlfn.IFNA(VLOOKUP(Ruimtestaat[[#This Row],[Code Weekend]],Programma!$F$4:$Y$36148,15,0),"_")</f>
        <v>_</v>
      </c>
      <c r="BS62" s="248" t="str">
        <f>_xlfn.IFNA(VLOOKUP(Ruimtestaat[[#This Row],[Code Weekend]],Programma!$F$4:$Y$36148,16,0),"_")</f>
        <v>_</v>
      </c>
      <c r="BT62" s="248" t="str">
        <f>_xlfn.IFNA(VLOOKUP(Ruimtestaat[[#This Row],[Code Weekend]],Programma!$F$4:$Y$36148,17,0),"_")</f>
        <v>_</v>
      </c>
      <c r="BU62" s="249" t="str">
        <f>_xlfn.IFNA(VLOOKUP(Ruimtestaat[[#This Row],[Code Weekend]],Programma!$F$4:$Y$36148,18,0),"_")</f>
        <v>_</v>
      </c>
      <c r="BV62" s="249" t="str">
        <f>_xlfn.IFNA(VLOOKUP(Ruimtestaat[[#This Row],[Code Weekend]],Programma!$F$4:$Y$36148,19,0),"_")</f>
        <v>_</v>
      </c>
      <c r="BW62" s="249" t="str">
        <f>_xlfn.IFNA(VLOOKUP(Ruimtestaat[[#This Row],[Code Weekend]],Programma!$F$4:$Y$36148,20,0),"_")</f>
        <v>_</v>
      </c>
      <c r="HK62" s="88"/>
    </row>
    <row r="63" spans="1:219" ht="12.75" customHeight="1">
      <c r="A63" s="131">
        <v>1</v>
      </c>
      <c r="B63" s="22" t="str">
        <f>VLOOKUP(Ruimtestaat[[#This Row],[Code]],Locaties[#All],2,FALSE)</f>
        <v>ESH Secondary School</v>
      </c>
      <c r="C63" s="22" t="str">
        <f>VLOOKUP(Ruimtestaat[[#This Row],[Code]],Locaties[#All],4,FALSE)</f>
        <v>Oostduinlaan 50</v>
      </c>
      <c r="D63" s="334" t="str">
        <f>VLOOKUP(Ruimtestaat[[#This Row],[Code]],Locaties[#All],5,FALSE)</f>
        <v>2596 JP</v>
      </c>
      <c r="E63" s="334" t="str">
        <f>VLOOKUP(Ruimtestaat[[#This Row],[Code]],Locaties[#All],6,FALSE)</f>
        <v>Den Haag</v>
      </c>
      <c r="F63" s="335"/>
      <c r="G63" s="334" t="s">
        <v>1611</v>
      </c>
      <c r="H63" s="334" t="s">
        <v>1377</v>
      </c>
      <c r="I63" s="335" t="s">
        <v>1497</v>
      </c>
      <c r="J63" s="333">
        <v>16</v>
      </c>
      <c r="K63" s="335" t="str">
        <f>VLOOKUP(J63,Ruimtegroepen[],2,FALSE)</f>
        <v>Leslokalen</v>
      </c>
      <c r="L63" s="212" t="s">
        <v>123</v>
      </c>
      <c r="M63" s="334" t="s">
        <v>144</v>
      </c>
      <c r="N63" s="337">
        <v>42</v>
      </c>
      <c r="O63" s="331"/>
      <c r="P63" s="332" t="str">
        <f>VLOOKUP(Ruimtestaat[[#This Row],[Ruimte code]],Ruimtegroepen[],4,FALSE)</f>
        <v>L  (Lesruimte)</v>
      </c>
      <c r="Q63" s="332"/>
      <c r="R63" s="333">
        <v>40</v>
      </c>
      <c r="S63" s="333" t="s">
        <v>2</v>
      </c>
      <c r="T63" s="37"/>
      <c r="U63" s="37">
        <f>IF(R63&gt;0,IF(RIGHT(Ruimtestaat[[#This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3" s="37">
        <f>IF(U63&gt;0,VLOOKUP($J63,Ruimtegroepen[],3,FALSE)*VLOOKUP($L63,Vloersoorten[],3,FALSE)*VLOOKUP($S63,Frequenties[],3,FALSE)*VLOOKUP($A63,Locaties[],3,FALSE),0)</f>
        <v>0</v>
      </c>
      <c r="W63" s="37">
        <f>Ruimtestaat[[#This Row],[Uitvoeringen werkdagen]]*Ruimtestaat[[#This Row],[Oppervlak (netto)]]</f>
        <v>8400</v>
      </c>
      <c r="X63" s="37">
        <f>IF(V63&gt;0,Ruimtestaat[[#This Row],[Prest. (m2 /jaar) werkdagen]]/Ruimtestaat[[#This Row],[Norm (m2/uur) werkdagen]],0)</f>
        <v>0</v>
      </c>
      <c r="Y63" s="37">
        <f>Ruimtestaat[[#This Row],[uren / jaar werkdagen]]*Tariefsopbouw!$D$38</f>
        <v>0</v>
      </c>
      <c r="Z63" s="37">
        <f>IF(Ruimtestaat[[#This Row],[Frequentie weekend]]&gt;0,VALUE(LEFT(T63,1))*R63,0)</f>
        <v>0</v>
      </c>
      <c r="AA63" s="37">
        <f>IF($Z63&gt;0,VLOOKUP($J63,Ruimtegroepen[],3,FALSE)*VLOOKUP($L63,Vloersoorten[],3,FALSE)*VLOOKUP($T63,Frequenties[],3,FALSE)*VLOOKUP($A63,Locaties[],3,FALSE),0)</f>
        <v>0</v>
      </c>
      <c r="AB63" s="37">
        <f>Ruimtestaat[[#This Row],[Uitvoeringen weekend]]*Ruimtestaat[[#This Row],[Oppervlak (netto)]]</f>
        <v>0</v>
      </c>
      <c r="AC63" s="37">
        <f>IF(AA63&gt;0,Ruimtestaat[[#This Row],[Prest. (m2 /jaar) weekend]]/Ruimtestaat[[#This Row],[Norm (m2/uur) weekend]],0)</f>
        <v>0</v>
      </c>
      <c r="AD63" s="37">
        <f>Ruimtestaat[[#This Row],[uren / jaar weekend]]*Tariefsopbouw!$D$40</f>
        <v>0</v>
      </c>
      <c r="AE63" s="89">
        <f>Ruimtestaat[[#This Row],[Prest. (m2 /jaar) weekend]]+Ruimtestaat[[#This Row],[Prest. (m2 /jaar) werkdagen]]</f>
        <v>8400</v>
      </c>
      <c r="AF63" s="89">
        <f>Ruimtestaat[[#This Row],[uren / jaar weekend]]+Ruimtestaat[[#This Row],[uren / jaar werkdagen]]</f>
        <v>0</v>
      </c>
      <c r="AG63" s="90">
        <f>Ruimtestaat[[#This Row],[kosten / jaar weekend]]+Ruimtestaat[[#This Row],[kosten / jaar werkdagen]]</f>
        <v>0</v>
      </c>
      <c r="AH63" s="253"/>
      <c r="AI63" s="252" t="str">
        <f>IF(Ruimtestaat[[#This Row],[Frequentie werkdagen]]="","",_xlfn.CONCAT(Ruimtestaat[[#This Row],[Ruimte code]],"-",Ruimtestaat[[#This Row],[Frequentie werkdagen]]," ",Ruimtestaat[[#This Row],[Vloer code]]))</f>
        <v>16-5w P</v>
      </c>
      <c r="AJ63" s="247" t="str">
        <f>_xlfn.IFNA(VLOOKUP(Ruimtestaat[[#This Row],[Programmacode
Regulier]],Programma!$F$4:$Y$36148,2,0),"_")</f>
        <v>_</v>
      </c>
      <c r="AK63" s="247" t="str">
        <f>_xlfn.IFNA(VLOOKUP(Ruimtestaat[[#This Row],[Programmacode
Regulier]],Programma!$F$4:$Y$36148,3,0),"_")</f>
        <v>_</v>
      </c>
      <c r="AL63" s="247" t="str">
        <f>_xlfn.IFNA(VLOOKUP(Ruimtestaat[[#This Row],[Programmacode
Regulier]],Programma!$F$4:$Y$36148,4,0),"_")</f>
        <v>5w</v>
      </c>
      <c r="AM63" s="247" t="str">
        <f>_xlfn.IFNA(VLOOKUP(Ruimtestaat[[#This Row],[Programmacode
Regulier]],Programma!$F$4:$Y$36148,5,0),"_")</f>
        <v>1w</v>
      </c>
      <c r="AN63" s="247" t="str">
        <f>_xlfn.IFNA(VLOOKUP(Ruimtestaat[[#This Row],[Programmacode
Regulier]],Programma!$F$4:$Y$36148,6,0),"_")</f>
        <v>1m</v>
      </c>
      <c r="AO63" s="247" t="str">
        <f>_xlfn.IFNA(VLOOKUP(Ruimtestaat[[#This Row],[Programmacode
Regulier]],Programma!$F$4:$Y$36148,7,0),"_")</f>
        <v>_</v>
      </c>
      <c r="AP63" s="247" t="str">
        <f>_xlfn.IFNA(VLOOKUP(Ruimtestaat[[#This Row],[Programmacode
Regulier]],Programma!$F$4:$Y$36148,8,0),"_")</f>
        <v>_</v>
      </c>
      <c r="AQ63" s="247" t="str">
        <f>_xlfn.IFNA(VLOOKUP(Ruimtestaat[[#This Row],[Programmacode
Regulier]],Programma!$F$4:$Y$36148,9,0),"_")</f>
        <v>_</v>
      </c>
      <c r="AR63" s="248" t="str">
        <f>_xlfn.IFNA(VLOOKUP(Ruimtestaat[[#This Row],[Programmacode
Regulier]],Programma!$F$4:$Y$36148,10,0),"_")</f>
        <v>5w</v>
      </c>
      <c r="AS63" s="248" t="str">
        <f>_xlfn.IFNA(VLOOKUP(Ruimtestaat[[#This Row],[Programmacode
Regulier]],Programma!$F$4:$Y$36148,11,0),"_")</f>
        <v>5w</v>
      </c>
      <c r="AT63" s="248" t="str">
        <f>_xlfn.IFNA(VLOOKUP(Ruimtestaat[[#This Row],[Programmacode
Regulier]],Programma!$F$4:$Y$36148,12,0),"_")</f>
        <v>1w</v>
      </c>
      <c r="AU63" s="248" t="str">
        <f>_xlfn.IFNA(VLOOKUP(Ruimtestaat[[#This Row],[Programmacode
Regulier]],Programma!$F$4:$Y$36148,13,0),"_")</f>
        <v>1w</v>
      </c>
      <c r="AV63" s="248" t="str">
        <f>_xlfn.IFNA(VLOOKUP(Ruimtestaat[[#This Row],[Programmacode
Regulier]],Programma!$F$4:$Y$36148,14,0),"_")</f>
        <v>1m</v>
      </c>
      <c r="AW63" s="248" t="str">
        <f>_xlfn.IFNA(VLOOKUP(Ruimtestaat[[#This Row],[Programmacode
Regulier]],Programma!$F$4:$Y$36148,15,0),"_")</f>
        <v>2j</v>
      </c>
      <c r="AX63" s="248" t="str">
        <f>_xlfn.IFNA(VLOOKUP(Ruimtestaat[[#This Row],[Programmacode
Regulier]],Programma!$F$4:$Y$36148,16,0),"_")</f>
        <v>1j</v>
      </c>
      <c r="AY63" s="248" t="str">
        <f>_xlfn.IFNA(VLOOKUP(Ruimtestaat[[#This Row],[Programmacode
Regulier]],Programma!$F$4:$Y$36148,17,0),"_")</f>
        <v>_</v>
      </c>
      <c r="AZ63" s="249" t="str">
        <f>_xlfn.IFNA(VLOOKUP(Ruimtestaat[[#This Row],[Programmacode
Regulier]],Programma!$F$4:$Y$36148,18,0),"_")</f>
        <v>_</v>
      </c>
      <c r="BA63" s="249" t="str">
        <f>_xlfn.IFNA(VLOOKUP(Ruimtestaat[[#This Row],[Programmacode
Regulier]],Programma!$F$4:$Y$36148,19,0),"_")</f>
        <v>_</v>
      </c>
      <c r="BB63" s="249" t="str">
        <f>_xlfn.IFNA(VLOOKUP(Ruimtestaat[[#This Row],[Programmacode
Regulier]],Programma!$F$4:$Y$36148,20,0),"_")</f>
        <v>_</v>
      </c>
      <c r="BC63" s="244"/>
      <c r="BD63" s="212" t="str">
        <f>IF(Ruimtestaat[[#This Row],[Frequentie weekend]]="","",_xlfn.CONCAT(Ruimtestaat[[#This Row],[Ruimte code]],"-",Ruimtestaat[[#This Row],[Frequentie weekend]]," ",Ruimtestaat[[#This Row],[Vloer code]]))</f>
        <v/>
      </c>
      <c r="BE63" s="247" t="str">
        <f>_xlfn.IFNA(VLOOKUP(Ruimtestaat[[#This Row],[Code Weekend]],Programma!$F$4:$Y$36148,2,0),"_")</f>
        <v>_</v>
      </c>
      <c r="BF63" s="247" t="str">
        <f>_xlfn.IFNA(VLOOKUP(Ruimtestaat[[#This Row],[Code Weekend]],Programma!$F$4:$Y$36148,3,0),"_")</f>
        <v>_</v>
      </c>
      <c r="BG63" s="247" t="str">
        <f>_xlfn.IFNA(VLOOKUP(Ruimtestaat[[#This Row],[Code Weekend]],Programma!$F$4:$Y$36148,4,0),"_")</f>
        <v>_</v>
      </c>
      <c r="BH63" s="247" t="str">
        <f>_xlfn.IFNA(VLOOKUP(Ruimtestaat[[#This Row],[Code Weekend]],Programma!$F$4:$Y$36148,5,0),"_")</f>
        <v>_</v>
      </c>
      <c r="BI63" s="247" t="str">
        <f>_xlfn.IFNA(VLOOKUP(Ruimtestaat[[#This Row],[Code Weekend]],Programma!$F$4:$Y$36148,6,0),"_")</f>
        <v>_</v>
      </c>
      <c r="BJ63" s="247" t="str">
        <f>_xlfn.IFNA(VLOOKUP(Ruimtestaat[[#This Row],[Code Weekend]],Programma!$F$4:$Y$36148,7,0),"_")</f>
        <v>_</v>
      </c>
      <c r="BK63" s="247" t="str">
        <f>_xlfn.IFNA(VLOOKUP(Ruimtestaat[[#This Row],[Code Weekend]],Programma!$F$4:$Y$36148,8,0),"_")</f>
        <v>_</v>
      </c>
      <c r="BL63" s="247" t="str">
        <f>_xlfn.IFNA(VLOOKUP(Ruimtestaat[[#This Row],[Code Weekend]],Programma!$F$4:$Y$36148,9,0),"_")</f>
        <v>_</v>
      </c>
      <c r="BM63" s="248" t="str">
        <f>_xlfn.IFNA(VLOOKUP(Ruimtestaat[[#This Row],[Code Weekend]],Programma!$F$4:$Y$36148,10,0),"_")</f>
        <v>_</v>
      </c>
      <c r="BN63" s="248" t="str">
        <f>_xlfn.IFNA(VLOOKUP(Ruimtestaat[[#This Row],[Code Weekend]],Programma!$F$4:$Y$36148,11,0),"_")</f>
        <v>_</v>
      </c>
      <c r="BO63" s="248" t="str">
        <f>_xlfn.IFNA(VLOOKUP(Ruimtestaat[[#This Row],[Code Weekend]],Programma!$F$4:$Y$36148,12,0),"_")</f>
        <v>_</v>
      </c>
      <c r="BP63" s="248" t="str">
        <f>_xlfn.IFNA(VLOOKUP(Ruimtestaat[[#This Row],[Code Weekend]],Programma!$F$4:$Y$36148,13,0),"_")</f>
        <v>_</v>
      </c>
      <c r="BQ63" s="248" t="str">
        <f>_xlfn.IFNA(VLOOKUP(Ruimtestaat[[#This Row],[Code Weekend]],Programma!$F$4:$Y$36148,14,0),"_")</f>
        <v>_</v>
      </c>
      <c r="BR63" s="248" t="str">
        <f>_xlfn.IFNA(VLOOKUP(Ruimtestaat[[#This Row],[Code Weekend]],Programma!$F$4:$Y$36148,15,0),"_")</f>
        <v>_</v>
      </c>
      <c r="BS63" s="248" t="str">
        <f>_xlfn.IFNA(VLOOKUP(Ruimtestaat[[#This Row],[Code Weekend]],Programma!$F$4:$Y$36148,16,0),"_")</f>
        <v>_</v>
      </c>
      <c r="BT63" s="248" t="str">
        <f>_xlfn.IFNA(VLOOKUP(Ruimtestaat[[#This Row],[Code Weekend]],Programma!$F$4:$Y$36148,17,0),"_")</f>
        <v>_</v>
      </c>
      <c r="BU63" s="249" t="str">
        <f>_xlfn.IFNA(VLOOKUP(Ruimtestaat[[#This Row],[Code Weekend]],Programma!$F$4:$Y$36148,18,0),"_")</f>
        <v>_</v>
      </c>
      <c r="BV63" s="249" t="str">
        <f>_xlfn.IFNA(VLOOKUP(Ruimtestaat[[#This Row],[Code Weekend]],Programma!$F$4:$Y$36148,19,0),"_")</f>
        <v>_</v>
      </c>
      <c r="BW63" s="249" t="str">
        <f>_xlfn.IFNA(VLOOKUP(Ruimtestaat[[#This Row],[Code Weekend]],Programma!$F$4:$Y$36148,20,0),"_")</f>
        <v>_</v>
      </c>
      <c r="HK63" s="88"/>
    </row>
    <row r="64" spans="1:219" ht="12.75" customHeight="1">
      <c r="A64" s="131">
        <v>1</v>
      </c>
      <c r="B64" s="22" t="str">
        <f>VLOOKUP(Ruimtestaat[[#This Row],[Code]],Locaties[#All],2,FALSE)</f>
        <v>ESH Secondary School</v>
      </c>
      <c r="C64" s="22" t="str">
        <f>VLOOKUP(Ruimtestaat[[#This Row],[Code]],Locaties[#All],4,FALSE)</f>
        <v>Oostduinlaan 50</v>
      </c>
      <c r="D64" s="334" t="str">
        <f>VLOOKUP(Ruimtestaat[[#This Row],[Code]],Locaties[#All],5,FALSE)</f>
        <v>2596 JP</v>
      </c>
      <c r="E64" s="334" t="str">
        <f>VLOOKUP(Ruimtestaat[[#This Row],[Code]],Locaties[#All],6,FALSE)</f>
        <v>Den Haag</v>
      </c>
      <c r="F64" s="335"/>
      <c r="G64" s="334" t="s">
        <v>1611</v>
      </c>
      <c r="H64" s="334" t="s">
        <v>1378</v>
      </c>
      <c r="I64" s="335" t="s">
        <v>1498</v>
      </c>
      <c r="J64" s="333">
        <v>16</v>
      </c>
      <c r="K64" s="335" t="str">
        <f>VLOOKUP(J64,Ruimtegroepen[],2,FALSE)</f>
        <v>Leslokalen</v>
      </c>
      <c r="L64" s="212" t="s">
        <v>123</v>
      </c>
      <c r="M64" s="334" t="s">
        <v>144</v>
      </c>
      <c r="N64" s="337">
        <v>42</v>
      </c>
      <c r="O64" s="331"/>
      <c r="P64" s="332" t="str">
        <f>VLOOKUP(Ruimtestaat[[#This Row],[Ruimte code]],Ruimtegroepen[],4,FALSE)</f>
        <v>L  (Lesruimte)</v>
      </c>
      <c r="Q64" s="332"/>
      <c r="R64" s="333">
        <v>40</v>
      </c>
      <c r="S64" s="333" t="s">
        <v>2</v>
      </c>
      <c r="T64" s="37"/>
      <c r="U64" s="37">
        <f>IF(R64&gt;0,IF(RIGHT(Ruimtestaat[[#This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4" s="37">
        <f>IF(U64&gt;0,VLOOKUP($J64,Ruimtegroepen[],3,FALSE)*VLOOKUP($L64,Vloersoorten[],3,FALSE)*VLOOKUP($S64,Frequenties[],3,FALSE)*VLOOKUP($A64,Locaties[],3,FALSE),0)</f>
        <v>0</v>
      </c>
      <c r="W64" s="37">
        <f>Ruimtestaat[[#This Row],[Uitvoeringen werkdagen]]*Ruimtestaat[[#This Row],[Oppervlak (netto)]]</f>
        <v>8400</v>
      </c>
      <c r="X64" s="37">
        <f>IF(V64&gt;0,Ruimtestaat[[#This Row],[Prest. (m2 /jaar) werkdagen]]/Ruimtestaat[[#This Row],[Norm (m2/uur) werkdagen]],0)</f>
        <v>0</v>
      </c>
      <c r="Y64" s="37">
        <f>Ruimtestaat[[#This Row],[uren / jaar werkdagen]]*Tariefsopbouw!$D$38</f>
        <v>0</v>
      </c>
      <c r="Z64" s="37">
        <f>IF(Ruimtestaat[[#This Row],[Frequentie weekend]]&gt;0,VALUE(LEFT(T64,1))*R64,0)</f>
        <v>0</v>
      </c>
      <c r="AA64" s="37">
        <f>IF($Z64&gt;0,VLOOKUP($J64,Ruimtegroepen[],3,FALSE)*VLOOKUP($L64,Vloersoorten[],3,FALSE)*VLOOKUP($T64,Frequenties[],3,FALSE)*VLOOKUP($A64,Locaties[],3,FALSE),0)</f>
        <v>0</v>
      </c>
      <c r="AB64" s="37">
        <f>Ruimtestaat[[#This Row],[Uitvoeringen weekend]]*Ruimtestaat[[#This Row],[Oppervlak (netto)]]</f>
        <v>0</v>
      </c>
      <c r="AC64" s="37">
        <f>IF(AA64&gt;0,Ruimtestaat[[#This Row],[Prest. (m2 /jaar) weekend]]/Ruimtestaat[[#This Row],[Norm (m2/uur) weekend]],0)</f>
        <v>0</v>
      </c>
      <c r="AD64" s="37">
        <f>Ruimtestaat[[#This Row],[uren / jaar weekend]]*Tariefsopbouw!$D$40</f>
        <v>0</v>
      </c>
      <c r="AE64" s="89">
        <f>Ruimtestaat[[#This Row],[Prest. (m2 /jaar) weekend]]+Ruimtestaat[[#This Row],[Prest. (m2 /jaar) werkdagen]]</f>
        <v>8400</v>
      </c>
      <c r="AF64" s="89">
        <f>Ruimtestaat[[#This Row],[uren / jaar weekend]]+Ruimtestaat[[#This Row],[uren / jaar werkdagen]]</f>
        <v>0</v>
      </c>
      <c r="AG64" s="90">
        <f>Ruimtestaat[[#This Row],[kosten / jaar weekend]]+Ruimtestaat[[#This Row],[kosten / jaar werkdagen]]</f>
        <v>0</v>
      </c>
      <c r="AH64" s="253"/>
      <c r="AI64" s="252" t="str">
        <f>IF(Ruimtestaat[[#This Row],[Frequentie werkdagen]]="","",_xlfn.CONCAT(Ruimtestaat[[#This Row],[Ruimte code]],"-",Ruimtestaat[[#This Row],[Frequentie werkdagen]]," ",Ruimtestaat[[#This Row],[Vloer code]]))</f>
        <v>16-5w P</v>
      </c>
      <c r="AJ64" s="247" t="str">
        <f>_xlfn.IFNA(VLOOKUP(Ruimtestaat[[#This Row],[Programmacode
Regulier]],Programma!$F$4:$Y$36148,2,0),"_")</f>
        <v>_</v>
      </c>
      <c r="AK64" s="247" t="str">
        <f>_xlfn.IFNA(VLOOKUP(Ruimtestaat[[#This Row],[Programmacode
Regulier]],Programma!$F$4:$Y$36148,3,0),"_")</f>
        <v>_</v>
      </c>
      <c r="AL64" s="247" t="str">
        <f>_xlfn.IFNA(VLOOKUP(Ruimtestaat[[#This Row],[Programmacode
Regulier]],Programma!$F$4:$Y$36148,4,0),"_")</f>
        <v>5w</v>
      </c>
      <c r="AM64" s="247" t="str">
        <f>_xlfn.IFNA(VLOOKUP(Ruimtestaat[[#This Row],[Programmacode
Regulier]],Programma!$F$4:$Y$36148,5,0),"_")</f>
        <v>1w</v>
      </c>
      <c r="AN64" s="247" t="str">
        <f>_xlfn.IFNA(VLOOKUP(Ruimtestaat[[#This Row],[Programmacode
Regulier]],Programma!$F$4:$Y$36148,6,0),"_")</f>
        <v>1m</v>
      </c>
      <c r="AO64" s="247" t="str">
        <f>_xlfn.IFNA(VLOOKUP(Ruimtestaat[[#This Row],[Programmacode
Regulier]],Programma!$F$4:$Y$36148,7,0),"_")</f>
        <v>_</v>
      </c>
      <c r="AP64" s="247" t="str">
        <f>_xlfn.IFNA(VLOOKUP(Ruimtestaat[[#This Row],[Programmacode
Regulier]],Programma!$F$4:$Y$36148,8,0),"_")</f>
        <v>_</v>
      </c>
      <c r="AQ64" s="247" t="str">
        <f>_xlfn.IFNA(VLOOKUP(Ruimtestaat[[#This Row],[Programmacode
Regulier]],Programma!$F$4:$Y$36148,9,0),"_")</f>
        <v>_</v>
      </c>
      <c r="AR64" s="248" t="str">
        <f>_xlfn.IFNA(VLOOKUP(Ruimtestaat[[#This Row],[Programmacode
Regulier]],Programma!$F$4:$Y$36148,10,0),"_")</f>
        <v>5w</v>
      </c>
      <c r="AS64" s="248" t="str">
        <f>_xlfn.IFNA(VLOOKUP(Ruimtestaat[[#This Row],[Programmacode
Regulier]],Programma!$F$4:$Y$36148,11,0),"_")</f>
        <v>5w</v>
      </c>
      <c r="AT64" s="248" t="str">
        <f>_xlfn.IFNA(VLOOKUP(Ruimtestaat[[#This Row],[Programmacode
Regulier]],Programma!$F$4:$Y$36148,12,0),"_")</f>
        <v>1w</v>
      </c>
      <c r="AU64" s="248" t="str">
        <f>_xlfn.IFNA(VLOOKUP(Ruimtestaat[[#This Row],[Programmacode
Regulier]],Programma!$F$4:$Y$36148,13,0),"_")</f>
        <v>1w</v>
      </c>
      <c r="AV64" s="248" t="str">
        <f>_xlfn.IFNA(VLOOKUP(Ruimtestaat[[#This Row],[Programmacode
Regulier]],Programma!$F$4:$Y$36148,14,0),"_")</f>
        <v>1m</v>
      </c>
      <c r="AW64" s="248" t="str">
        <f>_xlfn.IFNA(VLOOKUP(Ruimtestaat[[#This Row],[Programmacode
Regulier]],Programma!$F$4:$Y$36148,15,0),"_")</f>
        <v>2j</v>
      </c>
      <c r="AX64" s="248" t="str">
        <f>_xlfn.IFNA(VLOOKUP(Ruimtestaat[[#This Row],[Programmacode
Regulier]],Programma!$F$4:$Y$36148,16,0),"_")</f>
        <v>1j</v>
      </c>
      <c r="AY64" s="248" t="str">
        <f>_xlfn.IFNA(VLOOKUP(Ruimtestaat[[#This Row],[Programmacode
Regulier]],Programma!$F$4:$Y$36148,17,0),"_")</f>
        <v>_</v>
      </c>
      <c r="AZ64" s="249" t="str">
        <f>_xlfn.IFNA(VLOOKUP(Ruimtestaat[[#This Row],[Programmacode
Regulier]],Programma!$F$4:$Y$36148,18,0),"_")</f>
        <v>_</v>
      </c>
      <c r="BA64" s="249" t="str">
        <f>_xlfn.IFNA(VLOOKUP(Ruimtestaat[[#This Row],[Programmacode
Regulier]],Programma!$F$4:$Y$36148,19,0),"_")</f>
        <v>_</v>
      </c>
      <c r="BB64" s="249" t="str">
        <f>_xlfn.IFNA(VLOOKUP(Ruimtestaat[[#This Row],[Programmacode
Regulier]],Programma!$F$4:$Y$36148,20,0),"_")</f>
        <v>_</v>
      </c>
      <c r="BC64" s="250"/>
      <c r="BD64" s="212" t="str">
        <f>IF(Ruimtestaat[[#This Row],[Frequentie weekend]]="","",_xlfn.CONCAT(Ruimtestaat[[#This Row],[Ruimte code]],"-",Ruimtestaat[[#This Row],[Frequentie weekend]]," ",Ruimtestaat[[#This Row],[Vloer code]]))</f>
        <v/>
      </c>
      <c r="BE64" s="247" t="str">
        <f>_xlfn.IFNA(VLOOKUP(Ruimtestaat[[#This Row],[Code Weekend]],Programma!$F$4:$Y$36148,2,0),"_")</f>
        <v>_</v>
      </c>
      <c r="BF64" s="247" t="str">
        <f>_xlfn.IFNA(VLOOKUP(Ruimtestaat[[#This Row],[Code Weekend]],Programma!$F$4:$Y$36148,3,0),"_")</f>
        <v>_</v>
      </c>
      <c r="BG64" s="247" t="str">
        <f>_xlfn.IFNA(VLOOKUP(Ruimtestaat[[#This Row],[Code Weekend]],Programma!$F$4:$Y$36148,4,0),"_")</f>
        <v>_</v>
      </c>
      <c r="BH64" s="247" t="str">
        <f>_xlfn.IFNA(VLOOKUP(Ruimtestaat[[#This Row],[Code Weekend]],Programma!$F$4:$Y$36148,5,0),"_")</f>
        <v>_</v>
      </c>
      <c r="BI64" s="247" t="str">
        <f>_xlfn.IFNA(VLOOKUP(Ruimtestaat[[#This Row],[Code Weekend]],Programma!$F$4:$Y$36148,6,0),"_")</f>
        <v>_</v>
      </c>
      <c r="BJ64" s="247" t="str">
        <f>_xlfn.IFNA(VLOOKUP(Ruimtestaat[[#This Row],[Code Weekend]],Programma!$F$4:$Y$36148,7,0),"_")</f>
        <v>_</v>
      </c>
      <c r="BK64" s="247" t="str">
        <f>_xlfn.IFNA(VLOOKUP(Ruimtestaat[[#This Row],[Code Weekend]],Programma!$F$4:$Y$36148,8,0),"_")</f>
        <v>_</v>
      </c>
      <c r="BL64" s="247" t="str">
        <f>_xlfn.IFNA(VLOOKUP(Ruimtestaat[[#This Row],[Code Weekend]],Programma!$F$4:$Y$36148,9,0),"_")</f>
        <v>_</v>
      </c>
      <c r="BM64" s="248" t="str">
        <f>_xlfn.IFNA(VLOOKUP(Ruimtestaat[[#This Row],[Code Weekend]],Programma!$F$4:$Y$36148,10,0),"_")</f>
        <v>_</v>
      </c>
      <c r="BN64" s="248" t="str">
        <f>_xlfn.IFNA(VLOOKUP(Ruimtestaat[[#This Row],[Code Weekend]],Programma!$F$4:$Y$36148,11,0),"_")</f>
        <v>_</v>
      </c>
      <c r="BO64" s="248" t="str">
        <f>_xlfn.IFNA(VLOOKUP(Ruimtestaat[[#This Row],[Code Weekend]],Programma!$F$4:$Y$36148,12,0),"_")</f>
        <v>_</v>
      </c>
      <c r="BP64" s="248" t="str">
        <f>_xlfn.IFNA(VLOOKUP(Ruimtestaat[[#This Row],[Code Weekend]],Programma!$F$4:$Y$36148,13,0),"_")</f>
        <v>_</v>
      </c>
      <c r="BQ64" s="248" t="str">
        <f>_xlfn.IFNA(VLOOKUP(Ruimtestaat[[#This Row],[Code Weekend]],Programma!$F$4:$Y$36148,14,0),"_")</f>
        <v>_</v>
      </c>
      <c r="BR64" s="248" t="str">
        <f>_xlfn.IFNA(VLOOKUP(Ruimtestaat[[#This Row],[Code Weekend]],Programma!$F$4:$Y$36148,15,0),"_")</f>
        <v>_</v>
      </c>
      <c r="BS64" s="248" t="str">
        <f>_xlfn.IFNA(VLOOKUP(Ruimtestaat[[#This Row],[Code Weekend]],Programma!$F$4:$Y$36148,16,0),"_")</f>
        <v>_</v>
      </c>
      <c r="BT64" s="248" t="str">
        <f>_xlfn.IFNA(VLOOKUP(Ruimtestaat[[#This Row],[Code Weekend]],Programma!$F$4:$Y$36148,17,0),"_")</f>
        <v>_</v>
      </c>
      <c r="BU64" s="249" t="str">
        <f>_xlfn.IFNA(VLOOKUP(Ruimtestaat[[#This Row],[Code Weekend]],Programma!$F$4:$Y$36148,18,0),"_")</f>
        <v>_</v>
      </c>
      <c r="BV64" s="249" t="str">
        <f>_xlfn.IFNA(VLOOKUP(Ruimtestaat[[#This Row],[Code Weekend]],Programma!$F$4:$Y$36148,19,0),"_")</f>
        <v>_</v>
      </c>
      <c r="BW64" s="249" t="str">
        <f>_xlfn.IFNA(VLOOKUP(Ruimtestaat[[#This Row],[Code Weekend]],Programma!$F$4:$Y$36148,20,0),"_")</f>
        <v>_</v>
      </c>
      <c r="HK64" s="88"/>
    </row>
    <row r="65" spans="1:219" ht="12.75" customHeight="1">
      <c r="A65" s="131">
        <v>1</v>
      </c>
      <c r="B65" s="22" t="str">
        <f>VLOOKUP(Ruimtestaat[[#This Row],[Code]],Locaties[#All],2,FALSE)</f>
        <v>ESH Secondary School</v>
      </c>
      <c r="C65" s="22" t="str">
        <f>VLOOKUP(Ruimtestaat[[#This Row],[Code]],Locaties[#All],4,FALSE)</f>
        <v>Oostduinlaan 50</v>
      </c>
      <c r="D65" s="334" t="str">
        <f>VLOOKUP(Ruimtestaat[[#This Row],[Code]],Locaties[#All],5,FALSE)</f>
        <v>2596 JP</v>
      </c>
      <c r="E65" s="334" t="str">
        <f>VLOOKUP(Ruimtestaat[[#This Row],[Code]],Locaties[#All],6,FALSE)</f>
        <v>Den Haag</v>
      </c>
      <c r="F65" s="335"/>
      <c r="G65" s="334" t="s">
        <v>1611</v>
      </c>
      <c r="H65" s="334" t="s">
        <v>1379</v>
      </c>
      <c r="I65" s="335" t="s">
        <v>1498</v>
      </c>
      <c r="J65" s="333">
        <v>16</v>
      </c>
      <c r="K65" s="335" t="str">
        <f>VLOOKUP(J65,Ruimtegroepen[],2,FALSE)</f>
        <v>Leslokalen</v>
      </c>
      <c r="L65" s="212" t="s">
        <v>123</v>
      </c>
      <c r="M65" s="334" t="s">
        <v>144</v>
      </c>
      <c r="N65" s="337">
        <v>42</v>
      </c>
      <c r="O65" s="331"/>
      <c r="P65" s="332" t="str">
        <f>VLOOKUP(Ruimtestaat[[#This Row],[Ruimte code]],Ruimtegroepen[],4,FALSE)</f>
        <v>L  (Lesruimte)</v>
      </c>
      <c r="Q65" s="332"/>
      <c r="R65" s="333">
        <v>40</v>
      </c>
      <c r="S65" s="333" t="s">
        <v>2</v>
      </c>
      <c r="T65" s="37"/>
      <c r="U65" s="37">
        <f>IF(R65&gt;0,IF(RIGHT(Ruimtestaat[[#This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5" s="37">
        <f>IF(U65&gt;0,VLOOKUP($J65,Ruimtegroepen[],3,FALSE)*VLOOKUP($L65,Vloersoorten[],3,FALSE)*VLOOKUP($S65,Frequenties[],3,FALSE)*VLOOKUP($A65,Locaties[],3,FALSE),0)</f>
        <v>0</v>
      </c>
      <c r="W65" s="37">
        <f>Ruimtestaat[[#This Row],[Uitvoeringen werkdagen]]*Ruimtestaat[[#This Row],[Oppervlak (netto)]]</f>
        <v>8400</v>
      </c>
      <c r="X65" s="37">
        <f>IF(V65&gt;0,Ruimtestaat[[#This Row],[Prest. (m2 /jaar) werkdagen]]/Ruimtestaat[[#This Row],[Norm (m2/uur) werkdagen]],0)</f>
        <v>0</v>
      </c>
      <c r="Y65" s="37">
        <f>Ruimtestaat[[#This Row],[uren / jaar werkdagen]]*Tariefsopbouw!$D$38</f>
        <v>0</v>
      </c>
      <c r="Z65" s="37">
        <f>IF(Ruimtestaat[[#This Row],[Frequentie weekend]]&gt;0,VALUE(LEFT(T65,1))*R65,0)</f>
        <v>0</v>
      </c>
      <c r="AA65" s="37">
        <f>IF($Z65&gt;0,VLOOKUP($J65,Ruimtegroepen[],3,FALSE)*VLOOKUP($L65,Vloersoorten[],3,FALSE)*VLOOKUP($T65,Frequenties[],3,FALSE)*VLOOKUP($A65,Locaties[],3,FALSE),0)</f>
        <v>0</v>
      </c>
      <c r="AB65" s="37">
        <f>Ruimtestaat[[#This Row],[Uitvoeringen weekend]]*Ruimtestaat[[#This Row],[Oppervlak (netto)]]</f>
        <v>0</v>
      </c>
      <c r="AC65" s="37">
        <f>IF(AA65&gt;0,Ruimtestaat[[#This Row],[Prest. (m2 /jaar) weekend]]/Ruimtestaat[[#This Row],[Norm (m2/uur) weekend]],0)</f>
        <v>0</v>
      </c>
      <c r="AD65" s="37">
        <f>Ruimtestaat[[#This Row],[uren / jaar weekend]]*Tariefsopbouw!$D$40</f>
        <v>0</v>
      </c>
      <c r="AE65" s="89">
        <f>Ruimtestaat[[#This Row],[Prest. (m2 /jaar) weekend]]+Ruimtestaat[[#This Row],[Prest. (m2 /jaar) werkdagen]]</f>
        <v>8400</v>
      </c>
      <c r="AF65" s="89">
        <f>Ruimtestaat[[#This Row],[uren / jaar weekend]]+Ruimtestaat[[#This Row],[uren / jaar werkdagen]]</f>
        <v>0</v>
      </c>
      <c r="AG65" s="90">
        <f>Ruimtestaat[[#This Row],[kosten / jaar weekend]]+Ruimtestaat[[#This Row],[kosten / jaar werkdagen]]</f>
        <v>0</v>
      </c>
      <c r="AH65" s="253"/>
      <c r="AI65" s="252" t="str">
        <f>IF(Ruimtestaat[[#This Row],[Frequentie werkdagen]]="","",_xlfn.CONCAT(Ruimtestaat[[#This Row],[Ruimte code]],"-",Ruimtestaat[[#This Row],[Frequentie werkdagen]]," ",Ruimtestaat[[#This Row],[Vloer code]]))</f>
        <v>16-5w P</v>
      </c>
      <c r="AJ65" s="247" t="str">
        <f>_xlfn.IFNA(VLOOKUP(Ruimtestaat[[#This Row],[Programmacode
Regulier]],Programma!$F$4:$Y$36148,2,0),"_")</f>
        <v>_</v>
      </c>
      <c r="AK65" s="247" t="str">
        <f>_xlfn.IFNA(VLOOKUP(Ruimtestaat[[#This Row],[Programmacode
Regulier]],Programma!$F$4:$Y$36148,3,0),"_")</f>
        <v>_</v>
      </c>
      <c r="AL65" s="247" t="str">
        <f>_xlfn.IFNA(VLOOKUP(Ruimtestaat[[#This Row],[Programmacode
Regulier]],Programma!$F$4:$Y$36148,4,0),"_")</f>
        <v>5w</v>
      </c>
      <c r="AM65" s="247" t="str">
        <f>_xlfn.IFNA(VLOOKUP(Ruimtestaat[[#This Row],[Programmacode
Regulier]],Programma!$F$4:$Y$36148,5,0),"_")</f>
        <v>1w</v>
      </c>
      <c r="AN65" s="247" t="str">
        <f>_xlfn.IFNA(VLOOKUP(Ruimtestaat[[#This Row],[Programmacode
Regulier]],Programma!$F$4:$Y$36148,6,0),"_")</f>
        <v>1m</v>
      </c>
      <c r="AO65" s="247" t="str">
        <f>_xlfn.IFNA(VLOOKUP(Ruimtestaat[[#This Row],[Programmacode
Regulier]],Programma!$F$4:$Y$36148,7,0),"_")</f>
        <v>_</v>
      </c>
      <c r="AP65" s="247" t="str">
        <f>_xlfn.IFNA(VLOOKUP(Ruimtestaat[[#This Row],[Programmacode
Regulier]],Programma!$F$4:$Y$36148,8,0),"_")</f>
        <v>_</v>
      </c>
      <c r="AQ65" s="247" t="str">
        <f>_xlfn.IFNA(VLOOKUP(Ruimtestaat[[#This Row],[Programmacode
Regulier]],Programma!$F$4:$Y$36148,9,0),"_")</f>
        <v>_</v>
      </c>
      <c r="AR65" s="248" t="str">
        <f>_xlfn.IFNA(VLOOKUP(Ruimtestaat[[#This Row],[Programmacode
Regulier]],Programma!$F$4:$Y$36148,10,0),"_")</f>
        <v>5w</v>
      </c>
      <c r="AS65" s="248" t="str">
        <f>_xlfn.IFNA(VLOOKUP(Ruimtestaat[[#This Row],[Programmacode
Regulier]],Programma!$F$4:$Y$36148,11,0),"_")</f>
        <v>5w</v>
      </c>
      <c r="AT65" s="248" t="str">
        <f>_xlfn.IFNA(VLOOKUP(Ruimtestaat[[#This Row],[Programmacode
Regulier]],Programma!$F$4:$Y$36148,12,0),"_")</f>
        <v>1w</v>
      </c>
      <c r="AU65" s="248" t="str">
        <f>_xlfn.IFNA(VLOOKUP(Ruimtestaat[[#This Row],[Programmacode
Regulier]],Programma!$F$4:$Y$36148,13,0),"_")</f>
        <v>1w</v>
      </c>
      <c r="AV65" s="248" t="str">
        <f>_xlfn.IFNA(VLOOKUP(Ruimtestaat[[#This Row],[Programmacode
Regulier]],Programma!$F$4:$Y$36148,14,0),"_")</f>
        <v>1m</v>
      </c>
      <c r="AW65" s="248" t="str">
        <f>_xlfn.IFNA(VLOOKUP(Ruimtestaat[[#This Row],[Programmacode
Regulier]],Programma!$F$4:$Y$36148,15,0),"_")</f>
        <v>2j</v>
      </c>
      <c r="AX65" s="248" t="str">
        <f>_xlfn.IFNA(VLOOKUP(Ruimtestaat[[#This Row],[Programmacode
Regulier]],Programma!$F$4:$Y$36148,16,0),"_")</f>
        <v>1j</v>
      </c>
      <c r="AY65" s="248" t="str">
        <f>_xlfn.IFNA(VLOOKUP(Ruimtestaat[[#This Row],[Programmacode
Regulier]],Programma!$F$4:$Y$36148,17,0),"_")</f>
        <v>_</v>
      </c>
      <c r="AZ65" s="249" t="str">
        <f>_xlfn.IFNA(VLOOKUP(Ruimtestaat[[#This Row],[Programmacode
Regulier]],Programma!$F$4:$Y$36148,18,0),"_")</f>
        <v>_</v>
      </c>
      <c r="BA65" s="249" t="str">
        <f>_xlfn.IFNA(VLOOKUP(Ruimtestaat[[#This Row],[Programmacode
Regulier]],Programma!$F$4:$Y$36148,19,0),"_")</f>
        <v>_</v>
      </c>
      <c r="BB65" s="249" t="str">
        <f>_xlfn.IFNA(VLOOKUP(Ruimtestaat[[#This Row],[Programmacode
Regulier]],Programma!$F$4:$Y$36148,20,0),"_")</f>
        <v>_</v>
      </c>
      <c r="BC65" s="250"/>
      <c r="BD65" s="212" t="str">
        <f>IF(Ruimtestaat[[#This Row],[Frequentie weekend]]="","",_xlfn.CONCAT(Ruimtestaat[[#This Row],[Ruimte code]],"-",Ruimtestaat[[#This Row],[Frequentie weekend]]," ",Ruimtestaat[[#This Row],[Vloer code]]))</f>
        <v/>
      </c>
      <c r="BE65" s="247" t="str">
        <f>_xlfn.IFNA(VLOOKUP(Ruimtestaat[[#This Row],[Code Weekend]],Programma!$F$4:$Y$36148,2,0),"_")</f>
        <v>_</v>
      </c>
      <c r="BF65" s="247" t="str">
        <f>_xlfn.IFNA(VLOOKUP(Ruimtestaat[[#This Row],[Code Weekend]],Programma!$F$4:$Y$36148,3,0),"_")</f>
        <v>_</v>
      </c>
      <c r="BG65" s="247" t="str">
        <f>_xlfn.IFNA(VLOOKUP(Ruimtestaat[[#This Row],[Code Weekend]],Programma!$F$4:$Y$36148,4,0),"_")</f>
        <v>_</v>
      </c>
      <c r="BH65" s="247" t="str">
        <f>_xlfn.IFNA(VLOOKUP(Ruimtestaat[[#This Row],[Code Weekend]],Programma!$F$4:$Y$36148,5,0),"_")</f>
        <v>_</v>
      </c>
      <c r="BI65" s="247" t="str">
        <f>_xlfn.IFNA(VLOOKUP(Ruimtestaat[[#This Row],[Code Weekend]],Programma!$F$4:$Y$36148,6,0),"_")</f>
        <v>_</v>
      </c>
      <c r="BJ65" s="247" t="str">
        <f>_xlfn.IFNA(VLOOKUP(Ruimtestaat[[#This Row],[Code Weekend]],Programma!$F$4:$Y$36148,7,0),"_")</f>
        <v>_</v>
      </c>
      <c r="BK65" s="247" t="str">
        <f>_xlfn.IFNA(VLOOKUP(Ruimtestaat[[#This Row],[Code Weekend]],Programma!$F$4:$Y$36148,8,0),"_")</f>
        <v>_</v>
      </c>
      <c r="BL65" s="247" t="str">
        <f>_xlfn.IFNA(VLOOKUP(Ruimtestaat[[#This Row],[Code Weekend]],Programma!$F$4:$Y$36148,9,0),"_")</f>
        <v>_</v>
      </c>
      <c r="BM65" s="248" t="str">
        <f>_xlfn.IFNA(VLOOKUP(Ruimtestaat[[#This Row],[Code Weekend]],Programma!$F$4:$Y$36148,10,0),"_")</f>
        <v>_</v>
      </c>
      <c r="BN65" s="248" t="str">
        <f>_xlfn.IFNA(VLOOKUP(Ruimtestaat[[#This Row],[Code Weekend]],Programma!$F$4:$Y$36148,11,0),"_")</f>
        <v>_</v>
      </c>
      <c r="BO65" s="248" t="str">
        <f>_xlfn.IFNA(VLOOKUP(Ruimtestaat[[#This Row],[Code Weekend]],Programma!$F$4:$Y$36148,12,0),"_")</f>
        <v>_</v>
      </c>
      <c r="BP65" s="248" t="str">
        <f>_xlfn.IFNA(VLOOKUP(Ruimtestaat[[#This Row],[Code Weekend]],Programma!$F$4:$Y$36148,13,0),"_")</f>
        <v>_</v>
      </c>
      <c r="BQ65" s="248" t="str">
        <f>_xlfn.IFNA(VLOOKUP(Ruimtestaat[[#This Row],[Code Weekend]],Programma!$F$4:$Y$36148,14,0),"_")</f>
        <v>_</v>
      </c>
      <c r="BR65" s="248" t="str">
        <f>_xlfn.IFNA(VLOOKUP(Ruimtestaat[[#This Row],[Code Weekend]],Programma!$F$4:$Y$36148,15,0),"_")</f>
        <v>_</v>
      </c>
      <c r="BS65" s="248" t="str">
        <f>_xlfn.IFNA(VLOOKUP(Ruimtestaat[[#This Row],[Code Weekend]],Programma!$F$4:$Y$36148,16,0),"_")</f>
        <v>_</v>
      </c>
      <c r="BT65" s="248" t="str">
        <f>_xlfn.IFNA(VLOOKUP(Ruimtestaat[[#This Row],[Code Weekend]],Programma!$F$4:$Y$36148,17,0),"_")</f>
        <v>_</v>
      </c>
      <c r="BU65" s="249" t="str">
        <f>_xlfn.IFNA(VLOOKUP(Ruimtestaat[[#This Row],[Code Weekend]],Programma!$F$4:$Y$36148,18,0),"_")</f>
        <v>_</v>
      </c>
      <c r="BV65" s="249" t="str">
        <f>_xlfn.IFNA(VLOOKUP(Ruimtestaat[[#This Row],[Code Weekend]],Programma!$F$4:$Y$36148,19,0),"_")</f>
        <v>_</v>
      </c>
      <c r="BW65" s="249" t="str">
        <f>_xlfn.IFNA(VLOOKUP(Ruimtestaat[[#This Row],[Code Weekend]],Programma!$F$4:$Y$36148,20,0),"_")</f>
        <v>_</v>
      </c>
      <c r="HK65" s="88"/>
    </row>
    <row r="66" spans="1:219" ht="12.75" customHeight="1">
      <c r="A66" s="131">
        <v>1</v>
      </c>
      <c r="B66" s="22" t="str">
        <f>VLOOKUP(Ruimtestaat[[#This Row],[Code]],Locaties[#All],2,FALSE)</f>
        <v>ESH Secondary School</v>
      </c>
      <c r="C66" s="22" t="str">
        <f>VLOOKUP(Ruimtestaat[[#This Row],[Code]],Locaties[#All],4,FALSE)</f>
        <v>Oostduinlaan 50</v>
      </c>
      <c r="D66" s="334" t="str">
        <f>VLOOKUP(Ruimtestaat[[#This Row],[Code]],Locaties[#All],5,FALSE)</f>
        <v>2596 JP</v>
      </c>
      <c r="E66" s="334" t="str">
        <f>VLOOKUP(Ruimtestaat[[#This Row],[Code]],Locaties[#All],6,FALSE)</f>
        <v>Den Haag</v>
      </c>
      <c r="F66" s="335"/>
      <c r="G66" s="334" t="s">
        <v>1611</v>
      </c>
      <c r="H66" s="334" t="s">
        <v>1380</v>
      </c>
      <c r="I66" s="335" t="s">
        <v>1499</v>
      </c>
      <c r="J66" s="333">
        <v>16</v>
      </c>
      <c r="K66" s="335" t="str">
        <f>VLOOKUP(J66,Ruimtegroepen[],2,FALSE)</f>
        <v>Leslokalen</v>
      </c>
      <c r="L66" s="212" t="s">
        <v>123</v>
      </c>
      <c r="M66" s="334" t="s">
        <v>144</v>
      </c>
      <c r="N66" s="337">
        <v>42</v>
      </c>
      <c r="O66" s="331"/>
      <c r="P66" s="332" t="str">
        <f>VLOOKUP(Ruimtestaat[[#This Row],[Ruimte code]],Ruimtegroepen[],4,FALSE)</f>
        <v>L  (Lesruimte)</v>
      </c>
      <c r="Q66" s="332"/>
      <c r="R66" s="333">
        <v>40</v>
      </c>
      <c r="S66" s="333" t="s">
        <v>2</v>
      </c>
      <c r="T66" s="37"/>
      <c r="U66" s="37">
        <f>IF(R66&gt;0,IF(RIGHT(Ruimtestaat[[#This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6" s="37">
        <f>IF(U66&gt;0,VLOOKUP($J66,Ruimtegroepen[],3,FALSE)*VLOOKUP($L66,Vloersoorten[],3,FALSE)*VLOOKUP($S66,Frequenties[],3,FALSE)*VLOOKUP($A66,Locaties[],3,FALSE),0)</f>
        <v>0</v>
      </c>
      <c r="W66" s="37">
        <f>Ruimtestaat[[#This Row],[Uitvoeringen werkdagen]]*Ruimtestaat[[#This Row],[Oppervlak (netto)]]</f>
        <v>8400</v>
      </c>
      <c r="X66" s="37">
        <f>IF(V66&gt;0,Ruimtestaat[[#This Row],[Prest. (m2 /jaar) werkdagen]]/Ruimtestaat[[#This Row],[Norm (m2/uur) werkdagen]],0)</f>
        <v>0</v>
      </c>
      <c r="Y66" s="37">
        <f>Ruimtestaat[[#This Row],[uren / jaar werkdagen]]*Tariefsopbouw!$D$38</f>
        <v>0</v>
      </c>
      <c r="Z66" s="37">
        <f>IF(Ruimtestaat[[#This Row],[Frequentie weekend]]&gt;0,VALUE(LEFT(T66,1))*R66,0)</f>
        <v>0</v>
      </c>
      <c r="AA66" s="37">
        <f>IF($Z66&gt;0,VLOOKUP($J66,Ruimtegroepen[],3,FALSE)*VLOOKUP($L66,Vloersoorten[],3,FALSE)*VLOOKUP($T66,Frequenties[],3,FALSE)*VLOOKUP($A66,Locaties[],3,FALSE),0)</f>
        <v>0</v>
      </c>
      <c r="AB66" s="37">
        <f>Ruimtestaat[[#This Row],[Uitvoeringen weekend]]*Ruimtestaat[[#This Row],[Oppervlak (netto)]]</f>
        <v>0</v>
      </c>
      <c r="AC66" s="37">
        <f>IF(AA66&gt;0,Ruimtestaat[[#This Row],[Prest. (m2 /jaar) weekend]]/Ruimtestaat[[#This Row],[Norm (m2/uur) weekend]],0)</f>
        <v>0</v>
      </c>
      <c r="AD66" s="37">
        <f>Ruimtestaat[[#This Row],[uren / jaar weekend]]*Tariefsopbouw!$D$40</f>
        <v>0</v>
      </c>
      <c r="AE66" s="89">
        <f>Ruimtestaat[[#This Row],[Prest. (m2 /jaar) weekend]]+Ruimtestaat[[#This Row],[Prest. (m2 /jaar) werkdagen]]</f>
        <v>8400</v>
      </c>
      <c r="AF66" s="89">
        <f>Ruimtestaat[[#This Row],[uren / jaar weekend]]+Ruimtestaat[[#This Row],[uren / jaar werkdagen]]</f>
        <v>0</v>
      </c>
      <c r="AG66" s="90">
        <f>Ruimtestaat[[#This Row],[kosten / jaar weekend]]+Ruimtestaat[[#This Row],[kosten / jaar werkdagen]]</f>
        <v>0</v>
      </c>
      <c r="AH66" s="253"/>
      <c r="AI66" s="252" t="str">
        <f>IF(Ruimtestaat[[#This Row],[Frequentie werkdagen]]="","",_xlfn.CONCAT(Ruimtestaat[[#This Row],[Ruimte code]],"-",Ruimtestaat[[#This Row],[Frequentie werkdagen]]," ",Ruimtestaat[[#This Row],[Vloer code]]))</f>
        <v>16-5w P</v>
      </c>
      <c r="AJ66" s="247" t="str">
        <f>_xlfn.IFNA(VLOOKUP(Ruimtestaat[[#This Row],[Programmacode
Regulier]],Programma!$F$4:$Y$36148,2,0),"_")</f>
        <v>_</v>
      </c>
      <c r="AK66" s="247" t="str">
        <f>_xlfn.IFNA(VLOOKUP(Ruimtestaat[[#This Row],[Programmacode
Regulier]],Programma!$F$4:$Y$36148,3,0),"_")</f>
        <v>_</v>
      </c>
      <c r="AL66" s="247" t="str">
        <f>_xlfn.IFNA(VLOOKUP(Ruimtestaat[[#This Row],[Programmacode
Regulier]],Programma!$F$4:$Y$36148,4,0),"_")</f>
        <v>5w</v>
      </c>
      <c r="AM66" s="247" t="str">
        <f>_xlfn.IFNA(VLOOKUP(Ruimtestaat[[#This Row],[Programmacode
Regulier]],Programma!$F$4:$Y$36148,5,0),"_")</f>
        <v>1w</v>
      </c>
      <c r="AN66" s="247" t="str">
        <f>_xlfn.IFNA(VLOOKUP(Ruimtestaat[[#This Row],[Programmacode
Regulier]],Programma!$F$4:$Y$36148,6,0),"_")</f>
        <v>1m</v>
      </c>
      <c r="AO66" s="247" t="str">
        <f>_xlfn.IFNA(VLOOKUP(Ruimtestaat[[#This Row],[Programmacode
Regulier]],Programma!$F$4:$Y$36148,7,0),"_")</f>
        <v>_</v>
      </c>
      <c r="AP66" s="247" t="str">
        <f>_xlfn.IFNA(VLOOKUP(Ruimtestaat[[#This Row],[Programmacode
Regulier]],Programma!$F$4:$Y$36148,8,0),"_")</f>
        <v>_</v>
      </c>
      <c r="AQ66" s="247" t="str">
        <f>_xlfn.IFNA(VLOOKUP(Ruimtestaat[[#This Row],[Programmacode
Regulier]],Programma!$F$4:$Y$36148,9,0),"_")</f>
        <v>_</v>
      </c>
      <c r="AR66" s="248" t="str">
        <f>_xlfn.IFNA(VLOOKUP(Ruimtestaat[[#This Row],[Programmacode
Regulier]],Programma!$F$4:$Y$36148,10,0),"_")</f>
        <v>5w</v>
      </c>
      <c r="AS66" s="248" t="str">
        <f>_xlfn.IFNA(VLOOKUP(Ruimtestaat[[#This Row],[Programmacode
Regulier]],Programma!$F$4:$Y$36148,11,0),"_")</f>
        <v>5w</v>
      </c>
      <c r="AT66" s="248" t="str">
        <f>_xlfn.IFNA(VLOOKUP(Ruimtestaat[[#This Row],[Programmacode
Regulier]],Programma!$F$4:$Y$36148,12,0),"_")</f>
        <v>1w</v>
      </c>
      <c r="AU66" s="248" t="str">
        <f>_xlfn.IFNA(VLOOKUP(Ruimtestaat[[#This Row],[Programmacode
Regulier]],Programma!$F$4:$Y$36148,13,0),"_")</f>
        <v>1w</v>
      </c>
      <c r="AV66" s="248" t="str">
        <f>_xlfn.IFNA(VLOOKUP(Ruimtestaat[[#This Row],[Programmacode
Regulier]],Programma!$F$4:$Y$36148,14,0),"_")</f>
        <v>1m</v>
      </c>
      <c r="AW66" s="248" t="str">
        <f>_xlfn.IFNA(VLOOKUP(Ruimtestaat[[#This Row],[Programmacode
Regulier]],Programma!$F$4:$Y$36148,15,0),"_")</f>
        <v>2j</v>
      </c>
      <c r="AX66" s="248" t="str">
        <f>_xlfn.IFNA(VLOOKUP(Ruimtestaat[[#This Row],[Programmacode
Regulier]],Programma!$F$4:$Y$36148,16,0),"_")</f>
        <v>1j</v>
      </c>
      <c r="AY66" s="248" t="str">
        <f>_xlfn.IFNA(VLOOKUP(Ruimtestaat[[#This Row],[Programmacode
Regulier]],Programma!$F$4:$Y$36148,17,0),"_")</f>
        <v>_</v>
      </c>
      <c r="AZ66" s="249" t="str">
        <f>_xlfn.IFNA(VLOOKUP(Ruimtestaat[[#This Row],[Programmacode
Regulier]],Programma!$F$4:$Y$36148,18,0),"_")</f>
        <v>_</v>
      </c>
      <c r="BA66" s="249" t="str">
        <f>_xlfn.IFNA(VLOOKUP(Ruimtestaat[[#This Row],[Programmacode
Regulier]],Programma!$F$4:$Y$36148,19,0),"_")</f>
        <v>_</v>
      </c>
      <c r="BB66" s="249" t="str">
        <f>_xlfn.IFNA(VLOOKUP(Ruimtestaat[[#This Row],[Programmacode
Regulier]],Programma!$F$4:$Y$36148,20,0),"_")</f>
        <v>_</v>
      </c>
      <c r="BC66" s="250"/>
      <c r="BD66" s="212" t="str">
        <f>IF(Ruimtestaat[[#This Row],[Frequentie weekend]]="","",_xlfn.CONCAT(Ruimtestaat[[#This Row],[Ruimte code]],"-",Ruimtestaat[[#This Row],[Frequentie weekend]]," ",Ruimtestaat[[#This Row],[Vloer code]]))</f>
        <v/>
      </c>
      <c r="BE66" s="247" t="str">
        <f>_xlfn.IFNA(VLOOKUP(Ruimtestaat[[#This Row],[Code Weekend]],Programma!$F$4:$Y$36148,2,0),"_")</f>
        <v>_</v>
      </c>
      <c r="BF66" s="247" t="str">
        <f>_xlfn.IFNA(VLOOKUP(Ruimtestaat[[#This Row],[Code Weekend]],Programma!$F$4:$Y$36148,3,0),"_")</f>
        <v>_</v>
      </c>
      <c r="BG66" s="247" t="str">
        <f>_xlfn.IFNA(VLOOKUP(Ruimtestaat[[#This Row],[Code Weekend]],Programma!$F$4:$Y$36148,4,0),"_")</f>
        <v>_</v>
      </c>
      <c r="BH66" s="247" t="str">
        <f>_xlfn.IFNA(VLOOKUP(Ruimtestaat[[#This Row],[Code Weekend]],Programma!$F$4:$Y$36148,5,0),"_")</f>
        <v>_</v>
      </c>
      <c r="BI66" s="247" t="str">
        <f>_xlfn.IFNA(VLOOKUP(Ruimtestaat[[#This Row],[Code Weekend]],Programma!$F$4:$Y$36148,6,0),"_")</f>
        <v>_</v>
      </c>
      <c r="BJ66" s="247" t="str">
        <f>_xlfn.IFNA(VLOOKUP(Ruimtestaat[[#This Row],[Code Weekend]],Programma!$F$4:$Y$36148,7,0),"_")</f>
        <v>_</v>
      </c>
      <c r="BK66" s="247" t="str">
        <f>_xlfn.IFNA(VLOOKUP(Ruimtestaat[[#This Row],[Code Weekend]],Programma!$F$4:$Y$36148,8,0),"_")</f>
        <v>_</v>
      </c>
      <c r="BL66" s="247" t="str">
        <f>_xlfn.IFNA(VLOOKUP(Ruimtestaat[[#This Row],[Code Weekend]],Programma!$F$4:$Y$36148,9,0),"_")</f>
        <v>_</v>
      </c>
      <c r="BM66" s="248" t="str">
        <f>_xlfn.IFNA(VLOOKUP(Ruimtestaat[[#This Row],[Code Weekend]],Programma!$F$4:$Y$36148,10,0),"_")</f>
        <v>_</v>
      </c>
      <c r="BN66" s="248" t="str">
        <f>_xlfn.IFNA(VLOOKUP(Ruimtestaat[[#This Row],[Code Weekend]],Programma!$F$4:$Y$36148,11,0),"_")</f>
        <v>_</v>
      </c>
      <c r="BO66" s="248" t="str">
        <f>_xlfn.IFNA(VLOOKUP(Ruimtestaat[[#This Row],[Code Weekend]],Programma!$F$4:$Y$36148,12,0),"_")</f>
        <v>_</v>
      </c>
      <c r="BP66" s="248" t="str">
        <f>_xlfn.IFNA(VLOOKUP(Ruimtestaat[[#This Row],[Code Weekend]],Programma!$F$4:$Y$36148,13,0),"_")</f>
        <v>_</v>
      </c>
      <c r="BQ66" s="248" t="str">
        <f>_xlfn.IFNA(VLOOKUP(Ruimtestaat[[#This Row],[Code Weekend]],Programma!$F$4:$Y$36148,14,0),"_")</f>
        <v>_</v>
      </c>
      <c r="BR66" s="248" t="str">
        <f>_xlfn.IFNA(VLOOKUP(Ruimtestaat[[#This Row],[Code Weekend]],Programma!$F$4:$Y$36148,15,0),"_")</f>
        <v>_</v>
      </c>
      <c r="BS66" s="248" t="str">
        <f>_xlfn.IFNA(VLOOKUP(Ruimtestaat[[#This Row],[Code Weekend]],Programma!$F$4:$Y$36148,16,0),"_")</f>
        <v>_</v>
      </c>
      <c r="BT66" s="248" t="str">
        <f>_xlfn.IFNA(VLOOKUP(Ruimtestaat[[#This Row],[Code Weekend]],Programma!$F$4:$Y$36148,17,0),"_")</f>
        <v>_</v>
      </c>
      <c r="BU66" s="249" t="str">
        <f>_xlfn.IFNA(VLOOKUP(Ruimtestaat[[#This Row],[Code Weekend]],Programma!$F$4:$Y$36148,18,0),"_")</f>
        <v>_</v>
      </c>
      <c r="BV66" s="249" t="str">
        <f>_xlfn.IFNA(VLOOKUP(Ruimtestaat[[#This Row],[Code Weekend]],Programma!$F$4:$Y$36148,19,0),"_")</f>
        <v>_</v>
      </c>
      <c r="BW66" s="249" t="str">
        <f>_xlfn.IFNA(VLOOKUP(Ruimtestaat[[#This Row],[Code Weekend]],Programma!$F$4:$Y$36148,20,0),"_")</f>
        <v>_</v>
      </c>
      <c r="HK66" s="88"/>
    </row>
    <row r="67" spans="1:219" ht="12.75" customHeight="1">
      <c r="A67" s="131">
        <v>1</v>
      </c>
      <c r="B67" s="22" t="str">
        <f>VLOOKUP(Ruimtestaat[[#This Row],[Code]],Locaties[#All],2,FALSE)</f>
        <v>ESH Secondary School</v>
      </c>
      <c r="C67" s="22" t="str">
        <f>VLOOKUP(Ruimtestaat[[#This Row],[Code]],Locaties[#All],4,FALSE)</f>
        <v>Oostduinlaan 50</v>
      </c>
      <c r="D67" s="334" t="str">
        <f>VLOOKUP(Ruimtestaat[[#This Row],[Code]],Locaties[#All],5,FALSE)</f>
        <v>2596 JP</v>
      </c>
      <c r="E67" s="334" t="str">
        <f>VLOOKUP(Ruimtestaat[[#This Row],[Code]],Locaties[#All],6,FALSE)</f>
        <v>Den Haag</v>
      </c>
      <c r="F67" s="335"/>
      <c r="G67" s="334" t="s">
        <v>1611</v>
      </c>
      <c r="H67" s="334" t="s">
        <v>1381</v>
      </c>
      <c r="I67" s="335" t="s">
        <v>1500</v>
      </c>
      <c r="J67" s="333">
        <v>16</v>
      </c>
      <c r="K67" s="335" t="str">
        <f>VLOOKUP(J67,Ruimtegroepen[],2,FALSE)</f>
        <v>Leslokalen</v>
      </c>
      <c r="L67" s="212" t="s">
        <v>123</v>
      </c>
      <c r="M67" s="334" t="s">
        <v>144</v>
      </c>
      <c r="N67" s="337">
        <v>42</v>
      </c>
      <c r="O67" s="331"/>
      <c r="P67" s="332" t="str">
        <f>VLOOKUP(Ruimtestaat[[#This Row],[Ruimte code]],Ruimtegroepen[],4,FALSE)</f>
        <v>L  (Lesruimte)</v>
      </c>
      <c r="Q67" s="332"/>
      <c r="R67" s="333">
        <v>40</v>
      </c>
      <c r="S67" s="333" t="s">
        <v>2</v>
      </c>
      <c r="T67" s="37"/>
      <c r="U67" s="37">
        <f>IF(R67&gt;0,IF(RIGHT(Ruimtestaat[[#This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7" s="37">
        <f>IF(U67&gt;0,VLOOKUP($J67,Ruimtegroepen[],3,FALSE)*VLOOKUP($L67,Vloersoorten[],3,FALSE)*VLOOKUP($S67,Frequenties[],3,FALSE)*VLOOKUP($A67,Locaties[],3,FALSE),0)</f>
        <v>0</v>
      </c>
      <c r="W67" s="37">
        <f>Ruimtestaat[[#This Row],[Uitvoeringen werkdagen]]*Ruimtestaat[[#This Row],[Oppervlak (netto)]]</f>
        <v>8400</v>
      </c>
      <c r="X67" s="37">
        <f>IF(V67&gt;0,Ruimtestaat[[#This Row],[Prest. (m2 /jaar) werkdagen]]/Ruimtestaat[[#This Row],[Norm (m2/uur) werkdagen]],0)</f>
        <v>0</v>
      </c>
      <c r="Y67" s="37">
        <f>Ruimtestaat[[#This Row],[uren / jaar werkdagen]]*Tariefsopbouw!$D$38</f>
        <v>0</v>
      </c>
      <c r="Z67" s="37">
        <f>IF(Ruimtestaat[[#This Row],[Frequentie weekend]]&gt;0,VALUE(LEFT(T67,1))*R67,0)</f>
        <v>0</v>
      </c>
      <c r="AA67" s="37">
        <f>IF($Z67&gt;0,VLOOKUP($J67,Ruimtegroepen[],3,FALSE)*VLOOKUP($L67,Vloersoorten[],3,FALSE)*VLOOKUP($T67,Frequenties[],3,FALSE)*VLOOKUP($A67,Locaties[],3,FALSE),0)</f>
        <v>0</v>
      </c>
      <c r="AB67" s="37">
        <f>Ruimtestaat[[#This Row],[Uitvoeringen weekend]]*Ruimtestaat[[#This Row],[Oppervlak (netto)]]</f>
        <v>0</v>
      </c>
      <c r="AC67" s="37">
        <f>IF(AA67&gt;0,Ruimtestaat[[#This Row],[Prest. (m2 /jaar) weekend]]/Ruimtestaat[[#This Row],[Norm (m2/uur) weekend]],0)</f>
        <v>0</v>
      </c>
      <c r="AD67" s="37">
        <f>Ruimtestaat[[#This Row],[uren / jaar weekend]]*Tariefsopbouw!$D$40</f>
        <v>0</v>
      </c>
      <c r="AE67" s="89">
        <f>Ruimtestaat[[#This Row],[Prest. (m2 /jaar) weekend]]+Ruimtestaat[[#This Row],[Prest. (m2 /jaar) werkdagen]]</f>
        <v>8400</v>
      </c>
      <c r="AF67" s="89">
        <f>Ruimtestaat[[#This Row],[uren / jaar weekend]]+Ruimtestaat[[#This Row],[uren / jaar werkdagen]]</f>
        <v>0</v>
      </c>
      <c r="AG67" s="90">
        <f>Ruimtestaat[[#This Row],[kosten / jaar weekend]]+Ruimtestaat[[#This Row],[kosten / jaar werkdagen]]</f>
        <v>0</v>
      </c>
      <c r="AH67" s="253"/>
      <c r="AI67" s="252" t="str">
        <f>IF(Ruimtestaat[[#This Row],[Frequentie werkdagen]]="","",_xlfn.CONCAT(Ruimtestaat[[#This Row],[Ruimte code]],"-",Ruimtestaat[[#This Row],[Frequentie werkdagen]]," ",Ruimtestaat[[#This Row],[Vloer code]]))</f>
        <v>16-5w P</v>
      </c>
      <c r="AJ67" s="247" t="str">
        <f>_xlfn.IFNA(VLOOKUP(Ruimtestaat[[#This Row],[Programmacode
Regulier]],Programma!$F$4:$Y$36148,2,0),"_")</f>
        <v>_</v>
      </c>
      <c r="AK67" s="247" t="str">
        <f>_xlfn.IFNA(VLOOKUP(Ruimtestaat[[#This Row],[Programmacode
Regulier]],Programma!$F$4:$Y$36148,3,0),"_")</f>
        <v>_</v>
      </c>
      <c r="AL67" s="247" t="str">
        <f>_xlfn.IFNA(VLOOKUP(Ruimtestaat[[#This Row],[Programmacode
Regulier]],Programma!$F$4:$Y$36148,4,0),"_")</f>
        <v>5w</v>
      </c>
      <c r="AM67" s="247" t="str">
        <f>_xlfn.IFNA(VLOOKUP(Ruimtestaat[[#This Row],[Programmacode
Regulier]],Programma!$F$4:$Y$36148,5,0),"_")</f>
        <v>1w</v>
      </c>
      <c r="AN67" s="247" t="str">
        <f>_xlfn.IFNA(VLOOKUP(Ruimtestaat[[#This Row],[Programmacode
Regulier]],Programma!$F$4:$Y$36148,6,0),"_")</f>
        <v>1m</v>
      </c>
      <c r="AO67" s="247" t="str">
        <f>_xlfn.IFNA(VLOOKUP(Ruimtestaat[[#This Row],[Programmacode
Regulier]],Programma!$F$4:$Y$36148,7,0),"_")</f>
        <v>_</v>
      </c>
      <c r="AP67" s="247" t="str">
        <f>_xlfn.IFNA(VLOOKUP(Ruimtestaat[[#This Row],[Programmacode
Regulier]],Programma!$F$4:$Y$36148,8,0),"_")</f>
        <v>_</v>
      </c>
      <c r="AQ67" s="247" t="str">
        <f>_xlfn.IFNA(VLOOKUP(Ruimtestaat[[#This Row],[Programmacode
Regulier]],Programma!$F$4:$Y$36148,9,0),"_")</f>
        <v>_</v>
      </c>
      <c r="AR67" s="248" t="str">
        <f>_xlfn.IFNA(VLOOKUP(Ruimtestaat[[#This Row],[Programmacode
Regulier]],Programma!$F$4:$Y$36148,10,0),"_")</f>
        <v>5w</v>
      </c>
      <c r="AS67" s="248" t="str">
        <f>_xlfn.IFNA(VLOOKUP(Ruimtestaat[[#This Row],[Programmacode
Regulier]],Programma!$F$4:$Y$36148,11,0),"_")</f>
        <v>5w</v>
      </c>
      <c r="AT67" s="248" t="str">
        <f>_xlfn.IFNA(VLOOKUP(Ruimtestaat[[#This Row],[Programmacode
Regulier]],Programma!$F$4:$Y$36148,12,0),"_")</f>
        <v>1w</v>
      </c>
      <c r="AU67" s="248" t="str">
        <f>_xlfn.IFNA(VLOOKUP(Ruimtestaat[[#This Row],[Programmacode
Regulier]],Programma!$F$4:$Y$36148,13,0),"_")</f>
        <v>1w</v>
      </c>
      <c r="AV67" s="248" t="str">
        <f>_xlfn.IFNA(VLOOKUP(Ruimtestaat[[#This Row],[Programmacode
Regulier]],Programma!$F$4:$Y$36148,14,0),"_")</f>
        <v>1m</v>
      </c>
      <c r="AW67" s="248" t="str">
        <f>_xlfn.IFNA(VLOOKUP(Ruimtestaat[[#This Row],[Programmacode
Regulier]],Programma!$F$4:$Y$36148,15,0),"_")</f>
        <v>2j</v>
      </c>
      <c r="AX67" s="248" t="str">
        <f>_xlfn.IFNA(VLOOKUP(Ruimtestaat[[#This Row],[Programmacode
Regulier]],Programma!$F$4:$Y$36148,16,0),"_")</f>
        <v>1j</v>
      </c>
      <c r="AY67" s="248" t="str">
        <f>_xlfn.IFNA(VLOOKUP(Ruimtestaat[[#This Row],[Programmacode
Regulier]],Programma!$F$4:$Y$36148,17,0),"_")</f>
        <v>_</v>
      </c>
      <c r="AZ67" s="249" t="str">
        <f>_xlfn.IFNA(VLOOKUP(Ruimtestaat[[#This Row],[Programmacode
Regulier]],Programma!$F$4:$Y$36148,18,0),"_")</f>
        <v>_</v>
      </c>
      <c r="BA67" s="249" t="str">
        <f>_xlfn.IFNA(VLOOKUP(Ruimtestaat[[#This Row],[Programmacode
Regulier]],Programma!$F$4:$Y$36148,19,0),"_")</f>
        <v>_</v>
      </c>
      <c r="BB67" s="249" t="str">
        <f>_xlfn.IFNA(VLOOKUP(Ruimtestaat[[#This Row],[Programmacode
Regulier]],Programma!$F$4:$Y$36148,20,0),"_")</f>
        <v>_</v>
      </c>
      <c r="BC67" s="250"/>
      <c r="BD67" s="212" t="str">
        <f>IF(Ruimtestaat[[#This Row],[Frequentie weekend]]="","",_xlfn.CONCAT(Ruimtestaat[[#This Row],[Ruimte code]],"-",Ruimtestaat[[#This Row],[Frequentie weekend]]," ",Ruimtestaat[[#This Row],[Vloer code]]))</f>
        <v/>
      </c>
      <c r="BE67" s="247" t="str">
        <f>_xlfn.IFNA(VLOOKUP(Ruimtestaat[[#This Row],[Code Weekend]],Programma!$F$4:$Y$36148,2,0),"_")</f>
        <v>_</v>
      </c>
      <c r="BF67" s="247" t="str">
        <f>_xlfn.IFNA(VLOOKUP(Ruimtestaat[[#This Row],[Code Weekend]],Programma!$F$4:$Y$36148,3,0),"_")</f>
        <v>_</v>
      </c>
      <c r="BG67" s="247" t="str">
        <f>_xlfn.IFNA(VLOOKUP(Ruimtestaat[[#This Row],[Code Weekend]],Programma!$F$4:$Y$36148,4,0),"_")</f>
        <v>_</v>
      </c>
      <c r="BH67" s="247" t="str">
        <f>_xlfn.IFNA(VLOOKUP(Ruimtestaat[[#This Row],[Code Weekend]],Programma!$F$4:$Y$36148,5,0),"_")</f>
        <v>_</v>
      </c>
      <c r="BI67" s="247" t="str">
        <f>_xlfn.IFNA(VLOOKUP(Ruimtestaat[[#This Row],[Code Weekend]],Programma!$F$4:$Y$36148,6,0),"_")</f>
        <v>_</v>
      </c>
      <c r="BJ67" s="247" t="str">
        <f>_xlfn.IFNA(VLOOKUP(Ruimtestaat[[#This Row],[Code Weekend]],Programma!$F$4:$Y$36148,7,0),"_")</f>
        <v>_</v>
      </c>
      <c r="BK67" s="247" t="str">
        <f>_xlfn.IFNA(VLOOKUP(Ruimtestaat[[#This Row],[Code Weekend]],Programma!$F$4:$Y$36148,8,0),"_")</f>
        <v>_</v>
      </c>
      <c r="BL67" s="247" t="str">
        <f>_xlfn.IFNA(VLOOKUP(Ruimtestaat[[#This Row],[Code Weekend]],Programma!$F$4:$Y$36148,9,0),"_")</f>
        <v>_</v>
      </c>
      <c r="BM67" s="248" t="str">
        <f>_xlfn.IFNA(VLOOKUP(Ruimtestaat[[#This Row],[Code Weekend]],Programma!$F$4:$Y$36148,10,0),"_")</f>
        <v>_</v>
      </c>
      <c r="BN67" s="248" t="str">
        <f>_xlfn.IFNA(VLOOKUP(Ruimtestaat[[#This Row],[Code Weekend]],Programma!$F$4:$Y$36148,11,0),"_")</f>
        <v>_</v>
      </c>
      <c r="BO67" s="248" t="str">
        <f>_xlfn.IFNA(VLOOKUP(Ruimtestaat[[#This Row],[Code Weekend]],Programma!$F$4:$Y$36148,12,0),"_")</f>
        <v>_</v>
      </c>
      <c r="BP67" s="248" t="str">
        <f>_xlfn.IFNA(VLOOKUP(Ruimtestaat[[#This Row],[Code Weekend]],Programma!$F$4:$Y$36148,13,0),"_")</f>
        <v>_</v>
      </c>
      <c r="BQ67" s="248" t="str">
        <f>_xlfn.IFNA(VLOOKUP(Ruimtestaat[[#This Row],[Code Weekend]],Programma!$F$4:$Y$36148,14,0),"_")</f>
        <v>_</v>
      </c>
      <c r="BR67" s="248" t="str">
        <f>_xlfn.IFNA(VLOOKUP(Ruimtestaat[[#This Row],[Code Weekend]],Programma!$F$4:$Y$36148,15,0),"_")</f>
        <v>_</v>
      </c>
      <c r="BS67" s="248" t="str">
        <f>_xlfn.IFNA(VLOOKUP(Ruimtestaat[[#This Row],[Code Weekend]],Programma!$F$4:$Y$36148,16,0),"_")</f>
        <v>_</v>
      </c>
      <c r="BT67" s="248" t="str">
        <f>_xlfn.IFNA(VLOOKUP(Ruimtestaat[[#This Row],[Code Weekend]],Programma!$F$4:$Y$36148,17,0),"_")</f>
        <v>_</v>
      </c>
      <c r="BU67" s="249" t="str">
        <f>_xlfn.IFNA(VLOOKUP(Ruimtestaat[[#This Row],[Code Weekend]],Programma!$F$4:$Y$36148,18,0),"_")</f>
        <v>_</v>
      </c>
      <c r="BV67" s="249" t="str">
        <f>_xlfn.IFNA(VLOOKUP(Ruimtestaat[[#This Row],[Code Weekend]],Programma!$F$4:$Y$36148,19,0),"_")</f>
        <v>_</v>
      </c>
      <c r="BW67" s="249" t="str">
        <f>_xlfn.IFNA(VLOOKUP(Ruimtestaat[[#This Row],[Code Weekend]],Programma!$F$4:$Y$36148,20,0),"_")</f>
        <v>_</v>
      </c>
      <c r="HK67" s="88"/>
    </row>
    <row r="68" spans="1:219" ht="12.75" customHeight="1">
      <c r="A68" s="131">
        <v>1</v>
      </c>
      <c r="B68" s="22" t="str">
        <f>VLOOKUP(Ruimtestaat[[#This Row],[Code]],Locaties[#All],2,FALSE)</f>
        <v>ESH Secondary School</v>
      </c>
      <c r="C68" s="22" t="str">
        <f>VLOOKUP(Ruimtestaat[[#This Row],[Code]],Locaties[#All],4,FALSE)</f>
        <v>Oostduinlaan 50</v>
      </c>
      <c r="D68" s="334" t="str">
        <f>VLOOKUP(Ruimtestaat[[#This Row],[Code]],Locaties[#All],5,FALSE)</f>
        <v>2596 JP</v>
      </c>
      <c r="E68" s="334" t="str">
        <f>VLOOKUP(Ruimtestaat[[#This Row],[Code]],Locaties[#All],6,FALSE)</f>
        <v>Den Haag</v>
      </c>
      <c r="F68" s="335"/>
      <c r="G68" s="334" t="s">
        <v>1611</v>
      </c>
      <c r="H68" s="334" t="s">
        <v>1382</v>
      </c>
      <c r="I68" s="335" t="s">
        <v>1394</v>
      </c>
      <c r="J68" s="328">
        <v>10</v>
      </c>
      <c r="K68" s="335" t="str">
        <f>VLOOKUP(J68,Ruimtegroepen[],2,FALSE)</f>
        <v>Trappenhuizen/lift</v>
      </c>
      <c r="L68" s="212" t="s">
        <v>123</v>
      </c>
      <c r="M68" s="334" t="s">
        <v>144</v>
      </c>
      <c r="N68" s="337">
        <v>23</v>
      </c>
      <c r="O68" s="331"/>
      <c r="P68" s="332" t="str">
        <f>VLOOKUP(Ruimtestaat[[#This Row],[Ruimte code]],Ruimtegroepen[],4,FALSE)</f>
        <v>V  (Verkeersruimte)</v>
      </c>
      <c r="Q68" s="332"/>
      <c r="R68" s="333">
        <v>40</v>
      </c>
      <c r="S68" s="333" t="s">
        <v>2</v>
      </c>
      <c r="T68" s="37"/>
      <c r="U68" s="37">
        <f>IF(R68&gt;0,IF(RIGHT(Ruimtestaat[[#This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8" s="37">
        <f>IF(U68&gt;0,VLOOKUP($J68,Ruimtegroepen[],3,FALSE)*VLOOKUP($L68,Vloersoorten[],3,FALSE)*VLOOKUP($S68,Frequenties[],3,FALSE)*VLOOKUP($A68,Locaties[],3,FALSE),0)</f>
        <v>0</v>
      </c>
      <c r="W68" s="37">
        <f>Ruimtestaat[[#This Row],[Uitvoeringen werkdagen]]*Ruimtestaat[[#This Row],[Oppervlak (netto)]]</f>
        <v>4600</v>
      </c>
      <c r="X68" s="37">
        <f>IF(V68&gt;0,Ruimtestaat[[#This Row],[Prest. (m2 /jaar) werkdagen]]/Ruimtestaat[[#This Row],[Norm (m2/uur) werkdagen]],0)</f>
        <v>0</v>
      </c>
      <c r="Y68" s="37">
        <f>Ruimtestaat[[#This Row],[uren / jaar werkdagen]]*Tariefsopbouw!$D$38</f>
        <v>0</v>
      </c>
      <c r="Z68" s="37">
        <f>IF(Ruimtestaat[[#This Row],[Frequentie weekend]]&gt;0,VALUE(LEFT(T68,1))*R68,0)</f>
        <v>0</v>
      </c>
      <c r="AA68" s="37">
        <f>IF($Z68&gt;0,VLOOKUP($J68,Ruimtegroepen[],3,FALSE)*VLOOKUP($L68,Vloersoorten[],3,FALSE)*VLOOKUP($T68,Frequenties[],3,FALSE)*VLOOKUP($A68,Locaties[],3,FALSE),0)</f>
        <v>0</v>
      </c>
      <c r="AB68" s="37">
        <f>Ruimtestaat[[#This Row],[Uitvoeringen weekend]]*Ruimtestaat[[#This Row],[Oppervlak (netto)]]</f>
        <v>0</v>
      </c>
      <c r="AC68" s="37">
        <f>IF(AA68&gt;0,Ruimtestaat[[#This Row],[Prest. (m2 /jaar) weekend]]/Ruimtestaat[[#This Row],[Norm (m2/uur) weekend]],0)</f>
        <v>0</v>
      </c>
      <c r="AD68" s="37">
        <f>Ruimtestaat[[#This Row],[uren / jaar weekend]]*Tariefsopbouw!$D$40</f>
        <v>0</v>
      </c>
      <c r="AE68" s="89">
        <f>Ruimtestaat[[#This Row],[Prest. (m2 /jaar) weekend]]+Ruimtestaat[[#This Row],[Prest. (m2 /jaar) werkdagen]]</f>
        <v>4600</v>
      </c>
      <c r="AF68" s="89">
        <f>Ruimtestaat[[#This Row],[uren / jaar weekend]]+Ruimtestaat[[#This Row],[uren / jaar werkdagen]]</f>
        <v>0</v>
      </c>
      <c r="AG68" s="90">
        <f>Ruimtestaat[[#This Row],[kosten / jaar weekend]]+Ruimtestaat[[#This Row],[kosten / jaar werkdagen]]</f>
        <v>0</v>
      </c>
      <c r="AH68" s="253"/>
      <c r="AI68" s="252" t="str">
        <f>IF(Ruimtestaat[[#This Row],[Frequentie werkdagen]]="","",_xlfn.CONCAT(Ruimtestaat[[#This Row],[Ruimte code]],"-",Ruimtestaat[[#This Row],[Frequentie werkdagen]]," ",Ruimtestaat[[#This Row],[Vloer code]]))</f>
        <v>10-5w P</v>
      </c>
      <c r="AJ68" s="247" t="str">
        <f>_xlfn.IFNA(VLOOKUP(Ruimtestaat[[#This Row],[Programmacode
Regulier]],Programma!$F$4:$Y$36148,2,0),"_")</f>
        <v>_</v>
      </c>
      <c r="AK68" s="247" t="str">
        <f>_xlfn.IFNA(VLOOKUP(Ruimtestaat[[#This Row],[Programmacode
Regulier]],Programma!$F$4:$Y$36148,3,0),"_")</f>
        <v>5w</v>
      </c>
      <c r="AL68" s="247" t="str">
        <f>_xlfn.IFNA(VLOOKUP(Ruimtestaat[[#This Row],[Programmacode
Regulier]],Programma!$F$4:$Y$36148,4,0),"_")</f>
        <v>_</v>
      </c>
      <c r="AM68" s="247" t="str">
        <f>_xlfn.IFNA(VLOOKUP(Ruimtestaat[[#This Row],[Programmacode
Regulier]],Programma!$F$4:$Y$36148,5,0),"_")</f>
        <v>5w</v>
      </c>
      <c r="AN68" s="247" t="str">
        <f>_xlfn.IFNA(VLOOKUP(Ruimtestaat[[#This Row],[Programmacode
Regulier]],Programma!$F$4:$Y$36148,6,0),"_")</f>
        <v>1m</v>
      </c>
      <c r="AO68" s="247" t="str">
        <f>_xlfn.IFNA(VLOOKUP(Ruimtestaat[[#This Row],[Programmacode
Regulier]],Programma!$F$4:$Y$36148,7,0),"_")</f>
        <v>_</v>
      </c>
      <c r="AP68" s="247" t="str">
        <f>_xlfn.IFNA(VLOOKUP(Ruimtestaat[[#This Row],[Programmacode
Regulier]],Programma!$F$4:$Y$36148,8,0),"_")</f>
        <v>_</v>
      </c>
      <c r="AQ68" s="247" t="str">
        <f>_xlfn.IFNA(VLOOKUP(Ruimtestaat[[#This Row],[Programmacode
Regulier]],Programma!$F$4:$Y$36148,9,0),"_")</f>
        <v>_</v>
      </c>
      <c r="AR68" s="248" t="str">
        <f>_xlfn.IFNA(VLOOKUP(Ruimtestaat[[#This Row],[Programmacode
Regulier]],Programma!$F$4:$Y$36148,10,0),"_")</f>
        <v>5w</v>
      </c>
      <c r="AS68" s="248" t="str">
        <f>_xlfn.IFNA(VLOOKUP(Ruimtestaat[[#This Row],[Programmacode
Regulier]],Programma!$F$4:$Y$36148,11,0),"_")</f>
        <v>5w</v>
      </c>
      <c r="AT68" s="248" t="str">
        <f>_xlfn.IFNA(VLOOKUP(Ruimtestaat[[#This Row],[Programmacode
Regulier]],Programma!$F$4:$Y$36148,12,0),"_")</f>
        <v>1w</v>
      </c>
      <c r="AU68" s="248" t="str">
        <f>_xlfn.IFNA(VLOOKUP(Ruimtestaat[[#This Row],[Programmacode
Regulier]],Programma!$F$4:$Y$36148,13,0),"_")</f>
        <v>1w</v>
      </c>
      <c r="AV68" s="248" t="str">
        <f>_xlfn.IFNA(VLOOKUP(Ruimtestaat[[#This Row],[Programmacode
Regulier]],Programma!$F$4:$Y$36148,14,0),"_")</f>
        <v>1m</v>
      </c>
      <c r="AW68" s="248" t="str">
        <f>_xlfn.IFNA(VLOOKUP(Ruimtestaat[[#This Row],[Programmacode
Regulier]],Programma!$F$4:$Y$36148,15,0),"_")</f>
        <v>2j</v>
      </c>
      <c r="AX68" s="248" t="str">
        <f>_xlfn.IFNA(VLOOKUP(Ruimtestaat[[#This Row],[Programmacode
Regulier]],Programma!$F$4:$Y$36148,16,0),"_")</f>
        <v>1j</v>
      </c>
      <c r="AY68" s="248" t="str">
        <f>_xlfn.IFNA(VLOOKUP(Ruimtestaat[[#This Row],[Programmacode
Regulier]],Programma!$F$4:$Y$36148,17,0),"_")</f>
        <v>_</v>
      </c>
      <c r="AZ68" s="249" t="str">
        <f>_xlfn.IFNA(VLOOKUP(Ruimtestaat[[#This Row],[Programmacode
Regulier]],Programma!$F$4:$Y$36148,18,0),"_")</f>
        <v>_</v>
      </c>
      <c r="BA68" s="249" t="str">
        <f>_xlfn.IFNA(VLOOKUP(Ruimtestaat[[#This Row],[Programmacode
Regulier]],Programma!$F$4:$Y$36148,19,0),"_")</f>
        <v>_</v>
      </c>
      <c r="BB68" s="249" t="str">
        <f>_xlfn.IFNA(VLOOKUP(Ruimtestaat[[#This Row],[Programmacode
Regulier]],Programma!$F$4:$Y$36148,20,0),"_")</f>
        <v>_</v>
      </c>
      <c r="BC68" s="250"/>
      <c r="BD68" s="212" t="str">
        <f>IF(Ruimtestaat[[#This Row],[Frequentie weekend]]="","",_xlfn.CONCAT(Ruimtestaat[[#This Row],[Ruimte code]],"-",Ruimtestaat[[#This Row],[Frequentie weekend]]," ",Ruimtestaat[[#This Row],[Vloer code]]))</f>
        <v/>
      </c>
      <c r="BE68" s="247" t="str">
        <f>_xlfn.IFNA(VLOOKUP(Ruimtestaat[[#This Row],[Code Weekend]],Programma!$F$4:$Y$36148,2,0),"_")</f>
        <v>_</v>
      </c>
      <c r="BF68" s="247" t="str">
        <f>_xlfn.IFNA(VLOOKUP(Ruimtestaat[[#This Row],[Code Weekend]],Programma!$F$4:$Y$36148,3,0),"_")</f>
        <v>_</v>
      </c>
      <c r="BG68" s="247" t="str">
        <f>_xlfn.IFNA(VLOOKUP(Ruimtestaat[[#This Row],[Code Weekend]],Programma!$F$4:$Y$36148,4,0),"_")</f>
        <v>_</v>
      </c>
      <c r="BH68" s="247" t="str">
        <f>_xlfn.IFNA(VLOOKUP(Ruimtestaat[[#This Row],[Code Weekend]],Programma!$F$4:$Y$36148,5,0),"_")</f>
        <v>_</v>
      </c>
      <c r="BI68" s="247" t="str">
        <f>_xlfn.IFNA(VLOOKUP(Ruimtestaat[[#This Row],[Code Weekend]],Programma!$F$4:$Y$36148,6,0),"_")</f>
        <v>_</v>
      </c>
      <c r="BJ68" s="247" t="str">
        <f>_xlfn.IFNA(VLOOKUP(Ruimtestaat[[#This Row],[Code Weekend]],Programma!$F$4:$Y$36148,7,0),"_")</f>
        <v>_</v>
      </c>
      <c r="BK68" s="247" t="str">
        <f>_xlfn.IFNA(VLOOKUP(Ruimtestaat[[#This Row],[Code Weekend]],Programma!$F$4:$Y$36148,8,0),"_")</f>
        <v>_</v>
      </c>
      <c r="BL68" s="247" t="str">
        <f>_xlfn.IFNA(VLOOKUP(Ruimtestaat[[#This Row],[Code Weekend]],Programma!$F$4:$Y$36148,9,0),"_")</f>
        <v>_</v>
      </c>
      <c r="BM68" s="248" t="str">
        <f>_xlfn.IFNA(VLOOKUP(Ruimtestaat[[#This Row],[Code Weekend]],Programma!$F$4:$Y$36148,10,0),"_")</f>
        <v>_</v>
      </c>
      <c r="BN68" s="248" t="str">
        <f>_xlfn.IFNA(VLOOKUP(Ruimtestaat[[#This Row],[Code Weekend]],Programma!$F$4:$Y$36148,11,0),"_")</f>
        <v>_</v>
      </c>
      <c r="BO68" s="248" t="str">
        <f>_xlfn.IFNA(VLOOKUP(Ruimtestaat[[#This Row],[Code Weekend]],Programma!$F$4:$Y$36148,12,0),"_")</f>
        <v>_</v>
      </c>
      <c r="BP68" s="248" t="str">
        <f>_xlfn.IFNA(VLOOKUP(Ruimtestaat[[#This Row],[Code Weekend]],Programma!$F$4:$Y$36148,13,0),"_")</f>
        <v>_</v>
      </c>
      <c r="BQ68" s="248" t="str">
        <f>_xlfn.IFNA(VLOOKUP(Ruimtestaat[[#This Row],[Code Weekend]],Programma!$F$4:$Y$36148,14,0),"_")</f>
        <v>_</v>
      </c>
      <c r="BR68" s="248" t="str">
        <f>_xlfn.IFNA(VLOOKUP(Ruimtestaat[[#This Row],[Code Weekend]],Programma!$F$4:$Y$36148,15,0),"_")</f>
        <v>_</v>
      </c>
      <c r="BS68" s="248" t="str">
        <f>_xlfn.IFNA(VLOOKUP(Ruimtestaat[[#This Row],[Code Weekend]],Programma!$F$4:$Y$36148,16,0),"_")</f>
        <v>_</v>
      </c>
      <c r="BT68" s="248" t="str">
        <f>_xlfn.IFNA(VLOOKUP(Ruimtestaat[[#This Row],[Code Weekend]],Programma!$F$4:$Y$36148,17,0),"_")</f>
        <v>_</v>
      </c>
      <c r="BU68" s="249" t="str">
        <f>_xlfn.IFNA(VLOOKUP(Ruimtestaat[[#This Row],[Code Weekend]],Programma!$F$4:$Y$36148,18,0),"_")</f>
        <v>_</v>
      </c>
      <c r="BV68" s="249" t="str">
        <f>_xlfn.IFNA(VLOOKUP(Ruimtestaat[[#This Row],[Code Weekend]],Programma!$F$4:$Y$36148,19,0),"_")</f>
        <v>_</v>
      </c>
      <c r="BW68" s="249" t="str">
        <f>_xlfn.IFNA(VLOOKUP(Ruimtestaat[[#This Row],[Code Weekend]],Programma!$F$4:$Y$36148,20,0),"_")</f>
        <v>_</v>
      </c>
      <c r="HK68" s="88"/>
    </row>
    <row r="69" spans="1:219" ht="12.75" customHeight="1">
      <c r="A69" s="131">
        <v>1</v>
      </c>
      <c r="B69" s="22" t="str">
        <f>VLOOKUP(Ruimtestaat[[#This Row],[Code]],Locaties[#All],2,FALSE)</f>
        <v>ESH Secondary School</v>
      </c>
      <c r="C69" s="22" t="str">
        <f>VLOOKUP(Ruimtestaat[[#This Row],[Code]],Locaties[#All],4,FALSE)</f>
        <v>Oostduinlaan 50</v>
      </c>
      <c r="D69" s="334" t="str">
        <f>VLOOKUP(Ruimtestaat[[#This Row],[Code]],Locaties[#All],5,FALSE)</f>
        <v>2596 JP</v>
      </c>
      <c r="E69" s="334" t="str">
        <f>VLOOKUP(Ruimtestaat[[#This Row],[Code]],Locaties[#All],6,FALSE)</f>
        <v>Den Haag</v>
      </c>
      <c r="F69" s="335"/>
      <c r="G69" s="334" t="s">
        <v>1611</v>
      </c>
      <c r="H69" s="334" t="s">
        <v>1383</v>
      </c>
      <c r="I69" s="335" t="s">
        <v>1501</v>
      </c>
      <c r="J69" s="328">
        <v>2</v>
      </c>
      <c r="K69" s="335" t="str">
        <f>VLOOKUP(J69,Ruimtegroepen[],2,FALSE)</f>
        <v>Kantoren</v>
      </c>
      <c r="L69" s="212" t="s">
        <v>123</v>
      </c>
      <c r="M69" s="334" t="s">
        <v>144</v>
      </c>
      <c r="N69" s="337">
        <v>20</v>
      </c>
      <c r="O69" s="331"/>
      <c r="P69" s="332" t="str">
        <f>VLOOKUP(Ruimtestaat[[#This Row],[Ruimte code]],Ruimtegroepen[],4,FALSE)</f>
        <v>B  (Bureauruimte)</v>
      </c>
      <c r="Q69" s="332"/>
      <c r="R69" s="333">
        <v>40</v>
      </c>
      <c r="S69" s="333" t="s">
        <v>2</v>
      </c>
      <c r="T69" s="37"/>
      <c r="U69" s="37">
        <f>IF(R69&gt;0,IF(RIGHT(Ruimtestaat[[#This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9" s="37">
        <f>IF(U69&gt;0,VLOOKUP($J69,Ruimtegroepen[],3,FALSE)*VLOOKUP($L69,Vloersoorten[],3,FALSE)*VLOOKUP($S69,Frequenties[],3,FALSE)*VLOOKUP($A69,Locaties[],3,FALSE),0)</f>
        <v>0</v>
      </c>
      <c r="W69" s="37">
        <f>Ruimtestaat[[#This Row],[Uitvoeringen werkdagen]]*Ruimtestaat[[#This Row],[Oppervlak (netto)]]</f>
        <v>4000</v>
      </c>
      <c r="X69" s="37">
        <f>IF(V69&gt;0,Ruimtestaat[[#This Row],[Prest. (m2 /jaar) werkdagen]]/Ruimtestaat[[#This Row],[Norm (m2/uur) werkdagen]],0)</f>
        <v>0</v>
      </c>
      <c r="Y69" s="37">
        <f>Ruimtestaat[[#This Row],[uren / jaar werkdagen]]*Tariefsopbouw!$D$38</f>
        <v>0</v>
      </c>
      <c r="Z69" s="37">
        <f>IF(Ruimtestaat[[#This Row],[Frequentie weekend]]&gt;0,VALUE(LEFT(T69,1))*R69,0)</f>
        <v>0</v>
      </c>
      <c r="AA69" s="37">
        <f>IF($Z69&gt;0,VLOOKUP($J69,Ruimtegroepen[],3,FALSE)*VLOOKUP($L69,Vloersoorten[],3,FALSE)*VLOOKUP($T69,Frequenties[],3,FALSE)*VLOOKUP($A69,Locaties[],3,FALSE),0)</f>
        <v>0</v>
      </c>
      <c r="AB69" s="37">
        <f>Ruimtestaat[[#This Row],[Uitvoeringen weekend]]*Ruimtestaat[[#This Row],[Oppervlak (netto)]]</f>
        <v>0</v>
      </c>
      <c r="AC69" s="37">
        <f>IF(AA69&gt;0,Ruimtestaat[[#This Row],[Prest. (m2 /jaar) weekend]]/Ruimtestaat[[#This Row],[Norm (m2/uur) weekend]],0)</f>
        <v>0</v>
      </c>
      <c r="AD69" s="37">
        <f>Ruimtestaat[[#This Row],[uren / jaar weekend]]*Tariefsopbouw!$D$40</f>
        <v>0</v>
      </c>
      <c r="AE69" s="89">
        <f>Ruimtestaat[[#This Row],[Prest. (m2 /jaar) weekend]]+Ruimtestaat[[#This Row],[Prest. (m2 /jaar) werkdagen]]</f>
        <v>4000</v>
      </c>
      <c r="AF69" s="89">
        <f>Ruimtestaat[[#This Row],[uren / jaar weekend]]+Ruimtestaat[[#This Row],[uren / jaar werkdagen]]</f>
        <v>0</v>
      </c>
      <c r="AG69" s="90">
        <f>Ruimtestaat[[#This Row],[kosten / jaar weekend]]+Ruimtestaat[[#This Row],[kosten / jaar werkdagen]]</f>
        <v>0</v>
      </c>
      <c r="AH69" s="253"/>
      <c r="AI69" s="252" t="str">
        <f>IF(Ruimtestaat[[#This Row],[Frequentie werkdagen]]="","",_xlfn.CONCAT(Ruimtestaat[[#This Row],[Ruimte code]],"-",Ruimtestaat[[#This Row],[Frequentie werkdagen]]," ",Ruimtestaat[[#This Row],[Vloer code]]))</f>
        <v>2-5w P</v>
      </c>
      <c r="AJ69" s="247" t="str">
        <f>_xlfn.IFNA(VLOOKUP(Ruimtestaat[[#This Row],[Programmacode
Regulier]],Programma!$F$4:$Y$36148,2,0),"_")</f>
        <v>_</v>
      </c>
      <c r="AK69" s="247" t="str">
        <f>_xlfn.IFNA(VLOOKUP(Ruimtestaat[[#This Row],[Programmacode
Regulier]],Programma!$F$4:$Y$36148,3,0),"_")</f>
        <v>_</v>
      </c>
      <c r="AL69" s="247" t="str">
        <f>_xlfn.IFNA(VLOOKUP(Ruimtestaat[[#This Row],[Programmacode
Regulier]],Programma!$F$4:$Y$36148,4,0),"_")</f>
        <v>5w</v>
      </c>
      <c r="AM69" s="247" t="str">
        <f>_xlfn.IFNA(VLOOKUP(Ruimtestaat[[#This Row],[Programmacode
Regulier]],Programma!$F$4:$Y$36148,5,0),"_")</f>
        <v>1w</v>
      </c>
      <c r="AN69" s="247" t="str">
        <f>_xlfn.IFNA(VLOOKUP(Ruimtestaat[[#This Row],[Programmacode
Regulier]],Programma!$F$4:$Y$36148,6,0),"_")</f>
        <v>1m</v>
      </c>
      <c r="AO69" s="247" t="str">
        <f>_xlfn.IFNA(VLOOKUP(Ruimtestaat[[#This Row],[Programmacode
Regulier]],Programma!$F$4:$Y$36148,7,0),"_")</f>
        <v>_</v>
      </c>
      <c r="AP69" s="247" t="str">
        <f>_xlfn.IFNA(VLOOKUP(Ruimtestaat[[#This Row],[Programmacode
Regulier]],Programma!$F$4:$Y$36148,8,0),"_")</f>
        <v>_</v>
      </c>
      <c r="AQ69" s="247" t="str">
        <f>_xlfn.IFNA(VLOOKUP(Ruimtestaat[[#This Row],[Programmacode
Regulier]],Programma!$F$4:$Y$36148,9,0),"_")</f>
        <v>_</v>
      </c>
      <c r="AR69" s="248" t="str">
        <f>_xlfn.IFNA(VLOOKUP(Ruimtestaat[[#This Row],[Programmacode
Regulier]],Programma!$F$4:$Y$36148,10,0),"_")</f>
        <v>5w</v>
      </c>
      <c r="AS69" s="248" t="str">
        <f>_xlfn.IFNA(VLOOKUP(Ruimtestaat[[#This Row],[Programmacode
Regulier]],Programma!$F$4:$Y$36148,11,0),"_")</f>
        <v>5w</v>
      </c>
      <c r="AT69" s="248" t="str">
        <f>_xlfn.IFNA(VLOOKUP(Ruimtestaat[[#This Row],[Programmacode
Regulier]],Programma!$F$4:$Y$36148,12,0),"_")</f>
        <v>1w</v>
      </c>
      <c r="AU69" s="248" t="str">
        <f>_xlfn.IFNA(VLOOKUP(Ruimtestaat[[#This Row],[Programmacode
Regulier]],Programma!$F$4:$Y$36148,13,0),"_")</f>
        <v>1w</v>
      </c>
      <c r="AV69" s="248" t="str">
        <f>_xlfn.IFNA(VLOOKUP(Ruimtestaat[[#This Row],[Programmacode
Regulier]],Programma!$F$4:$Y$36148,14,0),"_")</f>
        <v>1m</v>
      </c>
      <c r="AW69" s="248" t="str">
        <f>_xlfn.IFNA(VLOOKUP(Ruimtestaat[[#This Row],[Programmacode
Regulier]],Programma!$F$4:$Y$36148,15,0),"_")</f>
        <v>2j</v>
      </c>
      <c r="AX69" s="248" t="str">
        <f>_xlfn.IFNA(VLOOKUP(Ruimtestaat[[#This Row],[Programmacode
Regulier]],Programma!$F$4:$Y$36148,16,0),"_")</f>
        <v>1j</v>
      </c>
      <c r="AY69" s="248" t="str">
        <f>_xlfn.IFNA(VLOOKUP(Ruimtestaat[[#This Row],[Programmacode
Regulier]],Programma!$F$4:$Y$36148,17,0),"_")</f>
        <v>_</v>
      </c>
      <c r="AZ69" s="249" t="str">
        <f>_xlfn.IFNA(VLOOKUP(Ruimtestaat[[#This Row],[Programmacode
Regulier]],Programma!$F$4:$Y$36148,18,0),"_")</f>
        <v>_</v>
      </c>
      <c r="BA69" s="249" t="str">
        <f>_xlfn.IFNA(VLOOKUP(Ruimtestaat[[#This Row],[Programmacode
Regulier]],Programma!$F$4:$Y$36148,19,0),"_")</f>
        <v>_</v>
      </c>
      <c r="BB69" s="249" t="str">
        <f>_xlfn.IFNA(VLOOKUP(Ruimtestaat[[#This Row],[Programmacode
Regulier]],Programma!$F$4:$Y$36148,20,0),"_")</f>
        <v>_</v>
      </c>
      <c r="BC69" s="250"/>
      <c r="BD69" s="212" t="str">
        <f>IF(Ruimtestaat[[#This Row],[Frequentie weekend]]="","",_xlfn.CONCAT(Ruimtestaat[[#This Row],[Ruimte code]],"-",Ruimtestaat[[#This Row],[Frequentie weekend]]," ",Ruimtestaat[[#This Row],[Vloer code]]))</f>
        <v/>
      </c>
      <c r="BE69" s="247" t="str">
        <f>_xlfn.IFNA(VLOOKUP(Ruimtestaat[[#This Row],[Code Weekend]],Programma!$F$4:$Y$36148,2,0),"_")</f>
        <v>_</v>
      </c>
      <c r="BF69" s="247" t="str">
        <f>_xlfn.IFNA(VLOOKUP(Ruimtestaat[[#This Row],[Code Weekend]],Programma!$F$4:$Y$36148,3,0),"_")</f>
        <v>_</v>
      </c>
      <c r="BG69" s="247" t="str">
        <f>_xlfn.IFNA(VLOOKUP(Ruimtestaat[[#This Row],[Code Weekend]],Programma!$F$4:$Y$36148,4,0),"_")</f>
        <v>_</v>
      </c>
      <c r="BH69" s="247" t="str">
        <f>_xlfn.IFNA(VLOOKUP(Ruimtestaat[[#This Row],[Code Weekend]],Programma!$F$4:$Y$36148,5,0),"_")</f>
        <v>_</v>
      </c>
      <c r="BI69" s="247" t="str">
        <f>_xlfn.IFNA(VLOOKUP(Ruimtestaat[[#This Row],[Code Weekend]],Programma!$F$4:$Y$36148,6,0),"_")</f>
        <v>_</v>
      </c>
      <c r="BJ69" s="247" t="str">
        <f>_xlfn.IFNA(VLOOKUP(Ruimtestaat[[#This Row],[Code Weekend]],Programma!$F$4:$Y$36148,7,0),"_")</f>
        <v>_</v>
      </c>
      <c r="BK69" s="247" t="str">
        <f>_xlfn.IFNA(VLOOKUP(Ruimtestaat[[#This Row],[Code Weekend]],Programma!$F$4:$Y$36148,8,0),"_")</f>
        <v>_</v>
      </c>
      <c r="BL69" s="247" t="str">
        <f>_xlfn.IFNA(VLOOKUP(Ruimtestaat[[#This Row],[Code Weekend]],Programma!$F$4:$Y$36148,9,0),"_")</f>
        <v>_</v>
      </c>
      <c r="BM69" s="248" t="str">
        <f>_xlfn.IFNA(VLOOKUP(Ruimtestaat[[#This Row],[Code Weekend]],Programma!$F$4:$Y$36148,10,0),"_")</f>
        <v>_</v>
      </c>
      <c r="BN69" s="248" t="str">
        <f>_xlfn.IFNA(VLOOKUP(Ruimtestaat[[#This Row],[Code Weekend]],Programma!$F$4:$Y$36148,11,0),"_")</f>
        <v>_</v>
      </c>
      <c r="BO69" s="248" t="str">
        <f>_xlfn.IFNA(VLOOKUP(Ruimtestaat[[#This Row],[Code Weekend]],Programma!$F$4:$Y$36148,12,0),"_")</f>
        <v>_</v>
      </c>
      <c r="BP69" s="248" t="str">
        <f>_xlfn.IFNA(VLOOKUP(Ruimtestaat[[#This Row],[Code Weekend]],Programma!$F$4:$Y$36148,13,0),"_")</f>
        <v>_</v>
      </c>
      <c r="BQ69" s="248" t="str">
        <f>_xlfn.IFNA(VLOOKUP(Ruimtestaat[[#This Row],[Code Weekend]],Programma!$F$4:$Y$36148,14,0),"_")</f>
        <v>_</v>
      </c>
      <c r="BR69" s="248" t="str">
        <f>_xlfn.IFNA(VLOOKUP(Ruimtestaat[[#This Row],[Code Weekend]],Programma!$F$4:$Y$36148,15,0),"_")</f>
        <v>_</v>
      </c>
      <c r="BS69" s="248" t="str">
        <f>_xlfn.IFNA(VLOOKUP(Ruimtestaat[[#This Row],[Code Weekend]],Programma!$F$4:$Y$36148,16,0),"_")</f>
        <v>_</v>
      </c>
      <c r="BT69" s="248" t="str">
        <f>_xlfn.IFNA(VLOOKUP(Ruimtestaat[[#This Row],[Code Weekend]],Programma!$F$4:$Y$36148,17,0),"_")</f>
        <v>_</v>
      </c>
      <c r="BU69" s="249" t="str">
        <f>_xlfn.IFNA(VLOOKUP(Ruimtestaat[[#This Row],[Code Weekend]],Programma!$F$4:$Y$36148,18,0),"_")</f>
        <v>_</v>
      </c>
      <c r="BV69" s="249" t="str">
        <f>_xlfn.IFNA(VLOOKUP(Ruimtestaat[[#This Row],[Code Weekend]],Programma!$F$4:$Y$36148,19,0),"_")</f>
        <v>_</v>
      </c>
      <c r="BW69" s="249" t="str">
        <f>_xlfn.IFNA(VLOOKUP(Ruimtestaat[[#This Row],[Code Weekend]],Programma!$F$4:$Y$36148,20,0),"_")</f>
        <v>_</v>
      </c>
      <c r="HK69" s="88"/>
    </row>
    <row r="70" spans="1:219" ht="12.75" customHeight="1">
      <c r="A70" s="131">
        <v>1</v>
      </c>
      <c r="B70" s="22" t="str">
        <f>VLOOKUP(Ruimtestaat[[#This Row],[Code]],Locaties[#All],2,FALSE)</f>
        <v>ESH Secondary School</v>
      </c>
      <c r="C70" s="22" t="str">
        <f>VLOOKUP(Ruimtestaat[[#This Row],[Code]],Locaties[#All],4,FALSE)</f>
        <v>Oostduinlaan 50</v>
      </c>
      <c r="D70" s="334" t="str">
        <f>VLOOKUP(Ruimtestaat[[#This Row],[Code]],Locaties[#All],5,FALSE)</f>
        <v>2596 JP</v>
      </c>
      <c r="E70" s="334" t="str">
        <f>VLOOKUP(Ruimtestaat[[#This Row],[Code]],Locaties[#All],6,FALSE)</f>
        <v>Den Haag</v>
      </c>
      <c r="F70" s="335"/>
      <c r="G70" s="334" t="s">
        <v>1611</v>
      </c>
      <c r="H70" s="334" t="s">
        <v>1384</v>
      </c>
      <c r="I70" s="335" t="s">
        <v>1502</v>
      </c>
      <c r="J70" s="328">
        <v>2</v>
      </c>
      <c r="K70" s="335" t="str">
        <f>VLOOKUP(J70,Ruimtegroepen[],2,FALSE)</f>
        <v>Kantoren</v>
      </c>
      <c r="L70" s="212" t="s">
        <v>123</v>
      </c>
      <c r="M70" s="334" t="s">
        <v>144</v>
      </c>
      <c r="N70" s="337">
        <v>19</v>
      </c>
      <c r="O70" s="331"/>
      <c r="P70" s="332" t="str">
        <f>VLOOKUP(Ruimtestaat[[#This Row],[Ruimte code]],Ruimtegroepen[],4,FALSE)</f>
        <v>B  (Bureauruimte)</v>
      </c>
      <c r="Q70" s="332"/>
      <c r="R70" s="333">
        <v>40</v>
      </c>
      <c r="S70" s="333" t="s">
        <v>2</v>
      </c>
      <c r="T70" s="37"/>
      <c r="U70" s="37">
        <f>IF(R70&gt;0,IF(RIGHT(Ruimtestaat[[#This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0" s="37">
        <f>IF(U70&gt;0,VLOOKUP($J70,Ruimtegroepen[],3,FALSE)*VLOOKUP($L70,Vloersoorten[],3,FALSE)*VLOOKUP($S70,Frequenties[],3,FALSE)*VLOOKUP($A70,Locaties[],3,FALSE),0)</f>
        <v>0</v>
      </c>
      <c r="W70" s="37">
        <f>Ruimtestaat[[#This Row],[Uitvoeringen werkdagen]]*Ruimtestaat[[#This Row],[Oppervlak (netto)]]</f>
        <v>3800</v>
      </c>
      <c r="X70" s="37">
        <f>IF(V70&gt;0,Ruimtestaat[[#This Row],[Prest. (m2 /jaar) werkdagen]]/Ruimtestaat[[#This Row],[Norm (m2/uur) werkdagen]],0)</f>
        <v>0</v>
      </c>
      <c r="Y70" s="37">
        <f>Ruimtestaat[[#This Row],[uren / jaar werkdagen]]*Tariefsopbouw!$D$38</f>
        <v>0</v>
      </c>
      <c r="Z70" s="37">
        <f>IF(Ruimtestaat[[#This Row],[Frequentie weekend]]&gt;0,VALUE(LEFT(T70,1))*R70,0)</f>
        <v>0</v>
      </c>
      <c r="AA70" s="37">
        <f>IF($Z70&gt;0,VLOOKUP($J70,Ruimtegroepen[],3,FALSE)*VLOOKUP($L70,Vloersoorten[],3,FALSE)*VLOOKUP($T70,Frequenties[],3,FALSE)*VLOOKUP($A70,Locaties[],3,FALSE),0)</f>
        <v>0</v>
      </c>
      <c r="AB70" s="37">
        <f>Ruimtestaat[[#This Row],[Uitvoeringen weekend]]*Ruimtestaat[[#This Row],[Oppervlak (netto)]]</f>
        <v>0</v>
      </c>
      <c r="AC70" s="37">
        <f>IF(AA70&gt;0,Ruimtestaat[[#This Row],[Prest. (m2 /jaar) weekend]]/Ruimtestaat[[#This Row],[Norm (m2/uur) weekend]],0)</f>
        <v>0</v>
      </c>
      <c r="AD70" s="37">
        <f>Ruimtestaat[[#This Row],[uren / jaar weekend]]*Tariefsopbouw!$D$40</f>
        <v>0</v>
      </c>
      <c r="AE70" s="89">
        <f>Ruimtestaat[[#This Row],[Prest. (m2 /jaar) weekend]]+Ruimtestaat[[#This Row],[Prest. (m2 /jaar) werkdagen]]</f>
        <v>3800</v>
      </c>
      <c r="AF70" s="89">
        <f>Ruimtestaat[[#This Row],[uren / jaar weekend]]+Ruimtestaat[[#This Row],[uren / jaar werkdagen]]</f>
        <v>0</v>
      </c>
      <c r="AG70" s="90">
        <f>Ruimtestaat[[#This Row],[kosten / jaar weekend]]+Ruimtestaat[[#This Row],[kosten / jaar werkdagen]]</f>
        <v>0</v>
      </c>
      <c r="AH70" s="253"/>
      <c r="AI70" s="252" t="str">
        <f>IF(Ruimtestaat[[#This Row],[Frequentie werkdagen]]="","",_xlfn.CONCAT(Ruimtestaat[[#This Row],[Ruimte code]],"-",Ruimtestaat[[#This Row],[Frequentie werkdagen]]," ",Ruimtestaat[[#This Row],[Vloer code]]))</f>
        <v>2-5w P</v>
      </c>
      <c r="AJ70" s="247" t="str">
        <f>_xlfn.IFNA(VLOOKUP(Ruimtestaat[[#This Row],[Programmacode
Regulier]],Programma!$F$4:$Y$36148,2,0),"_")</f>
        <v>_</v>
      </c>
      <c r="AK70" s="247" t="str">
        <f>_xlfn.IFNA(VLOOKUP(Ruimtestaat[[#This Row],[Programmacode
Regulier]],Programma!$F$4:$Y$36148,3,0),"_")</f>
        <v>_</v>
      </c>
      <c r="AL70" s="247" t="str">
        <f>_xlfn.IFNA(VLOOKUP(Ruimtestaat[[#This Row],[Programmacode
Regulier]],Programma!$F$4:$Y$36148,4,0),"_")</f>
        <v>5w</v>
      </c>
      <c r="AM70" s="247" t="str">
        <f>_xlfn.IFNA(VLOOKUP(Ruimtestaat[[#This Row],[Programmacode
Regulier]],Programma!$F$4:$Y$36148,5,0),"_")</f>
        <v>1w</v>
      </c>
      <c r="AN70" s="247" t="str">
        <f>_xlfn.IFNA(VLOOKUP(Ruimtestaat[[#This Row],[Programmacode
Regulier]],Programma!$F$4:$Y$36148,6,0),"_")</f>
        <v>1m</v>
      </c>
      <c r="AO70" s="247" t="str">
        <f>_xlfn.IFNA(VLOOKUP(Ruimtestaat[[#This Row],[Programmacode
Regulier]],Programma!$F$4:$Y$36148,7,0),"_")</f>
        <v>_</v>
      </c>
      <c r="AP70" s="247" t="str">
        <f>_xlfn.IFNA(VLOOKUP(Ruimtestaat[[#This Row],[Programmacode
Regulier]],Programma!$F$4:$Y$36148,8,0),"_")</f>
        <v>_</v>
      </c>
      <c r="AQ70" s="247" t="str">
        <f>_xlfn.IFNA(VLOOKUP(Ruimtestaat[[#This Row],[Programmacode
Regulier]],Programma!$F$4:$Y$36148,9,0),"_")</f>
        <v>_</v>
      </c>
      <c r="AR70" s="248" t="str">
        <f>_xlfn.IFNA(VLOOKUP(Ruimtestaat[[#This Row],[Programmacode
Regulier]],Programma!$F$4:$Y$36148,10,0),"_")</f>
        <v>5w</v>
      </c>
      <c r="AS70" s="248" t="str">
        <f>_xlfn.IFNA(VLOOKUP(Ruimtestaat[[#This Row],[Programmacode
Regulier]],Programma!$F$4:$Y$36148,11,0),"_")</f>
        <v>5w</v>
      </c>
      <c r="AT70" s="248" t="str">
        <f>_xlfn.IFNA(VLOOKUP(Ruimtestaat[[#This Row],[Programmacode
Regulier]],Programma!$F$4:$Y$36148,12,0),"_")</f>
        <v>1w</v>
      </c>
      <c r="AU70" s="248" t="str">
        <f>_xlfn.IFNA(VLOOKUP(Ruimtestaat[[#This Row],[Programmacode
Regulier]],Programma!$F$4:$Y$36148,13,0),"_")</f>
        <v>1w</v>
      </c>
      <c r="AV70" s="248" t="str">
        <f>_xlfn.IFNA(VLOOKUP(Ruimtestaat[[#This Row],[Programmacode
Regulier]],Programma!$F$4:$Y$36148,14,0),"_")</f>
        <v>1m</v>
      </c>
      <c r="AW70" s="248" t="str">
        <f>_xlfn.IFNA(VLOOKUP(Ruimtestaat[[#This Row],[Programmacode
Regulier]],Programma!$F$4:$Y$36148,15,0),"_")</f>
        <v>2j</v>
      </c>
      <c r="AX70" s="248" t="str">
        <f>_xlfn.IFNA(VLOOKUP(Ruimtestaat[[#This Row],[Programmacode
Regulier]],Programma!$F$4:$Y$36148,16,0),"_")</f>
        <v>1j</v>
      </c>
      <c r="AY70" s="248" t="str">
        <f>_xlfn.IFNA(VLOOKUP(Ruimtestaat[[#This Row],[Programmacode
Regulier]],Programma!$F$4:$Y$36148,17,0),"_")</f>
        <v>_</v>
      </c>
      <c r="AZ70" s="249" t="str">
        <f>_xlfn.IFNA(VLOOKUP(Ruimtestaat[[#This Row],[Programmacode
Regulier]],Programma!$F$4:$Y$36148,18,0),"_")</f>
        <v>_</v>
      </c>
      <c r="BA70" s="249" t="str">
        <f>_xlfn.IFNA(VLOOKUP(Ruimtestaat[[#This Row],[Programmacode
Regulier]],Programma!$F$4:$Y$36148,19,0),"_")</f>
        <v>_</v>
      </c>
      <c r="BB70" s="249" t="str">
        <f>_xlfn.IFNA(VLOOKUP(Ruimtestaat[[#This Row],[Programmacode
Regulier]],Programma!$F$4:$Y$36148,20,0),"_")</f>
        <v>_</v>
      </c>
      <c r="BC70" s="250"/>
      <c r="BD70" s="212" t="str">
        <f>IF(Ruimtestaat[[#This Row],[Frequentie weekend]]="","",_xlfn.CONCAT(Ruimtestaat[[#This Row],[Ruimte code]],"-",Ruimtestaat[[#This Row],[Frequentie weekend]]," ",Ruimtestaat[[#This Row],[Vloer code]]))</f>
        <v/>
      </c>
      <c r="BE70" s="247" t="str">
        <f>_xlfn.IFNA(VLOOKUP(Ruimtestaat[[#This Row],[Code Weekend]],Programma!$F$4:$Y$36148,2,0),"_")</f>
        <v>_</v>
      </c>
      <c r="BF70" s="247" t="str">
        <f>_xlfn.IFNA(VLOOKUP(Ruimtestaat[[#This Row],[Code Weekend]],Programma!$F$4:$Y$36148,3,0),"_")</f>
        <v>_</v>
      </c>
      <c r="BG70" s="247" t="str">
        <f>_xlfn.IFNA(VLOOKUP(Ruimtestaat[[#This Row],[Code Weekend]],Programma!$F$4:$Y$36148,4,0),"_")</f>
        <v>_</v>
      </c>
      <c r="BH70" s="247" t="str">
        <f>_xlfn.IFNA(VLOOKUP(Ruimtestaat[[#This Row],[Code Weekend]],Programma!$F$4:$Y$36148,5,0),"_")</f>
        <v>_</v>
      </c>
      <c r="BI70" s="247" t="str">
        <f>_xlfn.IFNA(VLOOKUP(Ruimtestaat[[#This Row],[Code Weekend]],Programma!$F$4:$Y$36148,6,0),"_")</f>
        <v>_</v>
      </c>
      <c r="BJ70" s="247" t="str">
        <f>_xlfn.IFNA(VLOOKUP(Ruimtestaat[[#This Row],[Code Weekend]],Programma!$F$4:$Y$36148,7,0),"_")</f>
        <v>_</v>
      </c>
      <c r="BK70" s="247" t="str">
        <f>_xlfn.IFNA(VLOOKUP(Ruimtestaat[[#This Row],[Code Weekend]],Programma!$F$4:$Y$36148,8,0),"_")</f>
        <v>_</v>
      </c>
      <c r="BL70" s="247" t="str">
        <f>_xlfn.IFNA(VLOOKUP(Ruimtestaat[[#This Row],[Code Weekend]],Programma!$F$4:$Y$36148,9,0),"_")</f>
        <v>_</v>
      </c>
      <c r="BM70" s="248" t="str">
        <f>_xlfn.IFNA(VLOOKUP(Ruimtestaat[[#This Row],[Code Weekend]],Programma!$F$4:$Y$36148,10,0),"_")</f>
        <v>_</v>
      </c>
      <c r="BN70" s="248" t="str">
        <f>_xlfn.IFNA(VLOOKUP(Ruimtestaat[[#This Row],[Code Weekend]],Programma!$F$4:$Y$36148,11,0),"_")</f>
        <v>_</v>
      </c>
      <c r="BO70" s="248" t="str">
        <f>_xlfn.IFNA(VLOOKUP(Ruimtestaat[[#This Row],[Code Weekend]],Programma!$F$4:$Y$36148,12,0),"_")</f>
        <v>_</v>
      </c>
      <c r="BP70" s="248" t="str">
        <f>_xlfn.IFNA(VLOOKUP(Ruimtestaat[[#This Row],[Code Weekend]],Programma!$F$4:$Y$36148,13,0),"_")</f>
        <v>_</v>
      </c>
      <c r="BQ70" s="248" t="str">
        <f>_xlfn.IFNA(VLOOKUP(Ruimtestaat[[#This Row],[Code Weekend]],Programma!$F$4:$Y$36148,14,0),"_")</f>
        <v>_</v>
      </c>
      <c r="BR70" s="248" t="str">
        <f>_xlfn.IFNA(VLOOKUP(Ruimtestaat[[#This Row],[Code Weekend]],Programma!$F$4:$Y$36148,15,0),"_")</f>
        <v>_</v>
      </c>
      <c r="BS70" s="248" t="str">
        <f>_xlfn.IFNA(VLOOKUP(Ruimtestaat[[#This Row],[Code Weekend]],Programma!$F$4:$Y$36148,16,0),"_")</f>
        <v>_</v>
      </c>
      <c r="BT70" s="248" t="str">
        <f>_xlfn.IFNA(VLOOKUP(Ruimtestaat[[#This Row],[Code Weekend]],Programma!$F$4:$Y$36148,17,0),"_")</f>
        <v>_</v>
      </c>
      <c r="BU70" s="249" t="str">
        <f>_xlfn.IFNA(VLOOKUP(Ruimtestaat[[#This Row],[Code Weekend]],Programma!$F$4:$Y$36148,18,0),"_")</f>
        <v>_</v>
      </c>
      <c r="BV70" s="249" t="str">
        <f>_xlfn.IFNA(VLOOKUP(Ruimtestaat[[#This Row],[Code Weekend]],Programma!$F$4:$Y$36148,19,0),"_")</f>
        <v>_</v>
      </c>
      <c r="BW70" s="249" t="str">
        <f>_xlfn.IFNA(VLOOKUP(Ruimtestaat[[#This Row],[Code Weekend]],Programma!$F$4:$Y$36148,20,0),"_")</f>
        <v>_</v>
      </c>
      <c r="HK70" s="88"/>
    </row>
    <row r="71" spans="1:219" ht="12.75" customHeight="1">
      <c r="A71" s="131">
        <v>1</v>
      </c>
      <c r="B71" s="22" t="str">
        <f>VLOOKUP(Ruimtestaat[[#This Row],[Code]],Locaties[#All],2,FALSE)</f>
        <v>ESH Secondary School</v>
      </c>
      <c r="C71" s="22" t="str">
        <f>VLOOKUP(Ruimtestaat[[#This Row],[Code]],Locaties[#All],4,FALSE)</f>
        <v>Oostduinlaan 50</v>
      </c>
      <c r="D71" s="334" t="str">
        <f>VLOOKUP(Ruimtestaat[[#This Row],[Code]],Locaties[#All],5,FALSE)</f>
        <v>2596 JP</v>
      </c>
      <c r="E71" s="334" t="str">
        <f>VLOOKUP(Ruimtestaat[[#This Row],[Code]],Locaties[#All],6,FALSE)</f>
        <v>Den Haag</v>
      </c>
      <c r="F71" s="335"/>
      <c r="G71" s="334" t="s">
        <v>1611</v>
      </c>
      <c r="H71" s="351" t="s">
        <v>1385</v>
      </c>
      <c r="I71" s="335" t="s">
        <v>1503</v>
      </c>
      <c r="J71" s="334">
        <v>14</v>
      </c>
      <c r="K71" s="335" t="str">
        <f>VLOOKUP(J71,Ruimtegroepen[],2,FALSE)</f>
        <v>TOA ruimte</v>
      </c>
      <c r="L71" s="212" t="s">
        <v>123</v>
      </c>
      <c r="M71" s="334" t="s">
        <v>144</v>
      </c>
      <c r="N71" s="337">
        <v>86</v>
      </c>
      <c r="O71" s="331"/>
      <c r="P71" s="332" t="str">
        <f>VLOOKUP(Ruimtestaat[[#This Row],[Ruimte code]],Ruimtegroepen[],4,FALSE)</f>
        <v>V  (Verkeersruimte)</v>
      </c>
      <c r="Q71" s="332"/>
      <c r="R71" s="333">
        <v>40</v>
      </c>
      <c r="S71" s="333" t="s">
        <v>2</v>
      </c>
      <c r="T71" s="37"/>
      <c r="U71" s="37">
        <f>IF(R71&gt;0,IF(RIGHT(Ruimtestaat[[#This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1" s="37">
        <f>IF(U71&gt;0,VLOOKUP($J71,Ruimtegroepen[],3,FALSE)*VLOOKUP($L71,Vloersoorten[],3,FALSE)*VLOOKUP($S71,Frequenties[],3,FALSE)*VLOOKUP($A71,Locaties[],3,FALSE),0)</f>
        <v>0</v>
      </c>
      <c r="W71" s="37">
        <f>Ruimtestaat[[#This Row],[Uitvoeringen werkdagen]]*Ruimtestaat[[#This Row],[Oppervlak (netto)]]</f>
        <v>17200</v>
      </c>
      <c r="X71" s="37">
        <f>IF(V71&gt;0,Ruimtestaat[[#This Row],[Prest. (m2 /jaar) werkdagen]]/Ruimtestaat[[#This Row],[Norm (m2/uur) werkdagen]],0)</f>
        <v>0</v>
      </c>
      <c r="Y71" s="37">
        <f>Ruimtestaat[[#This Row],[uren / jaar werkdagen]]*Tariefsopbouw!$D$38</f>
        <v>0</v>
      </c>
      <c r="Z71" s="37">
        <f>IF(Ruimtestaat[[#This Row],[Frequentie weekend]]&gt;0,VALUE(LEFT(T71,1))*R71,0)</f>
        <v>0</v>
      </c>
      <c r="AA71" s="37">
        <f>IF($Z71&gt;0,VLOOKUP($J71,Ruimtegroepen[],3,FALSE)*VLOOKUP($L71,Vloersoorten[],3,FALSE)*VLOOKUP($T71,Frequenties[],3,FALSE)*VLOOKUP($A71,Locaties[],3,FALSE),0)</f>
        <v>0</v>
      </c>
      <c r="AB71" s="37">
        <f>Ruimtestaat[[#This Row],[Uitvoeringen weekend]]*Ruimtestaat[[#This Row],[Oppervlak (netto)]]</f>
        <v>0</v>
      </c>
      <c r="AC71" s="37">
        <f>IF(AA71&gt;0,Ruimtestaat[[#This Row],[Prest. (m2 /jaar) weekend]]/Ruimtestaat[[#This Row],[Norm (m2/uur) weekend]],0)</f>
        <v>0</v>
      </c>
      <c r="AD71" s="37">
        <f>Ruimtestaat[[#This Row],[uren / jaar weekend]]*Tariefsopbouw!$D$40</f>
        <v>0</v>
      </c>
      <c r="AE71" s="89">
        <f>Ruimtestaat[[#This Row],[Prest. (m2 /jaar) weekend]]+Ruimtestaat[[#This Row],[Prest. (m2 /jaar) werkdagen]]</f>
        <v>17200</v>
      </c>
      <c r="AF71" s="89">
        <f>Ruimtestaat[[#This Row],[uren / jaar weekend]]+Ruimtestaat[[#This Row],[uren / jaar werkdagen]]</f>
        <v>0</v>
      </c>
      <c r="AG71" s="90">
        <f>Ruimtestaat[[#This Row],[kosten / jaar weekend]]+Ruimtestaat[[#This Row],[kosten / jaar werkdagen]]</f>
        <v>0</v>
      </c>
      <c r="AH71" s="253"/>
      <c r="AI71" s="252" t="str">
        <f>IF(Ruimtestaat[[#This Row],[Frequentie werkdagen]]="","",_xlfn.CONCAT(Ruimtestaat[[#This Row],[Ruimte code]],"-",Ruimtestaat[[#This Row],[Frequentie werkdagen]]," ",Ruimtestaat[[#This Row],[Vloer code]]))</f>
        <v>14-5w P</v>
      </c>
      <c r="AJ71" s="247" t="str">
        <f>_xlfn.IFNA(VLOOKUP(Ruimtestaat[[#This Row],[Programmacode
Regulier]],Programma!$F$4:$Y$36148,2,0),"_")</f>
        <v>_</v>
      </c>
      <c r="AK71" s="247" t="str">
        <f>_xlfn.IFNA(VLOOKUP(Ruimtestaat[[#This Row],[Programmacode
Regulier]],Programma!$F$4:$Y$36148,3,0),"_")</f>
        <v>_</v>
      </c>
      <c r="AL71" s="247" t="str">
        <f>_xlfn.IFNA(VLOOKUP(Ruimtestaat[[#This Row],[Programmacode
Regulier]],Programma!$F$4:$Y$36148,4,0),"_")</f>
        <v>5w</v>
      </c>
      <c r="AM71" s="247" t="str">
        <f>_xlfn.IFNA(VLOOKUP(Ruimtestaat[[#This Row],[Programmacode
Regulier]],Programma!$F$4:$Y$36148,5,0),"_")</f>
        <v>4w</v>
      </c>
      <c r="AN71" s="247" t="str">
        <f>_xlfn.IFNA(VLOOKUP(Ruimtestaat[[#This Row],[Programmacode
Regulier]],Programma!$F$4:$Y$36148,6,0),"_")</f>
        <v>1w</v>
      </c>
      <c r="AO71" s="247" t="str">
        <f>_xlfn.IFNA(VLOOKUP(Ruimtestaat[[#This Row],[Programmacode
Regulier]],Programma!$F$4:$Y$36148,7,0),"_")</f>
        <v>_</v>
      </c>
      <c r="AP71" s="247" t="str">
        <f>_xlfn.IFNA(VLOOKUP(Ruimtestaat[[#This Row],[Programmacode
Regulier]],Programma!$F$4:$Y$36148,8,0),"_")</f>
        <v>_</v>
      </c>
      <c r="AQ71" s="247" t="str">
        <f>_xlfn.IFNA(VLOOKUP(Ruimtestaat[[#This Row],[Programmacode
Regulier]],Programma!$F$4:$Y$36148,9,0),"_")</f>
        <v>_</v>
      </c>
      <c r="AR71" s="248" t="str">
        <f>_xlfn.IFNA(VLOOKUP(Ruimtestaat[[#This Row],[Programmacode
Regulier]],Programma!$F$4:$Y$36148,10,0),"_")</f>
        <v>5w</v>
      </c>
      <c r="AS71" s="248" t="str">
        <f>_xlfn.IFNA(VLOOKUP(Ruimtestaat[[#This Row],[Programmacode
Regulier]],Programma!$F$4:$Y$36148,11,0),"_")</f>
        <v>5w</v>
      </c>
      <c r="AT71" s="248" t="str">
        <f>_xlfn.IFNA(VLOOKUP(Ruimtestaat[[#This Row],[Programmacode
Regulier]],Programma!$F$4:$Y$36148,12,0),"_")</f>
        <v>1w</v>
      </c>
      <c r="AU71" s="248" t="str">
        <f>_xlfn.IFNA(VLOOKUP(Ruimtestaat[[#This Row],[Programmacode
Regulier]],Programma!$F$4:$Y$36148,13,0),"_")</f>
        <v>1w</v>
      </c>
      <c r="AV71" s="248" t="str">
        <f>_xlfn.IFNA(VLOOKUP(Ruimtestaat[[#This Row],[Programmacode
Regulier]],Programma!$F$4:$Y$36148,14,0),"_")</f>
        <v>1m</v>
      </c>
      <c r="AW71" s="248" t="str">
        <f>_xlfn.IFNA(VLOOKUP(Ruimtestaat[[#This Row],[Programmacode
Regulier]],Programma!$F$4:$Y$36148,15,0),"_")</f>
        <v>2j</v>
      </c>
      <c r="AX71" s="248" t="str">
        <f>_xlfn.IFNA(VLOOKUP(Ruimtestaat[[#This Row],[Programmacode
Regulier]],Programma!$F$4:$Y$36148,16,0),"_")</f>
        <v>1j</v>
      </c>
      <c r="AY71" s="248" t="str">
        <f>_xlfn.IFNA(VLOOKUP(Ruimtestaat[[#This Row],[Programmacode
Regulier]],Programma!$F$4:$Y$36148,17,0),"_")</f>
        <v>_</v>
      </c>
      <c r="AZ71" s="249" t="str">
        <f>_xlfn.IFNA(VLOOKUP(Ruimtestaat[[#This Row],[Programmacode
Regulier]],Programma!$F$4:$Y$36148,18,0),"_")</f>
        <v>_</v>
      </c>
      <c r="BA71" s="249" t="str">
        <f>_xlfn.IFNA(VLOOKUP(Ruimtestaat[[#This Row],[Programmacode
Regulier]],Programma!$F$4:$Y$36148,19,0),"_")</f>
        <v>_</v>
      </c>
      <c r="BB71" s="249" t="str">
        <f>_xlfn.IFNA(VLOOKUP(Ruimtestaat[[#This Row],[Programmacode
Regulier]],Programma!$F$4:$Y$36148,20,0),"_")</f>
        <v>_</v>
      </c>
      <c r="BC71" s="250"/>
      <c r="BD71" s="212" t="str">
        <f>IF(Ruimtestaat[[#This Row],[Frequentie weekend]]="","",_xlfn.CONCAT(Ruimtestaat[[#This Row],[Ruimte code]],"-",Ruimtestaat[[#This Row],[Frequentie weekend]]," ",Ruimtestaat[[#This Row],[Vloer code]]))</f>
        <v/>
      </c>
      <c r="BE71" s="247" t="str">
        <f>_xlfn.IFNA(VLOOKUP(Ruimtestaat[[#This Row],[Code Weekend]],Programma!$F$4:$Y$36148,2,0),"_")</f>
        <v>_</v>
      </c>
      <c r="BF71" s="247" t="str">
        <f>_xlfn.IFNA(VLOOKUP(Ruimtestaat[[#This Row],[Code Weekend]],Programma!$F$4:$Y$36148,3,0),"_")</f>
        <v>_</v>
      </c>
      <c r="BG71" s="247" t="str">
        <f>_xlfn.IFNA(VLOOKUP(Ruimtestaat[[#This Row],[Code Weekend]],Programma!$F$4:$Y$36148,4,0),"_")</f>
        <v>_</v>
      </c>
      <c r="BH71" s="247" t="str">
        <f>_xlfn.IFNA(VLOOKUP(Ruimtestaat[[#This Row],[Code Weekend]],Programma!$F$4:$Y$36148,5,0),"_")</f>
        <v>_</v>
      </c>
      <c r="BI71" s="247" t="str">
        <f>_xlfn.IFNA(VLOOKUP(Ruimtestaat[[#This Row],[Code Weekend]],Programma!$F$4:$Y$36148,6,0),"_")</f>
        <v>_</v>
      </c>
      <c r="BJ71" s="247" t="str">
        <f>_xlfn.IFNA(VLOOKUP(Ruimtestaat[[#This Row],[Code Weekend]],Programma!$F$4:$Y$36148,7,0),"_")</f>
        <v>_</v>
      </c>
      <c r="BK71" s="247" t="str">
        <f>_xlfn.IFNA(VLOOKUP(Ruimtestaat[[#This Row],[Code Weekend]],Programma!$F$4:$Y$36148,8,0),"_")</f>
        <v>_</v>
      </c>
      <c r="BL71" s="247" t="str">
        <f>_xlfn.IFNA(VLOOKUP(Ruimtestaat[[#This Row],[Code Weekend]],Programma!$F$4:$Y$36148,9,0),"_")</f>
        <v>_</v>
      </c>
      <c r="BM71" s="248" t="str">
        <f>_xlfn.IFNA(VLOOKUP(Ruimtestaat[[#This Row],[Code Weekend]],Programma!$F$4:$Y$36148,10,0),"_")</f>
        <v>_</v>
      </c>
      <c r="BN71" s="248" t="str">
        <f>_xlfn.IFNA(VLOOKUP(Ruimtestaat[[#This Row],[Code Weekend]],Programma!$F$4:$Y$36148,11,0),"_")</f>
        <v>_</v>
      </c>
      <c r="BO71" s="248" t="str">
        <f>_xlfn.IFNA(VLOOKUP(Ruimtestaat[[#This Row],[Code Weekend]],Programma!$F$4:$Y$36148,12,0),"_")</f>
        <v>_</v>
      </c>
      <c r="BP71" s="248" t="str">
        <f>_xlfn.IFNA(VLOOKUP(Ruimtestaat[[#This Row],[Code Weekend]],Programma!$F$4:$Y$36148,13,0),"_")</f>
        <v>_</v>
      </c>
      <c r="BQ71" s="248" t="str">
        <f>_xlfn.IFNA(VLOOKUP(Ruimtestaat[[#This Row],[Code Weekend]],Programma!$F$4:$Y$36148,14,0),"_")</f>
        <v>_</v>
      </c>
      <c r="BR71" s="248" t="str">
        <f>_xlfn.IFNA(VLOOKUP(Ruimtestaat[[#This Row],[Code Weekend]],Programma!$F$4:$Y$36148,15,0),"_")</f>
        <v>_</v>
      </c>
      <c r="BS71" s="248" t="str">
        <f>_xlfn.IFNA(VLOOKUP(Ruimtestaat[[#This Row],[Code Weekend]],Programma!$F$4:$Y$36148,16,0),"_")</f>
        <v>_</v>
      </c>
      <c r="BT71" s="248" t="str">
        <f>_xlfn.IFNA(VLOOKUP(Ruimtestaat[[#This Row],[Code Weekend]],Programma!$F$4:$Y$36148,17,0),"_")</f>
        <v>_</v>
      </c>
      <c r="BU71" s="249" t="str">
        <f>_xlfn.IFNA(VLOOKUP(Ruimtestaat[[#This Row],[Code Weekend]],Programma!$F$4:$Y$36148,18,0),"_")</f>
        <v>_</v>
      </c>
      <c r="BV71" s="249" t="str">
        <f>_xlfn.IFNA(VLOOKUP(Ruimtestaat[[#This Row],[Code Weekend]],Programma!$F$4:$Y$36148,19,0),"_")</f>
        <v>_</v>
      </c>
      <c r="BW71" s="249" t="str">
        <f>_xlfn.IFNA(VLOOKUP(Ruimtestaat[[#This Row],[Code Weekend]],Programma!$F$4:$Y$36148,20,0),"_")</f>
        <v>_</v>
      </c>
      <c r="HK71" s="88"/>
    </row>
    <row r="72" spans="1:219" ht="12.75" customHeight="1">
      <c r="A72" s="131">
        <v>1</v>
      </c>
      <c r="B72" s="22" t="str">
        <f>VLOOKUP(Ruimtestaat[[#This Row],[Code]],Locaties[#All],2,FALSE)</f>
        <v>ESH Secondary School</v>
      </c>
      <c r="C72" s="22" t="str">
        <f>VLOOKUP(Ruimtestaat[[#This Row],[Code]],Locaties[#All],4,FALSE)</f>
        <v>Oostduinlaan 50</v>
      </c>
      <c r="D72" s="334" t="str">
        <f>VLOOKUP(Ruimtestaat[[#This Row],[Code]],Locaties[#All],5,FALSE)</f>
        <v>2596 JP</v>
      </c>
      <c r="E72" s="334" t="str">
        <f>VLOOKUP(Ruimtestaat[[#This Row],[Code]],Locaties[#All],6,FALSE)</f>
        <v>Den Haag</v>
      </c>
      <c r="F72" s="335"/>
      <c r="G72" s="334" t="s">
        <v>1611</v>
      </c>
      <c r="H72" s="334" t="s">
        <v>1386</v>
      </c>
      <c r="I72" s="335" t="s">
        <v>1395</v>
      </c>
      <c r="J72" s="328">
        <v>6</v>
      </c>
      <c r="K72" s="335" t="str">
        <f>VLOOKUP(J72,Ruimtegroepen[],2,FALSE)</f>
        <v>Gangen/hallen BG</v>
      </c>
      <c r="L72" s="212" t="s">
        <v>122</v>
      </c>
      <c r="M72" s="334" t="s">
        <v>143</v>
      </c>
      <c r="N72" s="337">
        <v>62</v>
      </c>
      <c r="O72" s="331"/>
      <c r="P72" s="332" t="str">
        <f>VLOOKUP(Ruimtestaat[[#This Row],[Ruimte code]],Ruimtegroepen[],4,FALSE)</f>
        <v>V  (Verkeersruimte)</v>
      </c>
      <c r="Q72" s="332"/>
      <c r="R72" s="333">
        <v>40</v>
      </c>
      <c r="S72" s="333" t="s">
        <v>2</v>
      </c>
      <c r="T72" s="37"/>
      <c r="U72" s="37">
        <f>IF(R72&gt;0,IF(RIGHT(Ruimtestaat[[#This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2" s="37">
        <f>IF(U72&gt;0,VLOOKUP($J72,Ruimtegroepen[],3,FALSE)*VLOOKUP($L72,Vloersoorten[],3,FALSE)*VLOOKUP($S72,Frequenties[],3,FALSE)*VLOOKUP($A72,Locaties[],3,FALSE),0)</f>
        <v>0</v>
      </c>
      <c r="W72" s="37">
        <f>Ruimtestaat[[#This Row],[Uitvoeringen werkdagen]]*Ruimtestaat[[#This Row],[Oppervlak (netto)]]</f>
        <v>12400</v>
      </c>
      <c r="X72" s="37">
        <f>IF(V72&gt;0,Ruimtestaat[[#This Row],[Prest. (m2 /jaar) werkdagen]]/Ruimtestaat[[#This Row],[Norm (m2/uur) werkdagen]],0)</f>
        <v>0</v>
      </c>
      <c r="Y72" s="37">
        <f>Ruimtestaat[[#This Row],[uren / jaar werkdagen]]*Tariefsopbouw!$D$38</f>
        <v>0</v>
      </c>
      <c r="Z72" s="37">
        <f>IF(Ruimtestaat[[#This Row],[Frequentie weekend]]&gt;0,VALUE(LEFT(T72,1))*R72,0)</f>
        <v>0</v>
      </c>
      <c r="AA72" s="37">
        <f>IF($Z72&gt;0,VLOOKUP($J72,Ruimtegroepen[],3,FALSE)*VLOOKUP($L72,Vloersoorten[],3,FALSE)*VLOOKUP($T72,Frequenties[],3,FALSE)*VLOOKUP($A72,Locaties[],3,FALSE),0)</f>
        <v>0</v>
      </c>
      <c r="AB72" s="37">
        <f>Ruimtestaat[[#This Row],[Uitvoeringen weekend]]*Ruimtestaat[[#This Row],[Oppervlak (netto)]]</f>
        <v>0</v>
      </c>
      <c r="AC72" s="37">
        <f>IF(AA72&gt;0,Ruimtestaat[[#This Row],[Prest. (m2 /jaar) weekend]]/Ruimtestaat[[#This Row],[Norm (m2/uur) weekend]],0)</f>
        <v>0</v>
      </c>
      <c r="AD72" s="37">
        <f>Ruimtestaat[[#This Row],[uren / jaar weekend]]*Tariefsopbouw!$D$40</f>
        <v>0</v>
      </c>
      <c r="AE72" s="89">
        <f>Ruimtestaat[[#This Row],[Prest. (m2 /jaar) weekend]]+Ruimtestaat[[#This Row],[Prest. (m2 /jaar) werkdagen]]</f>
        <v>12400</v>
      </c>
      <c r="AF72" s="89">
        <f>Ruimtestaat[[#This Row],[uren / jaar weekend]]+Ruimtestaat[[#This Row],[uren / jaar werkdagen]]</f>
        <v>0</v>
      </c>
      <c r="AG72" s="90">
        <f>Ruimtestaat[[#This Row],[kosten / jaar weekend]]+Ruimtestaat[[#This Row],[kosten / jaar werkdagen]]</f>
        <v>0</v>
      </c>
      <c r="AH72" s="253"/>
      <c r="AI72" s="252" t="str">
        <f>IF(Ruimtestaat[[#This Row],[Frequentie werkdagen]]="","",_xlfn.CONCAT(Ruimtestaat[[#This Row],[Ruimte code]],"-",Ruimtestaat[[#This Row],[Frequentie werkdagen]]," ",Ruimtestaat[[#This Row],[Vloer code]]))</f>
        <v>6-5w S</v>
      </c>
      <c r="AJ72" s="247" t="str">
        <f>_xlfn.IFNA(VLOOKUP(Ruimtestaat[[#This Row],[Programmacode
Regulier]],Programma!$F$4:$Y$36148,2,0),"_")</f>
        <v>_</v>
      </c>
      <c r="AK72" s="247" t="str">
        <f>_xlfn.IFNA(VLOOKUP(Ruimtestaat[[#This Row],[Programmacode
Regulier]],Programma!$F$4:$Y$36148,3,0),"_")</f>
        <v>_</v>
      </c>
      <c r="AL72" s="247" t="str">
        <f>_xlfn.IFNA(VLOOKUP(Ruimtestaat[[#This Row],[Programmacode
Regulier]],Programma!$F$4:$Y$36148,4,0),"_")</f>
        <v>5w</v>
      </c>
      <c r="AM72" s="247" t="str">
        <f>_xlfn.IFNA(VLOOKUP(Ruimtestaat[[#This Row],[Programmacode
Regulier]],Programma!$F$4:$Y$36148,5,0),"_")</f>
        <v>_</v>
      </c>
      <c r="AN72" s="247" t="str">
        <f>_xlfn.IFNA(VLOOKUP(Ruimtestaat[[#This Row],[Programmacode
Regulier]],Programma!$F$4:$Y$36148,6,0),"_")</f>
        <v>5w</v>
      </c>
      <c r="AO72" s="247" t="str">
        <f>_xlfn.IFNA(VLOOKUP(Ruimtestaat[[#This Row],[Programmacode
Regulier]],Programma!$F$4:$Y$36148,7,0),"_")</f>
        <v>_</v>
      </c>
      <c r="AP72" s="247" t="str">
        <f>_xlfn.IFNA(VLOOKUP(Ruimtestaat[[#This Row],[Programmacode
Regulier]],Programma!$F$4:$Y$36148,8,0),"_")</f>
        <v>_</v>
      </c>
      <c r="AQ72" s="247" t="str">
        <f>_xlfn.IFNA(VLOOKUP(Ruimtestaat[[#This Row],[Programmacode
Regulier]],Programma!$F$4:$Y$36148,9,0),"_")</f>
        <v>_</v>
      </c>
      <c r="AR72" s="248" t="str">
        <f>_xlfn.IFNA(VLOOKUP(Ruimtestaat[[#This Row],[Programmacode
Regulier]],Programma!$F$4:$Y$36148,10,0),"_")</f>
        <v>5w</v>
      </c>
      <c r="AS72" s="248" t="str">
        <f>_xlfn.IFNA(VLOOKUP(Ruimtestaat[[#This Row],[Programmacode
Regulier]],Programma!$F$4:$Y$36148,11,0),"_")</f>
        <v>5w</v>
      </c>
      <c r="AT72" s="248" t="str">
        <f>_xlfn.IFNA(VLOOKUP(Ruimtestaat[[#This Row],[Programmacode
Regulier]],Programma!$F$4:$Y$36148,12,0),"_")</f>
        <v>1w</v>
      </c>
      <c r="AU72" s="248" t="str">
        <f>_xlfn.IFNA(VLOOKUP(Ruimtestaat[[#This Row],[Programmacode
Regulier]],Programma!$F$4:$Y$36148,13,0),"_")</f>
        <v>1w</v>
      </c>
      <c r="AV72" s="248" t="str">
        <f>_xlfn.IFNA(VLOOKUP(Ruimtestaat[[#This Row],[Programmacode
Regulier]],Programma!$F$4:$Y$36148,14,0),"_")</f>
        <v>1m</v>
      </c>
      <c r="AW72" s="248" t="str">
        <f>_xlfn.IFNA(VLOOKUP(Ruimtestaat[[#This Row],[Programmacode
Regulier]],Programma!$F$4:$Y$36148,15,0),"_")</f>
        <v>2j</v>
      </c>
      <c r="AX72" s="248" t="str">
        <f>_xlfn.IFNA(VLOOKUP(Ruimtestaat[[#This Row],[Programmacode
Regulier]],Programma!$F$4:$Y$36148,16,0),"_")</f>
        <v>1j</v>
      </c>
      <c r="AY72" s="248" t="str">
        <f>_xlfn.IFNA(VLOOKUP(Ruimtestaat[[#This Row],[Programmacode
Regulier]],Programma!$F$4:$Y$36148,17,0),"_")</f>
        <v>_</v>
      </c>
      <c r="AZ72" s="249" t="str">
        <f>_xlfn.IFNA(VLOOKUP(Ruimtestaat[[#This Row],[Programmacode
Regulier]],Programma!$F$4:$Y$36148,18,0),"_")</f>
        <v>_</v>
      </c>
      <c r="BA72" s="249" t="str">
        <f>_xlfn.IFNA(VLOOKUP(Ruimtestaat[[#This Row],[Programmacode
Regulier]],Programma!$F$4:$Y$36148,19,0),"_")</f>
        <v>_</v>
      </c>
      <c r="BB72" s="249" t="str">
        <f>_xlfn.IFNA(VLOOKUP(Ruimtestaat[[#This Row],[Programmacode
Regulier]],Programma!$F$4:$Y$36148,20,0),"_")</f>
        <v>_</v>
      </c>
      <c r="BC72" s="244"/>
      <c r="BD72" s="212" t="str">
        <f>IF(Ruimtestaat[[#This Row],[Frequentie weekend]]="","",_xlfn.CONCAT(Ruimtestaat[[#This Row],[Ruimte code]],"-",Ruimtestaat[[#This Row],[Frequentie weekend]]," ",Ruimtestaat[[#This Row],[Vloer code]]))</f>
        <v/>
      </c>
      <c r="BE72" s="247" t="str">
        <f>_xlfn.IFNA(VLOOKUP(Ruimtestaat[[#This Row],[Code Weekend]],Programma!$F$4:$Y$36148,2,0),"_")</f>
        <v>_</v>
      </c>
      <c r="BF72" s="247" t="str">
        <f>_xlfn.IFNA(VLOOKUP(Ruimtestaat[[#This Row],[Code Weekend]],Programma!$F$4:$Y$36148,3,0),"_")</f>
        <v>_</v>
      </c>
      <c r="BG72" s="247" t="str">
        <f>_xlfn.IFNA(VLOOKUP(Ruimtestaat[[#This Row],[Code Weekend]],Programma!$F$4:$Y$36148,4,0),"_")</f>
        <v>_</v>
      </c>
      <c r="BH72" s="247" t="str">
        <f>_xlfn.IFNA(VLOOKUP(Ruimtestaat[[#This Row],[Code Weekend]],Programma!$F$4:$Y$36148,5,0),"_")</f>
        <v>_</v>
      </c>
      <c r="BI72" s="247" t="str">
        <f>_xlfn.IFNA(VLOOKUP(Ruimtestaat[[#This Row],[Code Weekend]],Programma!$F$4:$Y$36148,6,0),"_")</f>
        <v>_</v>
      </c>
      <c r="BJ72" s="247" t="str">
        <f>_xlfn.IFNA(VLOOKUP(Ruimtestaat[[#This Row],[Code Weekend]],Programma!$F$4:$Y$36148,7,0),"_")</f>
        <v>_</v>
      </c>
      <c r="BK72" s="247" t="str">
        <f>_xlfn.IFNA(VLOOKUP(Ruimtestaat[[#This Row],[Code Weekend]],Programma!$F$4:$Y$36148,8,0),"_")</f>
        <v>_</v>
      </c>
      <c r="BL72" s="247" t="str">
        <f>_xlfn.IFNA(VLOOKUP(Ruimtestaat[[#This Row],[Code Weekend]],Programma!$F$4:$Y$36148,9,0),"_")</f>
        <v>_</v>
      </c>
      <c r="BM72" s="248" t="str">
        <f>_xlfn.IFNA(VLOOKUP(Ruimtestaat[[#This Row],[Code Weekend]],Programma!$F$4:$Y$36148,10,0),"_")</f>
        <v>_</v>
      </c>
      <c r="BN72" s="248" t="str">
        <f>_xlfn.IFNA(VLOOKUP(Ruimtestaat[[#This Row],[Code Weekend]],Programma!$F$4:$Y$36148,11,0),"_")</f>
        <v>_</v>
      </c>
      <c r="BO72" s="248" t="str">
        <f>_xlfn.IFNA(VLOOKUP(Ruimtestaat[[#This Row],[Code Weekend]],Programma!$F$4:$Y$36148,12,0),"_")</f>
        <v>_</v>
      </c>
      <c r="BP72" s="248" t="str">
        <f>_xlfn.IFNA(VLOOKUP(Ruimtestaat[[#This Row],[Code Weekend]],Programma!$F$4:$Y$36148,13,0),"_")</f>
        <v>_</v>
      </c>
      <c r="BQ72" s="248" t="str">
        <f>_xlfn.IFNA(VLOOKUP(Ruimtestaat[[#This Row],[Code Weekend]],Programma!$F$4:$Y$36148,14,0),"_")</f>
        <v>_</v>
      </c>
      <c r="BR72" s="248" t="str">
        <f>_xlfn.IFNA(VLOOKUP(Ruimtestaat[[#This Row],[Code Weekend]],Programma!$F$4:$Y$36148,15,0),"_")</f>
        <v>_</v>
      </c>
      <c r="BS72" s="248" t="str">
        <f>_xlfn.IFNA(VLOOKUP(Ruimtestaat[[#This Row],[Code Weekend]],Programma!$F$4:$Y$36148,16,0),"_")</f>
        <v>_</v>
      </c>
      <c r="BT72" s="248" t="str">
        <f>_xlfn.IFNA(VLOOKUP(Ruimtestaat[[#This Row],[Code Weekend]],Programma!$F$4:$Y$36148,17,0),"_")</f>
        <v>_</v>
      </c>
      <c r="BU72" s="249" t="str">
        <f>_xlfn.IFNA(VLOOKUP(Ruimtestaat[[#This Row],[Code Weekend]],Programma!$F$4:$Y$36148,18,0),"_")</f>
        <v>_</v>
      </c>
      <c r="BV72" s="249" t="str">
        <f>_xlfn.IFNA(VLOOKUP(Ruimtestaat[[#This Row],[Code Weekend]],Programma!$F$4:$Y$36148,19,0),"_")</f>
        <v>_</v>
      </c>
      <c r="BW72" s="249" t="str">
        <f>_xlfn.IFNA(VLOOKUP(Ruimtestaat[[#This Row],[Code Weekend]],Programma!$F$4:$Y$36148,20,0),"_")</f>
        <v>_</v>
      </c>
      <c r="HK72" s="88"/>
    </row>
    <row r="73" spans="1:219" ht="12.75" customHeight="1">
      <c r="A73" s="131">
        <v>1</v>
      </c>
      <c r="B73" s="22" t="str">
        <f>VLOOKUP(Ruimtestaat[[#This Row],[Code]],Locaties[#All],2,FALSE)</f>
        <v>ESH Secondary School</v>
      </c>
      <c r="C73" s="22" t="str">
        <f>VLOOKUP(Ruimtestaat[[#This Row],[Code]],Locaties[#All],4,FALSE)</f>
        <v>Oostduinlaan 50</v>
      </c>
      <c r="D73" s="334" t="str">
        <f>VLOOKUP(Ruimtestaat[[#This Row],[Code]],Locaties[#All],5,FALSE)</f>
        <v>2596 JP</v>
      </c>
      <c r="E73" s="334" t="str">
        <f>VLOOKUP(Ruimtestaat[[#This Row],[Code]],Locaties[#All],6,FALSE)</f>
        <v>Den Haag</v>
      </c>
      <c r="F73" s="335"/>
      <c r="G73" s="334" t="s">
        <v>1611</v>
      </c>
      <c r="H73" s="351" t="s">
        <v>1387</v>
      </c>
      <c r="I73" s="335" t="s">
        <v>1395</v>
      </c>
      <c r="J73" s="328">
        <v>6</v>
      </c>
      <c r="K73" s="335" t="str">
        <f>VLOOKUP(J73,Ruimtegroepen[],2,FALSE)</f>
        <v>Gangen/hallen BG</v>
      </c>
      <c r="L73" s="212" t="s">
        <v>123</v>
      </c>
      <c r="M73" s="334" t="s">
        <v>144</v>
      </c>
      <c r="N73" s="337">
        <v>124</v>
      </c>
      <c r="O73" s="331"/>
      <c r="P73" s="332" t="str">
        <f>VLOOKUP(Ruimtestaat[[#This Row],[Ruimte code]],Ruimtegroepen[],4,FALSE)</f>
        <v>V  (Verkeersruimte)</v>
      </c>
      <c r="Q73" s="332"/>
      <c r="R73" s="333">
        <v>40</v>
      </c>
      <c r="S73" s="333" t="s">
        <v>2</v>
      </c>
      <c r="T73" s="37"/>
      <c r="U73" s="37">
        <f>IF(R73&gt;0,IF(RIGHT(Ruimtestaat[[#This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3" s="37">
        <f>IF(U73&gt;0,VLOOKUP($J73,Ruimtegroepen[],3,FALSE)*VLOOKUP($L73,Vloersoorten[],3,FALSE)*VLOOKUP($S73,Frequenties[],3,FALSE)*VLOOKUP($A73,Locaties[],3,FALSE),0)</f>
        <v>0</v>
      </c>
      <c r="W73" s="37">
        <f>Ruimtestaat[[#This Row],[Uitvoeringen werkdagen]]*Ruimtestaat[[#This Row],[Oppervlak (netto)]]</f>
        <v>24800</v>
      </c>
      <c r="X73" s="37">
        <f>IF(V73&gt;0,Ruimtestaat[[#This Row],[Prest. (m2 /jaar) werkdagen]]/Ruimtestaat[[#This Row],[Norm (m2/uur) werkdagen]],0)</f>
        <v>0</v>
      </c>
      <c r="Y73" s="37">
        <f>Ruimtestaat[[#This Row],[uren / jaar werkdagen]]*Tariefsopbouw!$D$38</f>
        <v>0</v>
      </c>
      <c r="Z73" s="37">
        <f>IF(Ruimtestaat[[#This Row],[Frequentie weekend]]&gt;0,VALUE(LEFT(T73,1))*R73,0)</f>
        <v>0</v>
      </c>
      <c r="AA73" s="37">
        <f>IF($Z73&gt;0,VLOOKUP($J73,Ruimtegroepen[],3,FALSE)*VLOOKUP($L73,Vloersoorten[],3,FALSE)*VLOOKUP($T73,Frequenties[],3,FALSE)*VLOOKUP($A73,Locaties[],3,FALSE),0)</f>
        <v>0</v>
      </c>
      <c r="AB73" s="37">
        <f>Ruimtestaat[[#This Row],[Uitvoeringen weekend]]*Ruimtestaat[[#This Row],[Oppervlak (netto)]]</f>
        <v>0</v>
      </c>
      <c r="AC73" s="37">
        <f>IF(AA73&gt;0,Ruimtestaat[[#This Row],[Prest. (m2 /jaar) weekend]]/Ruimtestaat[[#This Row],[Norm (m2/uur) weekend]],0)</f>
        <v>0</v>
      </c>
      <c r="AD73" s="37">
        <f>Ruimtestaat[[#This Row],[uren / jaar weekend]]*Tariefsopbouw!$D$40</f>
        <v>0</v>
      </c>
      <c r="AE73" s="89">
        <f>Ruimtestaat[[#This Row],[Prest. (m2 /jaar) weekend]]+Ruimtestaat[[#This Row],[Prest. (m2 /jaar) werkdagen]]</f>
        <v>24800</v>
      </c>
      <c r="AF73" s="89">
        <f>Ruimtestaat[[#This Row],[uren / jaar weekend]]+Ruimtestaat[[#This Row],[uren / jaar werkdagen]]</f>
        <v>0</v>
      </c>
      <c r="AG73" s="90">
        <f>Ruimtestaat[[#This Row],[kosten / jaar weekend]]+Ruimtestaat[[#This Row],[kosten / jaar werkdagen]]</f>
        <v>0</v>
      </c>
      <c r="AH73" s="253"/>
      <c r="AI73" s="252" t="str">
        <f>IF(Ruimtestaat[[#This Row],[Frequentie werkdagen]]="","",_xlfn.CONCAT(Ruimtestaat[[#This Row],[Ruimte code]],"-",Ruimtestaat[[#This Row],[Frequentie werkdagen]]," ",Ruimtestaat[[#This Row],[Vloer code]]))</f>
        <v>6-5w P</v>
      </c>
      <c r="AJ73" s="247" t="str">
        <f>_xlfn.IFNA(VLOOKUP(Ruimtestaat[[#This Row],[Programmacode
Regulier]],Programma!$F$4:$Y$36148,2,0),"_")</f>
        <v>_</v>
      </c>
      <c r="AK73" s="247" t="str">
        <f>_xlfn.IFNA(VLOOKUP(Ruimtestaat[[#This Row],[Programmacode
Regulier]],Programma!$F$4:$Y$36148,3,0),"_")</f>
        <v>_</v>
      </c>
      <c r="AL73" s="247" t="str">
        <f>_xlfn.IFNA(VLOOKUP(Ruimtestaat[[#This Row],[Programmacode
Regulier]],Programma!$F$4:$Y$36148,4,0),"_")</f>
        <v>5w</v>
      </c>
      <c r="AM73" s="247" t="str">
        <f>_xlfn.IFNA(VLOOKUP(Ruimtestaat[[#This Row],[Programmacode
Regulier]],Programma!$F$4:$Y$36148,5,0),"_")</f>
        <v>_</v>
      </c>
      <c r="AN73" s="247" t="str">
        <f>_xlfn.IFNA(VLOOKUP(Ruimtestaat[[#This Row],[Programmacode
Regulier]],Programma!$F$4:$Y$36148,6,0),"_")</f>
        <v>5w</v>
      </c>
      <c r="AO73" s="247" t="str">
        <f>_xlfn.IFNA(VLOOKUP(Ruimtestaat[[#This Row],[Programmacode
Regulier]],Programma!$F$4:$Y$36148,7,0),"_")</f>
        <v>_</v>
      </c>
      <c r="AP73" s="247" t="str">
        <f>_xlfn.IFNA(VLOOKUP(Ruimtestaat[[#This Row],[Programmacode
Regulier]],Programma!$F$4:$Y$36148,8,0),"_")</f>
        <v>_</v>
      </c>
      <c r="AQ73" s="247" t="str">
        <f>_xlfn.IFNA(VLOOKUP(Ruimtestaat[[#This Row],[Programmacode
Regulier]],Programma!$F$4:$Y$36148,9,0),"_")</f>
        <v>_</v>
      </c>
      <c r="AR73" s="248" t="str">
        <f>_xlfn.IFNA(VLOOKUP(Ruimtestaat[[#This Row],[Programmacode
Regulier]],Programma!$F$4:$Y$36148,10,0),"_")</f>
        <v>5w</v>
      </c>
      <c r="AS73" s="248" t="str">
        <f>_xlfn.IFNA(VLOOKUP(Ruimtestaat[[#This Row],[Programmacode
Regulier]],Programma!$F$4:$Y$36148,11,0),"_")</f>
        <v>5w</v>
      </c>
      <c r="AT73" s="248" t="str">
        <f>_xlfn.IFNA(VLOOKUP(Ruimtestaat[[#This Row],[Programmacode
Regulier]],Programma!$F$4:$Y$36148,12,0),"_")</f>
        <v>1w</v>
      </c>
      <c r="AU73" s="248" t="str">
        <f>_xlfn.IFNA(VLOOKUP(Ruimtestaat[[#This Row],[Programmacode
Regulier]],Programma!$F$4:$Y$36148,13,0),"_")</f>
        <v>1w</v>
      </c>
      <c r="AV73" s="248" t="str">
        <f>_xlfn.IFNA(VLOOKUP(Ruimtestaat[[#This Row],[Programmacode
Regulier]],Programma!$F$4:$Y$36148,14,0),"_")</f>
        <v>1m</v>
      </c>
      <c r="AW73" s="248" t="str">
        <f>_xlfn.IFNA(VLOOKUP(Ruimtestaat[[#This Row],[Programmacode
Regulier]],Programma!$F$4:$Y$36148,15,0),"_")</f>
        <v>2j</v>
      </c>
      <c r="AX73" s="248" t="str">
        <f>_xlfn.IFNA(VLOOKUP(Ruimtestaat[[#This Row],[Programmacode
Regulier]],Programma!$F$4:$Y$36148,16,0),"_")</f>
        <v>1j</v>
      </c>
      <c r="AY73" s="248" t="str">
        <f>_xlfn.IFNA(VLOOKUP(Ruimtestaat[[#This Row],[Programmacode
Regulier]],Programma!$F$4:$Y$36148,17,0),"_")</f>
        <v>_</v>
      </c>
      <c r="AZ73" s="249" t="str">
        <f>_xlfn.IFNA(VLOOKUP(Ruimtestaat[[#This Row],[Programmacode
Regulier]],Programma!$F$4:$Y$36148,18,0),"_")</f>
        <v>_</v>
      </c>
      <c r="BA73" s="249" t="str">
        <f>_xlfn.IFNA(VLOOKUP(Ruimtestaat[[#This Row],[Programmacode
Regulier]],Programma!$F$4:$Y$36148,19,0),"_")</f>
        <v>_</v>
      </c>
      <c r="BB73" s="249" t="str">
        <f>_xlfn.IFNA(VLOOKUP(Ruimtestaat[[#This Row],[Programmacode
Regulier]],Programma!$F$4:$Y$36148,20,0),"_")</f>
        <v>_</v>
      </c>
      <c r="BC73" s="250"/>
      <c r="BD73" s="212" t="str">
        <f>IF(Ruimtestaat[[#This Row],[Frequentie weekend]]="","",_xlfn.CONCAT(Ruimtestaat[[#This Row],[Ruimte code]],"-",Ruimtestaat[[#This Row],[Frequentie weekend]]," ",Ruimtestaat[[#This Row],[Vloer code]]))</f>
        <v/>
      </c>
      <c r="BE73" s="247" t="str">
        <f>_xlfn.IFNA(VLOOKUP(Ruimtestaat[[#This Row],[Code Weekend]],Programma!$F$4:$Y$36148,2,0),"_")</f>
        <v>_</v>
      </c>
      <c r="BF73" s="247" t="str">
        <f>_xlfn.IFNA(VLOOKUP(Ruimtestaat[[#This Row],[Code Weekend]],Programma!$F$4:$Y$36148,3,0),"_")</f>
        <v>_</v>
      </c>
      <c r="BG73" s="247" t="str">
        <f>_xlfn.IFNA(VLOOKUP(Ruimtestaat[[#This Row],[Code Weekend]],Programma!$F$4:$Y$36148,4,0),"_")</f>
        <v>_</v>
      </c>
      <c r="BH73" s="247" t="str">
        <f>_xlfn.IFNA(VLOOKUP(Ruimtestaat[[#This Row],[Code Weekend]],Programma!$F$4:$Y$36148,5,0),"_")</f>
        <v>_</v>
      </c>
      <c r="BI73" s="247" t="str">
        <f>_xlfn.IFNA(VLOOKUP(Ruimtestaat[[#This Row],[Code Weekend]],Programma!$F$4:$Y$36148,6,0),"_")</f>
        <v>_</v>
      </c>
      <c r="BJ73" s="247" t="str">
        <f>_xlfn.IFNA(VLOOKUP(Ruimtestaat[[#This Row],[Code Weekend]],Programma!$F$4:$Y$36148,7,0),"_")</f>
        <v>_</v>
      </c>
      <c r="BK73" s="247" t="str">
        <f>_xlfn.IFNA(VLOOKUP(Ruimtestaat[[#This Row],[Code Weekend]],Programma!$F$4:$Y$36148,8,0),"_")</f>
        <v>_</v>
      </c>
      <c r="BL73" s="247" t="str">
        <f>_xlfn.IFNA(VLOOKUP(Ruimtestaat[[#This Row],[Code Weekend]],Programma!$F$4:$Y$36148,9,0),"_")</f>
        <v>_</v>
      </c>
      <c r="BM73" s="248" t="str">
        <f>_xlfn.IFNA(VLOOKUP(Ruimtestaat[[#This Row],[Code Weekend]],Programma!$F$4:$Y$36148,10,0),"_")</f>
        <v>_</v>
      </c>
      <c r="BN73" s="248" t="str">
        <f>_xlfn.IFNA(VLOOKUP(Ruimtestaat[[#This Row],[Code Weekend]],Programma!$F$4:$Y$36148,11,0),"_")</f>
        <v>_</v>
      </c>
      <c r="BO73" s="248" t="str">
        <f>_xlfn.IFNA(VLOOKUP(Ruimtestaat[[#This Row],[Code Weekend]],Programma!$F$4:$Y$36148,12,0),"_")</f>
        <v>_</v>
      </c>
      <c r="BP73" s="248" t="str">
        <f>_xlfn.IFNA(VLOOKUP(Ruimtestaat[[#This Row],[Code Weekend]],Programma!$F$4:$Y$36148,13,0),"_")</f>
        <v>_</v>
      </c>
      <c r="BQ73" s="248" t="str">
        <f>_xlfn.IFNA(VLOOKUP(Ruimtestaat[[#This Row],[Code Weekend]],Programma!$F$4:$Y$36148,14,0),"_")</f>
        <v>_</v>
      </c>
      <c r="BR73" s="248" t="str">
        <f>_xlfn.IFNA(VLOOKUP(Ruimtestaat[[#This Row],[Code Weekend]],Programma!$F$4:$Y$36148,15,0),"_")</f>
        <v>_</v>
      </c>
      <c r="BS73" s="248" t="str">
        <f>_xlfn.IFNA(VLOOKUP(Ruimtestaat[[#This Row],[Code Weekend]],Programma!$F$4:$Y$36148,16,0),"_")</f>
        <v>_</v>
      </c>
      <c r="BT73" s="248" t="str">
        <f>_xlfn.IFNA(VLOOKUP(Ruimtestaat[[#This Row],[Code Weekend]],Programma!$F$4:$Y$36148,17,0),"_")</f>
        <v>_</v>
      </c>
      <c r="BU73" s="249" t="str">
        <f>_xlfn.IFNA(VLOOKUP(Ruimtestaat[[#This Row],[Code Weekend]],Programma!$F$4:$Y$36148,18,0),"_")</f>
        <v>_</v>
      </c>
      <c r="BV73" s="249" t="str">
        <f>_xlfn.IFNA(VLOOKUP(Ruimtestaat[[#This Row],[Code Weekend]],Programma!$F$4:$Y$36148,19,0),"_")</f>
        <v>_</v>
      </c>
      <c r="BW73" s="249" t="str">
        <f>_xlfn.IFNA(VLOOKUP(Ruimtestaat[[#This Row],[Code Weekend]],Programma!$F$4:$Y$36148,20,0),"_")</f>
        <v>_</v>
      </c>
      <c r="HK73" s="88"/>
    </row>
    <row r="74" spans="1:219" ht="12.75" customHeight="1">
      <c r="A74" s="131">
        <v>1</v>
      </c>
      <c r="B74" s="22" t="str">
        <f>VLOOKUP(Ruimtestaat[[#This Row],[Code]],Locaties[#All],2,FALSE)</f>
        <v>ESH Secondary School</v>
      </c>
      <c r="C74" s="22" t="str">
        <f>VLOOKUP(Ruimtestaat[[#This Row],[Code]],Locaties[#All],4,FALSE)</f>
        <v>Oostduinlaan 50</v>
      </c>
      <c r="D74" s="334" t="str">
        <f>VLOOKUP(Ruimtestaat[[#This Row],[Code]],Locaties[#All],5,FALSE)</f>
        <v>2596 JP</v>
      </c>
      <c r="E74" s="334" t="str">
        <f>VLOOKUP(Ruimtestaat[[#This Row],[Code]],Locaties[#All],6,FALSE)</f>
        <v>Den Haag</v>
      </c>
      <c r="F74" s="335"/>
      <c r="G74" s="334" t="s">
        <v>1611</v>
      </c>
      <c r="H74" s="334" t="s">
        <v>1388</v>
      </c>
      <c r="I74" s="335" t="s">
        <v>1395</v>
      </c>
      <c r="J74" s="328">
        <v>6</v>
      </c>
      <c r="K74" s="335" t="str">
        <f>VLOOKUP(J74,Ruimtegroepen[],2,FALSE)</f>
        <v>Gangen/hallen BG</v>
      </c>
      <c r="L74" s="212" t="s">
        <v>123</v>
      </c>
      <c r="M74" s="334" t="s">
        <v>144</v>
      </c>
      <c r="N74" s="337">
        <v>77</v>
      </c>
      <c r="O74" s="331"/>
      <c r="P74" s="332" t="str">
        <f>VLOOKUP(Ruimtestaat[[#This Row],[Ruimte code]],Ruimtegroepen[],4,FALSE)</f>
        <v>V  (Verkeersruimte)</v>
      </c>
      <c r="Q74" s="332"/>
      <c r="R74" s="333">
        <v>40</v>
      </c>
      <c r="S74" s="333" t="s">
        <v>2</v>
      </c>
      <c r="T74" s="37"/>
      <c r="U74" s="37">
        <f>IF(R74&gt;0,IF(RIGHT(Ruimtestaat[[#This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4" s="37">
        <f>IF(U74&gt;0,VLOOKUP($J74,Ruimtegroepen[],3,FALSE)*VLOOKUP($L74,Vloersoorten[],3,FALSE)*VLOOKUP($S74,Frequenties[],3,FALSE)*VLOOKUP($A74,Locaties[],3,FALSE),0)</f>
        <v>0</v>
      </c>
      <c r="W74" s="37">
        <f>Ruimtestaat[[#This Row],[Uitvoeringen werkdagen]]*Ruimtestaat[[#This Row],[Oppervlak (netto)]]</f>
        <v>15400</v>
      </c>
      <c r="X74" s="37">
        <f>IF(V74&gt;0,Ruimtestaat[[#This Row],[Prest. (m2 /jaar) werkdagen]]/Ruimtestaat[[#This Row],[Norm (m2/uur) werkdagen]],0)</f>
        <v>0</v>
      </c>
      <c r="Y74" s="37">
        <f>Ruimtestaat[[#This Row],[uren / jaar werkdagen]]*Tariefsopbouw!$D$38</f>
        <v>0</v>
      </c>
      <c r="Z74" s="37">
        <f>IF(Ruimtestaat[[#This Row],[Frequentie weekend]]&gt;0,VALUE(LEFT(T74,1))*R74,0)</f>
        <v>0</v>
      </c>
      <c r="AA74" s="37">
        <f>IF($Z74&gt;0,VLOOKUP($J74,Ruimtegroepen[],3,FALSE)*VLOOKUP($L74,Vloersoorten[],3,FALSE)*VLOOKUP($T74,Frequenties[],3,FALSE)*VLOOKUP($A74,Locaties[],3,FALSE),0)</f>
        <v>0</v>
      </c>
      <c r="AB74" s="37">
        <f>Ruimtestaat[[#This Row],[Uitvoeringen weekend]]*Ruimtestaat[[#This Row],[Oppervlak (netto)]]</f>
        <v>0</v>
      </c>
      <c r="AC74" s="37">
        <f>IF(AA74&gt;0,Ruimtestaat[[#This Row],[Prest. (m2 /jaar) weekend]]/Ruimtestaat[[#This Row],[Norm (m2/uur) weekend]],0)</f>
        <v>0</v>
      </c>
      <c r="AD74" s="37">
        <f>Ruimtestaat[[#This Row],[uren / jaar weekend]]*Tariefsopbouw!$D$40</f>
        <v>0</v>
      </c>
      <c r="AE74" s="89">
        <f>Ruimtestaat[[#This Row],[Prest. (m2 /jaar) weekend]]+Ruimtestaat[[#This Row],[Prest. (m2 /jaar) werkdagen]]</f>
        <v>15400</v>
      </c>
      <c r="AF74" s="89">
        <f>Ruimtestaat[[#This Row],[uren / jaar weekend]]+Ruimtestaat[[#This Row],[uren / jaar werkdagen]]</f>
        <v>0</v>
      </c>
      <c r="AG74" s="90">
        <f>Ruimtestaat[[#This Row],[kosten / jaar weekend]]+Ruimtestaat[[#This Row],[kosten / jaar werkdagen]]</f>
        <v>0</v>
      </c>
      <c r="AH74" s="253"/>
      <c r="AI74" s="252" t="str">
        <f>IF(Ruimtestaat[[#This Row],[Frequentie werkdagen]]="","",_xlfn.CONCAT(Ruimtestaat[[#This Row],[Ruimte code]],"-",Ruimtestaat[[#This Row],[Frequentie werkdagen]]," ",Ruimtestaat[[#This Row],[Vloer code]]))</f>
        <v>6-5w P</v>
      </c>
      <c r="AJ74" s="247" t="str">
        <f>_xlfn.IFNA(VLOOKUP(Ruimtestaat[[#This Row],[Programmacode
Regulier]],Programma!$F$4:$Y$36148,2,0),"_")</f>
        <v>_</v>
      </c>
      <c r="AK74" s="247" t="str">
        <f>_xlfn.IFNA(VLOOKUP(Ruimtestaat[[#This Row],[Programmacode
Regulier]],Programma!$F$4:$Y$36148,3,0),"_")</f>
        <v>_</v>
      </c>
      <c r="AL74" s="247" t="str">
        <f>_xlfn.IFNA(VLOOKUP(Ruimtestaat[[#This Row],[Programmacode
Regulier]],Programma!$F$4:$Y$36148,4,0),"_")</f>
        <v>5w</v>
      </c>
      <c r="AM74" s="247" t="str">
        <f>_xlfn.IFNA(VLOOKUP(Ruimtestaat[[#This Row],[Programmacode
Regulier]],Programma!$F$4:$Y$36148,5,0),"_")</f>
        <v>_</v>
      </c>
      <c r="AN74" s="247" t="str">
        <f>_xlfn.IFNA(VLOOKUP(Ruimtestaat[[#This Row],[Programmacode
Regulier]],Programma!$F$4:$Y$36148,6,0),"_")</f>
        <v>5w</v>
      </c>
      <c r="AO74" s="247" t="str">
        <f>_xlfn.IFNA(VLOOKUP(Ruimtestaat[[#This Row],[Programmacode
Regulier]],Programma!$F$4:$Y$36148,7,0),"_")</f>
        <v>_</v>
      </c>
      <c r="AP74" s="247" t="str">
        <f>_xlfn.IFNA(VLOOKUP(Ruimtestaat[[#This Row],[Programmacode
Regulier]],Programma!$F$4:$Y$36148,8,0),"_")</f>
        <v>_</v>
      </c>
      <c r="AQ74" s="247" t="str">
        <f>_xlfn.IFNA(VLOOKUP(Ruimtestaat[[#This Row],[Programmacode
Regulier]],Programma!$F$4:$Y$36148,9,0),"_")</f>
        <v>_</v>
      </c>
      <c r="AR74" s="248" t="str">
        <f>_xlfn.IFNA(VLOOKUP(Ruimtestaat[[#This Row],[Programmacode
Regulier]],Programma!$F$4:$Y$36148,10,0),"_")</f>
        <v>5w</v>
      </c>
      <c r="AS74" s="248" t="str">
        <f>_xlfn.IFNA(VLOOKUP(Ruimtestaat[[#This Row],[Programmacode
Regulier]],Programma!$F$4:$Y$36148,11,0),"_")</f>
        <v>5w</v>
      </c>
      <c r="AT74" s="248" t="str">
        <f>_xlfn.IFNA(VLOOKUP(Ruimtestaat[[#This Row],[Programmacode
Regulier]],Programma!$F$4:$Y$36148,12,0),"_")</f>
        <v>1w</v>
      </c>
      <c r="AU74" s="248" t="str">
        <f>_xlfn.IFNA(VLOOKUP(Ruimtestaat[[#This Row],[Programmacode
Regulier]],Programma!$F$4:$Y$36148,13,0),"_")</f>
        <v>1w</v>
      </c>
      <c r="AV74" s="248" t="str">
        <f>_xlfn.IFNA(VLOOKUP(Ruimtestaat[[#This Row],[Programmacode
Regulier]],Programma!$F$4:$Y$36148,14,0),"_")</f>
        <v>1m</v>
      </c>
      <c r="AW74" s="248" t="str">
        <f>_xlfn.IFNA(VLOOKUP(Ruimtestaat[[#This Row],[Programmacode
Regulier]],Programma!$F$4:$Y$36148,15,0),"_")</f>
        <v>2j</v>
      </c>
      <c r="AX74" s="248" t="str">
        <f>_xlfn.IFNA(VLOOKUP(Ruimtestaat[[#This Row],[Programmacode
Regulier]],Programma!$F$4:$Y$36148,16,0),"_")</f>
        <v>1j</v>
      </c>
      <c r="AY74" s="248" t="str">
        <f>_xlfn.IFNA(VLOOKUP(Ruimtestaat[[#This Row],[Programmacode
Regulier]],Programma!$F$4:$Y$36148,17,0),"_")</f>
        <v>_</v>
      </c>
      <c r="AZ74" s="249" t="str">
        <f>_xlfn.IFNA(VLOOKUP(Ruimtestaat[[#This Row],[Programmacode
Regulier]],Programma!$F$4:$Y$36148,18,0),"_")</f>
        <v>_</v>
      </c>
      <c r="BA74" s="249" t="str">
        <f>_xlfn.IFNA(VLOOKUP(Ruimtestaat[[#This Row],[Programmacode
Regulier]],Programma!$F$4:$Y$36148,19,0),"_")</f>
        <v>_</v>
      </c>
      <c r="BB74" s="249" t="str">
        <f>_xlfn.IFNA(VLOOKUP(Ruimtestaat[[#This Row],[Programmacode
Regulier]],Programma!$F$4:$Y$36148,20,0),"_")</f>
        <v>_</v>
      </c>
      <c r="BC74" s="250"/>
      <c r="BD74" s="212" t="str">
        <f>IF(Ruimtestaat[[#This Row],[Frequentie weekend]]="","",_xlfn.CONCAT(Ruimtestaat[[#This Row],[Ruimte code]],"-",Ruimtestaat[[#This Row],[Frequentie weekend]]," ",Ruimtestaat[[#This Row],[Vloer code]]))</f>
        <v/>
      </c>
      <c r="BE74" s="247" t="str">
        <f>_xlfn.IFNA(VLOOKUP(Ruimtestaat[[#This Row],[Code Weekend]],Programma!$F$4:$Y$36148,2,0),"_")</f>
        <v>_</v>
      </c>
      <c r="BF74" s="247" t="str">
        <f>_xlfn.IFNA(VLOOKUP(Ruimtestaat[[#This Row],[Code Weekend]],Programma!$F$4:$Y$36148,3,0),"_")</f>
        <v>_</v>
      </c>
      <c r="BG74" s="247" t="str">
        <f>_xlfn.IFNA(VLOOKUP(Ruimtestaat[[#This Row],[Code Weekend]],Programma!$F$4:$Y$36148,4,0),"_")</f>
        <v>_</v>
      </c>
      <c r="BH74" s="247" t="str">
        <f>_xlfn.IFNA(VLOOKUP(Ruimtestaat[[#This Row],[Code Weekend]],Programma!$F$4:$Y$36148,5,0),"_")</f>
        <v>_</v>
      </c>
      <c r="BI74" s="247" t="str">
        <f>_xlfn.IFNA(VLOOKUP(Ruimtestaat[[#This Row],[Code Weekend]],Programma!$F$4:$Y$36148,6,0),"_")</f>
        <v>_</v>
      </c>
      <c r="BJ74" s="247" t="str">
        <f>_xlfn.IFNA(VLOOKUP(Ruimtestaat[[#This Row],[Code Weekend]],Programma!$F$4:$Y$36148,7,0),"_")</f>
        <v>_</v>
      </c>
      <c r="BK74" s="247" t="str">
        <f>_xlfn.IFNA(VLOOKUP(Ruimtestaat[[#This Row],[Code Weekend]],Programma!$F$4:$Y$36148,8,0),"_")</f>
        <v>_</v>
      </c>
      <c r="BL74" s="247" t="str">
        <f>_xlfn.IFNA(VLOOKUP(Ruimtestaat[[#This Row],[Code Weekend]],Programma!$F$4:$Y$36148,9,0),"_")</f>
        <v>_</v>
      </c>
      <c r="BM74" s="248" t="str">
        <f>_xlfn.IFNA(VLOOKUP(Ruimtestaat[[#This Row],[Code Weekend]],Programma!$F$4:$Y$36148,10,0),"_")</f>
        <v>_</v>
      </c>
      <c r="BN74" s="248" t="str">
        <f>_xlfn.IFNA(VLOOKUP(Ruimtestaat[[#This Row],[Code Weekend]],Programma!$F$4:$Y$36148,11,0),"_")</f>
        <v>_</v>
      </c>
      <c r="BO74" s="248" t="str">
        <f>_xlfn.IFNA(VLOOKUP(Ruimtestaat[[#This Row],[Code Weekend]],Programma!$F$4:$Y$36148,12,0),"_")</f>
        <v>_</v>
      </c>
      <c r="BP74" s="248" t="str">
        <f>_xlfn.IFNA(VLOOKUP(Ruimtestaat[[#This Row],[Code Weekend]],Programma!$F$4:$Y$36148,13,0),"_")</f>
        <v>_</v>
      </c>
      <c r="BQ74" s="248" t="str">
        <f>_xlfn.IFNA(VLOOKUP(Ruimtestaat[[#This Row],[Code Weekend]],Programma!$F$4:$Y$36148,14,0),"_")</f>
        <v>_</v>
      </c>
      <c r="BR74" s="248" t="str">
        <f>_xlfn.IFNA(VLOOKUP(Ruimtestaat[[#This Row],[Code Weekend]],Programma!$F$4:$Y$36148,15,0),"_")</f>
        <v>_</v>
      </c>
      <c r="BS74" s="248" t="str">
        <f>_xlfn.IFNA(VLOOKUP(Ruimtestaat[[#This Row],[Code Weekend]],Programma!$F$4:$Y$36148,16,0),"_")</f>
        <v>_</v>
      </c>
      <c r="BT74" s="248" t="str">
        <f>_xlfn.IFNA(VLOOKUP(Ruimtestaat[[#This Row],[Code Weekend]],Programma!$F$4:$Y$36148,17,0),"_")</f>
        <v>_</v>
      </c>
      <c r="BU74" s="249" t="str">
        <f>_xlfn.IFNA(VLOOKUP(Ruimtestaat[[#This Row],[Code Weekend]],Programma!$F$4:$Y$36148,18,0),"_")</f>
        <v>_</v>
      </c>
      <c r="BV74" s="249" t="str">
        <f>_xlfn.IFNA(VLOOKUP(Ruimtestaat[[#This Row],[Code Weekend]],Programma!$F$4:$Y$36148,19,0),"_")</f>
        <v>_</v>
      </c>
      <c r="BW74" s="249" t="str">
        <f>_xlfn.IFNA(VLOOKUP(Ruimtestaat[[#This Row],[Code Weekend]],Programma!$F$4:$Y$36148,20,0),"_")</f>
        <v>_</v>
      </c>
      <c r="HK74" s="88"/>
    </row>
    <row r="75" spans="1:219" ht="12.75" customHeight="1">
      <c r="A75" s="131">
        <v>1</v>
      </c>
      <c r="B75" s="22" t="str">
        <f>VLOOKUP(Ruimtestaat[[#This Row],[Code]],Locaties[#All],2,FALSE)</f>
        <v>ESH Secondary School</v>
      </c>
      <c r="C75" s="22" t="str">
        <f>VLOOKUP(Ruimtestaat[[#This Row],[Code]],Locaties[#All],4,FALSE)</f>
        <v>Oostduinlaan 50</v>
      </c>
      <c r="D75" s="334" t="str">
        <f>VLOOKUP(Ruimtestaat[[#This Row],[Code]],Locaties[#All],5,FALSE)</f>
        <v>2596 JP</v>
      </c>
      <c r="E75" s="334" t="str">
        <f>VLOOKUP(Ruimtestaat[[#This Row],[Code]],Locaties[#All],6,FALSE)</f>
        <v>Den Haag</v>
      </c>
      <c r="F75" s="335"/>
      <c r="G75" s="334" t="s">
        <v>1611</v>
      </c>
      <c r="H75" s="334" t="s">
        <v>1389</v>
      </c>
      <c r="I75" s="335" t="s">
        <v>1504</v>
      </c>
      <c r="J75" s="328">
        <v>10</v>
      </c>
      <c r="K75" s="335" t="str">
        <f>VLOOKUP(J75,Ruimtegroepen[],2,FALSE)</f>
        <v>Trappenhuizen/lift</v>
      </c>
      <c r="L75" s="212" t="s">
        <v>122</v>
      </c>
      <c r="M75" s="334" t="s">
        <v>143</v>
      </c>
      <c r="N75" s="337">
        <v>14</v>
      </c>
      <c r="O75" s="331"/>
      <c r="P75" s="332" t="str">
        <f>VLOOKUP(Ruimtestaat[[#This Row],[Ruimte code]],Ruimtegroepen[],4,FALSE)</f>
        <v>V  (Verkeersruimte)</v>
      </c>
      <c r="Q75" s="332"/>
      <c r="R75" s="333">
        <v>40</v>
      </c>
      <c r="S75" s="333" t="s">
        <v>2</v>
      </c>
      <c r="T75" s="37"/>
      <c r="U75" s="37">
        <f>IF(R75&gt;0,IF(RIGHT(Ruimtestaat[[#This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5" s="37">
        <f>IF(U75&gt;0,VLOOKUP($J75,Ruimtegroepen[],3,FALSE)*VLOOKUP($L75,Vloersoorten[],3,FALSE)*VLOOKUP($S75,Frequenties[],3,FALSE)*VLOOKUP($A75,Locaties[],3,FALSE),0)</f>
        <v>0</v>
      </c>
      <c r="W75" s="37">
        <f>Ruimtestaat[[#This Row],[Uitvoeringen werkdagen]]*Ruimtestaat[[#This Row],[Oppervlak (netto)]]</f>
        <v>2800</v>
      </c>
      <c r="X75" s="37">
        <f>IF(V75&gt;0,Ruimtestaat[[#This Row],[Prest. (m2 /jaar) werkdagen]]/Ruimtestaat[[#This Row],[Norm (m2/uur) werkdagen]],0)</f>
        <v>0</v>
      </c>
      <c r="Y75" s="37">
        <f>Ruimtestaat[[#This Row],[uren / jaar werkdagen]]*Tariefsopbouw!$D$38</f>
        <v>0</v>
      </c>
      <c r="Z75" s="37">
        <f>IF(Ruimtestaat[[#This Row],[Frequentie weekend]]&gt;0,VALUE(LEFT(T75,1))*R75,0)</f>
        <v>0</v>
      </c>
      <c r="AA75" s="37">
        <f>IF($Z75&gt;0,VLOOKUP($J75,Ruimtegroepen[],3,FALSE)*VLOOKUP($L75,Vloersoorten[],3,FALSE)*VLOOKUP($T75,Frequenties[],3,FALSE)*VLOOKUP($A75,Locaties[],3,FALSE),0)</f>
        <v>0</v>
      </c>
      <c r="AB75" s="37">
        <f>Ruimtestaat[[#This Row],[Uitvoeringen weekend]]*Ruimtestaat[[#This Row],[Oppervlak (netto)]]</f>
        <v>0</v>
      </c>
      <c r="AC75" s="37">
        <f>IF(AA75&gt;0,Ruimtestaat[[#This Row],[Prest. (m2 /jaar) weekend]]/Ruimtestaat[[#This Row],[Norm (m2/uur) weekend]],0)</f>
        <v>0</v>
      </c>
      <c r="AD75" s="37">
        <f>Ruimtestaat[[#This Row],[uren / jaar weekend]]*Tariefsopbouw!$D$40</f>
        <v>0</v>
      </c>
      <c r="AE75" s="89">
        <f>Ruimtestaat[[#This Row],[Prest. (m2 /jaar) weekend]]+Ruimtestaat[[#This Row],[Prest. (m2 /jaar) werkdagen]]</f>
        <v>2800</v>
      </c>
      <c r="AF75" s="89">
        <f>Ruimtestaat[[#This Row],[uren / jaar weekend]]+Ruimtestaat[[#This Row],[uren / jaar werkdagen]]</f>
        <v>0</v>
      </c>
      <c r="AG75" s="90">
        <f>Ruimtestaat[[#This Row],[kosten / jaar weekend]]+Ruimtestaat[[#This Row],[kosten / jaar werkdagen]]</f>
        <v>0</v>
      </c>
      <c r="AH75" s="253"/>
      <c r="AI75" s="252" t="str">
        <f>IF(Ruimtestaat[[#This Row],[Frequentie werkdagen]]="","",_xlfn.CONCAT(Ruimtestaat[[#This Row],[Ruimte code]],"-",Ruimtestaat[[#This Row],[Frequentie werkdagen]]," ",Ruimtestaat[[#This Row],[Vloer code]]))</f>
        <v>10-5w S</v>
      </c>
      <c r="AJ75" s="247" t="str">
        <f>_xlfn.IFNA(VLOOKUP(Ruimtestaat[[#This Row],[Programmacode
Regulier]],Programma!$F$4:$Y$36148,2,0),"_")</f>
        <v>_</v>
      </c>
      <c r="AK75" s="247" t="str">
        <f>_xlfn.IFNA(VLOOKUP(Ruimtestaat[[#This Row],[Programmacode
Regulier]],Programma!$F$4:$Y$36148,3,0),"_")</f>
        <v>5w</v>
      </c>
      <c r="AL75" s="247" t="str">
        <f>_xlfn.IFNA(VLOOKUP(Ruimtestaat[[#This Row],[Programmacode
Regulier]],Programma!$F$4:$Y$36148,4,0),"_")</f>
        <v>_</v>
      </c>
      <c r="AM75" s="247" t="str">
        <f>_xlfn.IFNA(VLOOKUP(Ruimtestaat[[#This Row],[Programmacode
Regulier]],Programma!$F$4:$Y$36148,5,0),"_")</f>
        <v>5w</v>
      </c>
      <c r="AN75" s="247" t="str">
        <f>_xlfn.IFNA(VLOOKUP(Ruimtestaat[[#This Row],[Programmacode
Regulier]],Programma!$F$4:$Y$36148,6,0),"_")</f>
        <v>1m</v>
      </c>
      <c r="AO75" s="247" t="str">
        <f>_xlfn.IFNA(VLOOKUP(Ruimtestaat[[#This Row],[Programmacode
Regulier]],Programma!$F$4:$Y$36148,7,0),"_")</f>
        <v>_</v>
      </c>
      <c r="AP75" s="247" t="str">
        <f>_xlfn.IFNA(VLOOKUP(Ruimtestaat[[#This Row],[Programmacode
Regulier]],Programma!$F$4:$Y$36148,8,0),"_")</f>
        <v>_</v>
      </c>
      <c r="AQ75" s="247" t="str">
        <f>_xlfn.IFNA(VLOOKUP(Ruimtestaat[[#This Row],[Programmacode
Regulier]],Programma!$F$4:$Y$36148,9,0),"_")</f>
        <v>_</v>
      </c>
      <c r="AR75" s="248" t="str">
        <f>_xlfn.IFNA(VLOOKUP(Ruimtestaat[[#This Row],[Programmacode
Regulier]],Programma!$F$4:$Y$36148,10,0),"_")</f>
        <v>5w</v>
      </c>
      <c r="AS75" s="248" t="str">
        <f>_xlfn.IFNA(VLOOKUP(Ruimtestaat[[#This Row],[Programmacode
Regulier]],Programma!$F$4:$Y$36148,11,0),"_")</f>
        <v>5w</v>
      </c>
      <c r="AT75" s="248" t="str">
        <f>_xlfn.IFNA(VLOOKUP(Ruimtestaat[[#This Row],[Programmacode
Regulier]],Programma!$F$4:$Y$36148,12,0),"_")</f>
        <v>1w</v>
      </c>
      <c r="AU75" s="248" t="str">
        <f>_xlfn.IFNA(VLOOKUP(Ruimtestaat[[#This Row],[Programmacode
Regulier]],Programma!$F$4:$Y$36148,13,0),"_")</f>
        <v>1w</v>
      </c>
      <c r="AV75" s="248" t="str">
        <f>_xlfn.IFNA(VLOOKUP(Ruimtestaat[[#This Row],[Programmacode
Regulier]],Programma!$F$4:$Y$36148,14,0),"_")</f>
        <v>1m</v>
      </c>
      <c r="AW75" s="248" t="str">
        <f>_xlfn.IFNA(VLOOKUP(Ruimtestaat[[#This Row],[Programmacode
Regulier]],Programma!$F$4:$Y$36148,15,0),"_")</f>
        <v>2j</v>
      </c>
      <c r="AX75" s="248" t="str">
        <f>_xlfn.IFNA(VLOOKUP(Ruimtestaat[[#This Row],[Programmacode
Regulier]],Programma!$F$4:$Y$36148,16,0),"_")</f>
        <v>1j</v>
      </c>
      <c r="AY75" s="248" t="str">
        <f>_xlfn.IFNA(VLOOKUP(Ruimtestaat[[#This Row],[Programmacode
Regulier]],Programma!$F$4:$Y$36148,17,0),"_")</f>
        <v>_</v>
      </c>
      <c r="AZ75" s="249" t="str">
        <f>_xlfn.IFNA(VLOOKUP(Ruimtestaat[[#This Row],[Programmacode
Regulier]],Programma!$F$4:$Y$36148,18,0),"_")</f>
        <v>_</v>
      </c>
      <c r="BA75" s="249" t="str">
        <f>_xlfn.IFNA(VLOOKUP(Ruimtestaat[[#This Row],[Programmacode
Regulier]],Programma!$F$4:$Y$36148,19,0),"_")</f>
        <v>_</v>
      </c>
      <c r="BB75" s="249" t="str">
        <f>_xlfn.IFNA(VLOOKUP(Ruimtestaat[[#This Row],[Programmacode
Regulier]],Programma!$F$4:$Y$36148,20,0),"_")</f>
        <v>_</v>
      </c>
      <c r="BC75" s="250"/>
      <c r="BD75" s="212" t="str">
        <f>IF(Ruimtestaat[[#This Row],[Frequentie weekend]]="","",_xlfn.CONCAT(Ruimtestaat[[#This Row],[Ruimte code]],"-",Ruimtestaat[[#This Row],[Frequentie weekend]]," ",Ruimtestaat[[#This Row],[Vloer code]]))</f>
        <v/>
      </c>
      <c r="BE75" s="247" t="str">
        <f>_xlfn.IFNA(VLOOKUP(Ruimtestaat[[#This Row],[Code Weekend]],Programma!$F$4:$Y$36148,2,0),"_")</f>
        <v>_</v>
      </c>
      <c r="BF75" s="247" t="str">
        <f>_xlfn.IFNA(VLOOKUP(Ruimtestaat[[#This Row],[Code Weekend]],Programma!$F$4:$Y$36148,3,0),"_")</f>
        <v>_</v>
      </c>
      <c r="BG75" s="247" t="str">
        <f>_xlfn.IFNA(VLOOKUP(Ruimtestaat[[#This Row],[Code Weekend]],Programma!$F$4:$Y$36148,4,0),"_")</f>
        <v>_</v>
      </c>
      <c r="BH75" s="247" t="str">
        <f>_xlfn.IFNA(VLOOKUP(Ruimtestaat[[#This Row],[Code Weekend]],Programma!$F$4:$Y$36148,5,0),"_")</f>
        <v>_</v>
      </c>
      <c r="BI75" s="247" t="str">
        <f>_xlfn.IFNA(VLOOKUP(Ruimtestaat[[#This Row],[Code Weekend]],Programma!$F$4:$Y$36148,6,0),"_")</f>
        <v>_</v>
      </c>
      <c r="BJ75" s="247" t="str">
        <f>_xlfn.IFNA(VLOOKUP(Ruimtestaat[[#This Row],[Code Weekend]],Programma!$F$4:$Y$36148,7,0),"_")</f>
        <v>_</v>
      </c>
      <c r="BK75" s="247" t="str">
        <f>_xlfn.IFNA(VLOOKUP(Ruimtestaat[[#This Row],[Code Weekend]],Programma!$F$4:$Y$36148,8,0),"_")</f>
        <v>_</v>
      </c>
      <c r="BL75" s="247" t="str">
        <f>_xlfn.IFNA(VLOOKUP(Ruimtestaat[[#This Row],[Code Weekend]],Programma!$F$4:$Y$36148,9,0),"_")</f>
        <v>_</v>
      </c>
      <c r="BM75" s="248" t="str">
        <f>_xlfn.IFNA(VLOOKUP(Ruimtestaat[[#This Row],[Code Weekend]],Programma!$F$4:$Y$36148,10,0),"_")</f>
        <v>_</v>
      </c>
      <c r="BN75" s="248" t="str">
        <f>_xlfn.IFNA(VLOOKUP(Ruimtestaat[[#This Row],[Code Weekend]],Programma!$F$4:$Y$36148,11,0),"_")</f>
        <v>_</v>
      </c>
      <c r="BO75" s="248" t="str">
        <f>_xlfn.IFNA(VLOOKUP(Ruimtestaat[[#This Row],[Code Weekend]],Programma!$F$4:$Y$36148,12,0),"_")</f>
        <v>_</v>
      </c>
      <c r="BP75" s="248" t="str">
        <f>_xlfn.IFNA(VLOOKUP(Ruimtestaat[[#This Row],[Code Weekend]],Programma!$F$4:$Y$36148,13,0),"_")</f>
        <v>_</v>
      </c>
      <c r="BQ75" s="248" t="str">
        <f>_xlfn.IFNA(VLOOKUP(Ruimtestaat[[#This Row],[Code Weekend]],Programma!$F$4:$Y$36148,14,0),"_")</f>
        <v>_</v>
      </c>
      <c r="BR75" s="248" t="str">
        <f>_xlfn.IFNA(VLOOKUP(Ruimtestaat[[#This Row],[Code Weekend]],Programma!$F$4:$Y$36148,15,0),"_")</f>
        <v>_</v>
      </c>
      <c r="BS75" s="248" t="str">
        <f>_xlfn.IFNA(VLOOKUP(Ruimtestaat[[#This Row],[Code Weekend]],Programma!$F$4:$Y$36148,16,0),"_")</f>
        <v>_</v>
      </c>
      <c r="BT75" s="248" t="str">
        <f>_xlfn.IFNA(VLOOKUP(Ruimtestaat[[#This Row],[Code Weekend]],Programma!$F$4:$Y$36148,17,0),"_")</f>
        <v>_</v>
      </c>
      <c r="BU75" s="249" t="str">
        <f>_xlfn.IFNA(VLOOKUP(Ruimtestaat[[#This Row],[Code Weekend]],Programma!$F$4:$Y$36148,18,0),"_")</f>
        <v>_</v>
      </c>
      <c r="BV75" s="249" t="str">
        <f>_xlfn.IFNA(VLOOKUP(Ruimtestaat[[#This Row],[Code Weekend]],Programma!$F$4:$Y$36148,19,0),"_")</f>
        <v>_</v>
      </c>
      <c r="BW75" s="249" t="str">
        <f>_xlfn.IFNA(VLOOKUP(Ruimtestaat[[#This Row],[Code Weekend]],Programma!$F$4:$Y$36148,20,0),"_")</f>
        <v>_</v>
      </c>
      <c r="HK75" s="88"/>
    </row>
    <row r="76" spans="1:219" ht="12.75" customHeight="1">
      <c r="A76" s="131">
        <v>1</v>
      </c>
      <c r="B76" s="22" t="str">
        <f>VLOOKUP(Ruimtestaat[[#This Row],[Code]],Locaties[#All],2,FALSE)</f>
        <v>ESH Secondary School</v>
      </c>
      <c r="C76" s="22" t="str">
        <f>VLOOKUP(Ruimtestaat[[#This Row],[Code]],Locaties[#All],4,FALSE)</f>
        <v>Oostduinlaan 50</v>
      </c>
      <c r="D76" s="334" t="str">
        <f>VLOOKUP(Ruimtestaat[[#This Row],[Code]],Locaties[#All],5,FALSE)</f>
        <v>2596 JP</v>
      </c>
      <c r="E76" s="334" t="str">
        <f>VLOOKUP(Ruimtestaat[[#This Row],[Code]],Locaties[#All],6,FALSE)</f>
        <v>Den Haag</v>
      </c>
      <c r="F76" s="352"/>
      <c r="G76" s="334" t="s">
        <v>1611</v>
      </c>
      <c r="H76" s="333" t="s">
        <v>1390</v>
      </c>
      <c r="I76" s="335" t="s">
        <v>1505</v>
      </c>
      <c r="J76" s="328">
        <v>5</v>
      </c>
      <c r="K76" s="335" t="str">
        <f>VLOOKUP(J76,Ruimtegroepen[],2,FALSE)</f>
        <v>Sanitair</v>
      </c>
      <c r="L76" s="212" t="s">
        <v>123</v>
      </c>
      <c r="M76" s="333" t="s">
        <v>144</v>
      </c>
      <c r="N76" s="337">
        <v>7</v>
      </c>
      <c r="O76" s="331"/>
      <c r="P76" s="332" t="str">
        <f>VLOOKUP(Ruimtestaat[[#This Row],[Ruimte code]],Ruimtegroepen[],4,FALSE)</f>
        <v>S  (Sanitair)</v>
      </c>
      <c r="Q76" s="332"/>
      <c r="R76" s="333">
        <v>40</v>
      </c>
      <c r="S76" s="333" t="s">
        <v>19</v>
      </c>
      <c r="T76" s="37"/>
      <c r="U76" s="37">
        <f>IF(R76&gt;0,IF(RIGHT(Ruimtestaat[[#This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76" s="37">
        <f>IF(U76&gt;0,VLOOKUP($J76,Ruimtegroepen[],3,FALSE)*VLOOKUP($L76,Vloersoorten[],3,FALSE)*VLOOKUP($S76,Frequenties[],3,FALSE)*VLOOKUP($A76,Locaties[],3,FALSE),0)</f>
        <v>0</v>
      </c>
      <c r="W76" s="37">
        <f>Ruimtestaat[[#This Row],[Uitvoeringen werkdagen]]*Ruimtestaat[[#This Row],[Oppervlak (netto)]]</f>
        <v>2800</v>
      </c>
      <c r="X76" s="37">
        <f>IF(V76&gt;0,Ruimtestaat[[#This Row],[Prest. (m2 /jaar) werkdagen]]/Ruimtestaat[[#This Row],[Norm (m2/uur) werkdagen]],0)</f>
        <v>0</v>
      </c>
      <c r="Y76" s="37">
        <f>Ruimtestaat[[#This Row],[uren / jaar werkdagen]]*Tariefsopbouw!$D$38</f>
        <v>0</v>
      </c>
      <c r="Z76" s="37">
        <f>IF(Ruimtestaat[[#This Row],[Frequentie weekend]]&gt;0,VALUE(LEFT(T76,1))*R76,0)</f>
        <v>0</v>
      </c>
      <c r="AA76" s="37">
        <f>IF($Z76&gt;0,VLOOKUP($J76,Ruimtegroepen[],3,FALSE)*VLOOKUP($L76,Vloersoorten[],3,FALSE)*VLOOKUP($T76,Frequenties[],3,FALSE)*VLOOKUP($A76,Locaties[],3,FALSE),0)</f>
        <v>0</v>
      </c>
      <c r="AB76" s="37">
        <f>Ruimtestaat[[#This Row],[Uitvoeringen weekend]]*Ruimtestaat[[#This Row],[Oppervlak (netto)]]</f>
        <v>0</v>
      </c>
      <c r="AC76" s="37">
        <f>IF(AA76&gt;0,Ruimtestaat[[#This Row],[Prest. (m2 /jaar) weekend]]/Ruimtestaat[[#This Row],[Norm (m2/uur) weekend]],0)</f>
        <v>0</v>
      </c>
      <c r="AD76" s="37">
        <f>Ruimtestaat[[#This Row],[uren / jaar weekend]]*Tariefsopbouw!$D$40</f>
        <v>0</v>
      </c>
      <c r="AE76" s="89">
        <f>Ruimtestaat[[#This Row],[Prest. (m2 /jaar) weekend]]+Ruimtestaat[[#This Row],[Prest. (m2 /jaar) werkdagen]]</f>
        <v>2800</v>
      </c>
      <c r="AF76" s="89">
        <f>Ruimtestaat[[#This Row],[uren / jaar weekend]]+Ruimtestaat[[#This Row],[uren / jaar werkdagen]]</f>
        <v>0</v>
      </c>
      <c r="AG76" s="90">
        <f>Ruimtestaat[[#This Row],[kosten / jaar weekend]]+Ruimtestaat[[#This Row],[kosten / jaar werkdagen]]</f>
        <v>0</v>
      </c>
      <c r="AH76" s="253"/>
      <c r="AI76" s="252" t="str">
        <f>IF(Ruimtestaat[[#This Row],[Frequentie werkdagen]]="","",_xlfn.CONCAT(Ruimtestaat[[#This Row],[Ruimte code]],"-",Ruimtestaat[[#This Row],[Frequentie werkdagen]]," ",Ruimtestaat[[#This Row],[Vloer code]]))</f>
        <v>5-10w P</v>
      </c>
      <c r="AJ76" s="247" t="str">
        <f>_xlfn.IFNA(VLOOKUP(Ruimtestaat[[#This Row],[Programmacode
Regulier]],Programma!$F$4:$Y$36148,2,0),"_")</f>
        <v>_</v>
      </c>
      <c r="AK76" s="247" t="str">
        <f>_xlfn.IFNA(VLOOKUP(Ruimtestaat[[#This Row],[Programmacode
Regulier]],Programma!$F$4:$Y$36148,3,0),"_")</f>
        <v>_</v>
      </c>
      <c r="AL76" s="247" t="str">
        <f>_xlfn.IFNA(VLOOKUP(Ruimtestaat[[#This Row],[Programmacode
Regulier]],Programma!$F$4:$Y$36148,4,0),"_")</f>
        <v>_</v>
      </c>
      <c r="AM76" s="247" t="str">
        <f>_xlfn.IFNA(VLOOKUP(Ruimtestaat[[#This Row],[Programmacode
Regulier]],Programma!$F$4:$Y$36148,5,0),"_")</f>
        <v>4w</v>
      </c>
      <c r="AN76" s="247" t="str">
        <f>_xlfn.IFNA(VLOOKUP(Ruimtestaat[[#This Row],[Programmacode
Regulier]],Programma!$F$4:$Y$36148,6,0),"_")</f>
        <v>1w</v>
      </c>
      <c r="AO76" s="247" t="str">
        <f>_xlfn.IFNA(VLOOKUP(Ruimtestaat[[#This Row],[Programmacode
Regulier]],Programma!$F$4:$Y$36148,7,0),"_")</f>
        <v>_</v>
      </c>
      <c r="AP76" s="247" t="str">
        <f>_xlfn.IFNA(VLOOKUP(Ruimtestaat[[#This Row],[Programmacode
Regulier]],Programma!$F$4:$Y$36148,8,0),"_")</f>
        <v>_</v>
      </c>
      <c r="AQ76" s="247" t="str">
        <f>_xlfn.IFNA(VLOOKUP(Ruimtestaat[[#This Row],[Programmacode
Regulier]],Programma!$F$4:$Y$36148,9,0),"_")</f>
        <v>5w</v>
      </c>
      <c r="AR76" s="248" t="str">
        <f>_xlfn.IFNA(VLOOKUP(Ruimtestaat[[#This Row],[Programmacode
Regulier]],Programma!$F$4:$Y$36148,10,0),"_")</f>
        <v>_</v>
      </c>
      <c r="AS76" s="248" t="str">
        <f>_xlfn.IFNA(VLOOKUP(Ruimtestaat[[#This Row],[Programmacode
Regulier]],Programma!$F$4:$Y$36148,11,0),"_")</f>
        <v>_</v>
      </c>
      <c r="AT76" s="248" t="str">
        <f>_xlfn.IFNA(VLOOKUP(Ruimtestaat[[#This Row],[Programmacode
Regulier]],Programma!$F$4:$Y$36148,12,0),"_")</f>
        <v>_</v>
      </c>
      <c r="AU76" s="248" t="str">
        <f>_xlfn.IFNA(VLOOKUP(Ruimtestaat[[#This Row],[Programmacode
Regulier]],Programma!$F$4:$Y$36148,13,0),"_")</f>
        <v>_</v>
      </c>
      <c r="AV76" s="248" t="str">
        <f>_xlfn.IFNA(VLOOKUP(Ruimtestaat[[#This Row],[Programmacode
Regulier]],Programma!$F$4:$Y$36148,14,0),"_")</f>
        <v>_</v>
      </c>
      <c r="AW76" s="248" t="str">
        <f>_xlfn.IFNA(VLOOKUP(Ruimtestaat[[#This Row],[Programmacode
Regulier]],Programma!$F$4:$Y$36148,15,0),"_")</f>
        <v>_</v>
      </c>
      <c r="AX76" s="248" t="str">
        <f>_xlfn.IFNA(VLOOKUP(Ruimtestaat[[#This Row],[Programmacode
Regulier]],Programma!$F$4:$Y$36148,16,0),"_")</f>
        <v>_</v>
      </c>
      <c r="AY76" s="248" t="str">
        <f>_xlfn.IFNA(VLOOKUP(Ruimtestaat[[#This Row],[Programmacode
Regulier]],Programma!$F$4:$Y$36148,17,0),"_")</f>
        <v>_</v>
      </c>
      <c r="AZ76" s="249" t="str">
        <f>_xlfn.IFNA(VLOOKUP(Ruimtestaat[[#This Row],[Programmacode
Regulier]],Programma!$F$4:$Y$36148,18,0),"_")</f>
        <v>4w</v>
      </c>
      <c r="BA76" s="249" t="str">
        <f>_xlfn.IFNA(VLOOKUP(Ruimtestaat[[#This Row],[Programmacode
Regulier]],Programma!$F$4:$Y$36148,19,0),"_")</f>
        <v>1w</v>
      </c>
      <c r="BB76" s="249" t="str">
        <f>_xlfn.IFNA(VLOOKUP(Ruimtestaat[[#This Row],[Programmacode
Regulier]],Programma!$F$4:$Y$36148,20,0),"_")</f>
        <v>5w</v>
      </c>
      <c r="BC76" s="250"/>
      <c r="BD76" s="212" t="str">
        <f>IF(Ruimtestaat[[#This Row],[Frequentie weekend]]="","",_xlfn.CONCAT(Ruimtestaat[[#This Row],[Ruimte code]],"-",Ruimtestaat[[#This Row],[Frequentie weekend]]," ",Ruimtestaat[[#This Row],[Vloer code]]))</f>
        <v/>
      </c>
      <c r="BE76" s="247" t="str">
        <f>_xlfn.IFNA(VLOOKUP(Ruimtestaat[[#This Row],[Code Weekend]],Programma!$F$4:$Y$36148,2,0),"_")</f>
        <v>_</v>
      </c>
      <c r="BF76" s="247" t="str">
        <f>_xlfn.IFNA(VLOOKUP(Ruimtestaat[[#This Row],[Code Weekend]],Programma!$F$4:$Y$36148,3,0),"_")</f>
        <v>_</v>
      </c>
      <c r="BG76" s="247" t="str">
        <f>_xlfn.IFNA(VLOOKUP(Ruimtestaat[[#This Row],[Code Weekend]],Programma!$F$4:$Y$36148,4,0),"_")</f>
        <v>_</v>
      </c>
      <c r="BH76" s="247" t="str">
        <f>_xlfn.IFNA(VLOOKUP(Ruimtestaat[[#This Row],[Code Weekend]],Programma!$F$4:$Y$36148,5,0),"_")</f>
        <v>_</v>
      </c>
      <c r="BI76" s="247" t="str">
        <f>_xlfn.IFNA(VLOOKUP(Ruimtestaat[[#This Row],[Code Weekend]],Programma!$F$4:$Y$36148,6,0),"_")</f>
        <v>_</v>
      </c>
      <c r="BJ76" s="247" t="str">
        <f>_xlfn.IFNA(VLOOKUP(Ruimtestaat[[#This Row],[Code Weekend]],Programma!$F$4:$Y$36148,7,0),"_")</f>
        <v>_</v>
      </c>
      <c r="BK76" s="247" t="str">
        <f>_xlfn.IFNA(VLOOKUP(Ruimtestaat[[#This Row],[Code Weekend]],Programma!$F$4:$Y$36148,8,0),"_")</f>
        <v>_</v>
      </c>
      <c r="BL76" s="247" t="str">
        <f>_xlfn.IFNA(VLOOKUP(Ruimtestaat[[#This Row],[Code Weekend]],Programma!$F$4:$Y$36148,9,0),"_")</f>
        <v>_</v>
      </c>
      <c r="BM76" s="248" t="str">
        <f>_xlfn.IFNA(VLOOKUP(Ruimtestaat[[#This Row],[Code Weekend]],Programma!$F$4:$Y$36148,10,0),"_")</f>
        <v>_</v>
      </c>
      <c r="BN76" s="248" t="str">
        <f>_xlfn.IFNA(VLOOKUP(Ruimtestaat[[#This Row],[Code Weekend]],Programma!$F$4:$Y$36148,11,0),"_")</f>
        <v>_</v>
      </c>
      <c r="BO76" s="248" t="str">
        <f>_xlfn.IFNA(VLOOKUP(Ruimtestaat[[#This Row],[Code Weekend]],Programma!$F$4:$Y$36148,12,0),"_")</f>
        <v>_</v>
      </c>
      <c r="BP76" s="248" t="str">
        <f>_xlfn.IFNA(VLOOKUP(Ruimtestaat[[#This Row],[Code Weekend]],Programma!$F$4:$Y$36148,13,0),"_")</f>
        <v>_</v>
      </c>
      <c r="BQ76" s="248" t="str">
        <f>_xlfn.IFNA(VLOOKUP(Ruimtestaat[[#This Row],[Code Weekend]],Programma!$F$4:$Y$36148,14,0),"_")</f>
        <v>_</v>
      </c>
      <c r="BR76" s="248" t="str">
        <f>_xlfn.IFNA(VLOOKUP(Ruimtestaat[[#This Row],[Code Weekend]],Programma!$F$4:$Y$36148,15,0),"_")</f>
        <v>_</v>
      </c>
      <c r="BS76" s="248" t="str">
        <f>_xlfn.IFNA(VLOOKUP(Ruimtestaat[[#This Row],[Code Weekend]],Programma!$F$4:$Y$36148,16,0),"_")</f>
        <v>_</v>
      </c>
      <c r="BT76" s="248" t="str">
        <f>_xlfn.IFNA(VLOOKUP(Ruimtestaat[[#This Row],[Code Weekend]],Programma!$F$4:$Y$36148,17,0),"_")</f>
        <v>_</v>
      </c>
      <c r="BU76" s="249" t="str">
        <f>_xlfn.IFNA(VLOOKUP(Ruimtestaat[[#This Row],[Code Weekend]],Programma!$F$4:$Y$36148,18,0),"_")</f>
        <v>_</v>
      </c>
      <c r="BV76" s="249" t="str">
        <f>_xlfn.IFNA(VLOOKUP(Ruimtestaat[[#This Row],[Code Weekend]],Programma!$F$4:$Y$36148,19,0),"_")</f>
        <v>_</v>
      </c>
      <c r="BW76" s="249" t="str">
        <f>_xlfn.IFNA(VLOOKUP(Ruimtestaat[[#This Row],[Code Weekend]],Programma!$F$4:$Y$36148,20,0),"_")</f>
        <v>_</v>
      </c>
      <c r="HK76" s="88"/>
    </row>
    <row r="77" spans="1:219" ht="12.75" customHeight="1">
      <c r="A77" s="131">
        <v>1</v>
      </c>
      <c r="B77" s="22" t="str">
        <f>VLOOKUP(Ruimtestaat[[#This Row],[Code]],Locaties[#All],2,FALSE)</f>
        <v>ESH Secondary School</v>
      </c>
      <c r="C77" s="22" t="str">
        <f>VLOOKUP(Ruimtestaat[[#This Row],[Code]],Locaties[#All],4,FALSE)</f>
        <v>Oostduinlaan 50</v>
      </c>
      <c r="D77" s="334" t="str">
        <f>VLOOKUP(Ruimtestaat[[#This Row],[Code]],Locaties[#All],5,FALSE)</f>
        <v>2596 JP</v>
      </c>
      <c r="E77" s="334" t="str">
        <f>VLOOKUP(Ruimtestaat[[#This Row],[Code]],Locaties[#All],6,FALSE)</f>
        <v>Den Haag</v>
      </c>
      <c r="F77" s="352"/>
      <c r="G77" s="334" t="s">
        <v>1611</v>
      </c>
      <c r="H77" s="333" t="s">
        <v>1391</v>
      </c>
      <c r="I77" s="335" t="s">
        <v>1506</v>
      </c>
      <c r="J77" s="328">
        <v>2</v>
      </c>
      <c r="K77" s="335" t="str">
        <f>VLOOKUP(J77,Ruimtegroepen[],2,FALSE)</f>
        <v>Kantoren</v>
      </c>
      <c r="L77" s="212" t="s">
        <v>123</v>
      </c>
      <c r="M77" s="333" t="s">
        <v>144</v>
      </c>
      <c r="N77" s="337">
        <v>36</v>
      </c>
      <c r="O77" s="331"/>
      <c r="P77" s="332" t="str">
        <f>VLOOKUP(Ruimtestaat[[#This Row],[Ruimte code]],Ruimtegroepen[],4,FALSE)</f>
        <v>B  (Bureauruimte)</v>
      </c>
      <c r="Q77" s="332"/>
      <c r="R77" s="333">
        <v>40</v>
      </c>
      <c r="S77" s="333" t="s">
        <v>2</v>
      </c>
      <c r="T77" s="37"/>
      <c r="U77" s="37">
        <f>IF(R77&gt;0,IF(RIGHT(Ruimtestaat[[#This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7" s="37">
        <f>IF(U77&gt;0,VLOOKUP($J77,Ruimtegroepen[],3,FALSE)*VLOOKUP($L77,Vloersoorten[],3,FALSE)*VLOOKUP($S77,Frequenties[],3,FALSE)*VLOOKUP($A77,Locaties[],3,FALSE),0)</f>
        <v>0</v>
      </c>
      <c r="W77" s="37">
        <f>Ruimtestaat[[#This Row],[Uitvoeringen werkdagen]]*Ruimtestaat[[#This Row],[Oppervlak (netto)]]</f>
        <v>7200</v>
      </c>
      <c r="X77" s="37">
        <f>IF(V77&gt;0,Ruimtestaat[[#This Row],[Prest. (m2 /jaar) werkdagen]]/Ruimtestaat[[#This Row],[Norm (m2/uur) werkdagen]],0)</f>
        <v>0</v>
      </c>
      <c r="Y77" s="37">
        <f>Ruimtestaat[[#This Row],[uren / jaar werkdagen]]*Tariefsopbouw!$D$38</f>
        <v>0</v>
      </c>
      <c r="Z77" s="37">
        <f>IF(Ruimtestaat[[#This Row],[Frequentie weekend]]&gt;0,VALUE(LEFT(T77,1))*R77,0)</f>
        <v>0</v>
      </c>
      <c r="AA77" s="37">
        <f>IF($Z77&gt;0,VLOOKUP($J77,Ruimtegroepen[],3,FALSE)*VLOOKUP($L77,Vloersoorten[],3,FALSE)*VLOOKUP($T77,Frequenties[],3,FALSE)*VLOOKUP($A77,Locaties[],3,FALSE),0)</f>
        <v>0</v>
      </c>
      <c r="AB77" s="37">
        <f>Ruimtestaat[[#This Row],[Uitvoeringen weekend]]*Ruimtestaat[[#This Row],[Oppervlak (netto)]]</f>
        <v>0</v>
      </c>
      <c r="AC77" s="37">
        <f>IF(AA77&gt;0,Ruimtestaat[[#This Row],[Prest. (m2 /jaar) weekend]]/Ruimtestaat[[#This Row],[Norm (m2/uur) weekend]],0)</f>
        <v>0</v>
      </c>
      <c r="AD77" s="37">
        <f>Ruimtestaat[[#This Row],[uren / jaar weekend]]*Tariefsopbouw!$D$40</f>
        <v>0</v>
      </c>
      <c r="AE77" s="89">
        <f>Ruimtestaat[[#This Row],[Prest. (m2 /jaar) weekend]]+Ruimtestaat[[#This Row],[Prest. (m2 /jaar) werkdagen]]</f>
        <v>7200</v>
      </c>
      <c r="AF77" s="89">
        <f>Ruimtestaat[[#This Row],[uren / jaar weekend]]+Ruimtestaat[[#This Row],[uren / jaar werkdagen]]</f>
        <v>0</v>
      </c>
      <c r="AG77" s="90">
        <f>Ruimtestaat[[#This Row],[kosten / jaar weekend]]+Ruimtestaat[[#This Row],[kosten / jaar werkdagen]]</f>
        <v>0</v>
      </c>
      <c r="AH77" s="253"/>
      <c r="AI77" s="252" t="str">
        <f>IF(Ruimtestaat[[#This Row],[Frequentie werkdagen]]="","",_xlfn.CONCAT(Ruimtestaat[[#This Row],[Ruimte code]],"-",Ruimtestaat[[#This Row],[Frequentie werkdagen]]," ",Ruimtestaat[[#This Row],[Vloer code]]))</f>
        <v>2-5w P</v>
      </c>
      <c r="AJ77" s="247" t="str">
        <f>_xlfn.IFNA(VLOOKUP(Ruimtestaat[[#This Row],[Programmacode
Regulier]],Programma!$F$4:$Y$36148,2,0),"_")</f>
        <v>_</v>
      </c>
      <c r="AK77" s="247" t="str">
        <f>_xlfn.IFNA(VLOOKUP(Ruimtestaat[[#This Row],[Programmacode
Regulier]],Programma!$F$4:$Y$36148,3,0),"_")</f>
        <v>_</v>
      </c>
      <c r="AL77" s="247" t="str">
        <f>_xlfn.IFNA(VLOOKUP(Ruimtestaat[[#This Row],[Programmacode
Regulier]],Programma!$F$4:$Y$36148,4,0),"_")</f>
        <v>5w</v>
      </c>
      <c r="AM77" s="247" t="str">
        <f>_xlfn.IFNA(VLOOKUP(Ruimtestaat[[#This Row],[Programmacode
Regulier]],Programma!$F$4:$Y$36148,5,0),"_")</f>
        <v>1w</v>
      </c>
      <c r="AN77" s="247" t="str">
        <f>_xlfn.IFNA(VLOOKUP(Ruimtestaat[[#This Row],[Programmacode
Regulier]],Programma!$F$4:$Y$36148,6,0),"_")</f>
        <v>1m</v>
      </c>
      <c r="AO77" s="247" t="str">
        <f>_xlfn.IFNA(VLOOKUP(Ruimtestaat[[#This Row],[Programmacode
Regulier]],Programma!$F$4:$Y$36148,7,0),"_")</f>
        <v>_</v>
      </c>
      <c r="AP77" s="247" t="str">
        <f>_xlfn.IFNA(VLOOKUP(Ruimtestaat[[#This Row],[Programmacode
Regulier]],Programma!$F$4:$Y$36148,8,0),"_")</f>
        <v>_</v>
      </c>
      <c r="AQ77" s="247" t="str">
        <f>_xlfn.IFNA(VLOOKUP(Ruimtestaat[[#This Row],[Programmacode
Regulier]],Programma!$F$4:$Y$36148,9,0),"_")</f>
        <v>_</v>
      </c>
      <c r="AR77" s="248" t="str">
        <f>_xlfn.IFNA(VLOOKUP(Ruimtestaat[[#This Row],[Programmacode
Regulier]],Programma!$F$4:$Y$36148,10,0),"_")</f>
        <v>5w</v>
      </c>
      <c r="AS77" s="248" t="str">
        <f>_xlfn.IFNA(VLOOKUP(Ruimtestaat[[#This Row],[Programmacode
Regulier]],Programma!$F$4:$Y$36148,11,0),"_")</f>
        <v>5w</v>
      </c>
      <c r="AT77" s="248" t="str">
        <f>_xlfn.IFNA(VLOOKUP(Ruimtestaat[[#This Row],[Programmacode
Regulier]],Programma!$F$4:$Y$36148,12,0),"_")</f>
        <v>1w</v>
      </c>
      <c r="AU77" s="248" t="str">
        <f>_xlfn.IFNA(VLOOKUP(Ruimtestaat[[#This Row],[Programmacode
Regulier]],Programma!$F$4:$Y$36148,13,0),"_")</f>
        <v>1w</v>
      </c>
      <c r="AV77" s="248" t="str">
        <f>_xlfn.IFNA(VLOOKUP(Ruimtestaat[[#This Row],[Programmacode
Regulier]],Programma!$F$4:$Y$36148,14,0),"_")</f>
        <v>1m</v>
      </c>
      <c r="AW77" s="248" t="str">
        <f>_xlfn.IFNA(VLOOKUP(Ruimtestaat[[#This Row],[Programmacode
Regulier]],Programma!$F$4:$Y$36148,15,0),"_")</f>
        <v>2j</v>
      </c>
      <c r="AX77" s="248" t="str">
        <f>_xlfn.IFNA(VLOOKUP(Ruimtestaat[[#This Row],[Programmacode
Regulier]],Programma!$F$4:$Y$36148,16,0),"_")</f>
        <v>1j</v>
      </c>
      <c r="AY77" s="248" t="str">
        <f>_xlfn.IFNA(VLOOKUP(Ruimtestaat[[#This Row],[Programmacode
Regulier]],Programma!$F$4:$Y$36148,17,0),"_")</f>
        <v>_</v>
      </c>
      <c r="AZ77" s="249" t="str">
        <f>_xlfn.IFNA(VLOOKUP(Ruimtestaat[[#This Row],[Programmacode
Regulier]],Programma!$F$4:$Y$36148,18,0),"_")</f>
        <v>_</v>
      </c>
      <c r="BA77" s="249" t="str">
        <f>_xlfn.IFNA(VLOOKUP(Ruimtestaat[[#This Row],[Programmacode
Regulier]],Programma!$F$4:$Y$36148,19,0),"_")</f>
        <v>_</v>
      </c>
      <c r="BB77" s="249" t="str">
        <f>_xlfn.IFNA(VLOOKUP(Ruimtestaat[[#This Row],[Programmacode
Regulier]],Programma!$F$4:$Y$36148,20,0),"_")</f>
        <v>_</v>
      </c>
      <c r="BC77" s="250"/>
      <c r="BD77" s="212" t="str">
        <f>IF(Ruimtestaat[[#This Row],[Frequentie weekend]]="","",_xlfn.CONCAT(Ruimtestaat[[#This Row],[Ruimte code]],"-",Ruimtestaat[[#This Row],[Frequentie weekend]]," ",Ruimtestaat[[#This Row],[Vloer code]]))</f>
        <v/>
      </c>
      <c r="BE77" s="247" t="str">
        <f>_xlfn.IFNA(VLOOKUP(Ruimtestaat[[#This Row],[Code Weekend]],Programma!$F$4:$Y$36148,2,0),"_")</f>
        <v>_</v>
      </c>
      <c r="BF77" s="247" t="str">
        <f>_xlfn.IFNA(VLOOKUP(Ruimtestaat[[#This Row],[Code Weekend]],Programma!$F$4:$Y$36148,3,0),"_")</f>
        <v>_</v>
      </c>
      <c r="BG77" s="247" t="str">
        <f>_xlfn.IFNA(VLOOKUP(Ruimtestaat[[#This Row],[Code Weekend]],Programma!$F$4:$Y$36148,4,0),"_")</f>
        <v>_</v>
      </c>
      <c r="BH77" s="247" t="str">
        <f>_xlfn.IFNA(VLOOKUP(Ruimtestaat[[#This Row],[Code Weekend]],Programma!$F$4:$Y$36148,5,0),"_")</f>
        <v>_</v>
      </c>
      <c r="BI77" s="247" t="str">
        <f>_xlfn.IFNA(VLOOKUP(Ruimtestaat[[#This Row],[Code Weekend]],Programma!$F$4:$Y$36148,6,0),"_")</f>
        <v>_</v>
      </c>
      <c r="BJ77" s="247" t="str">
        <f>_xlfn.IFNA(VLOOKUP(Ruimtestaat[[#This Row],[Code Weekend]],Programma!$F$4:$Y$36148,7,0),"_")</f>
        <v>_</v>
      </c>
      <c r="BK77" s="247" t="str">
        <f>_xlfn.IFNA(VLOOKUP(Ruimtestaat[[#This Row],[Code Weekend]],Programma!$F$4:$Y$36148,8,0),"_")</f>
        <v>_</v>
      </c>
      <c r="BL77" s="247" t="str">
        <f>_xlfn.IFNA(VLOOKUP(Ruimtestaat[[#This Row],[Code Weekend]],Programma!$F$4:$Y$36148,9,0),"_")</f>
        <v>_</v>
      </c>
      <c r="BM77" s="248" t="str">
        <f>_xlfn.IFNA(VLOOKUP(Ruimtestaat[[#This Row],[Code Weekend]],Programma!$F$4:$Y$36148,10,0),"_")</f>
        <v>_</v>
      </c>
      <c r="BN77" s="248" t="str">
        <f>_xlfn.IFNA(VLOOKUP(Ruimtestaat[[#This Row],[Code Weekend]],Programma!$F$4:$Y$36148,11,0),"_")</f>
        <v>_</v>
      </c>
      <c r="BO77" s="248" t="str">
        <f>_xlfn.IFNA(VLOOKUP(Ruimtestaat[[#This Row],[Code Weekend]],Programma!$F$4:$Y$36148,12,0),"_")</f>
        <v>_</v>
      </c>
      <c r="BP77" s="248" t="str">
        <f>_xlfn.IFNA(VLOOKUP(Ruimtestaat[[#This Row],[Code Weekend]],Programma!$F$4:$Y$36148,13,0),"_")</f>
        <v>_</v>
      </c>
      <c r="BQ77" s="248" t="str">
        <f>_xlfn.IFNA(VLOOKUP(Ruimtestaat[[#This Row],[Code Weekend]],Programma!$F$4:$Y$36148,14,0),"_")</f>
        <v>_</v>
      </c>
      <c r="BR77" s="248" t="str">
        <f>_xlfn.IFNA(VLOOKUP(Ruimtestaat[[#This Row],[Code Weekend]],Programma!$F$4:$Y$36148,15,0),"_")</f>
        <v>_</v>
      </c>
      <c r="BS77" s="248" t="str">
        <f>_xlfn.IFNA(VLOOKUP(Ruimtestaat[[#This Row],[Code Weekend]],Programma!$F$4:$Y$36148,16,0),"_")</f>
        <v>_</v>
      </c>
      <c r="BT77" s="248" t="str">
        <f>_xlfn.IFNA(VLOOKUP(Ruimtestaat[[#This Row],[Code Weekend]],Programma!$F$4:$Y$36148,17,0),"_")</f>
        <v>_</v>
      </c>
      <c r="BU77" s="249" t="str">
        <f>_xlfn.IFNA(VLOOKUP(Ruimtestaat[[#This Row],[Code Weekend]],Programma!$F$4:$Y$36148,18,0),"_")</f>
        <v>_</v>
      </c>
      <c r="BV77" s="249" t="str">
        <f>_xlfn.IFNA(VLOOKUP(Ruimtestaat[[#This Row],[Code Weekend]],Programma!$F$4:$Y$36148,19,0),"_")</f>
        <v>_</v>
      </c>
      <c r="BW77" s="249" t="str">
        <f>_xlfn.IFNA(VLOOKUP(Ruimtestaat[[#This Row],[Code Weekend]],Programma!$F$4:$Y$36148,20,0),"_")</f>
        <v>_</v>
      </c>
      <c r="HK77" s="88"/>
    </row>
    <row r="78" spans="1:219" ht="12.75" customHeight="1">
      <c r="A78" s="131">
        <v>1</v>
      </c>
      <c r="B78" s="22" t="str">
        <f>VLOOKUP(Ruimtestaat[[#This Row],[Code]],Locaties[#All],2,FALSE)</f>
        <v>ESH Secondary School</v>
      </c>
      <c r="C78" s="22" t="str">
        <f>VLOOKUP(Ruimtestaat[[#This Row],[Code]],Locaties[#All],4,FALSE)</f>
        <v>Oostduinlaan 50</v>
      </c>
      <c r="D78" s="334" t="str">
        <f>VLOOKUP(Ruimtestaat[[#This Row],[Code]],Locaties[#All],5,FALSE)</f>
        <v>2596 JP</v>
      </c>
      <c r="E78" s="334" t="str">
        <f>VLOOKUP(Ruimtestaat[[#This Row],[Code]],Locaties[#All],6,FALSE)</f>
        <v>Den Haag</v>
      </c>
      <c r="F78" s="335"/>
      <c r="G78" s="334" t="s">
        <v>1611</v>
      </c>
      <c r="H78" s="334" t="s">
        <v>1526</v>
      </c>
      <c r="I78" s="335" t="s">
        <v>1507</v>
      </c>
      <c r="J78" s="333">
        <v>16</v>
      </c>
      <c r="K78" s="335" t="str">
        <f>VLOOKUP(J78,Ruimtegroepen[],2,FALSE)</f>
        <v>Leslokalen</v>
      </c>
      <c r="L78" s="212" t="s">
        <v>123</v>
      </c>
      <c r="M78" s="334" t="s">
        <v>144</v>
      </c>
      <c r="N78" s="337">
        <v>54</v>
      </c>
      <c r="O78" s="331"/>
      <c r="P78" s="332" t="str">
        <f>VLOOKUP(Ruimtestaat[[#This Row],[Ruimte code]],Ruimtegroepen[],4,FALSE)</f>
        <v>L  (Lesruimte)</v>
      </c>
      <c r="Q78" s="332"/>
      <c r="R78" s="333">
        <v>40</v>
      </c>
      <c r="S78" s="333" t="s">
        <v>2</v>
      </c>
      <c r="T78" s="37"/>
      <c r="U78" s="37">
        <f>IF(R78&gt;0,IF(RIGHT(Ruimtestaat[[#This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8" s="37">
        <f>IF(U78&gt;0,VLOOKUP($J78,Ruimtegroepen[],3,FALSE)*VLOOKUP($L78,Vloersoorten[],3,FALSE)*VLOOKUP($S78,Frequenties[],3,FALSE)*VLOOKUP($A78,Locaties[],3,FALSE),0)</f>
        <v>0</v>
      </c>
      <c r="W78" s="37">
        <f>Ruimtestaat[[#This Row],[Uitvoeringen werkdagen]]*Ruimtestaat[[#This Row],[Oppervlak (netto)]]</f>
        <v>10800</v>
      </c>
      <c r="X78" s="37">
        <f>IF(V78&gt;0,Ruimtestaat[[#This Row],[Prest. (m2 /jaar) werkdagen]]/Ruimtestaat[[#This Row],[Norm (m2/uur) werkdagen]],0)</f>
        <v>0</v>
      </c>
      <c r="Y78" s="37">
        <f>Ruimtestaat[[#This Row],[uren / jaar werkdagen]]*Tariefsopbouw!$D$38</f>
        <v>0</v>
      </c>
      <c r="Z78" s="37">
        <f>IF(Ruimtestaat[[#This Row],[Frequentie weekend]]&gt;0,VALUE(LEFT(T78,1))*R78,0)</f>
        <v>0</v>
      </c>
      <c r="AA78" s="37">
        <f>IF($Z78&gt;0,VLOOKUP($J78,Ruimtegroepen[],3,FALSE)*VLOOKUP($L78,Vloersoorten[],3,FALSE)*VLOOKUP($T78,Frequenties[],3,FALSE)*VLOOKUP($A78,Locaties[],3,FALSE),0)</f>
        <v>0</v>
      </c>
      <c r="AB78" s="37">
        <f>Ruimtestaat[[#This Row],[Uitvoeringen weekend]]*Ruimtestaat[[#This Row],[Oppervlak (netto)]]</f>
        <v>0</v>
      </c>
      <c r="AC78" s="37">
        <f>IF(AA78&gt;0,Ruimtestaat[[#This Row],[Prest. (m2 /jaar) weekend]]/Ruimtestaat[[#This Row],[Norm (m2/uur) weekend]],0)</f>
        <v>0</v>
      </c>
      <c r="AD78" s="37">
        <f>Ruimtestaat[[#This Row],[uren / jaar weekend]]*Tariefsopbouw!$D$40</f>
        <v>0</v>
      </c>
      <c r="AE78" s="89">
        <f>Ruimtestaat[[#This Row],[Prest. (m2 /jaar) weekend]]+Ruimtestaat[[#This Row],[Prest. (m2 /jaar) werkdagen]]</f>
        <v>10800</v>
      </c>
      <c r="AF78" s="89">
        <f>Ruimtestaat[[#This Row],[uren / jaar weekend]]+Ruimtestaat[[#This Row],[uren / jaar werkdagen]]</f>
        <v>0</v>
      </c>
      <c r="AG78" s="90">
        <f>Ruimtestaat[[#This Row],[kosten / jaar weekend]]+Ruimtestaat[[#This Row],[kosten / jaar werkdagen]]</f>
        <v>0</v>
      </c>
      <c r="AH78" s="253"/>
      <c r="AI78" s="252" t="str">
        <f>IF(Ruimtestaat[[#This Row],[Frequentie werkdagen]]="","",_xlfn.CONCAT(Ruimtestaat[[#This Row],[Ruimte code]],"-",Ruimtestaat[[#This Row],[Frequentie werkdagen]]," ",Ruimtestaat[[#This Row],[Vloer code]]))</f>
        <v>16-5w P</v>
      </c>
      <c r="AJ78" s="247" t="str">
        <f>_xlfn.IFNA(VLOOKUP(Ruimtestaat[[#This Row],[Programmacode
Regulier]],Programma!$F$4:$Y$36148,2,0),"_")</f>
        <v>_</v>
      </c>
      <c r="AK78" s="247" t="str">
        <f>_xlfn.IFNA(VLOOKUP(Ruimtestaat[[#This Row],[Programmacode
Regulier]],Programma!$F$4:$Y$36148,3,0),"_")</f>
        <v>_</v>
      </c>
      <c r="AL78" s="247" t="str">
        <f>_xlfn.IFNA(VLOOKUP(Ruimtestaat[[#This Row],[Programmacode
Regulier]],Programma!$F$4:$Y$36148,4,0),"_")</f>
        <v>5w</v>
      </c>
      <c r="AM78" s="247" t="str">
        <f>_xlfn.IFNA(VLOOKUP(Ruimtestaat[[#This Row],[Programmacode
Regulier]],Programma!$F$4:$Y$36148,5,0),"_")</f>
        <v>1w</v>
      </c>
      <c r="AN78" s="247" t="str">
        <f>_xlfn.IFNA(VLOOKUP(Ruimtestaat[[#This Row],[Programmacode
Regulier]],Programma!$F$4:$Y$36148,6,0),"_")</f>
        <v>1m</v>
      </c>
      <c r="AO78" s="247" t="str">
        <f>_xlfn.IFNA(VLOOKUP(Ruimtestaat[[#This Row],[Programmacode
Regulier]],Programma!$F$4:$Y$36148,7,0),"_")</f>
        <v>_</v>
      </c>
      <c r="AP78" s="247" t="str">
        <f>_xlfn.IFNA(VLOOKUP(Ruimtestaat[[#This Row],[Programmacode
Regulier]],Programma!$F$4:$Y$36148,8,0),"_")</f>
        <v>_</v>
      </c>
      <c r="AQ78" s="247" t="str">
        <f>_xlfn.IFNA(VLOOKUP(Ruimtestaat[[#This Row],[Programmacode
Regulier]],Programma!$F$4:$Y$36148,9,0),"_")</f>
        <v>_</v>
      </c>
      <c r="AR78" s="248" t="str">
        <f>_xlfn.IFNA(VLOOKUP(Ruimtestaat[[#This Row],[Programmacode
Regulier]],Programma!$F$4:$Y$36148,10,0),"_")</f>
        <v>5w</v>
      </c>
      <c r="AS78" s="248" t="str">
        <f>_xlfn.IFNA(VLOOKUP(Ruimtestaat[[#This Row],[Programmacode
Regulier]],Programma!$F$4:$Y$36148,11,0),"_")</f>
        <v>5w</v>
      </c>
      <c r="AT78" s="248" t="str">
        <f>_xlfn.IFNA(VLOOKUP(Ruimtestaat[[#This Row],[Programmacode
Regulier]],Programma!$F$4:$Y$36148,12,0),"_")</f>
        <v>1w</v>
      </c>
      <c r="AU78" s="248" t="str">
        <f>_xlfn.IFNA(VLOOKUP(Ruimtestaat[[#This Row],[Programmacode
Regulier]],Programma!$F$4:$Y$36148,13,0),"_")</f>
        <v>1w</v>
      </c>
      <c r="AV78" s="248" t="str">
        <f>_xlfn.IFNA(VLOOKUP(Ruimtestaat[[#This Row],[Programmacode
Regulier]],Programma!$F$4:$Y$36148,14,0),"_")</f>
        <v>1m</v>
      </c>
      <c r="AW78" s="248" t="str">
        <f>_xlfn.IFNA(VLOOKUP(Ruimtestaat[[#This Row],[Programmacode
Regulier]],Programma!$F$4:$Y$36148,15,0),"_")</f>
        <v>2j</v>
      </c>
      <c r="AX78" s="248" t="str">
        <f>_xlfn.IFNA(VLOOKUP(Ruimtestaat[[#This Row],[Programmacode
Regulier]],Programma!$F$4:$Y$36148,16,0),"_")</f>
        <v>1j</v>
      </c>
      <c r="AY78" s="248" t="str">
        <f>_xlfn.IFNA(VLOOKUP(Ruimtestaat[[#This Row],[Programmacode
Regulier]],Programma!$F$4:$Y$36148,17,0),"_")</f>
        <v>_</v>
      </c>
      <c r="AZ78" s="249" t="str">
        <f>_xlfn.IFNA(VLOOKUP(Ruimtestaat[[#This Row],[Programmacode
Regulier]],Programma!$F$4:$Y$36148,18,0),"_")</f>
        <v>_</v>
      </c>
      <c r="BA78" s="249" t="str">
        <f>_xlfn.IFNA(VLOOKUP(Ruimtestaat[[#This Row],[Programmacode
Regulier]],Programma!$F$4:$Y$36148,19,0),"_")</f>
        <v>_</v>
      </c>
      <c r="BB78" s="249" t="str">
        <f>_xlfn.IFNA(VLOOKUP(Ruimtestaat[[#This Row],[Programmacode
Regulier]],Programma!$F$4:$Y$36148,20,0),"_")</f>
        <v>_</v>
      </c>
      <c r="BC78" s="250"/>
      <c r="BD78" s="212" t="str">
        <f>IF(Ruimtestaat[[#This Row],[Frequentie weekend]]="","",_xlfn.CONCAT(Ruimtestaat[[#This Row],[Ruimte code]],"-",Ruimtestaat[[#This Row],[Frequentie weekend]]," ",Ruimtestaat[[#This Row],[Vloer code]]))</f>
        <v/>
      </c>
      <c r="BE78" s="247" t="str">
        <f>_xlfn.IFNA(VLOOKUP(Ruimtestaat[[#This Row],[Code Weekend]],Programma!$F$4:$Y$36148,2,0),"_")</f>
        <v>_</v>
      </c>
      <c r="BF78" s="247" t="str">
        <f>_xlfn.IFNA(VLOOKUP(Ruimtestaat[[#This Row],[Code Weekend]],Programma!$F$4:$Y$36148,3,0),"_")</f>
        <v>_</v>
      </c>
      <c r="BG78" s="247" t="str">
        <f>_xlfn.IFNA(VLOOKUP(Ruimtestaat[[#This Row],[Code Weekend]],Programma!$F$4:$Y$36148,4,0),"_")</f>
        <v>_</v>
      </c>
      <c r="BH78" s="247" t="str">
        <f>_xlfn.IFNA(VLOOKUP(Ruimtestaat[[#This Row],[Code Weekend]],Programma!$F$4:$Y$36148,5,0),"_")</f>
        <v>_</v>
      </c>
      <c r="BI78" s="247" t="str">
        <f>_xlfn.IFNA(VLOOKUP(Ruimtestaat[[#This Row],[Code Weekend]],Programma!$F$4:$Y$36148,6,0),"_")</f>
        <v>_</v>
      </c>
      <c r="BJ78" s="247" t="str">
        <f>_xlfn.IFNA(VLOOKUP(Ruimtestaat[[#This Row],[Code Weekend]],Programma!$F$4:$Y$36148,7,0),"_")</f>
        <v>_</v>
      </c>
      <c r="BK78" s="247" t="str">
        <f>_xlfn.IFNA(VLOOKUP(Ruimtestaat[[#This Row],[Code Weekend]],Programma!$F$4:$Y$36148,8,0),"_")</f>
        <v>_</v>
      </c>
      <c r="BL78" s="247" t="str">
        <f>_xlfn.IFNA(VLOOKUP(Ruimtestaat[[#This Row],[Code Weekend]],Programma!$F$4:$Y$36148,9,0),"_")</f>
        <v>_</v>
      </c>
      <c r="BM78" s="248" t="str">
        <f>_xlfn.IFNA(VLOOKUP(Ruimtestaat[[#This Row],[Code Weekend]],Programma!$F$4:$Y$36148,10,0),"_")</f>
        <v>_</v>
      </c>
      <c r="BN78" s="248" t="str">
        <f>_xlfn.IFNA(VLOOKUP(Ruimtestaat[[#This Row],[Code Weekend]],Programma!$F$4:$Y$36148,11,0),"_")</f>
        <v>_</v>
      </c>
      <c r="BO78" s="248" t="str">
        <f>_xlfn.IFNA(VLOOKUP(Ruimtestaat[[#This Row],[Code Weekend]],Programma!$F$4:$Y$36148,12,0),"_")</f>
        <v>_</v>
      </c>
      <c r="BP78" s="248" t="str">
        <f>_xlfn.IFNA(VLOOKUP(Ruimtestaat[[#This Row],[Code Weekend]],Programma!$F$4:$Y$36148,13,0),"_")</f>
        <v>_</v>
      </c>
      <c r="BQ78" s="248" t="str">
        <f>_xlfn.IFNA(VLOOKUP(Ruimtestaat[[#This Row],[Code Weekend]],Programma!$F$4:$Y$36148,14,0),"_")</f>
        <v>_</v>
      </c>
      <c r="BR78" s="248" t="str">
        <f>_xlfn.IFNA(VLOOKUP(Ruimtestaat[[#This Row],[Code Weekend]],Programma!$F$4:$Y$36148,15,0),"_")</f>
        <v>_</v>
      </c>
      <c r="BS78" s="248" t="str">
        <f>_xlfn.IFNA(VLOOKUP(Ruimtestaat[[#This Row],[Code Weekend]],Programma!$F$4:$Y$36148,16,0),"_")</f>
        <v>_</v>
      </c>
      <c r="BT78" s="248" t="str">
        <f>_xlfn.IFNA(VLOOKUP(Ruimtestaat[[#This Row],[Code Weekend]],Programma!$F$4:$Y$36148,17,0),"_")</f>
        <v>_</v>
      </c>
      <c r="BU78" s="249" t="str">
        <f>_xlfn.IFNA(VLOOKUP(Ruimtestaat[[#This Row],[Code Weekend]],Programma!$F$4:$Y$36148,18,0),"_")</f>
        <v>_</v>
      </c>
      <c r="BV78" s="249" t="str">
        <f>_xlfn.IFNA(VLOOKUP(Ruimtestaat[[#This Row],[Code Weekend]],Programma!$F$4:$Y$36148,19,0),"_")</f>
        <v>_</v>
      </c>
      <c r="BW78" s="249" t="str">
        <f>_xlfn.IFNA(VLOOKUP(Ruimtestaat[[#This Row],[Code Weekend]],Programma!$F$4:$Y$36148,20,0),"_")</f>
        <v>_</v>
      </c>
      <c r="HK78" s="88"/>
    </row>
    <row r="79" spans="1:219" ht="12.75" customHeight="1">
      <c r="A79" s="131">
        <v>1</v>
      </c>
      <c r="B79" s="22" t="str">
        <f>VLOOKUP(Ruimtestaat[[#This Row],[Code]],Locaties[#All],2,FALSE)</f>
        <v>ESH Secondary School</v>
      </c>
      <c r="C79" s="22" t="str">
        <f>VLOOKUP(Ruimtestaat[[#This Row],[Code]],Locaties[#All],4,FALSE)</f>
        <v>Oostduinlaan 50</v>
      </c>
      <c r="D79" s="334" t="str">
        <f>VLOOKUP(Ruimtestaat[[#This Row],[Code]],Locaties[#All],5,FALSE)</f>
        <v>2596 JP</v>
      </c>
      <c r="E79" s="334" t="str">
        <f>VLOOKUP(Ruimtestaat[[#This Row],[Code]],Locaties[#All],6,FALSE)</f>
        <v>Den Haag</v>
      </c>
      <c r="F79" s="335"/>
      <c r="G79" s="334" t="s">
        <v>1611</v>
      </c>
      <c r="H79" s="334" t="s">
        <v>1392</v>
      </c>
      <c r="I79" s="335" t="s">
        <v>1507</v>
      </c>
      <c r="J79" s="333">
        <v>16</v>
      </c>
      <c r="K79" s="335" t="str">
        <f>VLOOKUP(J79,Ruimtegroepen[],2,FALSE)</f>
        <v>Leslokalen</v>
      </c>
      <c r="L79" s="212" t="s">
        <v>123</v>
      </c>
      <c r="M79" s="334" t="s">
        <v>144</v>
      </c>
      <c r="N79" s="337">
        <v>53</v>
      </c>
      <c r="O79" s="331"/>
      <c r="P79" s="332" t="str">
        <f>VLOOKUP(Ruimtestaat[[#This Row],[Ruimte code]],Ruimtegroepen[],4,FALSE)</f>
        <v>L  (Lesruimte)</v>
      </c>
      <c r="Q79" s="332"/>
      <c r="R79" s="333">
        <v>40</v>
      </c>
      <c r="S79" s="333" t="s">
        <v>2</v>
      </c>
      <c r="T79" s="37"/>
      <c r="U79" s="37">
        <f>IF(R79&gt;0,IF(RIGHT(Ruimtestaat[[#This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9" s="37">
        <f>IF(U79&gt;0,VLOOKUP($J79,Ruimtegroepen[],3,FALSE)*VLOOKUP($L79,Vloersoorten[],3,FALSE)*VLOOKUP($S79,Frequenties[],3,FALSE)*VLOOKUP($A79,Locaties[],3,FALSE),0)</f>
        <v>0</v>
      </c>
      <c r="W79" s="37">
        <f>Ruimtestaat[[#This Row],[Uitvoeringen werkdagen]]*Ruimtestaat[[#This Row],[Oppervlak (netto)]]</f>
        <v>10600</v>
      </c>
      <c r="X79" s="37">
        <f>IF(V79&gt;0,Ruimtestaat[[#This Row],[Prest. (m2 /jaar) werkdagen]]/Ruimtestaat[[#This Row],[Norm (m2/uur) werkdagen]],0)</f>
        <v>0</v>
      </c>
      <c r="Y79" s="37">
        <f>Ruimtestaat[[#This Row],[uren / jaar werkdagen]]*Tariefsopbouw!$D$38</f>
        <v>0</v>
      </c>
      <c r="Z79" s="37">
        <f>IF(Ruimtestaat[[#This Row],[Frequentie weekend]]&gt;0,VALUE(LEFT(T79,1))*R79,0)</f>
        <v>0</v>
      </c>
      <c r="AA79" s="37">
        <f>IF($Z79&gt;0,VLOOKUP($J79,Ruimtegroepen[],3,FALSE)*VLOOKUP($L79,Vloersoorten[],3,FALSE)*VLOOKUP($T79,Frequenties[],3,FALSE)*VLOOKUP($A79,Locaties[],3,FALSE),0)</f>
        <v>0</v>
      </c>
      <c r="AB79" s="37">
        <f>Ruimtestaat[[#This Row],[Uitvoeringen weekend]]*Ruimtestaat[[#This Row],[Oppervlak (netto)]]</f>
        <v>0</v>
      </c>
      <c r="AC79" s="37">
        <f>IF(AA79&gt;0,Ruimtestaat[[#This Row],[Prest. (m2 /jaar) weekend]]/Ruimtestaat[[#This Row],[Norm (m2/uur) weekend]],0)</f>
        <v>0</v>
      </c>
      <c r="AD79" s="37">
        <f>Ruimtestaat[[#This Row],[uren / jaar weekend]]*Tariefsopbouw!$D$40</f>
        <v>0</v>
      </c>
      <c r="AE79" s="89">
        <f>Ruimtestaat[[#This Row],[Prest. (m2 /jaar) weekend]]+Ruimtestaat[[#This Row],[Prest. (m2 /jaar) werkdagen]]</f>
        <v>10600</v>
      </c>
      <c r="AF79" s="89">
        <f>Ruimtestaat[[#This Row],[uren / jaar weekend]]+Ruimtestaat[[#This Row],[uren / jaar werkdagen]]</f>
        <v>0</v>
      </c>
      <c r="AG79" s="90">
        <f>Ruimtestaat[[#This Row],[kosten / jaar weekend]]+Ruimtestaat[[#This Row],[kosten / jaar werkdagen]]</f>
        <v>0</v>
      </c>
      <c r="AH79" s="253"/>
      <c r="AI79" s="252" t="str">
        <f>IF(Ruimtestaat[[#This Row],[Frequentie werkdagen]]="","",_xlfn.CONCAT(Ruimtestaat[[#This Row],[Ruimte code]],"-",Ruimtestaat[[#This Row],[Frequentie werkdagen]]," ",Ruimtestaat[[#This Row],[Vloer code]]))</f>
        <v>16-5w P</v>
      </c>
      <c r="AJ79" s="247" t="str">
        <f>_xlfn.IFNA(VLOOKUP(Ruimtestaat[[#This Row],[Programmacode
Regulier]],Programma!$F$4:$Y$36148,2,0),"_")</f>
        <v>_</v>
      </c>
      <c r="AK79" s="247" t="str">
        <f>_xlfn.IFNA(VLOOKUP(Ruimtestaat[[#This Row],[Programmacode
Regulier]],Programma!$F$4:$Y$36148,3,0),"_")</f>
        <v>_</v>
      </c>
      <c r="AL79" s="247" t="str">
        <f>_xlfn.IFNA(VLOOKUP(Ruimtestaat[[#This Row],[Programmacode
Regulier]],Programma!$F$4:$Y$36148,4,0),"_")</f>
        <v>5w</v>
      </c>
      <c r="AM79" s="247" t="str">
        <f>_xlfn.IFNA(VLOOKUP(Ruimtestaat[[#This Row],[Programmacode
Regulier]],Programma!$F$4:$Y$36148,5,0),"_")</f>
        <v>1w</v>
      </c>
      <c r="AN79" s="247" t="str">
        <f>_xlfn.IFNA(VLOOKUP(Ruimtestaat[[#This Row],[Programmacode
Regulier]],Programma!$F$4:$Y$36148,6,0),"_")</f>
        <v>1m</v>
      </c>
      <c r="AO79" s="247" t="str">
        <f>_xlfn.IFNA(VLOOKUP(Ruimtestaat[[#This Row],[Programmacode
Regulier]],Programma!$F$4:$Y$36148,7,0),"_")</f>
        <v>_</v>
      </c>
      <c r="AP79" s="247" t="str">
        <f>_xlfn.IFNA(VLOOKUP(Ruimtestaat[[#This Row],[Programmacode
Regulier]],Programma!$F$4:$Y$36148,8,0),"_")</f>
        <v>_</v>
      </c>
      <c r="AQ79" s="247" t="str">
        <f>_xlfn.IFNA(VLOOKUP(Ruimtestaat[[#This Row],[Programmacode
Regulier]],Programma!$F$4:$Y$36148,9,0),"_")</f>
        <v>_</v>
      </c>
      <c r="AR79" s="248" t="str">
        <f>_xlfn.IFNA(VLOOKUP(Ruimtestaat[[#This Row],[Programmacode
Regulier]],Programma!$F$4:$Y$36148,10,0),"_")</f>
        <v>5w</v>
      </c>
      <c r="AS79" s="248" t="str">
        <f>_xlfn.IFNA(VLOOKUP(Ruimtestaat[[#This Row],[Programmacode
Regulier]],Programma!$F$4:$Y$36148,11,0),"_")</f>
        <v>5w</v>
      </c>
      <c r="AT79" s="248" t="str">
        <f>_xlfn.IFNA(VLOOKUP(Ruimtestaat[[#This Row],[Programmacode
Regulier]],Programma!$F$4:$Y$36148,12,0),"_")</f>
        <v>1w</v>
      </c>
      <c r="AU79" s="248" t="str">
        <f>_xlfn.IFNA(VLOOKUP(Ruimtestaat[[#This Row],[Programmacode
Regulier]],Programma!$F$4:$Y$36148,13,0),"_")</f>
        <v>1w</v>
      </c>
      <c r="AV79" s="248" t="str">
        <f>_xlfn.IFNA(VLOOKUP(Ruimtestaat[[#This Row],[Programmacode
Regulier]],Programma!$F$4:$Y$36148,14,0),"_")</f>
        <v>1m</v>
      </c>
      <c r="AW79" s="248" t="str">
        <f>_xlfn.IFNA(VLOOKUP(Ruimtestaat[[#This Row],[Programmacode
Regulier]],Programma!$F$4:$Y$36148,15,0),"_")</f>
        <v>2j</v>
      </c>
      <c r="AX79" s="248" t="str">
        <f>_xlfn.IFNA(VLOOKUP(Ruimtestaat[[#This Row],[Programmacode
Regulier]],Programma!$F$4:$Y$36148,16,0),"_")</f>
        <v>1j</v>
      </c>
      <c r="AY79" s="248" t="str">
        <f>_xlfn.IFNA(VLOOKUP(Ruimtestaat[[#This Row],[Programmacode
Regulier]],Programma!$F$4:$Y$36148,17,0),"_")</f>
        <v>_</v>
      </c>
      <c r="AZ79" s="249" t="str">
        <f>_xlfn.IFNA(VLOOKUP(Ruimtestaat[[#This Row],[Programmacode
Regulier]],Programma!$F$4:$Y$36148,18,0),"_")</f>
        <v>_</v>
      </c>
      <c r="BA79" s="249" t="str">
        <f>_xlfn.IFNA(VLOOKUP(Ruimtestaat[[#This Row],[Programmacode
Regulier]],Programma!$F$4:$Y$36148,19,0),"_")</f>
        <v>_</v>
      </c>
      <c r="BB79" s="249" t="str">
        <f>_xlfn.IFNA(VLOOKUP(Ruimtestaat[[#This Row],[Programmacode
Regulier]],Programma!$F$4:$Y$36148,20,0),"_")</f>
        <v>_</v>
      </c>
      <c r="BC79" s="250"/>
      <c r="BD79" s="212" t="str">
        <f>IF(Ruimtestaat[[#This Row],[Frequentie weekend]]="","",_xlfn.CONCAT(Ruimtestaat[[#This Row],[Ruimte code]],"-",Ruimtestaat[[#This Row],[Frequentie weekend]]," ",Ruimtestaat[[#This Row],[Vloer code]]))</f>
        <v/>
      </c>
      <c r="BE79" s="247" t="str">
        <f>_xlfn.IFNA(VLOOKUP(Ruimtestaat[[#This Row],[Code Weekend]],Programma!$F$4:$Y$36148,2,0),"_")</f>
        <v>_</v>
      </c>
      <c r="BF79" s="247" t="str">
        <f>_xlfn.IFNA(VLOOKUP(Ruimtestaat[[#This Row],[Code Weekend]],Programma!$F$4:$Y$36148,3,0),"_")</f>
        <v>_</v>
      </c>
      <c r="BG79" s="247" t="str">
        <f>_xlfn.IFNA(VLOOKUP(Ruimtestaat[[#This Row],[Code Weekend]],Programma!$F$4:$Y$36148,4,0),"_")</f>
        <v>_</v>
      </c>
      <c r="BH79" s="247" t="str">
        <f>_xlfn.IFNA(VLOOKUP(Ruimtestaat[[#This Row],[Code Weekend]],Programma!$F$4:$Y$36148,5,0),"_")</f>
        <v>_</v>
      </c>
      <c r="BI79" s="247" t="str">
        <f>_xlfn.IFNA(VLOOKUP(Ruimtestaat[[#This Row],[Code Weekend]],Programma!$F$4:$Y$36148,6,0),"_")</f>
        <v>_</v>
      </c>
      <c r="BJ79" s="247" t="str">
        <f>_xlfn.IFNA(VLOOKUP(Ruimtestaat[[#This Row],[Code Weekend]],Programma!$F$4:$Y$36148,7,0),"_")</f>
        <v>_</v>
      </c>
      <c r="BK79" s="247" t="str">
        <f>_xlfn.IFNA(VLOOKUP(Ruimtestaat[[#This Row],[Code Weekend]],Programma!$F$4:$Y$36148,8,0),"_")</f>
        <v>_</v>
      </c>
      <c r="BL79" s="247" t="str">
        <f>_xlfn.IFNA(VLOOKUP(Ruimtestaat[[#This Row],[Code Weekend]],Programma!$F$4:$Y$36148,9,0),"_")</f>
        <v>_</v>
      </c>
      <c r="BM79" s="248" t="str">
        <f>_xlfn.IFNA(VLOOKUP(Ruimtestaat[[#This Row],[Code Weekend]],Programma!$F$4:$Y$36148,10,0),"_")</f>
        <v>_</v>
      </c>
      <c r="BN79" s="248" t="str">
        <f>_xlfn.IFNA(VLOOKUP(Ruimtestaat[[#This Row],[Code Weekend]],Programma!$F$4:$Y$36148,11,0),"_")</f>
        <v>_</v>
      </c>
      <c r="BO79" s="248" t="str">
        <f>_xlfn.IFNA(VLOOKUP(Ruimtestaat[[#This Row],[Code Weekend]],Programma!$F$4:$Y$36148,12,0),"_")</f>
        <v>_</v>
      </c>
      <c r="BP79" s="248" t="str">
        <f>_xlfn.IFNA(VLOOKUP(Ruimtestaat[[#This Row],[Code Weekend]],Programma!$F$4:$Y$36148,13,0),"_")</f>
        <v>_</v>
      </c>
      <c r="BQ79" s="248" t="str">
        <f>_xlfn.IFNA(VLOOKUP(Ruimtestaat[[#This Row],[Code Weekend]],Programma!$F$4:$Y$36148,14,0),"_")</f>
        <v>_</v>
      </c>
      <c r="BR79" s="248" t="str">
        <f>_xlfn.IFNA(VLOOKUP(Ruimtestaat[[#This Row],[Code Weekend]],Programma!$F$4:$Y$36148,15,0),"_")</f>
        <v>_</v>
      </c>
      <c r="BS79" s="248" t="str">
        <f>_xlfn.IFNA(VLOOKUP(Ruimtestaat[[#This Row],[Code Weekend]],Programma!$F$4:$Y$36148,16,0),"_")</f>
        <v>_</v>
      </c>
      <c r="BT79" s="248" t="str">
        <f>_xlfn.IFNA(VLOOKUP(Ruimtestaat[[#This Row],[Code Weekend]],Programma!$F$4:$Y$36148,17,0),"_")</f>
        <v>_</v>
      </c>
      <c r="BU79" s="249" t="str">
        <f>_xlfn.IFNA(VLOOKUP(Ruimtestaat[[#This Row],[Code Weekend]],Programma!$F$4:$Y$36148,18,0),"_")</f>
        <v>_</v>
      </c>
      <c r="BV79" s="249" t="str">
        <f>_xlfn.IFNA(VLOOKUP(Ruimtestaat[[#This Row],[Code Weekend]],Programma!$F$4:$Y$36148,19,0),"_")</f>
        <v>_</v>
      </c>
      <c r="BW79" s="249" t="str">
        <f>_xlfn.IFNA(VLOOKUP(Ruimtestaat[[#This Row],[Code Weekend]],Programma!$F$4:$Y$36148,20,0),"_")</f>
        <v>_</v>
      </c>
      <c r="HK79" s="88"/>
    </row>
    <row r="80" spans="1:219" ht="12.75" customHeight="1">
      <c r="A80" s="131">
        <v>1</v>
      </c>
      <c r="B80" s="22" t="str">
        <f>VLOOKUP(Ruimtestaat[[#This Row],[Code]],Locaties[#All],2,FALSE)</f>
        <v>ESH Secondary School</v>
      </c>
      <c r="C80" s="22" t="str">
        <f>VLOOKUP(Ruimtestaat[[#This Row],[Code]],Locaties[#All],4,FALSE)</f>
        <v>Oostduinlaan 50</v>
      </c>
      <c r="D80" s="334" t="str">
        <f>VLOOKUP(Ruimtestaat[[#This Row],[Code]],Locaties[#All],5,FALSE)</f>
        <v>2596 JP</v>
      </c>
      <c r="E80" s="334" t="str">
        <f>VLOOKUP(Ruimtestaat[[#This Row],[Code]],Locaties[#All],6,FALSE)</f>
        <v>Den Haag</v>
      </c>
      <c r="F80" s="335"/>
      <c r="G80" s="334" t="s">
        <v>1611</v>
      </c>
      <c r="H80" s="334" t="s">
        <v>1393</v>
      </c>
      <c r="I80" s="335" t="s">
        <v>1508</v>
      </c>
      <c r="J80" s="333">
        <v>16</v>
      </c>
      <c r="K80" s="335" t="str">
        <f>VLOOKUP(J80,Ruimtegroepen[],2,FALSE)</f>
        <v>Leslokalen</v>
      </c>
      <c r="L80" s="212" t="s">
        <v>123</v>
      </c>
      <c r="M80" s="334" t="s">
        <v>144</v>
      </c>
      <c r="N80" s="337">
        <v>53</v>
      </c>
      <c r="O80" s="331"/>
      <c r="P80" s="332" t="str">
        <f>VLOOKUP(Ruimtestaat[[#This Row],[Ruimte code]],Ruimtegroepen[],4,FALSE)</f>
        <v>L  (Lesruimte)</v>
      </c>
      <c r="Q80" s="332"/>
      <c r="R80" s="333">
        <v>40</v>
      </c>
      <c r="S80" s="333" t="s">
        <v>2</v>
      </c>
      <c r="T80" s="37"/>
      <c r="U80" s="37">
        <f>IF(R80&gt;0,IF(RIGHT(Ruimtestaat[[#This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0" s="37">
        <f>IF(U80&gt;0,VLOOKUP($J80,Ruimtegroepen[],3,FALSE)*VLOOKUP($L80,Vloersoorten[],3,FALSE)*VLOOKUP($S80,Frequenties[],3,FALSE)*VLOOKUP($A80,Locaties[],3,FALSE),0)</f>
        <v>0</v>
      </c>
      <c r="W80" s="37">
        <f>Ruimtestaat[[#This Row],[Uitvoeringen werkdagen]]*Ruimtestaat[[#This Row],[Oppervlak (netto)]]</f>
        <v>10600</v>
      </c>
      <c r="X80" s="37">
        <f>IF(V80&gt;0,Ruimtestaat[[#This Row],[Prest. (m2 /jaar) werkdagen]]/Ruimtestaat[[#This Row],[Norm (m2/uur) werkdagen]],0)</f>
        <v>0</v>
      </c>
      <c r="Y80" s="37">
        <f>Ruimtestaat[[#This Row],[uren / jaar werkdagen]]*Tariefsopbouw!$D$38</f>
        <v>0</v>
      </c>
      <c r="Z80" s="37">
        <f>IF(Ruimtestaat[[#This Row],[Frequentie weekend]]&gt;0,VALUE(LEFT(T80,1))*R80,0)</f>
        <v>0</v>
      </c>
      <c r="AA80" s="37">
        <f>IF($Z80&gt;0,VLOOKUP($J80,Ruimtegroepen[],3,FALSE)*VLOOKUP($L80,Vloersoorten[],3,FALSE)*VLOOKUP($T80,Frequenties[],3,FALSE)*VLOOKUP($A80,Locaties[],3,FALSE),0)</f>
        <v>0</v>
      </c>
      <c r="AB80" s="37">
        <f>Ruimtestaat[[#This Row],[Uitvoeringen weekend]]*Ruimtestaat[[#This Row],[Oppervlak (netto)]]</f>
        <v>0</v>
      </c>
      <c r="AC80" s="37">
        <f>IF(AA80&gt;0,Ruimtestaat[[#This Row],[Prest. (m2 /jaar) weekend]]/Ruimtestaat[[#This Row],[Norm (m2/uur) weekend]],0)</f>
        <v>0</v>
      </c>
      <c r="AD80" s="37">
        <f>Ruimtestaat[[#This Row],[uren / jaar weekend]]*Tariefsopbouw!$D$40</f>
        <v>0</v>
      </c>
      <c r="AE80" s="89">
        <f>Ruimtestaat[[#This Row],[Prest. (m2 /jaar) weekend]]+Ruimtestaat[[#This Row],[Prest. (m2 /jaar) werkdagen]]</f>
        <v>10600</v>
      </c>
      <c r="AF80" s="89">
        <f>Ruimtestaat[[#This Row],[uren / jaar weekend]]+Ruimtestaat[[#This Row],[uren / jaar werkdagen]]</f>
        <v>0</v>
      </c>
      <c r="AG80" s="90">
        <f>Ruimtestaat[[#This Row],[kosten / jaar weekend]]+Ruimtestaat[[#This Row],[kosten / jaar werkdagen]]</f>
        <v>0</v>
      </c>
      <c r="AH80" s="253"/>
      <c r="AI80" s="252" t="str">
        <f>IF(Ruimtestaat[[#This Row],[Frequentie werkdagen]]="","",_xlfn.CONCAT(Ruimtestaat[[#This Row],[Ruimte code]],"-",Ruimtestaat[[#This Row],[Frequentie werkdagen]]," ",Ruimtestaat[[#This Row],[Vloer code]]))</f>
        <v>16-5w P</v>
      </c>
      <c r="AJ80" s="247" t="str">
        <f>_xlfn.IFNA(VLOOKUP(Ruimtestaat[[#This Row],[Programmacode
Regulier]],Programma!$F$4:$Y$36148,2,0),"_")</f>
        <v>_</v>
      </c>
      <c r="AK80" s="247" t="str">
        <f>_xlfn.IFNA(VLOOKUP(Ruimtestaat[[#This Row],[Programmacode
Regulier]],Programma!$F$4:$Y$36148,3,0),"_")</f>
        <v>_</v>
      </c>
      <c r="AL80" s="247" t="str">
        <f>_xlfn.IFNA(VLOOKUP(Ruimtestaat[[#This Row],[Programmacode
Regulier]],Programma!$F$4:$Y$36148,4,0),"_")</f>
        <v>5w</v>
      </c>
      <c r="AM80" s="247" t="str">
        <f>_xlfn.IFNA(VLOOKUP(Ruimtestaat[[#This Row],[Programmacode
Regulier]],Programma!$F$4:$Y$36148,5,0),"_")</f>
        <v>1w</v>
      </c>
      <c r="AN80" s="247" t="str">
        <f>_xlfn.IFNA(VLOOKUP(Ruimtestaat[[#This Row],[Programmacode
Regulier]],Programma!$F$4:$Y$36148,6,0),"_")</f>
        <v>1m</v>
      </c>
      <c r="AO80" s="247" t="str">
        <f>_xlfn.IFNA(VLOOKUP(Ruimtestaat[[#This Row],[Programmacode
Regulier]],Programma!$F$4:$Y$36148,7,0),"_")</f>
        <v>_</v>
      </c>
      <c r="AP80" s="247" t="str">
        <f>_xlfn.IFNA(VLOOKUP(Ruimtestaat[[#This Row],[Programmacode
Regulier]],Programma!$F$4:$Y$36148,8,0),"_")</f>
        <v>_</v>
      </c>
      <c r="AQ80" s="247" t="str">
        <f>_xlfn.IFNA(VLOOKUP(Ruimtestaat[[#This Row],[Programmacode
Regulier]],Programma!$F$4:$Y$36148,9,0),"_")</f>
        <v>_</v>
      </c>
      <c r="AR80" s="248" t="str">
        <f>_xlfn.IFNA(VLOOKUP(Ruimtestaat[[#This Row],[Programmacode
Regulier]],Programma!$F$4:$Y$36148,10,0),"_")</f>
        <v>5w</v>
      </c>
      <c r="AS80" s="248" t="str">
        <f>_xlfn.IFNA(VLOOKUP(Ruimtestaat[[#This Row],[Programmacode
Regulier]],Programma!$F$4:$Y$36148,11,0),"_")</f>
        <v>5w</v>
      </c>
      <c r="AT80" s="248" t="str">
        <f>_xlfn.IFNA(VLOOKUP(Ruimtestaat[[#This Row],[Programmacode
Regulier]],Programma!$F$4:$Y$36148,12,0),"_")</f>
        <v>1w</v>
      </c>
      <c r="AU80" s="248" t="str">
        <f>_xlfn.IFNA(VLOOKUP(Ruimtestaat[[#This Row],[Programmacode
Regulier]],Programma!$F$4:$Y$36148,13,0),"_")</f>
        <v>1w</v>
      </c>
      <c r="AV80" s="248" t="str">
        <f>_xlfn.IFNA(VLOOKUP(Ruimtestaat[[#This Row],[Programmacode
Regulier]],Programma!$F$4:$Y$36148,14,0),"_")</f>
        <v>1m</v>
      </c>
      <c r="AW80" s="248" t="str">
        <f>_xlfn.IFNA(VLOOKUP(Ruimtestaat[[#This Row],[Programmacode
Regulier]],Programma!$F$4:$Y$36148,15,0),"_")</f>
        <v>2j</v>
      </c>
      <c r="AX80" s="248" t="str">
        <f>_xlfn.IFNA(VLOOKUP(Ruimtestaat[[#This Row],[Programmacode
Regulier]],Programma!$F$4:$Y$36148,16,0),"_")</f>
        <v>1j</v>
      </c>
      <c r="AY80" s="248" t="str">
        <f>_xlfn.IFNA(VLOOKUP(Ruimtestaat[[#This Row],[Programmacode
Regulier]],Programma!$F$4:$Y$36148,17,0),"_")</f>
        <v>_</v>
      </c>
      <c r="AZ80" s="249" t="str">
        <f>_xlfn.IFNA(VLOOKUP(Ruimtestaat[[#This Row],[Programmacode
Regulier]],Programma!$F$4:$Y$36148,18,0),"_")</f>
        <v>_</v>
      </c>
      <c r="BA80" s="249" t="str">
        <f>_xlfn.IFNA(VLOOKUP(Ruimtestaat[[#This Row],[Programmacode
Regulier]],Programma!$F$4:$Y$36148,19,0),"_")</f>
        <v>_</v>
      </c>
      <c r="BB80" s="249" t="str">
        <f>_xlfn.IFNA(VLOOKUP(Ruimtestaat[[#This Row],[Programmacode
Regulier]],Programma!$F$4:$Y$36148,20,0),"_")</f>
        <v>_</v>
      </c>
      <c r="BC80" s="250"/>
      <c r="BD80" s="212" t="str">
        <f>IF(Ruimtestaat[[#This Row],[Frequentie weekend]]="","",_xlfn.CONCAT(Ruimtestaat[[#This Row],[Ruimte code]],"-",Ruimtestaat[[#This Row],[Frequentie weekend]]," ",Ruimtestaat[[#This Row],[Vloer code]]))</f>
        <v/>
      </c>
      <c r="BE80" s="247" t="str">
        <f>_xlfn.IFNA(VLOOKUP(Ruimtestaat[[#This Row],[Code Weekend]],Programma!$F$4:$Y$36148,2,0),"_")</f>
        <v>_</v>
      </c>
      <c r="BF80" s="247" t="str">
        <f>_xlfn.IFNA(VLOOKUP(Ruimtestaat[[#This Row],[Code Weekend]],Programma!$F$4:$Y$36148,3,0),"_")</f>
        <v>_</v>
      </c>
      <c r="BG80" s="247" t="str">
        <f>_xlfn.IFNA(VLOOKUP(Ruimtestaat[[#This Row],[Code Weekend]],Programma!$F$4:$Y$36148,4,0),"_")</f>
        <v>_</v>
      </c>
      <c r="BH80" s="247" t="str">
        <f>_xlfn.IFNA(VLOOKUP(Ruimtestaat[[#This Row],[Code Weekend]],Programma!$F$4:$Y$36148,5,0),"_")</f>
        <v>_</v>
      </c>
      <c r="BI80" s="247" t="str">
        <f>_xlfn.IFNA(VLOOKUP(Ruimtestaat[[#This Row],[Code Weekend]],Programma!$F$4:$Y$36148,6,0),"_")</f>
        <v>_</v>
      </c>
      <c r="BJ80" s="247" t="str">
        <f>_xlfn.IFNA(VLOOKUP(Ruimtestaat[[#This Row],[Code Weekend]],Programma!$F$4:$Y$36148,7,0),"_")</f>
        <v>_</v>
      </c>
      <c r="BK80" s="247" t="str">
        <f>_xlfn.IFNA(VLOOKUP(Ruimtestaat[[#This Row],[Code Weekend]],Programma!$F$4:$Y$36148,8,0),"_")</f>
        <v>_</v>
      </c>
      <c r="BL80" s="247" t="str">
        <f>_xlfn.IFNA(VLOOKUP(Ruimtestaat[[#This Row],[Code Weekend]],Programma!$F$4:$Y$36148,9,0),"_")</f>
        <v>_</v>
      </c>
      <c r="BM80" s="248" t="str">
        <f>_xlfn.IFNA(VLOOKUP(Ruimtestaat[[#This Row],[Code Weekend]],Programma!$F$4:$Y$36148,10,0),"_")</f>
        <v>_</v>
      </c>
      <c r="BN80" s="248" t="str">
        <f>_xlfn.IFNA(VLOOKUP(Ruimtestaat[[#This Row],[Code Weekend]],Programma!$F$4:$Y$36148,11,0),"_")</f>
        <v>_</v>
      </c>
      <c r="BO80" s="248" t="str">
        <f>_xlfn.IFNA(VLOOKUP(Ruimtestaat[[#This Row],[Code Weekend]],Programma!$F$4:$Y$36148,12,0),"_")</f>
        <v>_</v>
      </c>
      <c r="BP80" s="248" t="str">
        <f>_xlfn.IFNA(VLOOKUP(Ruimtestaat[[#This Row],[Code Weekend]],Programma!$F$4:$Y$36148,13,0),"_")</f>
        <v>_</v>
      </c>
      <c r="BQ80" s="248" t="str">
        <f>_xlfn.IFNA(VLOOKUP(Ruimtestaat[[#This Row],[Code Weekend]],Programma!$F$4:$Y$36148,14,0),"_")</f>
        <v>_</v>
      </c>
      <c r="BR80" s="248" t="str">
        <f>_xlfn.IFNA(VLOOKUP(Ruimtestaat[[#This Row],[Code Weekend]],Programma!$F$4:$Y$36148,15,0),"_")</f>
        <v>_</v>
      </c>
      <c r="BS80" s="248" t="str">
        <f>_xlfn.IFNA(VLOOKUP(Ruimtestaat[[#This Row],[Code Weekend]],Programma!$F$4:$Y$36148,16,0),"_")</f>
        <v>_</v>
      </c>
      <c r="BT80" s="248" t="str">
        <f>_xlfn.IFNA(VLOOKUP(Ruimtestaat[[#This Row],[Code Weekend]],Programma!$F$4:$Y$36148,17,0),"_")</f>
        <v>_</v>
      </c>
      <c r="BU80" s="249" t="str">
        <f>_xlfn.IFNA(VLOOKUP(Ruimtestaat[[#This Row],[Code Weekend]],Programma!$F$4:$Y$36148,18,0),"_")</f>
        <v>_</v>
      </c>
      <c r="BV80" s="249" t="str">
        <f>_xlfn.IFNA(VLOOKUP(Ruimtestaat[[#This Row],[Code Weekend]],Programma!$F$4:$Y$36148,19,0),"_")</f>
        <v>_</v>
      </c>
      <c r="BW80" s="249" t="str">
        <f>_xlfn.IFNA(VLOOKUP(Ruimtestaat[[#This Row],[Code Weekend]],Programma!$F$4:$Y$36148,20,0),"_")</f>
        <v>_</v>
      </c>
      <c r="HK80" s="88"/>
    </row>
    <row r="81" spans="1:219" ht="12.75" customHeight="1">
      <c r="A81" s="131">
        <v>1</v>
      </c>
      <c r="B81" s="22" t="str">
        <f>VLOOKUP(Ruimtestaat[[#This Row],[Code]],Locaties[#All],2,FALSE)</f>
        <v>ESH Secondary School</v>
      </c>
      <c r="C81" s="22" t="str">
        <f>VLOOKUP(Ruimtestaat[[#This Row],[Code]],Locaties[#All],4,FALSE)</f>
        <v>Oostduinlaan 50</v>
      </c>
      <c r="D81" s="334" t="str">
        <f>VLOOKUP(Ruimtestaat[[#This Row],[Code]],Locaties[#All],5,FALSE)</f>
        <v>2596 JP</v>
      </c>
      <c r="E81" s="334" t="str">
        <f>VLOOKUP(Ruimtestaat[[#This Row],[Code]],Locaties[#All],6,FALSE)</f>
        <v>Den Haag</v>
      </c>
      <c r="F81" s="335"/>
      <c r="G81" s="334" t="s">
        <v>1611</v>
      </c>
      <c r="H81" s="334" t="s">
        <v>1527</v>
      </c>
      <c r="I81" s="335" t="s">
        <v>1508</v>
      </c>
      <c r="J81" s="333">
        <v>16</v>
      </c>
      <c r="K81" s="335" t="str">
        <f>VLOOKUP(J81,Ruimtegroepen[],2,FALSE)</f>
        <v>Leslokalen</v>
      </c>
      <c r="L81" s="212" t="s">
        <v>123</v>
      </c>
      <c r="M81" s="334" t="s">
        <v>144</v>
      </c>
      <c r="N81" s="337">
        <v>53</v>
      </c>
      <c r="O81" s="331"/>
      <c r="P81" s="332" t="str">
        <f>VLOOKUP(Ruimtestaat[[#This Row],[Ruimte code]],Ruimtegroepen[],4,FALSE)</f>
        <v>L  (Lesruimte)</v>
      </c>
      <c r="Q81" s="332"/>
      <c r="R81" s="333">
        <v>40</v>
      </c>
      <c r="S81" s="333" t="s">
        <v>2</v>
      </c>
      <c r="T81" s="37"/>
      <c r="U81" s="37">
        <f>IF(R81&gt;0,IF(RIGHT(Ruimtestaat[[#This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1" s="37">
        <f>IF(U81&gt;0,VLOOKUP($J81,Ruimtegroepen[],3,FALSE)*VLOOKUP($L81,Vloersoorten[],3,FALSE)*VLOOKUP($S81,Frequenties[],3,FALSE)*VLOOKUP($A81,Locaties[],3,FALSE),0)</f>
        <v>0</v>
      </c>
      <c r="W81" s="37">
        <f>Ruimtestaat[[#This Row],[Uitvoeringen werkdagen]]*Ruimtestaat[[#This Row],[Oppervlak (netto)]]</f>
        <v>10600</v>
      </c>
      <c r="X81" s="37">
        <f>IF(V81&gt;0,Ruimtestaat[[#This Row],[Prest. (m2 /jaar) werkdagen]]/Ruimtestaat[[#This Row],[Norm (m2/uur) werkdagen]],0)</f>
        <v>0</v>
      </c>
      <c r="Y81" s="37">
        <f>Ruimtestaat[[#This Row],[uren / jaar werkdagen]]*Tariefsopbouw!$D$38</f>
        <v>0</v>
      </c>
      <c r="Z81" s="37">
        <f>IF(Ruimtestaat[[#This Row],[Frequentie weekend]]&gt;0,VALUE(LEFT(T81,1))*R81,0)</f>
        <v>0</v>
      </c>
      <c r="AA81" s="37">
        <f>IF($Z81&gt;0,VLOOKUP($J81,Ruimtegroepen[],3,FALSE)*VLOOKUP($L81,Vloersoorten[],3,FALSE)*VLOOKUP($T81,Frequenties[],3,FALSE)*VLOOKUP($A81,Locaties[],3,FALSE),0)</f>
        <v>0</v>
      </c>
      <c r="AB81" s="37">
        <f>Ruimtestaat[[#This Row],[Uitvoeringen weekend]]*Ruimtestaat[[#This Row],[Oppervlak (netto)]]</f>
        <v>0</v>
      </c>
      <c r="AC81" s="37">
        <f>IF(AA81&gt;0,Ruimtestaat[[#This Row],[Prest. (m2 /jaar) weekend]]/Ruimtestaat[[#This Row],[Norm (m2/uur) weekend]],0)</f>
        <v>0</v>
      </c>
      <c r="AD81" s="37">
        <f>Ruimtestaat[[#This Row],[uren / jaar weekend]]*Tariefsopbouw!$D$40</f>
        <v>0</v>
      </c>
      <c r="AE81" s="89">
        <f>Ruimtestaat[[#This Row],[Prest. (m2 /jaar) weekend]]+Ruimtestaat[[#This Row],[Prest. (m2 /jaar) werkdagen]]</f>
        <v>10600</v>
      </c>
      <c r="AF81" s="89">
        <f>Ruimtestaat[[#This Row],[uren / jaar weekend]]+Ruimtestaat[[#This Row],[uren / jaar werkdagen]]</f>
        <v>0</v>
      </c>
      <c r="AG81" s="90">
        <f>Ruimtestaat[[#This Row],[kosten / jaar weekend]]+Ruimtestaat[[#This Row],[kosten / jaar werkdagen]]</f>
        <v>0</v>
      </c>
      <c r="AH81" s="253"/>
      <c r="AI81" s="252" t="str">
        <f>IF(Ruimtestaat[[#This Row],[Frequentie werkdagen]]="","",_xlfn.CONCAT(Ruimtestaat[[#This Row],[Ruimte code]],"-",Ruimtestaat[[#This Row],[Frequentie werkdagen]]," ",Ruimtestaat[[#This Row],[Vloer code]]))</f>
        <v>16-5w P</v>
      </c>
      <c r="AJ81" s="247" t="str">
        <f>_xlfn.IFNA(VLOOKUP(Ruimtestaat[[#This Row],[Programmacode
Regulier]],Programma!$F$4:$Y$36148,2,0),"_")</f>
        <v>_</v>
      </c>
      <c r="AK81" s="247" t="str">
        <f>_xlfn.IFNA(VLOOKUP(Ruimtestaat[[#This Row],[Programmacode
Regulier]],Programma!$F$4:$Y$36148,3,0),"_")</f>
        <v>_</v>
      </c>
      <c r="AL81" s="247" t="str">
        <f>_xlfn.IFNA(VLOOKUP(Ruimtestaat[[#This Row],[Programmacode
Regulier]],Programma!$F$4:$Y$36148,4,0),"_")</f>
        <v>5w</v>
      </c>
      <c r="AM81" s="247" t="str">
        <f>_xlfn.IFNA(VLOOKUP(Ruimtestaat[[#This Row],[Programmacode
Regulier]],Programma!$F$4:$Y$36148,5,0),"_")</f>
        <v>1w</v>
      </c>
      <c r="AN81" s="247" t="str">
        <f>_xlfn.IFNA(VLOOKUP(Ruimtestaat[[#This Row],[Programmacode
Regulier]],Programma!$F$4:$Y$36148,6,0),"_")</f>
        <v>1m</v>
      </c>
      <c r="AO81" s="247" t="str">
        <f>_xlfn.IFNA(VLOOKUP(Ruimtestaat[[#This Row],[Programmacode
Regulier]],Programma!$F$4:$Y$36148,7,0),"_")</f>
        <v>_</v>
      </c>
      <c r="AP81" s="247" t="str">
        <f>_xlfn.IFNA(VLOOKUP(Ruimtestaat[[#This Row],[Programmacode
Regulier]],Programma!$F$4:$Y$36148,8,0),"_")</f>
        <v>_</v>
      </c>
      <c r="AQ81" s="247" t="str">
        <f>_xlfn.IFNA(VLOOKUP(Ruimtestaat[[#This Row],[Programmacode
Regulier]],Programma!$F$4:$Y$36148,9,0),"_")</f>
        <v>_</v>
      </c>
      <c r="AR81" s="248" t="str">
        <f>_xlfn.IFNA(VLOOKUP(Ruimtestaat[[#This Row],[Programmacode
Regulier]],Programma!$F$4:$Y$36148,10,0),"_")</f>
        <v>5w</v>
      </c>
      <c r="AS81" s="248" t="str">
        <f>_xlfn.IFNA(VLOOKUP(Ruimtestaat[[#This Row],[Programmacode
Regulier]],Programma!$F$4:$Y$36148,11,0),"_")</f>
        <v>5w</v>
      </c>
      <c r="AT81" s="248" t="str">
        <f>_xlfn.IFNA(VLOOKUP(Ruimtestaat[[#This Row],[Programmacode
Regulier]],Programma!$F$4:$Y$36148,12,0),"_")</f>
        <v>1w</v>
      </c>
      <c r="AU81" s="248" t="str">
        <f>_xlfn.IFNA(VLOOKUP(Ruimtestaat[[#This Row],[Programmacode
Regulier]],Programma!$F$4:$Y$36148,13,0),"_")</f>
        <v>1w</v>
      </c>
      <c r="AV81" s="248" t="str">
        <f>_xlfn.IFNA(VLOOKUP(Ruimtestaat[[#This Row],[Programmacode
Regulier]],Programma!$F$4:$Y$36148,14,0),"_")</f>
        <v>1m</v>
      </c>
      <c r="AW81" s="248" t="str">
        <f>_xlfn.IFNA(VLOOKUP(Ruimtestaat[[#This Row],[Programmacode
Regulier]],Programma!$F$4:$Y$36148,15,0),"_")</f>
        <v>2j</v>
      </c>
      <c r="AX81" s="248" t="str">
        <f>_xlfn.IFNA(VLOOKUP(Ruimtestaat[[#This Row],[Programmacode
Regulier]],Programma!$F$4:$Y$36148,16,0),"_")</f>
        <v>1j</v>
      </c>
      <c r="AY81" s="248" t="str">
        <f>_xlfn.IFNA(VLOOKUP(Ruimtestaat[[#This Row],[Programmacode
Regulier]],Programma!$F$4:$Y$36148,17,0),"_")</f>
        <v>_</v>
      </c>
      <c r="AZ81" s="249" t="str">
        <f>_xlfn.IFNA(VLOOKUP(Ruimtestaat[[#This Row],[Programmacode
Regulier]],Programma!$F$4:$Y$36148,18,0),"_")</f>
        <v>_</v>
      </c>
      <c r="BA81" s="249" t="str">
        <f>_xlfn.IFNA(VLOOKUP(Ruimtestaat[[#This Row],[Programmacode
Regulier]],Programma!$F$4:$Y$36148,19,0),"_")</f>
        <v>_</v>
      </c>
      <c r="BB81" s="249" t="str">
        <f>_xlfn.IFNA(VLOOKUP(Ruimtestaat[[#This Row],[Programmacode
Regulier]],Programma!$F$4:$Y$36148,20,0),"_")</f>
        <v>_</v>
      </c>
      <c r="BC81" s="244"/>
      <c r="BD81" s="212" t="str">
        <f>IF(Ruimtestaat[[#This Row],[Frequentie weekend]]="","",_xlfn.CONCAT(Ruimtestaat[[#This Row],[Ruimte code]],"-",Ruimtestaat[[#This Row],[Frequentie weekend]]," ",Ruimtestaat[[#This Row],[Vloer code]]))</f>
        <v/>
      </c>
      <c r="BE81" s="247" t="str">
        <f>_xlfn.IFNA(VLOOKUP(Ruimtestaat[[#This Row],[Code Weekend]],Programma!$F$4:$Y$36148,2,0),"_")</f>
        <v>_</v>
      </c>
      <c r="BF81" s="247" t="str">
        <f>_xlfn.IFNA(VLOOKUP(Ruimtestaat[[#This Row],[Code Weekend]],Programma!$F$4:$Y$36148,3,0),"_")</f>
        <v>_</v>
      </c>
      <c r="BG81" s="247" t="str">
        <f>_xlfn.IFNA(VLOOKUP(Ruimtestaat[[#This Row],[Code Weekend]],Programma!$F$4:$Y$36148,4,0),"_")</f>
        <v>_</v>
      </c>
      <c r="BH81" s="247" t="str">
        <f>_xlfn.IFNA(VLOOKUP(Ruimtestaat[[#This Row],[Code Weekend]],Programma!$F$4:$Y$36148,5,0),"_")</f>
        <v>_</v>
      </c>
      <c r="BI81" s="247" t="str">
        <f>_xlfn.IFNA(VLOOKUP(Ruimtestaat[[#This Row],[Code Weekend]],Programma!$F$4:$Y$36148,6,0),"_")</f>
        <v>_</v>
      </c>
      <c r="BJ81" s="247" t="str">
        <f>_xlfn.IFNA(VLOOKUP(Ruimtestaat[[#This Row],[Code Weekend]],Programma!$F$4:$Y$36148,7,0),"_")</f>
        <v>_</v>
      </c>
      <c r="BK81" s="247" t="str">
        <f>_xlfn.IFNA(VLOOKUP(Ruimtestaat[[#This Row],[Code Weekend]],Programma!$F$4:$Y$36148,8,0),"_")</f>
        <v>_</v>
      </c>
      <c r="BL81" s="247" t="str">
        <f>_xlfn.IFNA(VLOOKUP(Ruimtestaat[[#This Row],[Code Weekend]],Programma!$F$4:$Y$36148,9,0),"_")</f>
        <v>_</v>
      </c>
      <c r="BM81" s="248" t="str">
        <f>_xlfn.IFNA(VLOOKUP(Ruimtestaat[[#This Row],[Code Weekend]],Programma!$F$4:$Y$36148,10,0),"_")</f>
        <v>_</v>
      </c>
      <c r="BN81" s="248" t="str">
        <f>_xlfn.IFNA(VLOOKUP(Ruimtestaat[[#This Row],[Code Weekend]],Programma!$F$4:$Y$36148,11,0),"_")</f>
        <v>_</v>
      </c>
      <c r="BO81" s="248" t="str">
        <f>_xlfn.IFNA(VLOOKUP(Ruimtestaat[[#This Row],[Code Weekend]],Programma!$F$4:$Y$36148,12,0),"_")</f>
        <v>_</v>
      </c>
      <c r="BP81" s="248" t="str">
        <f>_xlfn.IFNA(VLOOKUP(Ruimtestaat[[#This Row],[Code Weekend]],Programma!$F$4:$Y$36148,13,0),"_")</f>
        <v>_</v>
      </c>
      <c r="BQ81" s="248" t="str">
        <f>_xlfn.IFNA(VLOOKUP(Ruimtestaat[[#This Row],[Code Weekend]],Programma!$F$4:$Y$36148,14,0),"_")</f>
        <v>_</v>
      </c>
      <c r="BR81" s="248" t="str">
        <f>_xlfn.IFNA(VLOOKUP(Ruimtestaat[[#This Row],[Code Weekend]],Programma!$F$4:$Y$36148,15,0),"_")</f>
        <v>_</v>
      </c>
      <c r="BS81" s="248" t="str">
        <f>_xlfn.IFNA(VLOOKUP(Ruimtestaat[[#This Row],[Code Weekend]],Programma!$F$4:$Y$36148,16,0),"_")</f>
        <v>_</v>
      </c>
      <c r="BT81" s="248" t="str">
        <f>_xlfn.IFNA(VLOOKUP(Ruimtestaat[[#This Row],[Code Weekend]],Programma!$F$4:$Y$36148,17,0),"_")</f>
        <v>_</v>
      </c>
      <c r="BU81" s="249" t="str">
        <f>_xlfn.IFNA(VLOOKUP(Ruimtestaat[[#This Row],[Code Weekend]],Programma!$F$4:$Y$36148,18,0),"_")</f>
        <v>_</v>
      </c>
      <c r="BV81" s="249" t="str">
        <f>_xlfn.IFNA(VLOOKUP(Ruimtestaat[[#This Row],[Code Weekend]],Programma!$F$4:$Y$36148,19,0),"_")</f>
        <v>_</v>
      </c>
      <c r="BW81" s="249" t="str">
        <f>_xlfn.IFNA(VLOOKUP(Ruimtestaat[[#This Row],[Code Weekend]],Programma!$F$4:$Y$36148,20,0),"_")</f>
        <v>_</v>
      </c>
      <c r="HK81" s="88"/>
    </row>
    <row r="82" spans="1:219" ht="12.75" customHeight="1">
      <c r="A82" s="131">
        <v>1</v>
      </c>
      <c r="B82" s="22" t="str">
        <f>VLOOKUP(Ruimtestaat[[#This Row],[Code]],Locaties[#All],2,FALSE)</f>
        <v>ESH Secondary School</v>
      </c>
      <c r="C82" s="22" t="str">
        <f>VLOOKUP(Ruimtestaat[[#This Row],[Code]],Locaties[#All],4,FALSE)</f>
        <v>Oostduinlaan 50</v>
      </c>
      <c r="D82" s="334" t="str">
        <f>VLOOKUP(Ruimtestaat[[#This Row],[Code]],Locaties[#All],5,FALSE)</f>
        <v>2596 JP</v>
      </c>
      <c r="E82" s="334" t="str">
        <f>VLOOKUP(Ruimtestaat[[#This Row],[Code]],Locaties[#All],6,FALSE)</f>
        <v>Den Haag</v>
      </c>
      <c r="F82" s="335"/>
      <c r="G82" s="334" t="s">
        <v>1611</v>
      </c>
      <c r="H82" s="334" t="s">
        <v>1528</v>
      </c>
      <c r="I82" s="335" t="s">
        <v>1509</v>
      </c>
      <c r="J82" s="328">
        <v>2</v>
      </c>
      <c r="K82" s="335" t="str">
        <f>VLOOKUP(J82,Ruimtegroepen[],2,FALSE)</f>
        <v>Kantoren</v>
      </c>
      <c r="L82" s="212" t="s">
        <v>123</v>
      </c>
      <c r="M82" s="334" t="s">
        <v>144</v>
      </c>
      <c r="N82" s="337">
        <v>18</v>
      </c>
      <c r="O82" s="331"/>
      <c r="P82" s="332" t="str">
        <f>VLOOKUP(Ruimtestaat[[#This Row],[Ruimte code]],Ruimtegroepen[],4,FALSE)</f>
        <v>B  (Bureauruimte)</v>
      </c>
      <c r="Q82" s="332"/>
      <c r="R82" s="333">
        <v>40</v>
      </c>
      <c r="S82" s="333" t="s">
        <v>2</v>
      </c>
      <c r="T82" s="37"/>
      <c r="U82" s="37">
        <f>IF(R82&gt;0,IF(RIGHT(Ruimtestaat[[#This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2" s="37">
        <f>IF(U82&gt;0,VLOOKUP($J82,Ruimtegroepen[],3,FALSE)*VLOOKUP($L82,Vloersoorten[],3,FALSE)*VLOOKUP($S82,Frequenties[],3,FALSE)*VLOOKUP($A82,Locaties[],3,FALSE),0)</f>
        <v>0</v>
      </c>
      <c r="W82" s="37">
        <f>Ruimtestaat[[#This Row],[Uitvoeringen werkdagen]]*Ruimtestaat[[#This Row],[Oppervlak (netto)]]</f>
        <v>3600</v>
      </c>
      <c r="X82" s="37">
        <f>IF(V82&gt;0,Ruimtestaat[[#This Row],[Prest. (m2 /jaar) werkdagen]]/Ruimtestaat[[#This Row],[Norm (m2/uur) werkdagen]],0)</f>
        <v>0</v>
      </c>
      <c r="Y82" s="37">
        <f>Ruimtestaat[[#This Row],[uren / jaar werkdagen]]*Tariefsopbouw!$D$38</f>
        <v>0</v>
      </c>
      <c r="Z82" s="37">
        <f>IF(Ruimtestaat[[#This Row],[Frequentie weekend]]&gt;0,VALUE(LEFT(T82,1))*R82,0)</f>
        <v>0</v>
      </c>
      <c r="AA82" s="37">
        <f>IF($Z82&gt;0,VLOOKUP($J82,Ruimtegroepen[],3,FALSE)*VLOOKUP($L82,Vloersoorten[],3,FALSE)*VLOOKUP($T82,Frequenties[],3,FALSE)*VLOOKUP($A82,Locaties[],3,FALSE),0)</f>
        <v>0</v>
      </c>
      <c r="AB82" s="37">
        <f>Ruimtestaat[[#This Row],[Uitvoeringen weekend]]*Ruimtestaat[[#This Row],[Oppervlak (netto)]]</f>
        <v>0</v>
      </c>
      <c r="AC82" s="37">
        <f>IF(AA82&gt;0,Ruimtestaat[[#This Row],[Prest. (m2 /jaar) weekend]]/Ruimtestaat[[#This Row],[Norm (m2/uur) weekend]],0)</f>
        <v>0</v>
      </c>
      <c r="AD82" s="37">
        <f>Ruimtestaat[[#This Row],[uren / jaar weekend]]*Tariefsopbouw!$D$40</f>
        <v>0</v>
      </c>
      <c r="AE82" s="89">
        <f>Ruimtestaat[[#This Row],[Prest. (m2 /jaar) weekend]]+Ruimtestaat[[#This Row],[Prest. (m2 /jaar) werkdagen]]</f>
        <v>3600</v>
      </c>
      <c r="AF82" s="89">
        <f>Ruimtestaat[[#This Row],[uren / jaar weekend]]+Ruimtestaat[[#This Row],[uren / jaar werkdagen]]</f>
        <v>0</v>
      </c>
      <c r="AG82" s="90">
        <f>Ruimtestaat[[#This Row],[kosten / jaar weekend]]+Ruimtestaat[[#This Row],[kosten / jaar werkdagen]]</f>
        <v>0</v>
      </c>
      <c r="AH82" s="253"/>
      <c r="AI82" s="252" t="str">
        <f>IF(Ruimtestaat[[#This Row],[Frequentie werkdagen]]="","",_xlfn.CONCAT(Ruimtestaat[[#This Row],[Ruimte code]],"-",Ruimtestaat[[#This Row],[Frequentie werkdagen]]," ",Ruimtestaat[[#This Row],[Vloer code]]))</f>
        <v>2-5w P</v>
      </c>
      <c r="AJ82" s="247" t="str">
        <f>_xlfn.IFNA(VLOOKUP(Ruimtestaat[[#This Row],[Programmacode
Regulier]],Programma!$F$4:$Y$36148,2,0),"_")</f>
        <v>_</v>
      </c>
      <c r="AK82" s="247" t="str">
        <f>_xlfn.IFNA(VLOOKUP(Ruimtestaat[[#This Row],[Programmacode
Regulier]],Programma!$F$4:$Y$36148,3,0),"_")</f>
        <v>_</v>
      </c>
      <c r="AL82" s="247" t="str">
        <f>_xlfn.IFNA(VLOOKUP(Ruimtestaat[[#This Row],[Programmacode
Regulier]],Programma!$F$4:$Y$36148,4,0),"_")</f>
        <v>5w</v>
      </c>
      <c r="AM82" s="247" t="str">
        <f>_xlfn.IFNA(VLOOKUP(Ruimtestaat[[#This Row],[Programmacode
Regulier]],Programma!$F$4:$Y$36148,5,0),"_")</f>
        <v>1w</v>
      </c>
      <c r="AN82" s="247" t="str">
        <f>_xlfn.IFNA(VLOOKUP(Ruimtestaat[[#This Row],[Programmacode
Regulier]],Programma!$F$4:$Y$36148,6,0),"_")</f>
        <v>1m</v>
      </c>
      <c r="AO82" s="247" t="str">
        <f>_xlfn.IFNA(VLOOKUP(Ruimtestaat[[#This Row],[Programmacode
Regulier]],Programma!$F$4:$Y$36148,7,0),"_")</f>
        <v>_</v>
      </c>
      <c r="AP82" s="247" t="str">
        <f>_xlfn.IFNA(VLOOKUP(Ruimtestaat[[#This Row],[Programmacode
Regulier]],Programma!$F$4:$Y$36148,8,0),"_")</f>
        <v>_</v>
      </c>
      <c r="AQ82" s="247" t="str">
        <f>_xlfn.IFNA(VLOOKUP(Ruimtestaat[[#This Row],[Programmacode
Regulier]],Programma!$F$4:$Y$36148,9,0),"_")</f>
        <v>_</v>
      </c>
      <c r="AR82" s="248" t="str">
        <f>_xlfn.IFNA(VLOOKUP(Ruimtestaat[[#This Row],[Programmacode
Regulier]],Programma!$F$4:$Y$36148,10,0),"_")</f>
        <v>5w</v>
      </c>
      <c r="AS82" s="248" t="str">
        <f>_xlfn.IFNA(VLOOKUP(Ruimtestaat[[#This Row],[Programmacode
Regulier]],Programma!$F$4:$Y$36148,11,0),"_")</f>
        <v>5w</v>
      </c>
      <c r="AT82" s="248" t="str">
        <f>_xlfn.IFNA(VLOOKUP(Ruimtestaat[[#This Row],[Programmacode
Regulier]],Programma!$F$4:$Y$36148,12,0),"_")</f>
        <v>1w</v>
      </c>
      <c r="AU82" s="248" t="str">
        <f>_xlfn.IFNA(VLOOKUP(Ruimtestaat[[#This Row],[Programmacode
Regulier]],Programma!$F$4:$Y$36148,13,0),"_")</f>
        <v>1w</v>
      </c>
      <c r="AV82" s="248" t="str">
        <f>_xlfn.IFNA(VLOOKUP(Ruimtestaat[[#This Row],[Programmacode
Regulier]],Programma!$F$4:$Y$36148,14,0),"_")</f>
        <v>1m</v>
      </c>
      <c r="AW82" s="248" t="str">
        <f>_xlfn.IFNA(VLOOKUP(Ruimtestaat[[#This Row],[Programmacode
Regulier]],Programma!$F$4:$Y$36148,15,0),"_")</f>
        <v>2j</v>
      </c>
      <c r="AX82" s="248" t="str">
        <f>_xlfn.IFNA(VLOOKUP(Ruimtestaat[[#This Row],[Programmacode
Regulier]],Programma!$F$4:$Y$36148,16,0),"_")</f>
        <v>1j</v>
      </c>
      <c r="AY82" s="248" t="str">
        <f>_xlfn.IFNA(VLOOKUP(Ruimtestaat[[#This Row],[Programmacode
Regulier]],Programma!$F$4:$Y$36148,17,0),"_")</f>
        <v>_</v>
      </c>
      <c r="AZ82" s="249" t="str">
        <f>_xlfn.IFNA(VLOOKUP(Ruimtestaat[[#This Row],[Programmacode
Regulier]],Programma!$F$4:$Y$36148,18,0),"_")</f>
        <v>_</v>
      </c>
      <c r="BA82" s="249" t="str">
        <f>_xlfn.IFNA(VLOOKUP(Ruimtestaat[[#This Row],[Programmacode
Regulier]],Programma!$F$4:$Y$36148,19,0),"_")</f>
        <v>_</v>
      </c>
      <c r="BB82" s="249" t="str">
        <f>_xlfn.IFNA(VLOOKUP(Ruimtestaat[[#This Row],[Programmacode
Regulier]],Programma!$F$4:$Y$36148,20,0),"_")</f>
        <v>_</v>
      </c>
      <c r="BC82" s="250"/>
      <c r="BD82" s="212" t="str">
        <f>IF(Ruimtestaat[[#This Row],[Frequentie weekend]]="","",_xlfn.CONCAT(Ruimtestaat[[#This Row],[Ruimte code]],"-",Ruimtestaat[[#This Row],[Frequentie weekend]]," ",Ruimtestaat[[#This Row],[Vloer code]]))</f>
        <v/>
      </c>
      <c r="BE82" s="247" t="str">
        <f>_xlfn.IFNA(VLOOKUP(Ruimtestaat[[#This Row],[Code Weekend]],Programma!$F$4:$Y$36148,2,0),"_")</f>
        <v>_</v>
      </c>
      <c r="BF82" s="247" t="str">
        <f>_xlfn.IFNA(VLOOKUP(Ruimtestaat[[#This Row],[Code Weekend]],Programma!$F$4:$Y$36148,3,0),"_")</f>
        <v>_</v>
      </c>
      <c r="BG82" s="247" t="str">
        <f>_xlfn.IFNA(VLOOKUP(Ruimtestaat[[#This Row],[Code Weekend]],Programma!$F$4:$Y$36148,4,0),"_")</f>
        <v>_</v>
      </c>
      <c r="BH82" s="247" t="str">
        <f>_xlfn.IFNA(VLOOKUP(Ruimtestaat[[#This Row],[Code Weekend]],Programma!$F$4:$Y$36148,5,0),"_")</f>
        <v>_</v>
      </c>
      <c r="BI82" s="247" t="str">
        <f>_xlfn.IFNA(VLOOKUP(Ruimtestaat[[#This Row],[Code Weekend]],Programma!$F$4:$Y$36148,6,0),"_")</f>
        <v>_</v>
      </c>
      <c r="BJ82" s="247" t="str">
        <f>_xlfn.IFNA(VLOOKUP(Ruimtestaat[[#This Row],[Code Weekend]],Programma!$F$4:$Y$36148,7,0),"_")</f>
        <v>_</v>
      </c>
      <c r="BK82" s="247" t="str">
        <f>_xlfn.IFNA(VLOOKUP(Ruimtestaat[[#This Row],[Code Weekend]],Programma!$F$4:$Y$36148,8,0),"_")</f>
        <v>_</v>
      </c>
      <c r="BL82" s="247" t="str">
        <f>_xlfn.IFNA(VLOOKUP(Ruimtestaat[[#This Row],[Code Weekend]],Programma!$F$4:$Y$36148,9,0),"_")</f>
        <v>_</v>
      </c>
      <c r="BM82" s="248" t="str">
        <f>_xlfn.IFNA(VLOOKUP(Ruimtestaat[[#This Row],[Code Weekend]],Programma!$F$4:$Y$36148,10,0),"_")</f>
        <v>_</v>
      </c>
      <c r="BN82" s="248" t="str">
        <f>_xlfn.IFNA(VLOOKUP(Ruimtestaat[[#This Row],[Code Weekend]],Programma!$F$4:$Y$36148,11,0),"_")</f>
        <v>_</v>
      </c>
      <c r="BO82" s="248" t="str">
        <f>_xlfn.IFNA(VLOOKUP(Ruimtestaat[[#This Row],[Code Weekend]],Programma!$F$4:$Y$36148,12,0),"_")</f>
        <v>_</v>
      </c>
      <c r="BP82" s="248" t="str">
        <f>_xlfn.IFNA(VLOOKUP(Ruimtestaat[[#This Row],[Code Weekend]],Programma!$F$4:$Y$36148,13,0),"_")</f>
        <v>_</v>
      </c>
      <c r="BQ82" s="248" t="str">
        <f>_xlfn.IFNA(VLOOKUP(Ruimtestaat[[#This Row],[Code Weekend]],Programma!$F$4:$Y$36148,14,0),"_")</f>
        <v>_</v>
      </c>
      <c r="BR82" s="248" t="str">
        <f>_xlfn.IFNA(VLOOKUP(Ruimtestaat[[#This Row],[Code Weekend]],Programma!$F$4:$Y$36148,15,0),"_")</f>
        <v>_</v>
      </c>
      <c r="BS82" s="248" t="str">
        <f>_xlfn.IFNA(VLOOKUP(Ruimtestaat[[#This Row],[Code Weekend]],Programma!$F$4:$Y$36148,16,0),"_")</f>
        <v>_</v>
      </c>
      <c r="BT82" s="248" t="str">
        <f>_xlfn.IFNA(VLOOKUP(Ruimtestaat[[#This Row],[Code Weekend]],Programma!$F$4:$Y$36148,17,0),"_")</f>
        <v>_</v>
      </c>
      <c r="BU82" s="249" t="str">
        <f>_xlfn.IFNA(VLOOKUP(Ruimtestaat[[#This Row],[Code Weekend]],Programma!$F$4:$Y$36148,18,0),"_")</f>
        <v>_</v>
      </c>
      <c r="BV82" s="249" t="str">
        <f>_xlfn.IFNA(VLOOKUP(Ruimtestaat[[#This Row],[Code Weekend]],Programma!$F$4:$Y$36148,19,0),"_")</f>
        <v>_</v>
      </c>
      <c r="BW82" s="249" t="str">
        <f>_xlfn.IFNA(VLOOKUP(Ruimtestaat[[#This Row],[Code Weekend]],Programma!$F$4:$Y$36148,20,0),"_")</f>
        <v>_</v>
      </c>
      <c r="HK82" s="88"/>
    </row>
    <row r="83" spans="1:219" ht="12.75" customHeight="1">
      <c r="A83" s="131">
        <v>1</v>
      </c>
      <c r="B83" s="22" t="str">
        <f>VLOOKUP(Ruimtestaat[[#This Row],[Code]],Locaties[#All],2,FALSE)</f>
        <v>ESH Secondary School</v>
      </c>
      <c r="C83" s="22" t="str">
        <f>VLOOKUP(Ruimtestaat[[#This Row],[Code]],Locaties[#All],4,FALSE)</f>
        <v>Oostduinlaan 50</v>
      </c>
      <c r="D83" s="334" t="str">
        <f>VLOOKUP(Ruimtestaat[[#This Row],[Code]],Locaties[#All],5,FALSE)</f>
        <v>2596 JP</v>
      </c>
      <c r="E83" s="334" t="str">
        <f>VLOOKUP(Ruimtestaat[[#This Row],[Code]],Locaties[#All],6,FALSE)</f>
        <v>Den Haag</v>
      </c>
      <c r="F83" s="335"/>
      <c r="G83" s="334" t="s">
        <v>1611</v>
      </c>
      <c r="H83" s="334" t="s">
        <v>1529</v>
      </c>
      <c r="I83" s="335" t="s">
        <v>1397</v>
      </c>
      <c r="J83" s="328">
        <v>21</v>
      </c>
      <c r="K83" s="335" t="str">
        <f>VLOOKUP(J83,Ruimtegroepen[],2,FALSE)</f>
        <v>Niet in onderhoud</v>
      </c>
      <c r="L83" s="333"/>
      <c r="M83" s="334"/>
      <c r="N83" s="337"/>
      <c r="O83" s="331">
        <v>10</v>
      </c>
      <c r="P83" s="332" t="str">
        <f>VLOOKUP(Ruimtestaat[[#This Row],[Ruimte code]],Ruimtegroepen[],4,FALSE)</f>
        <v>NIO</v>
      </c>
      <c r="Q83" s="332"/>
      <c r="R83" s="333"/>
      <c r="S83" s="333"/>
      <c r="T83" s="37"/>
      <c r="U83" s="37">
        <f>IF(R83&gt;0,IF(RIGHT(Ruimtestaat[[#This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83" s="37">
        <f>IF(U83&gt;0,VLOOKUP($J83,Ruimtegroepen[],3,FALSE)*VLOOKUP($L83,Vloersoorten[],3,FALSE)*VLOOKUP($S83,Frequenties[],3,FALSE)*VLOOKUP($A83,Locaties[],3,FALSE),0)</f>
        <v>0</v>
      </c>
      <c r="W83" s="37">
        <f>Ruimtestaat[[#This Row],[Uitvoeringen werkdagen]]*Ruimtestaat[[#This Row],[Oppervlak (netto)]]</f>
        <v>0</v>
      </c>
      <c r="X83" s="37">
        <f>IF(V83&gt;0,Ruimtestaat[[#This Row],[Prest. (m2 /jaar) werkdagen]]/Ruimtestaat[[#This Row],[Norm (m2/uur) werkdagen]],0)</f>
        <v>0</v>
      </c>
      <c r="Y83" s="37">
        <f>Ruimtestaat[[#This Row],[uren / jaar werkdagen]]*Tariefsopbouw!$D$38</f>
        <v>0</v>
      </c>
      <c r="Z83" s="37">
        <f>IF(Ruimtestaat[[#This Row],[Frequentie weekend]]&gt;0,VALUE(LEFT(T83,1))*R83,0)</f>
        <v>0</v>
      </c>
      <c r="AA83" s="37">
        <f>IF($Z83&gt;0,VLOOKUP($J83,Ruimtegroepen[],3,FALSE)*VLOOKUP($L83,Vloersoorten[],3,FALSE)*VLOOKUP($T83,Frequenties[],3,FALSE)*VLOOKUP($A83,Locaties[],3,FALSE),0)</f>
        <v>0</v>
      </c>
      <c r="AB83" s="37">
        <f>Ruimtestaat[[#This Row],[Uitvoeringen weekend]]*Ruimtestaat[[#This Row],[Oppervlak (netto)]]</f>
        <v>0</v>
      </c>
      <c r="AC83" s="37">
        <f>IF(AA83&gt;0,Ruimtestaat[[#This Row],[Prest. (m2 /jaar) weekend]]/Ruimtestaat[[#This Row],[Norm (m2/uur) weekend]],0)</f>
        <v>0</v>
      </c>
      <c r="AD83" s="37">
        <f>Ruimtestaat[[#This Row],[uren / jaar weekend]]*Tariefsopbouw!$D$40</f>
        <v>0</v>
      </c>
      <c r="AE83" s="89">
        <f>Ruimtestaat[[#This Row],[Prest. (m2 /jaar) weekend]]+Ruimtestaat[[#This Row],[Prest. (m2 /jaar) werkdagen]]</f>
        <v>0</v>
      </c>
      <c r="AF83" s="89">
        <f>Ruimtestaat[[#This Row],[uren / jaar weekend]]+Ruimtestaat[[#This Row],[uren / jaar werkdagen]]</f>
        <v>0</v>
      </c>
      <c r="AG83" s="90">
        <f>Ruimtestaat[[#This Row],[kosten / jaar weekend]]+Ruimtestaat[[#This Row],[kosten / jaar werkdagen]]</f>
        <v>0</v>
      </c>
      <c r="AH83" s="253"/>
      <c r="AI83" s="252" t="str">
        <f>IF(Ruimtestaat[[#This Row],[Frequentie werkdagen]]="","",_xlfn.CONCAT(Ruimtestaat[[#This Row],[Ruimte code]],"-",Ruimtestaat[[#This Row],[Frequentie werkdagen]]," ",Ruimtestaat[[#This Row],[Vloer code]]))</f>
        <v/>
      </c>
      <c r="AJ83" s="247" t="str">
        <f>_xlfn.IFNA(VLOOKUP(Ruimtestaat[[#This Row],[Programmacode
Regulier]],Programma!$F$4:$Y$36148,2,0),"_")</f>
        <v>_</v>
      </c>
      <c r="AK83" s="247" t="str">
        <f>_xlfn.IFNA(VLOOKUP(Ruimtestaat[[#This Row],[Programmacode
Regulier]],Programma!$F$4:$Y$36148,3,0),"_")</f>
        <v>_</v>
      </c>
      <c r="AL83" s="247" t="str">
        <f>_xlfn.IFNA(VLOOKUP(Ruimtestaat[[#This Row],[Programmacode
Regulier]],Programma!$F$4:$Y$36148,4,0),"_")</f>
        <v>_</v>
      </c>
      <c r="AM83" s="247" t="str">
        <f>_xlfn.IFNA(VLOOKUP(Ruimtestaat[[#This Row],[Programmacode
Regulier]],Programma!$F$4:$Y$36148,5,0),"_")</f>
        <v>_</v>
      </c>
      <c r="AN83" s="247" t="str">
        <f>_xlfn.IFNA(VLOOKUP(Ruimtestaat[[#This Row],[Programmacode
Regulier]],Programma!$F$4:$Y$36148,6,0),"_")</f>
        <v>_</v>
      </c>
      <c r="AO83" s="247" t="str">
        <f>_xlfn.IFNA(VLOOKUP(Ruimtestaat[[#This Row],[Programmacode
Regulier]],Programma!$F$4:$Y$36148,7,0),"_")</f>
        <v>_</v>
      </c>
      <c r="AP83" s="247" t="str">
        <f>_xlfn.IFNA(VLOOKUP(Ruimtestaat[[#This Row],[Programmacode
Regulier]],Programma!$F$4:$Y$36148,8,0),"_")</f>
        <v>_</v>
      </c>
      <c r="AQ83" s="247" t="str">
        <f>_xlfn.IFNA(VLOOKUP(Ruimtestaat[[#This Row],[Programmacode
Regulier]],Programma!$F$4:$Y$36148,9,0),"_")</f>
        <v>_</v>
      </c>
      <c r="AR83" s="248" t="str">
        <f>_xlfn.IFNA(VLOOKUP(Ruimtestaat[[#This Row],[Programmacode
Regulier]],Programma!$F$4:$Y$36148,10,0),"_")</f>
        <v>_</v>
      </c>
      <c r="AS83" s="248" t="str">
        <f>_xlfn.IFNA(VLOOKUP(Ruimtestaat[[#This Row],[Programmacode
Regulier]],Programma!$F$4:$Y$36148,11,0),"_")</f>
        <v>_</v>
      </c>
      <c r="AT83" s="248" t="str">
        <f>_xlfn.IFNA(VLOOKUP(Ruimtestaat[[#This Row],[Programmacode
Regulier]],Programma!$F$4:$Y$36148,12,0),"_")</f>
        <v>_</v>
      </c>
      <c r="AU83" s="248" t="str">
        <f>_xlfn.IFNA(VLOOKUP(Ruimtestaat[[#This Row],[Programmacode
Regulier]],Programma!$F$4:$Y$36148,13,0),"_")</f>
        <v>_</v>
      </c>
      <c r="AV83" s="248" t="str">
        <f>_xlfn.IFNA(VLOOKUP(Ruimtestaat[[#This Row],[Programmacode
Regulier]],Programma!$F$4:$Y$36148,14,0),"_")</f>
        <v>_</v>
      </c>
      <c r="AW83" s="248" t="str">
        <f>_xlfn.IFNA(VLOOKUP(Ruimtestaat[[#This Row],[Programmacode
Regulier]],Programma!$F$4:$Y$36148,15,0),"_")</f>
        <v>_</v>
      </c>
      <c r="AX83" s="248" t="str">
        <f>_xlfn.IFNA(VLOOKUP(Ruimtestaat[[#This Row],[Programmacode
Regulier]],Programma!$F$4:$Y$36148,16,0),"_")</f>
        <v>_</v>
      </c>
      <c r="AY83" s="248" t="str">
        <f>_xlfn.IFNA(VLOOKUP(Ruimtestaat[[#This Row],[Programmacode
Regulier]],Programma!$F$4:$Y$36148,17,0),"_")</f>
        <v>_</v>
      </c>
      <c r="AZ83" s="249" t="str">
        <f>_xlfn.IFNA(VLOOKUP(Ruimtestaat[[#This Row],[Programmacode
Regulier]],Programma!$F$4:$Y$36148,18,0),"_")</f>
        <v>_</v>
      </c>
      <c r="BA83" s="249" t="str">
        <f>_xlfn.IFNA(VLOOKUP(Ruimtestaat[[#This Row],[Programmacode
Regulier]],Programma!$F$4:$Y$36148,19,0),"_")</f>
        <v>_</v>
      </c>
      <c r="BB83" s="249" t="str">
        <f>_xlfn.IFNA(VLOOKUP(Ruimtestaat[[#This Row],[Programmacode
Regulier]],Programma!$F$4:$Y$36148,20,0),"_")</f>
        <v>_</v>
      </c>
      <c r="BC83" s="250"/>
      <c r="BD83" s="212" t="str">
        <f>IF(Ruimtestaat[[#This Row],[Frequentie weekend]]="","",_xlfn.CONCAT(Ruimtestaat[[#This Row],[Ruimte code]],"-",Ruimtestaat[[#This Row],[Frequentie weekend]]," ",Ruimtestaat[[#This Row],[Vloer code]]))</f>
        <v/>
      </c>
      <c r="BE83" s="247" t="str">
        <f>_xlfn.IFNA(VLOOKUP(Ruimtestaat[[#This Row],[Code Weekend]],Programma!$F$4:$Y$36148,2,0),"_")</f>
        <v>_</v>
      </c>
      <c r="BF83" s="247" t="str">
        <f>_xlfn.IFNA(VLOOKUP(Ruimtestaat[[#This Row],[Code Weekend]],Programma!$F$4:$Y$36148,3,0),"_")</f>
        <v>_</v>
      </c>
      <c r="BG83" s="247" t="str">
        <f>_xlfn.IFNA(VLOOKUP(Ruimtestaat[[#This Row],[Code Weekend]],Programma!$F$4:$Y$36148,4,0),"_")</f>
        <v>_</v>
      </c>
      <c r="BH83" s="247" t="str">
        <f>_xlfn.IFNA(VLOOKUP(Ruimtestaat[[#This Row],[Code Weekend]],Programma!$F$4:$Y$36148,5,0),"_")</f>
        <v>_</v>
      </c>
      <c r="BI83" s="247" t="str">
        <f>_xlfn.IFNA(VLOOKUP(Ruimtestaat[[#This Row],[Code Weekend]],Programma!$F$4:$Y$36148,6,0),"_")</f>
        <v>_</v>
      </c>
      <c r="BJ83" s="247" t="str">
        <f>_xlfn.IFNA(VLOOKUP(Ruimtestaat[[#This Row],[Code Weekend]],Programma!$F$4:$Y$36148,7,0),"_")</f>
        <v>_</v>
      </c>
      <c r="BK83" s="247" t="str">
        <f>_xlfn.IFNA(VLOOKUP(Ruimtestaat[[#This Row],[Code Weekend]],Programma!$F$4:$Y$36148,8,0),"_")</f>
        <v>_</v>
      </c>
      <c r="BL83" s="247" t="str">
        <f>_xlfn.IFNA(VLOOKUP(Ruimtestaat[[#This Row],[Code Weekend]],Programma!$F$4:$Y$36148,9,0),"_")</f>
        <v>_</v>
      </c>
      <c r="BM83" s="248" t="str">
        <f>_xlfn.IFNA(VLOOKUP(Ruimtestaat[[#This Row],[Code Weekend]],Programma!$F$4:$Y$36148,10,0),"_")</f>
        <v>_</v>
      </c>
      <c r="BN83" s="248" t="str">
        <f>_xlfn.IFNA(VLOOKUP(Ruimtestaat[[#This Row],[Code Weekend]],Programma!$F$4:$Y$36148,11,0),"_")</f>
        <v>_</v>
      </c>
      <c r="BO83" s="248" t="str">
        <f>_xlfn.IFNA(VLOOKUP(Ruimtestaat[[#This Row],[Code Weekend]],Programma!$F$4:$Y$36148,12,0),"_")</f>
        <v>_</v>
      </c>
      <c r="BP83" s="248" t="str">
        <f>_xlfn.IFNA(VLOOKUP(Ruimtestaat[[#This Row],[Code Weekend]],Programma!$F$4:$Y$36148,13,0),"_")</f>
        <v>_</v>
      </c>
      <c r="BQ83" s="248" t="str">
        <f>_xlfn.IFNA(VLOOKUP(Ruimtestaat[[#This Row],[Code Weekend]],Programma!$F$4:$Y$36148,14,0),"_")</f>
        <v>_</v>
      </c>
      <c r="BR83" s="248" t="str">
        <f>_xlfn.IFNA(VLOOKUP(Ruimtestaat[[#This Row],[Code Weekend]],Programma!$F$4:$Y$36148,15,0),"_")</f>
        <v>_</v>
      </c>
      <c r="BS83" s="248" t="str">
        <f>_xlfn.IFNA(VLOOKUP(Ruimtestaat[[#This Row],[Code Weekend]],Programma!$F$4:$Y$36148,16,0),"_")</f>
        <v>_</v>
      </c>
      <c r="BT83" s="248" t="str">
        <f>_xlfn.IFNA(VLOOKUP(Ruimtestaat[[#This Row],[Code Weekend]],Programma!$F$4:$Y$36148,17,0),"_")</f>
        <v>_</v>
      </c>
      <c r="BU83" s="249" t="str">
        <f>_xlfn.IFNA(VLOOKUP(Ruimtestaat[[#This Row],[Code Weekend]],Programma!$F$4:$Y$36148,18,0),"_")</f>
        <v>_</v>
      </c>
      <c r="BV83" s="249" t="str">
        <f>_xlfn.IFNA(VLOOKUP(Ruimtestaat[[#This Row],[Code Weekend]],Programma!$F$4:$Y$36148,19,0),"_")</f>
        <v>_</v>
      </c>
      <c r="BW83" s="249" t="str">
        <f>_xlfn.IFNA(VLOOKUP(Ruimtestaat[[#This Row],[Code Weekend]],Programma!$F$4:$Y$36148,20,0),"_")</f>
        <v>_</v>
      </c>
      <c r="HK83" s="88"/>
    </row>
    <row r="84" spans="1:219" ht="12.75" customHeight="1">
      <c r="A84" s="131">
        <v>1</v>
      </c>
      <c r="B84" s="22" t="str">
        <f>VLOOKUP(Ruimtestaat[[#This Row],[Code]],Locaties[#All],2,FALSE)</f>
        <v>ESH Secondary School</v>
      </c>
      <c r="C84" s="22" t="str">
        <f>VLOOKUP(Ruimtestaat[[#This Row],[Code]],Locaties[#All],4,FALSE)</f>
        <v>Oostduinlaan 50</v>
      </c>
      <c r="D84" s="334" t="str">
        <f>VLOOKUP(Ruimtestaat[[#This Row],[Code]],Locaties[#All],5,FALSE)</f>
        <v>2596 JP</v>
      </c>
      <c r="E84" s="334" t="str">
        <f>VLOOKUP(Ruimtestaat[[#This Row],[Code]],Locaties[#All],6,FALSE)</f>
        <v>Den Haag</v>
      </c>
      <c r="F84" s="335"/>
      <c r="G84" s="334" t="s">
        <v>1611</v>
      </c>
      <c r="H84" s="334" t="s">
        <v>1530</v>
      </c>
      <c r="I84" s="335" t="s">
        <v>1759</v>
      </c>
      <c r="J84" s="334" t="s">
        <v>1760</v>
      </c>
      <c r="K84" s="335" t="s">
        <v>282</v>
      </c>
      <c r="L84" s="212" t="s">
        <v>123</v>
      </c>
      <c r="M84" s="334" t="s">
        <v>144</v>
      </c>
      <c r="N84" s="337">
        <v>9</v>
      </c>
      <c r="O84" s="331"/>
      <c r="P84" s="332" t="str">
        <f>VLOOKUP(Ruimtestaat[[#This Row],[Ruimte code]],Ruimtegroepen[],4,FALSE)</f>
        <v>L  (Lesruimte)</v>
      </c>
      <c r="Q84" s="332"/>
      <c r="R84" s="333">
        <v>40</v>
      </c>
      <c r="S84" s="333" t="s">
        <v>2</v>
      </c>
      <c r="T84" s="37"/>
      <c r="U84" s="37">
        <f>IF(R84&gt;0,IF(RIGHT(Ruimtestaat[[#This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4" s="37">
        <f>IF(U84&gt;0,VLOOKUP($J84,Ruimtegroepen[],3,FALSE)*VLOOKUP($L84,Vloersoorten[],3,FALSE)*VLOOKUP($S84,Frequenties[],3,FALSE)*VLOOKUP($A84,Locaties[],3,FALSE),0)</f>
        <v>0</v>
      </c>
      <c r="W84" s="37">
        <f>Ruimtestaat[[#This Row],[Uitvoeringen werkdagen]]*Ruimtestaat[[#This Row],[Oppervlak (netto)]]</f>
        <v>1800</v>
      </c>
      <c r="X84" s="37">
        <f>IF(V84&gt;0,Ruimtestaat[[#This Row],[Prest. (m2 /jaar) werkdagen]]/Ruimtestaat[[#This Row],[Norm (m2/uur) werkdagen]],0)</f>
        <v>0</v>
      </c>
      <c r="Y84" s="37">
        <f>Ruimtestaat[[#This Row],[uren / jaar werkdagen]]*Tariefsopbouw!$D$38</f>
        <v>0</v>
      </c>
      <c r="Z84" s="37">
        <f>IF(Ruimtestaat[[#This Row],[Frequentie weekend]]&gt;0,VALUE(LEFT(T84,1))*R84,0)</f>
        <v>0</v>
      </c>
      <c r="AA84" s="37">
        <f>IF($Z84&gt;0,VLOOKUP($J84,Ruimtegroepen[],3,FALSE)*VLOOKUP($L84,Vloersoorten[],3,FALSE)*VLOOKUP($T84,Frequenties[],3,FALSE)*VLOOKUP($A84,Locaties[],3,FALSE),0)</f>
        <v>0</v>
      </c>
      <c r="AB84" s="37">
        <f>Ruimtestaat[[#This Row],[Uitvoeringen weekend]]*Ruimtestaat[[#This Row],[Oppervlak (netto)]]</f>
        <v>0</v>
      </c>
      <c r="AC84" s="37">
        <f>IF(AA84&gt;0,Ruimtestaat[[#This Row],[Prest. (m2 /jaar) weekend]]/Ruimtestaat[[#This Row],[Norm (m2/uur) weekend]],0)</f>
        <v>0</v>
      </c>
      <c r="AD84" s="37">
        <f>Ruimtestaat[[#This Row],[uren / jaar weekend]]*Tariefsopbouw!$D$40</f>
        <v>0</v>
      </c>
      <c r="AE84" s="89">
        <f>Ruimtestaat[[#This Row],[Prest. (m2 /jaar) weekend]]+Ruimtestaat[[#This Row],[Prest. (m2 /jaar) werkdagen]]</f>
        <v>1800</v>
      </c>
      <c r="AF84" s="89">
        <f>Ruimtestaat[[#This Row],[uren / jaar weekend]]+Ruimtestaat[[#This Row],[uren / jaar werkdagen]]</f>
        <v>0</v>
      </c>
      <c r="AG84" s="90">
        <f>Ruimtestaat[[#This Row],[kosten / jaar weekend]]+Ruimtestaat[[#This Row],[kosten / jaar werkdagen]]</f>
        <v>0</v>
      </c>
      <c r="AH84" s="253"/>
      <c r="AI84" s="252" t="str">
        <f>IF(Ruimtestaat[[#This Row],[Frequentie werkdagen]]="","",_xlfn.CONCAT(Ruimtestaat[[#This Row],[Ruimte code]],"-",Ruimtestaat[[#This Row],[Frequentie werkdagen]]," ",Ruimtestaat[[#This Row],[Vloer code]]))</f>
        <v>14A-5w P</v>
      </c>
      <c r="AJ84" s="247" t="str">
        <f>_xlfn.IFNA(VLOOKUP(Ruimtestaat[[#This Row],[Programmacode
Regulier]],Programma!$F$4:$Y$36148,2,0),"_")</f>
        <v>_</v>
      </c>
      <c r="AK84" s="247" t="str">
        <f>_xlfn.IFNA(VLOOKUP(Ruimtestaat[[#This Row],[Programmacode
Regulier]],Programma!$F$4:$Y$36148,3,0),"_")</f>
        <v>_</v>
      </c>
      <c r="AL84" s="247" t="str">
        <f>_xlfn.IFNA(VLOOKUP(Ruimtestaat[[#This Row],[Programmacode
Regulier]],Programma!$F$4:$Y$36148,4,0),"_")</f>
        <v>_</v>
      </c>
      <c r="AM84" s="247" t="str">
        <f>_xlfn.IFNA(VLOOKUP(Ruimtestaat[[#This Row],[Programmacode
Regulier]],Programma!$F$4:$Y$36148,5,0),"_")</f>
        <v>_</v>
      </c>
      <c r="AN84" s="247" t="str">
        <f>_xlfn.IFNA(VLOOKUP(Ruimtestaat[[#This Row],[Programmacode
Regulier]],Programma!$F$4:$Y$36148,6,0),"_")</f>
        <v>_</v>
      </c>
      <c r="AO84" s="247" t="str">
        <f>_xlfn.IFNA(VLOOKUP(Ruimtestaat[[#This Row],[Programmacode
Regulier]],Programma!$F$4:$Y$36148,7,0),"_")</f>
        <v>_</v>
      </c>
      <c r="AP84" s="247" t="str">
        <f>_xlfn.IFNA(VLOOKUP(Ruimtestaat[[#This Row],[Programmacode
Regulier]],Programma!$F$4:$Y$36148,8,0),"_")</f>
        <v>_</v>
      </c>
      <c r="AQ84" s="247" t="str">
        <f>_xlfn.IFNA(VLOOKUP(Ruimtestaat[[#This Row],[Programmacode
Regulier]],Programma!$F$4:$Y$36148,9,0),"_")</f>
        <v>_</v>
      </c>
      <c r="AR84" s="248" t="str">
        <f>_xlfn.IFNA(VLOOKUP(Ruimtestaat[[#This Row],[Programmacode
Regulier]],Programma!$F$4:$Y$36148,10,0),"_")</f>
        <v>_</v>
      </c>
      <c r="AS84" s="248" t="str">
        <f>_xlfn.IFNA(VLOOKUP(Ruimtestaat[[#This Row],[Programmacode
Regulier]],Programma!$F$4:$Y$36148,11,0),"_")</f>
        <v>_</v>
      </c>
      <c r="AT84" s="248" t="str">
        <f>_xlfn.IFNA(VLOOKUP(Ruimtestaat[[#This Row],[Programmacode
Regulier]],Programma!$F$4:$Y$36148,12,0),"_")</f>
        <v>_</v>
      </c>
      <c r="AU84" s="248" t="str">
        <f>_xlfn.IFNA(VLOOKUP(Ruimtestaat[[#This Row],[Programmacode
Regulier]],Programma!$F$4:$Y$36148,13,0),"_")</f>
        <v>_</v>
      </c>
      <c r="AV84" s="248" t="str">
        <f>_xlfn.IFNA(VLOOKUP(Ruimtestaat[[#This Row],[Programmacode
Regulier]],Programma!$F$4:$Y$36148,14,0),"_")</f>
        <v>_</v>
      </c>
      <c r="AW84" s="248" t="str">
        <f>_xlfn.IFNA(VLOOKUP(Ruimtestaat[[#This Row],[Programmacode
Regulier]],Programma!$F$4:$Y$36148,15,0),"_")</f>
        <v>_</v>
      </c>
      <c r="AX84" s="248" t="str">
        <f>_xlfn.IFNA(VLOOKUP(Ruimtestaat[[#This Row],[Programmacode
Regulier]],Programma!$F$4:$Y$36148,16,0),"_")</f>
        <v>_</v>
      </c>
      <c r="AY84" s="248" t="str">
        <f>_xlfn.IFNA(VLOOKUP(Ruimtestaat[[#This Row],[Programmacode
Regulier]],Programma!$F$4:$Y$36148,17,0),"_")</f>
        <v>_</v>
      </c>
      <c r="AZ84" s="249" t="str">
        <f>_xlfn.IFNA(VLOOKUP(Ruimtestaat[[#This Row],[Programmacode
Regulier]],Programma!$F$4:$Y$36148,18,0),"_")</f>
        <v>_</v>
      </c>
      <c r="BA84" s="249" t="str">
        <f>_xlfn.IFNA(VLOOKUP(Ruimtestaat[[#This Row],[Programmacode
Regulier]],Programma!$F$4:$Y$36148,19,0),"_")</f>
        <v>_</v>
      </c>
      <c r="BB84" s="249" t="str">
        <f>_xlfn.IFNA(VLOOKUP(Ruimtestaat[[#This Row],[Programmacode
Regulier]],Programma!$F$4:$Y$36148,20,0),"_")</f>
        <v>_</v>
      </c>
      <c r="BC84" s="250"/>
      <c r="BD84" s="212" t="str">
        <f>IF(Ruimtestaat[[#This Row],[Frequentie weekend]]="","",_xlfn.CONCAT(Ruimtestaat[[#This Row],[Ruimte code]],"-",Ruimtestaat[[#This Row],[Frequentie weekend]]," ",Ruimtestaat[[#This Row],[Vloer code]]))</f>
        <v/>
      </c>
      <c r="BE84" s="247" t="str">
        <f>_xlfn.IFNA(VLOOKUP(Ruimtestaat[[#This Row],[Code Weekend]],Programma!$F$4:$Y$36148,2,0),"_")</f>
        <v>_</v>
      </c>
      <c r="BF84" s="247" t="str">
        <f>_xlfn.IFNA(VLOOKUP(Ruimtestaat[[#This Row],[Code Weekend]],Programma!$F$4:$Y$36148,3,0),"_")</f>
        <v>_</v>
      </c>
      <c r="BG84" s="247" t="str">
        <f>_xlfn.IFNA(VLOOKUP(Ruimtestaat[[#This Row],[Code Weekend]],Programma!$F$4:$Y$36148,4,0),"_")</f>
        <v>_</v>
      </c>
      <c r="BH84" s="247" t="str">
        <f>_xlfn.IFNA(VLOOKUP(Ruimtestaat[[#This Row],[Code Weekend]],Programma!$F$4:$Y$36148,5,0),"_")</f>
        <v>_</v>
      </c>
      <c r="BI84" s="247" t="str">
        <f>_xlfn.IFNA(VLOOKUP(Ruimtestaat[[#This Row],[Code Weekend]],Programma!$F$4:$Y$36148,6,0),"_")</f>
        <v>_</v>
      </c>
      <c r="BJ84" s="247" t="str">
        <f>_xlfn.IFNA(VLOOKUP(Ruimtestaat[[#This Row],[Code Weekend]],Programma!$F$4:$Y$36148,7,0),"_")</f>
        <v>_</v>
      </c>
      <c r="BK84" s="247" t="str">
        <f>_xlfn.IFNA(VLOOKUP(Ruimtestaat[[#This Row],[Code Weekend]],Programma!$F$4:$Y$36148,8,0),"_")</f>
        <v>_</v>
      </c>
      <c r="BL84" s="247" t="str">
        <f>_xlfn.IFNA(VLOOKUP(Ruimtestaat[[#This Row],[Code Weekend]],Programma!$F$4:$Y$36148,9,0),"_")</f>
        <v>_</v>
      </c>
      <c r="BM84" s="248" t="str">
        <f>_xlfn.IFNA(VLOOKUP(Ruimtestaat[[#This Row],[Code Weekend]],Programma!$F$4:$Y$36148,10,0),"_")</f>
        <v>_</v>
      </c>
      <c r="BN84" s="248" t="str">
        <f>_xlfn.IFNA(VLOOKUP(Ruimtestaat[[#This Row],[Code Weekend]],Programma!$F$4:$Y$36148,11,0),"_")</f>
        <v>_</v>
      </c>
      <c r="BO84" s="248" t="str">
        <f>_xlfn.IFNA(VLOOKUP(Ruimtestaat[[#This Row],[Code Weekend]],Programma!$F$4:$Y$36148,12,0),"_")</f>
        <v>_</v>
      </c>
      <c r="BP84" s="248" t="str">
        <f>_xlfn.IFNA(VLOOKUP(Ruimtestaat[[#This Row],[Code Weekend]],Programma!$F$4:$Y$36148,13,0),"_")</f>
        <v>_</v>
      </c>
      <c r="BQ84" s="248" t="str">
        <f>_xlfn.IFNA(VLOOKUP(Ruimtestaat[[#This Row],[Code Weekend]],Programma!$F$4:$Y$36148,14,0),"_")</f>
        <v>_</v>
      </c>
      <c r="BR84" s="248" t="str">
        <f>_xlfn.IFNA(VLOOKUP(Ruimtestaat[[#This Row],[Code Weekend]],Programma!$F$4:$Y$36148,15,0),"_")</f>
        <v>_</v>
      </c>
      <c r="BS84" s="248" t="str">
        <f>_xlfn.IFNA(VLOOKUP(Ruimtestaat[[#This Row],[Code Weekend]],Programma!$F$4:$Y$36148,16,0),"_")</f>
        <v>_</v>
      </c>
      <c r="BT84" s="248" t="str">
        <f>_xlfn.IFNA(VLOOKUP(Ruimtestaat[[#This Row],[Code Weekend]],Programma!$F$4:$Y$36148,17,0),"_")</f>
        <v>_</v>
      </c>
      <c r="BU84" s="249" t="str">
        <f>_xlfn.IFNA(VLOOKUP(Ruimtestaat[[#This Row],[Code Weekend]],Programma!$F$4:$Y$36148,18,0),"_")</f>
        <v>_</v>
      </c>
      <c r="BV84" s="249" t="str">
        <f>_xlfn.IFNA(VLOOKUP(Ruimtestaat[[#This Row],[Code Weekend]],Programma!$F$4:$Y$36148,19,0),"_")</f>
        <v>_</v>
      </c>
      <c r="BW84" s="249" t="str">
        <f>_xlfn.IFNA(VLOOKUP(Ruimtestaat[[#This Row],[Code Weekend]],Programma!$F$4:$Y$36148,20,0),"_")</f>
        <v>_</v>
      </c>
      <c r="HK84" s="88"/>
    </row>
    <row r="85" spans="1:219" ht="12.75" customHeight="1">
      <c r="A85" s="131">
        <v>1</v>
      </c>
      <c r="B85" s="22" t="str">
        <f>VLOOKUP(Ruimtestaat[[#This Row],[Code]],Locaties[#All],2,FALSE)</f>
        <v>ESH Secondary School</v>
      </c>
      <c r="C85" s="22" t="str">
        <f>VLOOKUP(Ruimtestaat[[#This Row],[Code]],Locaties[#All],4,FALSE)</f>
        <v>Oostduinlaan 50</v>
      </c>
      <c r="D85" s="334" t="str">
        <f>VLOOKUP(Ruimtestaat[[#This Row],[Code]],Locaties[#All],5,FALSE)</f>
        <v>2596 JP</v>
      </c>
      <c r="E85" s="334" t="str">
        <f>VLOOKUP(Ruimtestaat[[#This Row],[Code]],Locaties[#All],6,FALSE)</f>
        <v>Den Haag</v>
      </c>
      <c r="F85" s="335"/>
      <c r="G85" s="334" t="s">
        <v>1611</v>
      </c>
      <c r="H85" s="334" t="s">
        <v>1531</v>
      </c>
      <c r="I85" s="335" t="s">
        <v>1510</v>
      </c>
      <c r="J85" s="334" t="s">
        <v>1760</v>
      </c>
      <c r="K85" s="335" t="str">
        <f>VLOOKUP(J85,Ruimtegroepen[],2,FALSE)</f>
        <v>Praktijklokalen</v>
      </c>
      <c r="L85" s="212" t="s">
        <v>123</v>
      </c>
      <c r="M85" s="334" t="s">
        <v>144</v>
      </c>
      <c r="N85" s="337">
        <v>57</v>
      </c>
      <c r="O85" s="331"/>
      <c r="P85" s="332" t="str">
        <f>VLOOKUP(Ruimtestaat[[#This Row],[Ruimte code]],Ruimtegroepen[],4,FALSE)</f>
        <v>L  (Lesruimte)</v>
      </c>
      <c r="Q85" s="332"/>
      <c r="R85" s="333">
        <v>40</v>
      </c>
      <c r="S85" s="333" t="s">
        <v>2</v>
      </c>
      <c r="T85" s="37"/>
      <c r="U85" s="37">
        <f>IF(R85&gt;0,IF(RIGHT(Ruimtestaat[[#This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5" s="37">
        <f>IF(U85&gt;0,VLOOKUP($J85,Ruimtegroepen[],3,FALSE)*VLOOKUP($L85,Vloersoorten[],3,FALSE)*VLOOKUP($S85,Frequenties[],3,FALSE)*VLOOKUP($A85,Locaties[],3,FALSE),0)</f>
        <v>0</v>
      </c>
      <c r="W85" s="37">
        <f>Ruimtestaat[[#This Row],[Uitvoeringen werkdagen]]*Ruimtestaat[[#This Row],[Oppervlak (netto)]]</f>
        <v>11400</v>
      </c>
      <c r="X85" s="37">
        <f>IF(V85&gt;0,Ruimtestaat[[#This Row],[Prest. (m2 /jaar) werkdagen]]/Ruimtestaat[[#This Row],[Norm (m2/uur) werkdagen]],0)</f>
        <v>0</v>
      </c>
      <c r="Y85" s="37">
        <f>Ruimtestaat[[#This Row],[uren / jaar werkdagen]]*Tariefsopbouw!$D$38</f>
        <v>0</v>
      </c>
      <c r="Z85" s="37">
        <f>IF(Ruimtestaat[[#This Row],[Frequentie weekend]]&gt;0,VALUE(LEFT(T85,1))*R85,0)</f>
        <v>0</v>
      </c>
      <c r="AA85" s="37">
        <f>IF($Z85&gt;0,VLOOKUP($J85,Ruimtegroepen[],3,FALSE)*VLOOKUP($L85,Vloersoorten[],3,FALSE)*VLOOKUP($T85,Frequenties[],3,FALSE)*VLOOKUP($A85,Locaties[],3,FALSE),0)</f>
        <v>0</v>
      </c>
      <c r="AB85" s="37">
        <f>Ruimtestaat[[#This Row],[Uitvoeringen weekend]]*Ruimtestaat[[#This Row],[Oppervlak (netto)]]</f>
        <v>0</v>
      </c>
      <c r="AC85" s="37">
        <f>IF(AA85&gt;0,Ruimtestaat[[#This Row],[Prest. (m2 /jaar) weekend]]/Ruimtestaat[[#This Row],[Norm (m2/uur) weekend]],0)</f>
        <v>0</v>
      </c>
      <c r="AD85" s="37">
        <f>Ruimtestaat[[#This Row],[uren / jaar weekend]]*Tariefsopbouw!$D$40</f>
        <v>0</v>
      </c>
      <c r="AE85" s="89">
        <f>Ruimtestaat[[#This Row],[Prest. (m2 /jaar) weekend]]+Ruimtestaat[[#This Row],[Prest. (m2 /jaar) werkdagen]]</f>
        <v>11400</v>
      </c>
      <c r="AF85" s="89">
        <f>Ruimtestaat[[#This Row],[uren / jaar weekend]]+Ruimtestaat[[#This Row],[uren / jaar werkdagen]]</f>
        <v>0</v>
      </c>
      <c r="AG85" s="90">
        <f>Ruimtestaat[[#This Row],[kosten / jaar weekend]]+Ruimtestaat[[#This Row],[kosten / jaar werkdagen]]</f>
        <v>0</v>
      </c>
      <c r="AH85" s="253"/>
      <c r="AI85" s="252" t="str">
        <f>IF(Ruimtestaat[[#This Row],[Frequentie werkdagen]]="","",_xlfn.CONCAT(Ruimtestaat[[#This Row],[Ruimte code]],"-",Ruimtestaat[[#This Row],[Frequentie werkdagen]]," ",Ruimtestaat[[#This Row],[Vloer code]]))</f>
        <v>14A-5w P</v>
      </c>
      <c r="AJ85" s="247" t="str">
        <f>_xlfn.IFNA(VLOOKUP(Ruimtestaat[[#This Row],[Programmacode
Regulier]],Programma!$F$4:$Y$36148,2,0),"_")</f>
        <v>_</v>
      </c>
      <c r="AK85" s="247" t="str">
        <f>_xlfn.IFNA(VLOOKUP(Ruimtestaat[[#This Row],[Programmacode
Regulier]],Programma!$F$4:$Y$36148,3,0),"_")</f>
        <v>_</v>
      </c>
      <c r="AL85" s="247" t="str">
        <f>_xlfn.IFNA(VLOOKUP(Ruimtestaat[[#This Row],[Programmacode
Regulier]],Programma!$F$4:$Y$36148,4,0),"_")</f>
        <v>_</v>
      </c>
      <c r="AM85" s="247" t="str">
        <f>_xlfn.IFNA(VLOOKUP(Ruimtestaat[[#This Row],[Programmacode
Regulier]],Programma!$F$4:$Y$36148,5,0),"_")</f>
        <v>_</v>
      </c>
      <c r="AN85" s="247" t="str">
        <f>_xlfn.IFNA(VLOOKUP(Ruimtestaat[[#This Row],[Programmacode
Regulier]],Programma!$F$4:$Y$36148,6,0),"_")</f>
        <v>_</v>
      </c>
      <c r="AO85" s="247" t="str">
        <f>_xlfn.IFNA(VLOOKUP(Ruimtestaat[[#This Row],[Programmacode
Regulier]],Programma!$F$4:$Y$36148,7,0),"_")</f>
        <v>_</v>
      </c>
      <c r="AP85" s="247" t="str">
        <f>_xlfn.IFNA(VLOOKUP(Ruimtestaat[[#This Row],[Programmacode
Regulier]],Programma!$F$4:$Y$36148,8,0),"_")</f>
        <v>_</v>
      </c>
      <c r="AQ85" s="247" t="str">
        <f>_xlfn.IFNA(VLOOKUP(Ruimtestaat[[#This Row],[Programmacode
Regulier]],Programma!$F$4:$Y$36148,9,0),"_")</f>
        <v>_</v>
      </c>
      <c r="AR85" s="248" t="str">
        <f>_xlfn.IFNA(VLOOKUP(Ruimtestaat[[#This Row],[Programmacode
Regulier]],Programma!$F$4:$Y$36148,10,0),"_")</f>
        <v>_</v>
      </c>
      <c r="AS85" s="248" t="str">
        <f>_xlfn.IFNA(VLOOKUP(Ruimtestaat[[#This Row],[Programmacode
Regulier]],Programma!$F$4:$Y$36148,11,0),"_")</f>
        <v>_</v>
      </c>
      <c r="AT85" s="248" t="str">
        <f>_xlfn.IFNA(VLOOKUP(Ruimtestaat[[#This Row],[Programmacode
Regulier]],Programma!$F$4:$Y$36148,12,0),"_")</f>
        <v>_</v>
      </c>
      <c r="AU85" s="248" t="str">
        <f>_xlfn.IFNA(VLOOKUP(Ruimtestaat[[#This Row],[Programmacode
Regulier]],Programma!$F$4:$Y$36148,13,0),"_")</f>
        <v>_</v>
      </c>
      <c r="AV85" s="248" t="str">
        <f>_xlfn.IFNA(VLOOKUP(Ruimtestaat[[#This Row],[Programmacode
Regulier]],Programma!$F$4:$Y$36148,14,0),"_")</f>
        <v>_</v>
      </c>
      <c r="AW85" s="248" t="str">
        <f>_xlfn.IFNA(VLOOKUP(Ruimtestaat[[#This Row],[Programmacode
Regulier]],Programma!$F$4:$Y$36148,15,0),"_")</f>
        <v>_</v>
      </c>
      <c r="AX85" s="248" t="str">
        <f>_xlfn.IFNA(VLOOKUP(Ruimtestaat[[#This Row],[Programmacode
Regulier]],Programma!$F$4:$Y$36148,16,0),"_")</f>
        <v>_</v>
      </c>
      <c r="AY85" s="248" t="str">
        <f>_xlfn.IFNA(VLOOKUP(Ruimtestaat[[#This Row],[Programmacode
Regulier]],Programma!$F$4:$Y$36148,17,0),"_")</f>
        <v>_</v>
      </c>
      <c r="AZ85" s="249" t="str">
        <f>_xlfn.IFNA(VLOOKUP(Ruimtestaat[[#This Row],[Programmacode
Regulier]],Programma!$F$4:$Y$36148,18,0),"_")</f>
        <v>_</v>
      </c>
      <c r="BA85" s="249" t="str">
        <f>_xlfn.IFNA(VLOOKUP(Ruimtestaat[[#This Row],[Programmacode
Regulier]],Programma!$F$4:$Y$36148,19,0),"_")</f>
        <v>_</v>
      </c>
      <c r="BB85" s="249" t="str">
        <f>_xlfn.IFNA(VLOOKUP(Ruimtestaat[[#This Row],[Programmacode
Regulier]],Programma!$F$4:$Y$36148,20,0),"_")</f>
        <v>_</v>
      </c>
      <c r="BC85" s="250"/>
      <c r="BD85" s="212" t="str">
        <f>IF(Ruimtestaat[[#This Row],[Frequentie weekend]]="","",_xlfn.CONCAT(Ruimtestaat[[#This Row],[Ruimte code]],"-",Ruimtestaat[[#This Row],[Frequentie weekend]]," ",Ruimtestaat[[#This Row],[Vloer code]]))</f>
        <v/>
      </c>
      <c r="BE85" s="247" t="str">
        <f>_xlfn.IFNA(VLOOKUP(Ruimtestaat[[#This Row],[Code Weekend]],Programma!$F$4:$Y$36148,2,0),"_")</f>
        <v>_</v>
      </c>
      <c r="BF85" s="247" t="str">
        <f>_xlfn.IFNA(VLOOKUP(Ruimtestaat[[#This Row],[Code Weekend]],Programma!$F$4:$Y$36148,3,0),"_")</f>
        <v>_</v>
      </c>
      <c r="BG85" s="247" t="str">
        <f>_xlfn.IFNA(VLOOKUP(Ruimtestaat[[#This Row],[Code Weekend]],Programma!$F$4:$Y$36148,4,0),"_")</f>
        <v>_</v>
      </c>
      <c r="BH85" s="247" t="str">
        <f>_xlfn.IFNA(VLOOKUP(Ruimtestaat[[#This Row],[Code Weekend]],Programma!$F$4:$Y$36148,5,0),"_")</f>
        <v>_</v>
      </c>
      <c r="BI85" s="247" t="str">
        <f>_xlfn.IFNA(VLOOKUP(Ruimtestaat[[#This Row],[Code Weekend]],Programma!$F$4:$Y$36148,6,0),"_")</f>
        <v>_</v>
      </c>
      <c r="BJ85" s="247" t="str">
        <f>_xlfn.IFNA(VLOOKUP(Ruimtestaat[[#This Row],[Code Weekend]],Programma!$F$4:$Y$36148,7,0),"_")</f>
        <v>_</v>
      </c>
      <c r="BK85" s="247" t="str">
        <f>_xlfn.IFNA(VLOOKUP(Ruimtestaat[[#This Row],[Code Weekend]],Programma!$F$4:$Y$36148,8,0),"_")</f>
        <v>_</v>
      </c>
      <c r="BL85" s="247" t="str">
        <f>_xlfn.IFNA(VLOOKUP(Ruimtestaat[[#This Row],[Code Weekend]],Programma!$F$4:$Y$36148,9,0),"_")</f>
        <v>_</v>
      </c>
      <c r="BM85" s="248" t="str">
        <f>_xlfn.IFNA(VLOOKUP(Ruimtestaat[[#This Row],[Code Weekend]],Programma!$F$4:$Y$36148,10,0),"_")</f>
        <v>_</v>
      </c>
      <c r="BN85" s="248" t="str">
        <f>_xlfn.IFNA(VLOOKUP(Ruimtestaat[[#This Row],[Code Weekend]],Programma!$F$4:$Y$36148,11,0),"_")</f>
        <v>_</v>
      </c>
      <c r="BO85" s="248" t="str">
        <f>_xlfn.IFNA(VLOOKUP(Ruimtestaat[[#This Row],[Code Weekend]],Programma!$F$4:$Y$36148,12,0),"_")</f>
        <v>_</v>
      </c>
      <c r="BP85" s="248" t="str">
        <f>_xlfn.IFNA(VLOOKUP(Ruimtestaat[[#This Row],[Code Weekend]],Programma!$F$4:$Y$36148,13,0),"_")</f>
        <v>_</v>
      </c>
      <c r="BQ85" s="248" t="str">
        <f>_xlfn.IFNA(VLOOKUP(Ruimtestaat[[#This Row],[Code Weekend]],Programma!$F$4:$Y$36148,14,0),"_")</f>
        <v>_</v>
      </c>
      <c r="BR85" s="248" t="str">
        <f>_xlfn.IFNA(VLOOKUP(Ruimtestaat[[#This Row],[Code Weekend]],Programma!$F$4:$Y$36148,15,0),"_")</f>
        <v>_</v>
      </c>
      <c r="BS85" s="248" t="str">
        <f>_xlfn.IFNA(VLOOKUP(Ruimtestaat[[#This Row],[Code Weekend]],Programma!$F$4:$Y$36148,16,0),"_")</f>
        <v>_</v>
      </c>
      <c r="BT85" s="248" t="str">
        <f>_xlfn.IFNA(VLOOKUP(Ruimtestaat[[#This Row],[Code Weekend]],Programma!$F$4:$Y$36148,17,0),"_")</f>
        <v>_</v>
      </c>
      <c r="BU85" s="249" t="str">
        <f>_xlfn.IFNA(VLOOKUP(Ruimtestaat[[#This Row],[Code Weekend]],Programma!$F$4:$Y$36148,18,0),"_")</f>
        <v>_</v>
      </c>
      <c r="BV85" s="249" t="str">
        <f>_xlfn.IFNA(VLOOKUP(Ruimtestaat[[#This Row],[Code Weekend]],Programma!$F$4:$Y$36148,19,0),"_")</f>
        <v>_</v>
      </c>
      <c r="BW85" s="249" t="str">
        <f>_xlfn.IFNA(VLOOKUP(Ruimtestaat[[#This Row],[Code Weekend]],Programma!$F$4:$Y$36148,20,0),"_")</f>
        <v>_</v>
      </c>
      <c r="HK85" s="88"/>
    </row>
    <row r="86" spans="1:219" ht="12.75" customHeight="1">
      <c r="A86" s="131">
        <v>1</v>
      </c>
      <c r="B86" s="22" t="str">
        <f>VLOOKUP(Ruimtestaat[[#This Row],[Code]],Locaties[#All],2,FALSE)</f>
        <v>ESH Secondary School</v>
      </c>
      <c r="C86" s="22" t="str">
        <f>VLOOKUP(Ruimtestaat[[#This Row],[Code]],Locaties[#All],4,FALSE)</f>
        <v>Oostduinlaan 50</v>
      </c>
      <c r="D86" s="334" t="str">
        <f>VLOOKUP(Ruimtestaat[[#This Row],[Code]],Locaties[#All],5,FALSE)</f>
        <v>2596 JP</v>
      </c>
      <c r="E86" s="334" t="str">
        <f>VLOOKUP(Ruimtestaat[[#This Row],[Code]],Locaties[#All],6,FALSE)</f>
        <v>Den Haag</v>
      </c>
      <c r="F86" s="335"/>
      <c r="G86" s="334" t="s">
        <v>1611</v>
      </c>
      <c r="H86" s="334" t="s">
        <v>1532</v>
      </c>
      <c r="I86" s="335" t="s">
        <v>1494</v>
      </c>
      <c r="J86" s="328">
        <v>5</v>
      </c>
      <c r="K86" s="335" t="str">
        <f>VLOOKUP(J86,Ruimtegroepen[],2,FALSE)</f>
        <v>Sanitair</v>
      </c>
      <c r="L86" s="212" t="s">
        <v>123</v>
      </c>
      <c r="M86" s="334" t="s">
        <v>144</v>
      </c>
      <c r="N86" s="337">
        <v>14</v>
      </c>
      <c r="O86" s="331"/>
      <c r="P86" s="332" t="str">
        <f>VLOOKUP(Ruimtestaat[[#This Row],[Ruimte code]],Ruimtegroepen[],4,FALSE)</f>
        <v>S  (Sanitair)</v>
      </c>
      <c r="Q86" s="332"/>
      <c r="R86" s="333">
        <v>40</v>
      </c>
      <c r="S86" s="333" t="s">
        <v>19</v>
      </c>
      <c r="T86" s="37"/>
      <c r="U86" s="37">
        <f>IF(R86&gt;0,IF(RIGHT(Ruimtestaat[[#This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86" s="37">
        <f>IF(U86&gt;0,VLOOKUP($J86,Ruimtegroepen[],3,FALSE)*VLOOKUP($L86,Vloersoorten[],3,FALSE)*VLOOKUP($S86,Frequenties[],3,FALSE)*VLOOKUP($A86,Locaties[],3,FALSE),0)</f>
        <v>0</v>
      </c>
      <c r="W86" s="37">
        <f>Ruimtestaat[[#This Row],[Uitvoeringen werkdagen]]*Ruimtestaat[[#This Row],[Oppervlak (netto)]]</f>
        <v>5600</v>
      </c>
      <c r="X86" s="37">
        <f>IF(V86&gt;0,Ruimtestaat[[#This Row],[Prest. (m2 /jaar) werkdagen]]/Ruimtestaat[[#This Row],[Norm (m2/uur) werkdagen]],0)</f>
        <v>0</v>
      </c>
      <c r="Y86" s="37">
        <f>Ruimtestaat[[#This Row],[uren / jaar werkdagen]]*Tariefsopbouw!$D$38</f>
        <v>0</v>
      </c>
      <c r="Z86" s="37">
        <f>IF(Ruimtestaat[[#This Row],[Frequentie weekend]]&gt;0,VALUE(LEFT(T86,1))*R86,0)</f>
        <v>0</v>
      </c>
      <c r="AA86" s="37">
        <f>IF($Z86&gt;0,VLOOKUP($J86,Ruimtegroepen[],3,FALSE)*VLOOKUP($L86,Vloersoorten[],3,FALSE)*VLOOKUP($T86,Frequenties[],3,FALSE)*VLOOKUP($A86,Locaties[],3,FALSE),0)</f>
        <v>0</v>
      </c>
      <c r="AB86" s="37">
        <f>Ruimtestaat[[#This Row],[Uitvoeringen weekend]]*Ruimtestaat[[#This Row],[Oppervlak (netto)]]</f>
        <v>0</v>
      </c>
      <c r="AC86" s="37">
        <f>IF(AA86&gt;0,Ruimtestaat[[#This Row],[Prest. (m2 /jaar) weekend]]/Ruimtestaat[[#This Row],[Norm (m2/uur) weekend]],0)</f>
        <v>0</v>
      </c>
      <c r="AD86" s="37">
        <f>Ruimtestaat[[#This Row],[uren / jaar weekend]]*Tariefsopbouw!$D$40</f>
        <v>0</v>
      </c>
      <c r="AE86" s="89">
        <f>Ruimtestaat[[#This Row],[Prest. (m2 /jaar) weekend]]+Ruimtestaat[[#This Row],[Prest. (m2 /jaar) werkdagen]]</f>
        <v>5600</v>
      </c>
      <c r="AF86" s="89">
        <f>Ruimtestaat[[#This Row],[uren / jaar weekend]]+Ruimtestaat[[#This Row],[uren / jaar werkdagen]]</f>
        <v>0</v>
      </c>
      <c r="AG86" s="90">
        <f>Ruimtestaat[[#This Row],[kosten / jaar weekend]]+Ruimtestaat[[#This Row],[kosten / jaar werkdagen]]</f>
        <v>0</v>
      </c>
      <c r="AH86" s="253"/>
      <c r="AI86" s="252" t="str">
        <f>IF(Ruimtestaat[[#This Row],[Frequentie werkdagen]]="","",_xlfn.CONCAT(Ruimtestaat[[#This Row],[Ruimte code]],"-",Ruimtestaat[[#This Row],[Frequentie werkdagen]]," ",Ruimtestaat[[#This Row],[Vloer code]]))</f>
        <v>5-10w P</v>
      </c>
      <c r="AJ86" s="247" t="str">
        <f>_xlfn.IFNA(VLOOKUP(Ruimtestaat[[#This Row],[Programmacode
Regulier]],Programma!$F$4:$Y$36148,2,0),"_")</f>
        <v>_</v>
      </c>
      <c r="AK86" s="247" t="str">
        <f>_xlfn.IFNA(VLOOKUP(Ruimtestaat[[#This Row],[Programmacode
Regulier]],Programma!$F$4:$Y$36148,3,0),"_")</f>
        <v>_</v>
      </c>
      <c r="AL86" s="247" t="str">
        <f>_xlfn.IFNA(VLOOKUP(Ruimtestaat[[#This Row],[Programmacode
Regulier]],Programma!$F$4:$Y$36148,4,0),"_")</f>
        <v>_</v>
      </c>
      <c r="AM86" s="247" t="str">
        <f>_xlfn.IFNA(VLOOKUP(Ruimtestaat[[#This Row],[Programmacode
Regulier]],Programma!$F$4:$Y$36148,5,0),"_")</f>
        <v>4w</v>
      </c>
      <c r="AN86" s="247" t="str">
        <f>_xlfn.IFNA(VLOOKUP(Ruimtestaat[[#This Row],[Programmacode
Regulier]],Programma!$F$4:$Y$36148,6,0),"_")</f>
        <v>1w</v>
      </c>
      <c r="AO86" s="247" t="str">
        <f>_xlfn.IFNA(VLOOKUP(Ruimtestaat[[#This Row],[Programmacode
Regulier]],Programma!$F$4:$Y$36148,7,0),"_")</f>
        <v>_</v>
      </c>
      <c r="AP86" s="247" t="str">
        <f>_xlfn.IFNA(VLOOKUP(Ruimtestaat[[#This Row],[Programmacode
Regulier]],Programma!$F$4:$Y$36148,8,0),"_")</f>
        <v>_</v>
      </c>
      <c r="AQ86" s="247" t="str">
        <f>_xlfn.IFNA(VLOOKUP(Ruimtestaat[[#This Row],[Programmacode
Regulier]],Programma!$F$4:$Y$36148,9,0),"_")</f>
        <v>5w</v>
      </c>
      <c r="AR86" s="248" t="str">
        <f>_xlfn.IFNA(VLOOKUP(Ruimtestaat[[#This Row],[Programmacode
Regulier]],Programma!$F$4:$Y$36148,10,0),"_")</f>
        <v>_</v>
      </c>
      <c r="AS86" s="248" t="str">
        <f>_xlfn.IFNA(VLOOKUP(Ruimtestaat[[#This Row],[Programmacode
Regulier]],Programma!$F$4:$Y$36148,11,0),"_")</f>
        <v>_</v>
      </c>
      <c r="AT86" s="248" t="str">
        <f>_xlfn.IFNA(VLOOKUP(Ruimtestaat[[#This Row],[Programmacode
Regulier]],Programma!$F$4:$Y$36148,12,0),"_")</f>
        <v>_</v>
      </c>
      <c r="AU86" s="248" t="str">
        <f>_xlfn.IFNA(VLOOKUP(Ruimtestaat[[#This Row],[Programmacode
Regulier]],Programma!$F$4:$Y$36148,13,0),"_")</f>
        <v>_</v>
      </c>
      <c r="AV86" s="248" t="str">
        <f>_xlfn.IFNA(VLOOKUP(Ruimtestaat[[#This Row],[Programmacode
Regulier]],Programma!$F$4:$Y$36148,14,0),"_")</f>
        <v>_</v>
      </c>
      <c r="AW86" s="248" t="str">
        <f>_xlfn.IFNA(VLOOKUP(Ruimtestaat[[#This Row],[Programmacode
Regulier]],Programma!$F$4:$Y$36148,15,0),"_")</f>
        <v>_</v>
      </c>
      <c r="AX86" s="248" t="str">
        <f>_xlfn.IFNA(VLOOKUP(Ruimtestaat[[#This Row],[Programmacode
Regulier]],Programma!$F$4:$Y$36148,16,0),"_")</f>
        <v>_</v>
      </c>
      <c r="AY86" s="248" t="str">
        <f>_xlfn.IFNA(VLOOKUP(Ruimtestaat[[#This Row],[Programmacode
Regulier]],Programma!$F$4:$Y$36148,17,0),"_")</f>
        <v>_</v>
      </c>
      <c r="AZ86" s="249" t="str">
        <f>_xlfn.IFNA(VLOOKUP(Ruimtestaat[[#This Row],[Programmacode
Regulier]],Programma!$F$4:$Y$36148,18,0),"_")</f>
        <v>4w</v>
      </c>
      <c r="BA86" s="249" t="str">
        <f>_xlfn.IFNA(VLOOKUP(Ruimtestaat[[#This Row],[Programmacode
Regulier]],Programma!$F$4:$Y$36148,19,0),"_")</f>
        <v>1w</v>
      </c>
      <c r="BB86" s="249" t="str">
        <f>_xlfn.IFNA(VLOOKUP(Ruimtestaat[[#This Row],[Programmacode
Regulier]],Programma!$F$4:$Y$36148,20,0),"_")</f>
        <v>5w</v>
      </c>
      <c r="BC86" s="250"/>
      <c r="BD86" s="212" t="str">
        <f>IF(Ruimtestaat[[#This Row],[Frequentie weekend]]="","",_xlfn.CONCAT(Ruimtestaat[[#This Row],[Ruimte code]],"-",Ruimtestaat[[#This Row],[Frequentie weekend]]," ",Ruimtestaat[[#This Row],[Vloer code]]))</f>
        <v/>
      </c>
      <c r="BE86" s="247" t="str">
        <f>_xlfn.IFNA(VLOOKUP(Ruimtestaat[[#This Row],[Code Weekend]],Programma!$F$4:$Y$36148,2,0),"_")</f>
        <v>_</v>
      </c>
      <c r="BF86" s="247" t="str">
        <f>_xlfn.IFNA(VLOOKUP(Ruimtestaat[[#This Row],[Code Weekend]],Programma!$F$4:$Y$36148,3,0),"_")</f>
        <v>_</v>
      </c>
      <c r="BG86" s="247" t="str">
        <f>_xlfn.IFNA(VLOOKUP(Ruimtestaat[[#This Row],[Code Weekend]],Programma!$F$4:$Y$36148,4,0),"_")</f>
        <v>_</v>
      </c>
      <c r="BH86" s="247" t="str">
        <f>_xlfn.IFNA(VLOOKUP(Ruimtestaat[[#This Row],[Code Weekend]],Programma!$F$4:$Y$36148,5,0),"_")</f>
        <v>_</v>
      </c>
      <c r="BI86" s="247" t="str">
        <f>_xlfn.IFNA(VLOOKUP(Ruimtestaat[[#This Row],[Code Weekend]],Programma!$F$4:$Y$36148,6,0),"_")</f>
        <v>_</v>
      </c>
      <c r="BJ86" s="247" t="str">
        <f>_xlfn.IFNA(VLOOKUP(Ruimtestaat[[#This Row],[Code Weekend]],Programma!$F$4:$Y$36148,7,0),"_")</f>
        <v>_</v>
      </c>
      <c r="BK86" s="247" t="str">
        <f>_xlfn.IFNA(VLOOKUP(Ruimtestaat[[#This Row],[Code Weekend]],Programma!$F$4:$Y$36148,8,0),"_")</f>
        <v>_</v>
      </c>
      <c r="BL86" s="247" t="str">
        <f>_xlfn.IFNA(VLOOKUP(Ruimtestaat[[#This Row],[Code Weekend]],Programma!$F$4:$Y$36148,9,0),"_")</f>
        <v>_</v>
      </c>
      <c r="BM86" s="248" t="str">
        <f>_xlfn.IFNA(VLOOKUP(Ruimtestaat[[#This Row],[Code Weekend]],Programma!$F$4:$Y$36148,10,0),"_")</f>
        <v>_</v>
      </c>
      <c r="BN86" s="248" t="str">
        <f>_xlfn.IFNA(VLOOKUP(Ruimtestaat[[#This Row],[Code Weekend]],Programma!$F$4:$Y$36148,11,0),"_")</f>
        <v>_</v>
      </c>
      <c r="BO86" s="248" t="str">
        <f>_xlfn.IFNA(VLOOKUP(Ruimtestaat[[#This Row],[Code Weekend]],Programma!$F$4:$Y$36148,12,0),"_")</f>
        <v>_</v>
      </c>
      <c r="BP86" s="248" t="str">
        <f>_xlfn.IFNA(VLOOKUP(Ruimtestaat[[#This Row],[Code Weekend]],Programma!$F$4:$Y$36148,13,0),"_")</f>
        <v>_</v>
      </c>
      <c r="BQ86" s="248" t="str">
        <f>_xlfn.IFNA(VLOOKUP(Ruimtestaat[[#This Row],[Code Weekend]],Programma!$F$4:$Y$36148,14,0),"_")</f>
        <v>_</v>
      </c>
      <c r="BR86" s="248" t="str">
        <f>_xlfn.IFNA(VLOOKUP(Ruimtestaat[[#This Row],[Code Weekend]],Programma!$F$4:$Y$36148,15,0),"_")</f>
        <v>_</v>
      </c>
      <c r="BS86" s="248" t="str">
        <f>_xlfn.IFNA(VLOOKUP(Ruimtestaat[[#This Row],[Code Weekend]],Programma!$F$4:$Y$36148,16,0),"_")</f>
        <v>_</v>
      </c>
      <c r="BT86" s="248" t="str">
        <f>_xlfn.IFNA(VLOOKUP(Ruimtestaat[[#This Row],[Code Weekend]],Programma!$F$4:$Y$36148,17,0),"_")</f>
        <v>_</v>
      </c>
      <c r="BU86" s="249" t="str">
        <f>_xlfn.IFNA(VLOOKUP(Ruimtestaat[[#This Row],[Code Weekend]],Programma!$F$4:$Y$36148,18,0),"_")</f>
        <v>_</v>
      </c>
      <c r="BV86" s="249" t="str">
        <f>_xlfn.IFNA(VLOOKUP(Ruimtestaat[[#This Row],[Code Weekend]],Programma!$F$4:$Y$36148,19,0),"_")</f>
        <v>_</v>
      </c>
      <c r="BW86" s="249" t="str">
        <f>_xlfn.IFNA(VLOOKUP(Ruimtestaat[[#This Row],[Code Weekend]],Programma!$F$4:$Y$36148,20,0),"_")</f>
        <v>_</v>
      </c>
      <c r="HK86" s="88"/>
    </row>
    <row r="87" spans="1:219" ht="12.75" customHeight="1">
      <c r="A87" s="131">
        <v>1</v>
      </c>
      <c r="B87" s="22" t="str">
        <f>VLOOKUP(Ruimtestaat[[#This Row],[Code]],Locaties[#All],2,FALSE)</f>
        <v>ESH Secondary School</v>
      </c>
      <c r="C87" s="22" t="str">
        <f>VLOOKUP(Ruimtestaat[[#This Row],[Code]],Locaties[#All],4,FALSE)</f>
        <v>Oostduinlaan 50</v>
      </c>
      <c r="D87" s="334" t="str">
        <f>VLOOKUP(Ruimtestaat[[#This Row],[Code]],Locaties[#All],5,FALSE)</f>
        <v>2596 JP</v>
      </c>
      <c r="E87" s="334" t="str">
        <f>VLOOKUP(Ruimtestaat[[#This Row],[Code]],Locaties[#All],6,FALSE)</f>
        <v>Den Haag</v>
      </c>
      <c r="F87" s="335"/>
      <c r="G87" s="334" t="s">
        <v>1611</v>
      </c>
      <c r="H87" s="334" t="s">
        <v>1533</v>
      </c>
      <c r="I87" s="335" t="s">
        <v>1511</v>
      </c>
      <c r="J87" s="328">
        <v>5</v>
      </c>
      <c r="K87" s="335" t="str">
        <f>VLOOKUP(J87,Ruimtegroepen[],2,FALSE)</f>
        <v>Sanitair</v>
      </c>
      <c r="L87" s="212" t="s">
        <v>123</v>
      </c>
      <c r="M87" s="334" t="s">
        <v>144</v>
      </c>
      <c r="N87" s="337">
        <v>6</v>
      </c>
      <c r="O87" s="331"/>
      <c r="P87" s="332" t="str">
        <f>VLOOKUP(Ruimtestaat[[#This Row],[Ruimte code]],Ruimtegroepen[],4,FALSE)</f>
        <v>S  (Sanitair)</v>
      </c>
      <c r="Q87" s="332"/>
      <c r="R87" s="333">
        <v>40</v>
      </c>
      <c r="S87" s="333" t="s">
        <v>19</v>
      </c>
      <c r="T87" s="37"/>
      <c r="U87" s="37">
        <f>IF(R87&gt;0,IF(RIGHT(Ruimtestaat[[#This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87" s="37">
        <f>IF(U87&gt;0,VLOOKUP($J87,Ruimtegroepen[],3,FALSE)*VLOOKUP($L87,Vloersoorten[],3,FALSE)*VLOOKUP($S87,Frequenties[],3,FALSE)*VLOOKUP($A87,Locaties[],3,FALSE),0)</f>
        <v>0</v>
      </c>
      <c r="W87" s="37">
        <f>Ruimtestaat[[#This Row],[Uitvoeringen werkdagen]]*Ruimtestaat[[#This Row],[Oppervlak (netto)]]</f>
        <v>2400</v>
      </c>
      <c r="X87" s="37">
        <f>IF(V87&gt;0,Ruimtestaat[[#This Row],[Prest. (m2 /jaar) werkdagen]]/Ruimtestaat[[#This Row],[Norm (m2/uur) werkdagen]],0)</f>
        <v>0</v>
      </c>
      <c r="Y87" s="37">
        <f>Ruimtestaat[[#This Row],[uren / jaar werkdagen]]*Tariefsopbouw!$D$38</f>
        <v>0</v>
      </c>
      <c r="Z87" s="37">
        <f>IF(Ruimtestaat[[#This Row],[Frequentie weekend]]&gt;0,VALUE(LEFT(T87,1))*R87,0)</f>
        <v>0</v>
      </c>
      <c r="AA87" s="37">
        <f>IF($Z87&gt;0,VLOOKUP($J87,Ruimtegroepen[],3,FALSE)*VLOOKUP($L87,Vloersoorten[],3,FALSE)*VLOOKUP($T87,Frequenties[],3,FALSE)*VLOOKUP($A87,Locaties[],3,FALSE),0)</f>
        <v>0</v>
      </c>
      <c r="AB87" s="37">
        <f>Ruimtestaat[[#This Row],[Uitvoeringen weekend]]*Ruimtestaat[[#This Row],[Oppervlak (netto)]]</f>
        <v>0</v>
      </c>
      <c r="AC87" s="37">
        <f>IF(AA87&gt;0,Ruimtestaat[[#This Row],[Prest. (m2 /jaar) weekend]]/Ruimtestaat[[#This Row],[Norm (m2/uur) weekend]],0)</f>
        <v>0</v>
      </c>
      <c r="AD87" s="37">
        <f>Ruimtestaat[[#This Row],[uren / jaar weekend]]*Tariefsopbouw!$D$40</f>
        <v>0</v>
      </c>
      <c r="AE87" s="89">
        <f>Ruimtestaat[[#This Row],[Prest. (m2 /jaar) weekend]]+Ruimtestaat[[#This Row],[Prest. (m2 /jaar) werkdagen]]</f>
        <v>2400</v>
      </c>
      <c r="AF87" s="89">
        <f>Ruimtestaat[[#This Row],[uren / jaar weekend]]+Ruimtestaat[[#This Row],[uren / jaar werkdagen]]</f>
        <v>0</v>
      </c>
      <c r="AG87" s="90">
        <f>Ruimtestaat[[#This Row],[kosten / jaar weekend]]+Ruimtestaat[[#This Row],[kosten / jaar werkdagen]]</f>
        <v>0</v>
      </c>
      <c r="AH87" s="253"/>
      <c r="AI87" s="252" t="str">
        <f>IF(Ruimtestaat[[#This Row],[Frequentie werkdagen]]="","",_xlfn.CONCAT(Ruimtestaat[[#This Row],[Ruimte code]],"-",Ruimtestaat[[#This Row],[Frequentie werkdagen]]," ",Ruimtestaat[[#This Row],[Vloer code]]))</f>
        <v>5-10w P</v>
      </c>
      <c r="AJ87" s="247" t="str">
        <f>_xlfn.IFNA(VLOOKUP(Ruimtestaat[[#This Row],[Programmacode
Regulier]],Programma!$F$4:$Y$36148,2,0),"_")</f>
        <v>_</v>
      </c>
      <c r="AK87" s="247" t="str">
        <f>_xlfn.IFNA(VLOOKUP(Ruimtestaat[[#This Row],[Programmacode
Regulier]],Programma!$F$4:$Y$36148,3,0),"_")</f>
        <v>_</v>
      </c>
      <c r="AL87" s="247" t="str">
        <f>_xlfn.IFNA(VLOOKUP(Ruimtestaat[[#This Row],[Programmacode
Regulier]],Programma!$F$4:$Y$36148,4,0),"_")</f>
        <v>_</v>
      </c>
      <c r="AM87" s="247" t="str">
        <f>_xlfn.IFNA(VLOOKUP(Ruimtestaat[[#This Row],[Programmacode
Regulier]],Programma!$F$4:$Y$36148,5,0),"_")</f>
        <v>4w</v>
      </c>
      <c r="AN87" s="247" t="str">
        <f>_xlfn.IFNA(VLOOKUP(Ruimtestaat[[#This Row],[Programmacode
Regulier]],Programma!$F$4:$Y$36148,6,0),"_")</f>
        <v>1w</v>
      </c>
      <c r="AO87" s="247" t="str">
        <f>_xlfn.IFNA(VLOOKUP(Ruimtestaat[[#This Row],[Programmacode
Regulier]],Programma!$F$4:$Y$36148,7,0),"_")</f>
        <v>_</v>
      </c>
      <c r="AP87" s="247" t="str">
        <f>_xlfn.IFNA(VLOOKUP(Ruimtestaat[[#This Row],[Programmacode
Regulier]],Programma!$F$4:$Y$36148,8,0),"_")</f>
        <v>_</v>
      </c>
      <c r="AQ87" s="247" t="str">
        <f>_xlfn.IFNA(VLOOKUP(Ruimtestaat[[#This Row],[Programmacode
Regulier]],Programma!$F$4:$Y$36148,9,0),"_")</f>
        <v>5w</v>
      </c>
      <c r="AR87" s="248" t="str">
        <f>_xlfn.IFNA(VLOOKUP(Ruimtestaat[[#This Row],[Programmacode
Regulier]],Programma!$F$4:$Y$36148,10,0),"_")</f>
        <v>_</v>
      </c>
      <c r="AS87" s="248" t="str">
        <f>_xlfn.IFNA(VLOOKUP(Ruimtestaat[[#This Row],[Programmacode
Regulier]],Programma!$F$4:$Y$36148,11,0),"_")</f>
        <v>_</v>
      </c>
      <c r="AT87" s="248" t="str">
        <f>_xlfn.IFNA(VLOOKUP(Ruimtestaat[[#This Row],[Programmacode
Regulier]],Programma!$F$4:$Y$36148,12,0),"_")</f>
        <v>_</v>
      </c>
      <c r="AU87" s="248" t="str">
        <f>_xlfn.IFNA(VLOOKUP(Ruimtestaat[[#This Row],[Programmacode
Regulier]],Programma!$F$4:$Y$36148,13,0),"_")</f>
        <v>_</v>
      </c>
      <c r="AV87" s="248" t="str">
        <f>_xlfn.IFNA(VLOOKUP(Ruimtestaat[[#This Row],[Programmacode
Regulier]],Programma!$F$4:$Y$36148,14,0),"_")</f>
        <v>_</v>
      </c>
      <c r="AW87" s="248" t="str">
        <f>_xlfn.IFNA(VLOOKUP(Ruimtestaat[[#This Row],[Programmacode
Regulier]],Programma!$F$4:$Y$36148,15,0),"_")</f>
        <v>_</v>
      </c>
      <c r="AX87" s="248" t="str">
        <f>_xlfn.IFNA(VLOOKUP(Ruimtestaat[[#This Row],[Programmacode
Regulier]],Programma!$F$4:$Y$36148,16,0),"_")</f>
        <v>_</v>
      </c>
      <c r="AY87" s="248" t="str">
        <f>_xlfn.IFNA(VLOOKUP(Ruimtestaat[[#This Row],[Programmacode
Regulier]],Programma!$F$4:$Y$36148,17,0),"_")</f>
        <v>_</v>
      </c>
      <c r="AZ87" s="249" t="str">
        <f>_xlfn.IFNA(VLOOKUP(Ruimtestaat[[#This Row],[Programmacode
Regulier]],Programma!$F$4:$Y$36148,18,0),"_")</f>
        <v>4w</v>
      </c>
      <c r="BA87" s="249" t="str">
        <f>_xlfn.IFNA(VLOOKUP(Ruimtestaat[[#This Row],[Programmacode
Regulier]],Programma!$F$4:$Y$36148,19,0),"_")</f>
        <v>1w</v>
      </c>
      <c r="BB87" s="249" t="str">
        <f>_xlfn.IFNA(VLOOKUP(Ruimtestaat[[#This Row],[Programmacode
Regulier]],Programma!$F$4:$Y$36148,20,0),"_")</f>
        <v>5w</v>
      </c>
      <c r="BC87" s="250"/>
      <c r="BD87" s="212" t="str">
        <f>IF(Ruimtestaat[[#This Row],[Frequentie weekend]]="","",_xlfn.CONCAT(Ruimtestaat[[#This Row],[Ruimte code]],"-",Ruimtestaat[[#This Row],[Frequentie weekend]]," ",Ruimtestaat[[#This Row],[Vloer code]]))</f>
        <v/>
      </c>
      <c r="BE87" s="247" t="str">
        <f>_xlfn.IFNA(VLOOKUP(Ruimtestaat[[#This Row],[Code Weekend]],Programma!$F$4:$Y$36148,2,0),"_")</f>
        <v>_</v>
      </c>
      <c r="BF87" s="247" t="str">
        <f>_xlfn.IFNA(VLOOKUP(Ruimtestaat[[#This Row],[Code Weekend]],Programma!$F$4:$Y$36148,3,0),"_")</f>
        <v>_</v>
      </c>
      <c r="BG87" s="247" t="str">
        <f>_xlfn.IFNA(VLOOKUP(Ruimtestaat[[#This Row],[Code Weekend]],Programma!$F$4:$Y$36148,4,0),"_")</f>
        <v>_</v>
      </c>
      <c r="BH87" s="247" t="str">
        <f>_xlfn.IFNA(VLOOKUP(Ruimtestaat[[#This Row],[Code Weekend]],Programma!$F$4:$Y$36148,5,0),"_")</f>
        <v>_</v>
      </c>
      <c r="BI87" s="247" t="str">
        <f>_xlfn.IFNA(VLOOKUP(Ruimtestaat[[#This Row],[Code Weekend]],Programma!$F$4:$Y$36148,6,0),"_")</f>
        <v>_</v>
      </c>
      <c r="BJ87" s="247" t="str">
        <f>_xlfn.IFNA(VLOOKUP(Ruimtestaat[[#This Row],[Code Weekend]],Programma!$F$4:$Y$36148,7,0),"_")</f>
        <v>_</v>
      </c>
      <c r="BK87" s="247" t="str">
        <f>_xlfn.IFNA(VLOOKUP(Ruimtestaat[[#This Row],[Code Weekend]],Programma!$F$4:$Y$36148,8,0),"_")</f>
        <v>_</v>
      </c>
      <c r="BL87" s="247" t="str">
        <f>_xlfn.IFNA(VLOOKUP(Ruimtestaat[[#This Row],[Code Weekend]],Programma!$F$4:$Y$36148,9,0),"_")</f>
        <v>_</v>
      </c>
      <c r="BM87" s="248" t="str">
        <f>_xlfn.IFNA(VLOOKUP(Ruimtestaat[[#This Row],[Code Weekend]],Programma!$F$4:$Y$36148,10,0),"_")</f>
        <v>_</v>
      </c>
      <c r="BN87" s="248" t="str">
        <f>_xlfn.IFNA(VLOOKUP(Ruimtestaat[[#This Row],[Code Weekend]],Programma!$F$4:$Y$36148,11,0),"_")</f>
        <v>_</v>
      </c>
      <c r="BO87" s="248" t="str">
        <f>_xlfn.IFNA(VLOOKUP(Ruimtestaat[[#This Row],[Code Weekend]],Programma!$F$4:$Y$36148,12,0),"_")</f>
        <v>_</v>
      </c>
      <c r="BP87" s="248" t="str">
        <f>_xlfn.IFNA(VLOOKUP(Ruimtestaat[[#This Row],[Code Weekend]],Programma!$F$4:$Y$36148,13,0),"_")</f>
        <v>_</v>
      </c>
      <c r="BQ87" s="248" t="str">
        <f>_xlfn.IFNA(VLOOKUP(Ruimtestaat[[#This Row],[Code Weekend]],Programma!$F$4:$Y$36148,14,0),"_")</f>
        <v>_</v>
      </c>
      <c r="BR87" s="248" t="str">
        <f>_xlfn.IFNA(VLOOKUP(Ruimtestaat[[#This Row],[Code Weekend]],Programma!$F$4:$Y$36148,15,0),"_")</f>
        <v>_</v>
      </c>
      <c r="BS87" s="248" t="str">
        <f>_xlfn.IFNA(VLOOKUP(Ruimtestaat[[#This Row],[Code Weekend]],Programma!$F$4:$Y$36148,16,0),"_")</f>
        <v>_</v>
      </c>
      <c r="BT87" s="248" t="str">
        <f>_xlfn.IFNA(VLOOKUP(Ruimtestaat[[#This Row],[Code Weekend]],Programma!$F$4:$Y$36148,17,0),"_")</f>
        <v>_</v>
      </c>
      <c r="BU87" s="249" t="str">
        <f>_xlfn.IFNA(VLOOKUP(Ruimtestaat[[#This Row],[Code Weekend]],Programma!$F$4:$Y$36148,18,0),"_")</f>
        <v>_</v>
      </c>
      <c r="BV87" s="249" t="str">
        <f>_xlfn.IFNA(VLOOKUP(Ruimtestaat[[#This Row],[Code Weekend]],Programma!$F$4:$Y$36148,19,0),"_")</f>
        <v>_</v>
      </c>
      <c r="BW87" s="249" t="str">
        <f>_xlfn.IFNA(VLOOKUP(Ruimtestaat[[#This Row],[Code Weekend]],Programma!$F$4:$Y$36148,20,0),"_")</f>
        <v>_</v>
      </c>
      <c r="HK87" s="88"/>
    </row>
    <row r="88" spans="1:219" ht="12.75" customHeight="1">
      <c r="A88" s="131">
        <v>1</v>
      </c>
      <c r="B88" s="22" t="str">
        <f>VLOOKUP(Ruimtestaat[[#This Row],[Code]],Locaties[#All],2,FALSE)</f>
        <v>ESH Secondary School</v>
      </c>
      <c r="C88" s="22" t="str">
        <f>VLOOKUP(Ruimtestaat[[#This Row],[Code]],Locaties[#All],4,FALSE)</f>
        <v>Oostduinlaan 50</v>
      </c>
      <c r="D88" s="334" t="str">
        <f>VLOOKUP(Ruimtestaat[[#This Row],[Code]],Locaties[#All],5,FALSE)</f>
        <v>2596 JP</v>
      </c>
      <c r="E88" s="334" t="str">
        <f>VLOOKUP(Ruimtestaat[[#This Row],[Code]],Locaties[#All],6,FALSE)</f>
        <v>Den Haag</v>
      </c>
      <c r="F88" s="335"/>
      <c r="G88" s="334" t="s">
        <v>1611</v>
      </c>
      <c r="H88" s="334" t="s">
        <v>1534</v>
      </c>
      <c r="I88" s="335" t="s">
        <v>1493</v>
      </c>
      <c r="J88" s="328">
        <v>5</v>
      </c>
      <c r="K88" s="335" t="str">
        <f>VLOOKUP(J88,Ruimtegroepen[],2,FALSE)</f>
        <v>Sanitair</v>
      </c>
      <c r="L88" s="212" t="s">
        <v>123</v>
      </c>
      <c r="M88" s="334" t="s">
        <v>144</v>
      </c>
      <c r="N88" s="337">
        <v>13</v>
      </c>
      <c r="O88" s="331"/>
      <c r="P88" s="332" t="str">
        <f>VLOOKUP(Ruimtestaat[[#This Row],[Ruimte code]],Ruimtegroepen[],4,FALSE)</f>
        <v>S  (Sanitair)</v>
      </c>
      <c r="Q88" s="332"/>
      <c r="R88" s="333">
        <v>40</v>
      </c>
      <c r="S88" s="333" t="s">
        <v>19</v>
      </c>
      <c r="T88" s="37"/>
      <c r="U88" s="37">
        <f>IF(R88&gt;0,IF(RIGHT(Ruimtestaat[[#This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88" s="37">
        <f>IF(U88&gt;0,VLOOKUP($J88,Ruimtegroepen[],3,FALSE)*VLOOKUP($L88,Vloersoorten[],3,FALSE)*VLOOKUP($S88,Frequenties[],3,FALSE)*VLOOKUP($A88,Locaties[],3,FALSE),0)</f>
        <v>0</v>
      </c>
      <c r="W88" s="37">
        <f>Ruimtestaat[[#This Row],[Uitvoeringen werkdagen]]*Ruimtestaat[[#This Row],[Oppervlak (netto)]]</f>
        <v>5200</v>
      </c>
      <c r="X88" s="37">
        <f>IF(V88&gt;0,Ruimtestaat[[#This Row],[Prest. (m2 /jaar) werkdagen]]/Ruimtestaat[[#This Row],[Norm (m2/uur) werkdagen]],0)</f>
        <v>0</v>
      </c>
      <c r="Y88" s="37">
        <f>Ruimtestaat[[#This Row],[uren / jaar werkdagen]]*Tariefsopbouw!$D$38</f>
        <v>0</v>
      </c>
      <c r="Z88" s="37">
        <f>IF(Ruimtestaat[[#This Row],[Frequentie weekend]]&gt;0,VALUE(LEFT(T88,1))*R88,0)</f>
        <v>0</v>
      </c>
      <c r="AA88" s="37">
        <f>IF($Z88&gt;0,VLOOKUP($J88,Ruimtegroepen[],3,FALSE)*VLOOKUP($L88,Vloersoorten[],3,FALSE)*VLOOKUP($T88,Frequenties[],3,FALSE)*VLOOKUP($A88,Locaties[],3,FALSE),0)</f>
        <v>0</v>
      </c>
      <c r="AB88" s="37">
        <f>Ruimtestaat[[#This Row],[Uitvoeringen weekend]]*Ruimtestaat[[#This Row],[Oppervlak (netto)]]</f>
        <v>0</v>
      </c>
      <c r="AC88" s="37">
        <f>IF(AA88&gt;0,Ruimtestaat[[#This Row],[Prest. (m2 /jaar) weekend]]/Ruimtestaat[[#This Row],[Norm (m2/uur) weekend]],0)</f>
        <v>0</v>
      </c>
      <c r="AD88" s="37">
        <f>Ruimtestaat[[#This Row],[uren / jaar weekend]]*Tariefsopbouw!$D$40</f>
        <v>0</v>
      </c>
      <c r="AE88" s="89">
        <f>Ruimtestaat[[#This Row],[Prest. (m2 /jaar) weekend]]+Ruimtestaat[[#This Row],[Prest. (m2 /jaar) werkdagen]]</f>
        <v>5200</v>
      </c>
      <c r="AF88" s="89">
        <f>Ruimtestaat[[#This Row],[uren / jaar weekend]]+Ruimtestaat[[#This Row],[uren / jaar werkdagen]]</f>
        <v>0</v>
      </c>
      <c r="AG88" s="90">
        <f>Ruimtestaat[[#This Row],[kosten / jaar weekend]]+Ruimtestaat[[#This Row],[kosten / jaar werkdagen]]</f>
        <v>0</v>
      </c>
      <c r="AH88" s="253"/>
      <c r="AI88" s="252" t="str">
        <f>IF(Ruimtestaat[[#This Row],[Frequentie werkdagen]]="","",_xlfn.CONCAT(Ruimtestaat[[#This Row],[Ruimte code]],"-",Ruimtestaat[[#This Row],[Frequentie werkdagen]]," ",Ruimtestaat[[#This Row],[Vloer code]]))</f>
        <v>5-10w P</v>
      </c>
      <c r="AJ88" s="247" t="str">
        <f>_xlfn.IFNA(VLOOKUP(Ruimtestaat[[#This Row],[Programmacode
Regulier]],Programma!$F$4:$Y$36148,2,0),"_")</f>
        <v>_</v>
      </c>
      <c r="AK88" s="247" t="str">
        <f>_xlfn.IFNA(VLOOKUP(Ruimtestaat[[#This Row],[Programmacode
Regulier]],Programma!$F$4:$Y$36148,3,0),"_")</f>
        <v>_</v>
      </c>
      <c r="AL88" s="247" t="str">
        <f>_xlfn.IFNA(VLOOKUP(Ruimtestaat[[#This Row],[Programmacode
Regulier]],Programma!$F$4:$Y$36148,4,0),"_")</f>
        <v>_</v>
      </c>
      <c r="AM88" s="247" t="str">
        <f>_xlfn.IFNA(VLOOKUP(Ruimtestaat[[#This Row],[Programmacode
Regulier]],Programma!$F$4:$Y$36148,5,0),"_")</f>
        <v>4w</v>
      </c>
      <c r="AN88" s="247" t="str">
        <f>_xlfn.IFNA(VLOOKUP(Ruimtestaat[[#This Row],[Programmacode
Regulier]],Programma!$F$4:$Y$36148,6,0),"_")</f>
        <v>1w</v>
      </c>
      <c r="AO88" s="247" t="str">
        <f>_xlfn.IFNA(VLOOKUP(Ruimtestaat[[#This Row],[Programmacode
Regulier]],Programma!$F$4:$Y$36148,7,0),"_")</f>
        <v>_</v>
      </c>
      <c r="AP88" s="247" t="str">
        <f>_xlfn.IFNA(VLOOKUP(Ruimtestaat[[#This Row],[Programmacode
Regulier]],Programma!$F$4:$Y$36148,8,0),"_")</f>
        <v>_</v>
      </c>
      <c r="AQ88" s="247" t="str">
        <f>_xlfn.IFNA(VLOOKUP(Ruimtestaat[[#This Row],[Programmacode
Regulier]],Programma!$F$4:$Y$36148,9,0),"_")</f>
        <v>5w</v>
      </c>
      <c r="AR88" s="248" t="str">
        <f>_xlfn.IFNA(VLOOKUP(Ruimtestaat[[#This Row],[Programmacode
Regulier]],Programma!$F$4:$Y$36148,10,0),"_")</f>
        <v>_</v>
      </c>
      <c r="AS88" s="248" t="str">
        <f>_xlfn.IFNA(VLOOKUP(Ruimtestaat[[#This Row],[Programmacode
Regulier]],Programma!$F$4:$Y$36148,11,0),"_")</f>
        <v>_</v>
      </c>
      <c r="AT88" s="248" t="str">
        <f>_xlfn.IFNA(VLOOKUP(Ruimtestaat[[#This Row],[Programmacode
Regulier]],Programma!$F$4:$Y$36148,12,0),"_")</f>
        <v>_</v>
      </c>
      <c r="AU88" s="248" t="str">
        <f>_xlfn.IFNA(VLOOKUP(Ruimtestaat[[#This Row],[Programmacode
Regulier]],Programma!$F$4:$Y$36148,13,0),"_")</f>
        <v>_</v>
      </c>
      <c r="AV88" s="248" t="str">
        <f>_xlfn.IFNA(VLOOKUP(Ruimtestaat[[#This Row],[Programmacode
Regulier]],Programma!$F$4:$Y$36148,14,0),"_")</f>
        <v>_</v>
      </c>
      <c r="AW88" s="248" t="str">
        <f>_xlfn.IFNA(VLOOKUP(Ruimtestaat[[#This Row],[Programmacode
Regulier]],Programma!$F$4:$Y$36148,15,0),"_")</f>
        <v>_</v>
      </c>
      <c r="AX88" s="248" t="str">
        <f>_xlfn.IFNA(VLOOKUP(Ruimtestaat[[#This Row],[Programmacode
Regulier]],Programma!$F$4:$Y$36148,16,0),"_")</f>
        <v>_</v>
      </c>
      <c r="AY88" s="248" t="str">
        <f>_xlfn.IFNA(VLOOKUP(Ruimtestaat[[#This Row],[Programmacode
Regulier]],Programma!$F$4:$Y$36148,17,0),"_")</f>
        <v>_</v>
      </c>
      <c r="AZ88" s="249" t="str">
        <f>_xlfn.IFNA(VLOOKUP(Ruimtestaat[[#This Row],[Programmacode
Regulier]],Programma!$F$4:$Y$36148,18,0),"_")</f>
        <v>4w</v>
      </c>
      <c r="BA88" s="249" t="str">
        <f>_xlfn.IFNA(VLOOKUP(Ruimtestaat[[#This Row],[Programmacode
Regulier]],Programma!$F$4:$Y$36148,19,0),"_")</f>
        <v>1w</v>
      </c>
      <c r="BB88" s="249" t="str">
        <f>_xlfn.IFNA(VLOOKUP(Ruimtestaat[[#This Row],[Programmacode
Regulier]],Programma!$F$4:$Y$36148,20,0),"_")</f>
        <v>5w</v>
      </c>
      <c r="BC88" s="250"/>
      <c r="BD88" s="212" t="str">
        <f>IF(Ruimtestaat[[#This Row],[Frequentie weekend]]="","",_xlfn.CONCAT(Ruimtestaat[[#This Row],[Ruimte code]],"-",Ruimtestaat[[#This Row],[Frequentie weekend]]," ",Ruimtestaat[[#This Row],[Vloer code]]))</f>
        <v/>
      </c>
      <c r="BE88" s="247" t="str">
        <f>_xlfn.IFNA(VLOOKUP(Ruimtestaat[[#This Row],[Code Weekend]],Programma!$F$4:$Y$36148,2,0),"_")</f>
        <v>_</v>
      </c>
      <c r="BF88" s="247" t="str">
        <f>_xlfn.IFNA(VLOOKUP(Ruimtestaat[[#This Row],[Code Weekend]],Programma!$F$4:$Y$36148,3,0),"_")</f>
        <v>_</v>
      </c>
      <c r="BG88" s="247" t="str">
        <f>_xlfn.IFNA(VLOOKUP(Ruimtestaat[[#This Row],[Code Weekend]],Programma!$F$4:$Y$36148,4,0),"_")</f>
        <v>_</v>
      </c>
      <c r="BH88" s="247" t="str">
        <f>_xlfn.IFNA(VLOOKUP(Ruimtestaat[[#This Row],[Code Weekend]],Programma!$F$4:$Y$36148,5,0),"_")</f>
        <v>_</v>
      </c>
      <c r="BI88" s="247" t="str">
        <f>_xlfn.IFNA(VLOOKUP(Ruimtestaat[[#This Row],[Code Weekend]],Programma!$F$4:$Y$36148,6,0),"_")</f>
        <v>_</v>
      </c>
      <c r="BJ88" s="247" t="str">
        <f>_xlfn.IFNA(VLOOKUP(Ruimtestaat[[#This Row],[Code Weekend]],Programma!$F$4:$Y$36148,7,0),"_")</f>
        <v>_</v>
      </c>
      <c r="BK88" s="247" t="str">
        <f>_xlfn.IFNA(VLOOKUP(Ruimtestaat[[#This Row],[Code Weekend]],Programma!$F$4:$Y$36148,8,0),"_")</f>
        <v>_</v>
      </c>
      <c r="BL88" s="247" t="str">
        <f>_xlfn.IFNA(VLOOKUP(Ruimtestaat[[#This Row],[Code Weekend]],Programma!$F$4:$Y$36148,9,0),"_")</f>
        <v>_</v>
      </c>
      <c r="BM88" s="248" t="str">
        <f>_xlfn.IFNA(VLOOKUP(Ruimtestaat[[#This Row],[Code Weekend]],Programma!$F$4:$Y$36148,10,0),"_")</f>
        <v>_</v>
      </c>
      <c r="BN88" s="248" t="str">
        <f>_xlfn.IFNA(VLOOKUP(Ruimtestaat[[#This Row],[Code Weekend]],Programma!$F$4:$Y$36148,11,0),"_")</f>
        <v>_</v>
      </c>
      <c r="BO88" s="248" t="str">
        <f>_xlfn.IFNA(VLOOKUP(Ruimtestaat[[#This Row],[Code Weekend]],Programma!$F$4:$Y$36148,12,0),"_")</f>
        <v>_</v>
      </c>
      <c r="BP88" s="248" t="str">
        <f>_xlfn.IFNA(VLOOKUP(Ruimtestaat[[#This Row],[Code Weekend]],Programma!$F$4:$Y$36148,13,0),"_")</f>
        <v>_</v>
      </c>
      <c r="BQ88" s="248" t="str">
        <f>_xlfn.IFNA(VLOOKUP(Ruimtestaat[[#This Row],[Code Weekend]],Programma!$F$4:$Y$36148,14,0),"_")</f>
        <v>_</v>
      </c>
      <c r="BR88" s="248" t="str">
        <f>_xlfn.IFNA(VLOOKUP(Ruimtestaat[[#This Row],[Code Weekend]],Programma!$F$4:$Y$36148,15,0),"_")</f>
        <v>_</v>
      </c>
      <c r="BS88" s="248" t="str">
        <f>_xlfn.IFNA(VLOOKUP(Ruimtestaat[[#This Row],[Code Weekend]],Programma!$F$4:$Y$36148,16,0),"_")</f>
        <v>_</v>
      </c>
      <c r="BT88" s="248" t="str">
        <f>_xlfn.IFNA(VLOOKUP(Ruimtestaat[[#This Row],[Code Weekend]],Programma!$F$4:$Y$36148,17,0),"_")</f>
        <v>_</v>
      </c>
      <c r="BU88" s="249" t="str">
        <f>_xlfn.IFNA(VLOOKUP(Ruimtestaat[[#This Row],[Code Weekend]],Programma!$F$4:$Y$36148,18,0),"_")</f>
        <v>_</v>
      </c>
      <c r="BV88" s="249" t="str">
        <f>_xlfn.IFNA(VLOOKUP(Ruimtestaat[[#This Row],[Code Weekend]],Programma!$F$4:$Y$36148,19,0),"_")</f>
        <v>_</v>
      </c>
      <c r="BW88" s="249" t="str">
        <f>_xlfn.IFNA(VLOOKUP(Ruimtestaat[[#This Row],[Code Weekend]],Programma!$F$4:$Y$36148,20,0),"_")</f>
        <v>_</v>
      </c>
      <c r="HK88" s="88"/>
    </row>
    <row r="89" spans="1:219" ht="12.75" customHeight="1">
      <c r="A89" s="131">
        <v>1</v>
      </c>
      <c r="B89" s="22" t="str">
        <f>VLOOKUP(Ruimtestaat[[#This Row],[Code]],Locaties[#All],2,FALSE)</f>
        <v>ESH Secondary School</v>
      </c>
      <c r="C89" s="22" t="str">
        <f>VLOOKUP(Ruimtestaat[[#This Row],[Code]],Locaties[#All],4,FALSE)</f>
        <v>Oostduinlaan 50</v>
      </c>
      <c r="D89" s="334" t="str">
        <f>VLOOKUP(Ruimtestaat[[#This Row],[Code]],Locaties[#All],5,FALSE)</f>
        <v>2596 JP</v>
      </c>
      <c r="E89" s="334" t="str">
        <f>VLOOKUP(Ruimtestaat[[#This Row],[Code]],Locaties[#All],6,FALSE)</f>
        <v>Den Haag</v>
      </c>
      <c r="F89" s="335"/>
      <c r="G89" s="334" t="s">
        <v>1611</v>
      </c>
      <c r="H89" s="334" t="s">
        <v>1535</v>
      </c>
      <c r="I89" s="335" t="s">
        <v>1395</v>
      </c>
      <c r="J89" s="328">
        <v>6</v>
      </c>
      <c r="K89" s="335" t="str">
        <f>VLOOKUP(J89,Ruimtegroepen[],2,FALSE)</f>
        <v>Gangen/hallen BG</v>
      </c>
      <c r="L89" s="212" t="s">
        <v>123</v>
      </c>
      <c r="M89" s="334" t="s">
        <v>144</v>
      </c>
      <c r="N89" s="337">
        <v>37</v>
      </c>
      <c r="O89" s="331"/>
      <c r="P89" s="332" t="str">
        <f>VLOOKUP(Ruimtestaat[[#This Row],[Ruimte code]],Ruimtegroepen[],4,FALSE)</f>
        <v>V  (Verkeersruimte)</v>
      </c>
      <c r="Q89" s="332"/>
      <c r="R89" s="333">
        <v>40</v>
      </c>
      <c r="S89" s="333" t="s">
        <v>2</v>
      </c>
      <c r="T89" s="37"/>
      <c r="U89" s="37">
        <f>IF(R89&gt;0,IF(RIGHT(Ruimtestaat[[#This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9" s="37">
        <f>IF(U89&gt;0,VLOOKUP($J89,Ruimtegroepen[],3,FALSE)*VLOOKUP($L89,Vloersoorten[],3,FALSE)*VLOOKUP($S89,Frequenties[],3,FALSE)*VLOOKUP($A89,Locaties[],3,FALSE),0)</f>
        <v>0</v>
      </c>
      <c r="W89" s="37">
        <f>Ruimtestaat[[#This Row],[Uitvoeringen werkdagen]]*Ruimtestaat[[#This Row],[Oppervlak (netto)]]</f>
        <v>7400</v>
      </c>
      <c r="X89" s="37">
        <f>IF(V89&gt;0,Ruimtestaat[[#This Row],[Prest. (m2 /jaar) werkdagen]]/Ruimtestaat[[#This Row],[Norm (m2/uur) werkdagen]],0)</f>
        <v>0</v>
      </c>
      <c r="Y89" s="37">
        <f>Ruimtestaat[[#This Row],[uren / jaar werkdagen]]*Tariefsopbouw!$D$38</f>
        <v>0</v>
      </c>
      <c r="Z89" s="37">
        <f>IF(Ruimtestaat[[#This Row],[Frequentie weekend]]&gt;0,VALUE(LEFT(T89,1))*R89,0)</f>
        <v>0</v>
      </c>
      <c r="AA89" s="37">
        <f>IF($Z89&gt;0,VLOOKUP($J89,Ruimtegroepen[],3,FALSE)*VLOOKUP($L89,Vloersoorten[],3,FALSE)*VLOOKUP($T89,Frequenties[],3,FALSE)*VLOOKUP($A89,Locaties[],3,FALSE),0)</f>
        <v>0</v>
      </c>
      <c r="AB89" s="37">
        <f>Ruimtestaat[[#This Row],[Uitvoeringen weekend]]*Ruimtestaat[[#This Row],[Oppervlak (netto)]]</f>
        <v>0</v>
      </c>
      <c r="AC89" s="37">
        <f>IF(AA89&gt;0,Ruimtestaat[[#This Row],[Prest. (m2 /jaar) weekend]]/Ruimtestaat[[#This Row],[Norm (m2/uur) weekend]],0)</f>
        <v>0</v>
      </c>
      <c r="AD89" s="37">
        <f>Ruimtestaat[[#This Row],[uren / jaar weekend]]*Tariefsopbouw!$D$40</f>
        <v>0</v>
      </c>
      <c r="AE89" s="89">
        <f>Ruimtestaat[[#This Row],[Prest. (m2 /jaar) weekend]]+Ruimtestaat[[#This Row],[Prest. (m2 /jaar) werkdagen]]</f>
        <v>7400</v>
      </c>
      <c r="AF89" s="89">
        <f>Ruimtestaat[[#This Row],[uren / jaar weekend]]+Ruimtestaat[[#This Row],[uren / jaar werkdagen]]</f>
        <v>0</v>
      </c>
      <c r="AG89" s="90">
        <f>Ruimtestaat[[#This Row],[kosten / jaar weekend]]+Ruimtestaat[[#This Row],[kosten / jaar werkdagen]]</f>
        <v>0</v>
      </c>
      <c r="AH89" s="253"/>
      <c r="AI89" s="252" t="str">
        <f>IF(Ruimtestaat[[#This Row],[Frequentie werkdagen]]="","",_xlfn.CONCAT(Ruimtestaat[[#This Row],[Ruimte code]],"-",Ruimtestaat[[#This Row],[Frequentie werkdagen]]," ",Ruimtestaat[[#This Row],[Vloer code]]))</f>
        <v>6-5w P</v>
      </c>
      <c r="AJ89" s="247" t="str">
        <f>_xlfn.IFNA(VLOOKUP(Ruimtestaat[[#This Row],[Programmacode
Regulier]],Programma!$F$4:$Y$36148,2,0),"_")</f>
        <v>_</v>
      </c>
      <c r="AK89" s="247" t="str">
        <f>_xlfn.IFNA(VLOOKUP(Ruimtestaat[[#This Row],[Programmacode
Regulier]],Programma!$F$4:$Y$36148,3,0),"_")</f>
        <v>_</v>
      </c>
      <c r="AL89" s="247" t="str">
        <f>_xlfn.IFNA(VLOOKUP(Ruimtestaat[[#This Row],[Programmacode
Regulier]],Programma!$F$4:$Y$36148,4,0),"_")</f>
        <v>5w</v>
      </c>
      <c r="AM89" s="247" t="str">
        <f>_xlfn.IFNA(VLOOKUP(Ruimtestaat[[#This Row],[Programmacode
Regulier]],Programma!$F$4:$Y$36148,5,0),"_")</f>
        <v>_</v>
      </c>
      <c r="AN89" s="247" t="str">
        <f>_xlfn.IFNA(VLOOKUP(Ruimtestaat[[#This Row],[Programmacode
Regulier]],Programma!$F$4:$Y$36148,6,0),"_")</f>
        <v>5w</v>
      </c>
      <c r="AO89" s="247" t="str">
        <f>_xlfn.IFNA(VLOOKUP(Ruimtestaat[[#This Row],[Programmacode
Regulier]],Programma!$F$4:$Y$36148,7,0),"_")</f>
        <v>_</v>
      </c>
      <c r="AP89" s="247" t="str">
        <f>_xlfn.IFNA(VLOOKUP(Ruimtestaat[[#This Row],[Programmacode
Regulier]],Programma!$F$4:$Y$36148,8,0),"_")</f>
        <v>_</v>
      </c>
      <c r="AQ89" s="247" t="str">
        <f>_xlfn.IFNA(VLOOKUP(Ruimtestaat[[#This Row],[Programmacode
Regulier]],Programma!$F$4:$Y$36148,9,0),"_")</f>
        <v>_</v>
      </c>
      <c r="AR89" s="248" t="str">
        <f>_xlfn.IFNA(VLOOKUP(Ruimtestaat[[#This Row],[Programmacode
Regulier]],Programma!$F$4:$Y$36148,10,0),"_")</f>
        <v>5w</v>
      </c>
      <c r="AS89" s="248" t="str">
        <f>_xlfn.IFNA(VLOOKUP(Ruimtestaat[[#This Row],[Programmacode
Regulier]],Programma!$F$4:$Y$36148,11,0),"_")</f>
        <v>5w</v>
      </c>
      <c r="AT89" s="248" t="str">
        <f>_xlfn.IFNA(VLOOKUP(Ruimtestaat[[#This Row],[Programmacode
Regulier]],Programma!$F$4:$Y$36148,12,0),"_")</f>
        <v>1w</v>
      </c>
      <c r="AU89" s="248" t="str">
        <f>_xlfn.IFNA(VLOOKUP(Ruimtestaat[[#This Row],[Programmacode
Regulier]],Programma!$F$4:$Y$36148,13,0),"_")</f>
        <v>1w</v>
      </c>
      <c r="AV89" s="248" t="str">
        <f>_xlfn.IFNA(VLOOKUP(Ruimtestaat[[#This Row],[Programmacode
Regulier]],Programma!$F$4:$Y$36148,14,0),"_")</f>
        <v>1m</v>
      </c>
      <c r="AW89" s="248" t="str">
        <f>_xlfn.IFNA(VLOOKUP(Ruimtestaat[[#This Row],[Programmacode
Regulier]],Programma!$F$4:$Y$36148,15,0),"_")</f>
        <v>2j</v>
      </c>
      <c r="AX89" s="248" t="str">
        <f>_xlfn.IFNA(VLOOKUP(Ruimtestaat[[#This Row],[Programmacode
Regulier]],Programma!$F$4:$Y$36148,16,0),"_")</f>
        <v>1j</v>
      </c>
      <c r="AY89" s="248" t="str">
        <f>_xlfn.IFNA(VLOOKUP(Ruimtestaat[[#This Row],[Programmacode
Regulier]],Programma!$F$4:$Y$36148,17,0),"_")</f>
        <v>_</v>
      </c>
      <c r="AZ89" s="249" t="str">
        <f>_xlfn.IFNA(VLOOKUP(Ruimtestaat[[#This Row],[Programmacode
Regulier]],Programma!$F$4:$Y$36148,18,0),"_")</f>
        <v>_</v>
      </c>
      <c r="BA89" s="249" t="str">
        <f>_xlfn.IFNA(VLOOKUP(Ruimtestaat[[#This Row],[Programmacode
Regulier]],Programma!$F$4:$Y$36148,19,0),"_")</f>
        <v>_</v>
      </c>
      <c r="BB89" s="249" t="str">
        <f>_xlfn.IFNA(VLOOKUP(Ruimtestaat[[#This Row],[Programmacode
Regulier]],Programma!$F$4:$Y$36148,20,0),"_")</f>
        <v>_</v>
      </c>
      <c r="BC89" s="250"/>
      <c r="BD89" s="212" t="str">
        <f>IF(Ruimtestaat[[#This Row],[Frequentie weekend]]="","",_xlfn.CONCAT(Ruimtestaat[[#This Row],[Ruimte code]],"-",Ruimtestaat[[#This Row],[Frequentie weekend]]," ",Ruimtestaat[[#This Row],[Vloer code]]))</f>
        <v/>
      </c>
      <c r="BE89" s="247" t="str">
        <f>_xlfn.IFNA(VLOOKUP(Ruimtestaat[[#This Row],[Code Weekend]],Programma!$F$4:$Y$36148,2,0),"_")</f>
        <v>_</v>
      </c>
      <c r="BF89" s="247" t="str">
        <f>_xlfn.IFNA(VLOOKUP(Ruimtestaat[[#This Row],[Code Weekend]],Programma!$F$4:$Y$36148,3,0),"_")</f>
        <v>_</v>
      </c>
      <c r="BG89" s="247" t="str">
        <f>_xlfn.IFNA(VLOOKUP(Ruimtestaat[[#This Row],[Code Weekend]],Programma!$F$4:$Y$36148,4,0),"_")</f>
        <v>_</v>
      </c>
      <c r="BH89" s="247" t="str">
        <f>_xlfn.IFNA(VLOOKUP(Ruimtestaat[[#This Row],[Code Weekend]],Programma!$F$4:$Y$36148,5,0),"_")</f>
        <v>_</v>
      </c>
      <c r="BI89" s="247" t="str">
        <f>_xlfn.IFNA(VLOOKUP(Ruimtestaat[[#This Row],[Code Weekend]],Programma!$F$4:$Y$36148,6,0),"_")</f>
        <v>_</v>
      </c>
      <c r="BJ89" s="247" t="str">
        <f>_xlfn.IFNA(VLOOKUP(Ruimtestaat[[#This Row],[Code Weekend]],Programma!$F$4:$Y$36148,7,0),"_")</f>
        <v>_</v>
      </c>
      <c r="BK89" s="247" t="str">
        <f>_xlfn.IFNA(VLOOKUP(Ruimtestaat[[#This Row],[Code Weekend]],Programma!$F$4:$Y$36148,8,0),"_")</f>
        <v>_</v>
      </c>
      <c r="BL89" s="247" t="str">
        <f>_xlfn.IFNA(VLOOKUP(Ruimtestaat[[#This Row],[Code Weekend]],Programma!$F$4:$Y$36148,9,0),"_")</f>
        <v>_</v>
      </c>
      <c r="BM89" s="248" t="str">
        <f>_xlfn.IFNA(VLOOKUP(Ruimtestaat[[#This Row],[Code Weekend]],Programma!$F$4:$Y$36148,10,0),"_")</f>
        <v>_</v>
      </c>
      <c r="BN89" s="248" t="str">
        <f>_xlfn.IFNA(VLOOKUP(Ruimtestaat[[#This Row],[Code Weekend]],Programma!$F$4:$Y$36148,11,0),"_")</f>
        <v>_</v>
      </c>
      <c r="BO89" s="248" t="str">
        <f>_xlfn.IFNA(VLOOKUP(Ruimtestaat[[#This Row],[Code Weekend]],Programma!$F$4:$Y$36148,12,0),"_")</f>
        <v>_</v>
      </c>
      <c r="BP89" s="248" t="str">
        <f>_xlfn.IFNA(VLOOKUP(Ruimtestaat[[#This Row],[Code Weekend]],Programma!$F$4:$Y$36148,13,0),"_")</f>
        <v>_</v>
      </c>
      <c r="BQ89" s="248" t="str">
        <f>_xlfn.IFNA(VLOOKUP(Ruimtestaat[[#This Row],[Code Weekend]],Programma!$F$4:$Y$36148,14,0),"_")</f>
        <v>_</v>
      </c>
      <c r="BR89" s="248" t="str">
        <f>_xlfn.IFNA(VLOOKUP(Ruimtestaat[[#This Row],[Code Weekend]],Programma!$F$4:$Y$36148,15,0),"_")</f>
        <v>_</v>
      </c>
      <c r="BS89" s="248" t="str">
        <f>_xlfn.IFNA(VLOOKUP(Ruimtestaat[[#This Row],[Code Weekend]],Programma!$F$4:$Y$36148,16,0),"_")</f>
        <v>_</v>
      </c>
      <c r="BT89" s="248" t="str">
        <f>_xlfn.IFNA(VLOOKUP(Ruimtestaat[[#This Row],[Code Weekend]],Programma!$F$4:$Y$36148,17,0),"_")</f>
        <v>_</v>
      </c>
      <c r="BU89" s="249" t="str">
        <f>_xlfn.IFNA(VLOOKUP(Ruimtestaat[[#This Row],[Code Weekend]],Programma!$F$4:$Y$36148,18,0),"_")</f>
        <v>_</v>
      </c>
      <c r="BV89" s="249" t="str">
        <f>_xlfn.IFNA(VLOOKUP(Ruimtestaat[[#This Row],[Code Weekend]],Programma!$F$4:$Y$36148,19,0),"_")</f>
        <v>_</v>
      </c>
      <c r="BW89" s="249" t="str">
        <f>_xlfn.IFNA(VLOOKUP(Ruimtestaat[[#This Row],[Code Weekend]],Programma!$F$4:$Y$36148,20,0),"_")</f>
        <v>_</v>
      </c>
      <c r="HK89" s="88"/>
    </row>
    <row r="90" spans="1:219" ht="12.75" customHeight="1">
      <c r="A90" s="131">
        <v>1</v>
      </c>
      <c r="B90" s="22" t="str">
        <f>VLOOKUP(Ruimtestaat[[#This Row],[Code]],Locaties[#All],2,FALSE)</f>
        <v>ESH Secondary School</v>
      </c>
      <c r="C90" s="22" t="str">
        <f>VLOOKUP(Ruimtestaat[[#This Row],[Code]],Locaties[#All],4,FALSE)</f>
        <v>Oostduinlaan 50</v>
      </c>
      <c r="D90" s="334" t="str">
        <f>VLOOKUP(Ruimtestaat[[#This Row],[Code]],Locaties[#All],5,FALSE)</f>
        <v>2596 JP</v>
      </c>
      <c r="E90" s="334" t="str">
        <f>VLOOKUP(Ruimtestaat[[#This Row],[Code]],Locaties[#All],6,FALSE)</f>
        <v>Den Haag</v>
      </c>
      <c r="F90" s="335"/>
      <c r="G90" s="334" t="s">
        <v>1611</v>
      </c>
      <c r="H90" s="334" t="s">
        <v>1536</v>
      </c>
      <c r="I90" s="335" t="s">
        <v>1503</v>
      </c>
      <c r="J90" s="334">
        <v>14</v>
      </c>
      <c r="K90" s="335" t="str">
        <f>VLOOKUP(J90,Ruimtegroepen[],2,FALSE)</f>
        <v>TOA ruimte</v>
      </c>
      <c r="L90" s="212" t="s">
        <v>123</v>
      </c>
      <c r="M90" s="334" t="s">
        <v>144</v>
      </c>
      <c r="N90" s="337">
        <v>118</v>
      </c>
      <c r="O90" s="331"/>
      <c r="P90" s="332" t="str">
        <f>VLOOKUP(Ruimtestaat[[#This Row],[Ruimte code]],Ruimtegroepen[],4,FALSE)</f>
        <v>V  (Verkeersruimte)</v>
      </c>
      <c r="Q90" s="332"/>
      <c r="R90" s="333">
        <v>40</v>
      </c>
      <c r="S90" s="333" t="s">
        <v>2</v>
      </c>
      <c r="T90" s="37"/>
      <c r="U90" s="37">
        <f>IF(R90&gt;0,IF(RIGHT(Ruimtestaat[[#This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0" s="37">
        <f>IF(U90&gt;0,VLOOKUP($J90,Ruimtegroepen[],3,FALSE)*VLOOKUP($L90,Vloersoorten[],3,FALSE)*VLOOKUP($S90,Frequenties[],3,FALSE)*VLOOKUP($A90,Locaties[],3,FALSE),0)</f>
        <v>0</v>
      </c>
      <c r="W90" s="37">
        <f>Ruimtestaat[[#This Row],[Uitvoeringen werkdagen]]*Ruimtestaat[[#This Row],[Oppervlak (netto)]]</f>
        <v>23600</v>
      </c>
      <c r="X90" s="37">
        <f>IF(V90&gt;0,Ruimtestaat[[#This Row],[Prest. (m2 /jaar) werkdagen]]/Ruimtestaat[[#This Row],[Norm (m2/uur) werkdagen]],0)</f>
        <v>0</v>
      </c>
      <c r="Y90" s="37">
        <f>Ruimtestaat[[#This Row],[uren / jaar werkdagen]]*Tariefsopbouw!$D$38</f>
        <v>0</v>
      </c>
      <c r="Z90" s="37">
        <f>IF(Ruimtestaat[[#This Row],[Frequentie weekend]]&gt;0,VALUE(LEFT(T90,1))*R90,0)</f>
        <v>0</v>
      </c>
      <c r="AA90" s="37">
        <f>IF($Z90&gt;0,VLOOKUP($J90,Ruimtegroepen[],3,FALSE)*VLOOKUP($L90,Vloersoorten[],3,FALSE)*VLOOKUP($T90,Frequenties[],3,FALSE)*VLOOKUP($A90,Locaties[],3,FALSE),0)</f>
        <v>0</v>
      </c>
      <c r="AB90" s="37">
        <f>Ruimtestaat[[#This Row],[Uitvoeringen weekend]]*Ruimtestaat[[#This Row],[Oppervlak (netto)]]</f>
        <v>0</v>
      </c>
      <c r="AC90" s="37">
        <f>IF(AA90&gt;0,Ruimtestaat[[#This Row],[Prest. (m2 /jaar) weekend]]/Ruimtestaat[[#This Row],[Norm (m2/uur) weekend]],0)</f>
        <v>0</v>
      </c>
      <c r="AD90" s="37">
        <f>Ruimtestaat[[#This Row],[uren / jaar weekend]]*Tariefsopbouw!$D$40</f>
        <v>0</v>
      </c>
      <c r="AE90" s="89">
        <f>Ruimtestaat[[#This Row],[Prest. (m2 /jaar) weekend]]+Ruimtestaat[[#This Row],[Prest. (m2 /jaar) werkdagen]]</f>
        <v>23600</v>
      </c>
      <c r="AF90" s="89">
        <f>Ruimtestaat[[#This Row],[uren / jaar weekend]]+Ruimtestaat[[#This Row],[uren / jaar werkdagen]]</f>
        <v>0</v>
      </c>
      <c r="AG90" s="90">
        <f>Ruimtestaat[[#This Row],[kosten / jaar weekend]]+Ruimtestaat[[#This Row],[kosten / jaar werkdagen]]</f>
        <v>0</v>
      </c>
      <c r="AH90" s="253"/>
      <c r="AI90" s="252" t="str">
        <f>IF(Ruimtestaat[[#This Row],[Frequentie werkdagen]]="","",_xlfn.CONCAT(Ruimtestaat[[#This Row],[Ruimte code]],"-",Ruimtestaat[[#This Row],[Frequentie werkdagen]]," ",Ruimtestaat[[#This Row],[Vloer code]]))</f>
        <v>14-5w P</v>
      </c>
      <c r="AJ90" s="247" t="str">
        <f>_xlfn.IFNA(VLOOKUP(Ruimtestaat[[#This Row],[Programmacode
Regulier]],Programma!$F$4:$Y$36148,2,0),"_")</f>
        <v>_</v>
      </c>
      <c r="AK90" s="247" t="str">
        <f>_xlfn.IFNA(VLOOKUP(Ruimtestaat[[#This Row],[Programmacode
Regulier]],Programma!$F$4:$Y$36148,3,0),"_")</f>
        <v>_</v>
      </c>
      <c r="AL90" s="247" t="str">
        <f>_xlfn.IFNA(VLOOKUP(Ruimtestaat[[#This Row],[Programmacode
Regulier]],Programma!$F$4:$Y$36148,4,0),"_")</f>
        <v>5w</v>
      </c>
      <c r="AM90" s="247" t="str">
        <f>_xlfn.IFNA(VLOOKUP(Ruimtestaat[[#This Row],[Programmacode
Regulier]],Programma!$F$4:$Y$36148,5,0),"_")</f>
        <v>4w</v>
      </c>
      <c r="AN90" s="247" t="str">
        <f>_xlfn.IFNA(VLOOKUP(Ruimtestaat[[#This Row],[Programmacode
Regulier]],Programma!$F$4:$Y$36148,6,0),"_")</f>
        <v>1w</v>
      </c>
      <c r="AO90" s="247" t="str">
        <f>_xlfn.IFNA(VLOOKUP(Ruimtestaat[[#This Row],[Programmacode
Regulier]],Programma!$F$4:$Y$36148,7,0),"_")</f>
        <v>_</v>
      </c>
      <c r="AP90" s="247" t="str">
        <f>_xlfn.IFNA(VLOOKUP(Ruimtestaat[[#This Row],[Programmacode
Regulier]],Programma!$F$4:$Y$36148,8,0),"_")</f>
        <v>_</v>
      </c>
      <c r="AQ90" s="247" t="str">
        <f>_xlfn.IFNA(VLOOKUP(Ruimtestaat[[#This Row],[Programmacode
Regulier]],Programma!$F$4:$Y$36148,9,0),"_")</f>
        <v>_</v>
      </c>
      <c r="AR90" s="248" t="str">
        <f>_xlfn.IFNA(VLOOKUP(Ruimtestaat[[#This Row],[Programmacode
Regulier]],Programma!$F$4:$Y$36148,10,0),"_")</f>
        <v>5w</v>
      </c>
      <c r="AS90" s="248" t="str">
        <f>_xlfn.IFNA(VLOOKUP(Ruimtestaat[[#This Row],[Programmacode
Regulier]],Programma!$F$4:$Y$36148,11,0),"_")</f>
        <v>5w</v>
      </c>
      <c r="AT90" s="248" t="str">
        <f>_xlfn.IFNA(VLOOKUP(Ruimtestaat[[#This Row],[Programmacode
Regulier]],Programma!$F$4:$Y$36148,12,0),"_")</f>
        <v>1w</v>
      </c>
      <c r="AU90" s="248" t="str">
        <f>_xlfn.IFNA(VLOOKUP(Ruimtestaat[[#This Row],[Programmacode
Regulier]],Programma!$F$4:$Y$36148,13,0),"_")</f>
        <v>1w</v>
      </c>
      <c r="AV90" s="248" t="str">
        <f>_xlfn.IFNA(VLOOKUP(Ruimtestaat[[#This Row],[Programmacode
Regulier]],Programma!$F$4:$Y$36148,14,0),"_")</f>
        <v>1m</v>
      </c>
      <c r="AW90" s="248" t="str">
        <f>_xlfn.IFNA(VLOOKUP(Ruimtestaat[[#This Row],[Programmacode
Regulier]],Programma!$F$4:$Y$36148,15,0),"_")</f>
        <v>2j</v>
      </c>
      <c r="AX90" s="248" t="str">
        <f>_xlfn.IFNA(VLOOKUP(Ruimtestaat[[#This Row],[Programmacode
Regulier]],Programma!$F$4:$Y$36148,16,0),"_")</f>
        <v>1j</v>
      </c>
      <c r="AY90" s="248" t="str">
        <f>_xlfn.IFNA(VLOOKUP(Ruimtestaat[[#This Row],[Programmacode
Regulier]],Programma!$F$4:$Y$36148,17,0),"_")</f>
        <v>_</v>
      </c>
      <c r="AZ90" s="249" t="str">
        <f>_xlfn.IFNA(VLOOKUP(Ruimtestaat[[#This Row],[Programmacode
Regulier]],Programma!$F$4:$Y$36148,18,0),"_")</f>
        <v>_</v>
      </c>
      <c r="BA90" s="249" t="str">
        <f>_xlfn.IFNA(VLOOKUP(Ruimtestaat[[#This Row],[Programmacode
Regulier]],Programma!$F$4:$Y$36148,19,0),"_")</f>
        <v>_</v>
      </c>
      <c r="BB90" s="249" t="str">
        <f>_xlfn.IFNA(VLOOKUP(Ruimtestaat[[#This Row],[Programmacode
Regulier]],Programma!$F$4:$Y$36148,20,0),"_")</f>
        <v>_</v>
      </c>
      <c r="BC90" s="244"/>
      <c r="BD90" s="212" t="str">
        <f>IF(Ruimtestaat[[#This Row],[Frequentie weekend]]="","",_xlfn.CONCAT(Ruimtestaat[[#This Row],[Ruimte code]],"-",Ruimtestaat[[#This Row],[Frequentie weekend]]," ",Ruimtestaat[[#This Row],[Vloer code]]))</f>
        <v/>
      </c>
      <c r="BE90" s="247" t="str">
        <f>_xlfn.IFNA(VLOOKUP(Ruimtestaat[[#This Row],[Code Weekend]],Programma!$F$4:$Y$36148,2,0),"_")</f>
        <v>_</v>
      </c>
      <c r="BF90" s="247" t="str">
        <f>_xlfn.IFNA(VLOOKUP(Ruimtestaat[[#This Row],[Code Weekend]],Programma!$F$4:$Y$36148,3,0),"_")</f>
        <v>_</v>
      </c>
      <c r="BG90" s="247" t="str">
        <f>_xlfn.IFNA(VLOOKUP(Ruimtestaat[[#This Row],[Code Weekend]],Programma!$F$4:$Y$36148,4,0),"_")</f>
        <v>_</v>
      </c>
      <c r="BH90" s="247" t="str">
        <f>_xlfn.IFNA(VLOOKUP(Ruimtestaat[[#This Row],[Code Weekend]],Programma!$F$4:$Y$36148,5,0),"_")</f>
        <v>_</v>
      </c>
      <c r="BI90" s="247" t="str">
        <f>_xlfn.IFNA(VLOOKUP(Ruimtestaat[[#This Row],[Code Weekend]],Programma!$F$4:$Y$36148,6,0),"_")</f>
        <v>_</v>
      </c>
      <c r="BJ90" s="247" t="str">
        <f>_xlfn.IFNA(VLOOKUP(Ruimtestaat[[#This Row],[Code Weekend]],Programma!$F$4:$Y$36148,7,0),"_")</f>
        <v>_</v>
      </c>
      <c r="BK90" s="247" t="str">
        <f>_xlfn.IFNA(VLOOKUP(Ruimtestaat[[#This Row],[Code Weekend]],Programma!$F$4:$Y$36148,8,0),"_")</f>
        <v>_</v>
      </c>
      <c r="BL90" s="247" t="str">
        <f>_xlfn.IFNA(VLOOKUP(Ruimtestaat[[#This Row],[Code Weekend]],Programma!$F$4:$Y$36148,9,0),"_")</f>
        <v>_</v>
      </c>
      <c r="BM90" s="248" t="str">
        <f>_xlfn.IFNA(VLOOKUP(Ruimtestaat[[#This Row],[Code Weekend]],Programma!$F$4:$Y$36148,10,0),"_")</f>
        <v>_</v>
      </c>
      <c r="BN90" s="248" t="str">
        <f>_xlfn.IFNA(VLOOKUP(Ruimtestaat[[#This Row],[Code Weekend]],Programma!$F$4:$Y$36148,11,0),"_")</f>
        <v>_</v>
      </c>
      <c r="BO90" s="248" t="str">
        <f>_xlfn.IFNA(VLOOKUP(Ruimtestaat[[#This Row],[Code Weekend]],Programma!$F$4:$Y$36148,12,0),"_")</f>
        <v>_</v>
      </c>
      <c r="BP90" s="248" t="str">
        <f>_xlfn.IFNA(VLOOKUP(Ruimtestaat[[#This Row],[Code Weekend]],Programma!$F$4:$Y$36148,13,0),"_")</f>
        <v>_</v>
      </c>
      <c r="BQ90" s="248" t="str">
        <f>_xlfn.IFNA(VLOOKUP(Ruimtestaat[[#This Row],[Code Weekend]],Programma!$F$4:$Y$36148,14,0),"_")</f>
        <v>_</v>
      </c>
      <c r="BR90" s="248" t="str">
        <f>_xlfn.IFNA(VLOOKUP(Ruimtestaat[[#This Row],[Code Weekend]],Programma!$F$4:$Y$36148,15,0),"_")</f>
        <v>_</v>
      </c>
      <c r="BS90" s="248" t="str">
        <f>_xlfn.IFNA(VLOOKUP(Ruimtestaat[[#This Row],[Code Weekend]],Programma!$F$4:$Y$36148,16,0),"_")</f>
        <v>_</v>
      </c>
      <c r="BT90" s="248" t="str">
        <f>_xlfn.IFNA(VLOOKUP(Ruimtestaat[[#This Row],[Code Weekend]],Programma!$F$4:$Y$36148,17,0),"_")</f>
        <v>_</v>
      </c>
      <c r="BU90" s="249" t="str">
        <f>_xlfn.IFNA(VLOOKUP(Ruimtestaat[[#This Row],[Code Weekend]],Programma!$F$4:$Y$36148,18,0),"_")</f>
        <v>_</v>
      </c>
      <c r="BV90" s="249" t="str">
        <f>_xlfn.IFNA(VLOOKUP(Ruimtestaat[[#This Row],[Code Weekend]],Programma!$F$4:$Y$36148,19,0),"_")</f>
        <v>_</v>
      </c>
      <c r="BW90" s="249" t="str">
        <f>_xlfn.IFNA(VLOOKUP(Ruimtestaat[[#This Row],[Code Weekend]],Programma!$F$4:$Y$36148,20,0),"_")</f>
        <v>_</v>
      </c>
      <c r="HK90" s="88"/>
    </row>
    <row r="91" spans="1:219" s="205" customFormat="1" ht="12.75" customHeight="1">
      <c r="A91" s="131">
        <v>1</v>
      </c>
      <c r="B91" s="22" t="str">
        <f>VLOOKUP(Ruimtestaat[[#This Row],[Code]],Locaties[#All],2,FALSE)</f>
        <v>ESH Secondary School</v>
      </c>
      <c r="C91" s="22" t="str">
        <f>VLOOKUP(Ruimtestaat[[#This Row],[Code]],Locaties[#All],4,FALSE)</f>
        <v>Oostduinlaan 50</v>
      </c>
      <c r="D91" s="334" t="str">
        <f>VLOOKUP(Ruimtestaat[[#This Row],[Code]],Locaties[#All],5,FALSE)</f>
        <v>2596 JP</v>
      </c>
      <c r="E91" s="334" t="str">
        <f>VLOOKUP(Ruimtestaat[[#This Row],[Code]],Locaties[#All],6,FALSE)</f>
        <v>Den Haag</v>
      </c>
      <c r="F91" s="335"/>
      <c r="G91" s="334" t="s">
        <v>1611</v>
      </c>
      <c r="H91" s="334" t="s">
        <v>1537</v>
      </c>
      <c r="I91" s="335" t="s">
        <v>1485</v>
      </c>
      <c r="J91" s="328">
        <v>21</v>
      </c>
      <c r="K91" s="335" t="str">
        <f>VLOOKUP(J91,Ruimtegroepen[],2,FALSE)</f>
        <v>Niet in onderhoud</v>
      </c>
      <c r="L91" s="334"/>
      <c r="M91" s="334"/>
      <c r="N91" s="337"/>
      <c r="O91" s="331">
        <v>19</v>
      </c>
      <c r="P91" s="332" t="str">
        <f>VLOOKUP(Ruimtestaat[[#This Row],[Ruimte code]],Ruimtegroepen[],4,FALSE)</f>
        <v>NIO</v>
      </c>
      <c r="Q91" s="332"/>
      <c r="R91" s="333"/>
      <c r="S91" s="333"/>
      <c r="T91" s="37"/>
      <c r="U91" s="37">
        <f>IF(R91&gt;0,IF(RIGHT(Ruimtestaat[[#This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91" s="37">
        <f>IF(U91&gt;0,VLOOKUP($J91,Ruimtegroepen[],3,FALSE)*VLOOKUP($L91,Vloersoorten[],3,FALSE)*VLOOKUP($S91,Frequenties[],3,FALSE)*VLOOKUP($A91,Locaties[],3,FALSE),0)</f>
        <v>0</v>
      </c>
      <c r="W91" s="37">
        <f>Ruimtestaat[[#This Row],[Uitvoeringen werkdagen]]*Ruimtestaat[[#This Row],[Oppervlak (netto)]]</f>
        <v>0</v>
      </c>
      <c r="X91" s="37">
        <f>IF(V91&gt;0,Ruimtestaat[[#This Row],[Prest. (m2 /jaar) werkdagen]]/Ruimtestaat[[#This Row],[Norm (m2/uur) werkdagen]],0)</f>
        <v>0</v>
      </c>
      <c r="Y91" s="37">
        <f>Ruimtestaat[[#This Row],[uren / jaar werkdagen]]*Tariefsopbouw!$D$38</f>
        <v>0</v>
      </c>
      <c r="Z91" s="37">
        <f>IF(Ruimtestaat[[#This Row],[Frequentie weekend]]&gt;0,VALUE(LEFT(T91,1))*R91,0)</f>
        <v>0</v>
      </c>
      <c r="AA91" s="37">
        <f>IF($Z91&gt;0,VLOOKUP($J91,Ruimtegroepen[],3,FALSE)*VLOOKUP($L91,Vloersoorten[],3,FALSE)*VLOOKUP($T91,Frequenties[],3,FALSE)*VLOOKUP($A91,Locaties[],3,FALSE),0)</f>
        <v>0</v>
      </c>
      <c r="AB91" s="37">
        <f>Ruimtestaat[[#This Row],[Uitvoeringen weekend]]*Ruimtestaat[[#This Row],[Oppervlak (netto)]]</f>
        <v>0</v>
      </c>
      <c r="AC91" s="37">
        <f>IF(AA91&gt;0,Ruimtestaat[[#This Row],[Prest. (m2 /jaar) weekend]]/Ruimtestaat[[#This Row],[Norm (m2/uur) weekend]],0)</f>
        <v>0</v>
      </c>
      <c r="AD91" s="37">
        <f>Ruimtestaat[[#This Row],[uren / jaar weekend]]*Tariefsopbouw!$D$40</f>
        <v>0</v>
      </c>
      <c r="AE91" s="89">
        <f>Ruimtestaat[[#This Row],[Prest. (m2 /jaar) weekend]]+Ruimtestaat[[#This Row],[Prest. (m2 /jaar) werkdagen]]</f>
        <v>0</v>
      </c>
      <c r="AF91" s="89">
        <f>Ruimtestaat[[#This Row],[uren / jaar weekend]]+Ruimtestaat[[#This Row],[uren / jaar werkdagen]]</f>
        <v>0</v>
      </c>
      <c r="AG91" s="90">
        <f>Ruimtestaat[[#This Row],[kosten / jaar weekend]]+Ruimtestaat[[#This Row],[kosten / jaar werkdagen]]</f>
        <v>0</v>
      </c>
      <c r="AH91" s="253"/>
      <c r="AI91" s="252" t="str">
        <f>IF(Ruimtestaat[[#This Row],[Frequentie werkdagen]]="","",_xlfn.CONCAT(Ruimtestaat[[#This Row],[Ruimte code]],"-",Ruimtestaat[[#This Row],[Frequentie werkdagen]]," ",Ruimtestaat[[#This Row],[Vloer code]]))</f>
        <v/>
      </c>
      <c r="AJ91" s="247" t="str">
        <f>_xlfn.IFNA(VLOOKUP(Ruimtestaat[[#This Row],[Programmacode
Regulier]],Programma!$F$4:$Y$36148,2,0),"_")</f>
        <v>_</v>
      </c>
      <c r="AK91" s="247" t="str">
        <f>_xlfn.IFNA(VLOOKUP(Ruimtestaat[[#This Row],[Programmacode
Regulier]],Programma!$F$4:$Y$36148,3,0),"_")</f>
        <v>_</v>
      </c>
      <c r="AL91" s="247" t="str">
        <f>_xlfn.IFNA(VLOOKUP(Ruimtestaat[[#This Row],[Programmacode
Regulier]],Programma!$F$4:$Y$36148,4,0),"_")</f>
        <v>_</v>
      </c>
      <c r="AM91" s="247" t="str">
        <f>_xlfn.IFNA(VLOOKUP(Ruimtestaat[[#This Row],[Programmacode
Regulier]],Programma!$F$4:$Y$36148,5,0),"_")</f>
        <v>_</v>
      </c>
      <c r="AN91" s="247" t="str">
        <f>_xlfn.IFNA(VLOOKUP(Ruimtestaat[[#This Row],[Programmacode
Regulier]],Programma!$F$4:$Y$36148,6,0),"_")</f>
        <v>_</v>
      </c>
      <c r="AO91" s="247" t="str">
        <f>_xlfn.IFNA(VLOOKUP(Ruimtestaat[[#This Row],[Programmacode
Regulier]],Programma!$F$4:$Y$36148,7,0),"_")</f>
        <v>_</v>
      </c>
      <c r="AP91" s="247" t="str">
        <f>_xlfn.IFNA(VLOOKUP(Ruimtestaat[[#This Row],[Programmacode
Regulier]],Programma!$F$4:$Y$36148,8,0),"_")</f>
        <v>_</v>
      </c>
      <c r="AQ91" s="247" t="str">
        <f>_xlfn.IFNA(VLOOKUP(Ruimtestaat[[#This Row],[Programmacode
Regulier]],Programma!$F$4:$Y$36148,9,0),"_")</f>
        <v>_</v>
      </c>
      <c r="AR91" s="248" t="str">
        <f>_xlfn.IFNA(VLOOKUP(Ruimtestaat[[#This Row],[Programmacode
Regulier]],Programma!$F$4:$Y$36148,10,0),"_")</f>
        <v>_</v>
      </c>
      <c r="AS91" s="248" t="str">
        <f>_xlfn.IFNA(VLOOKUP(Ruimtestaat[[#This Row],[Programmacode
Regulier]],Programma!$F$4:$Y$36148,11,0),"_")</f>
        <v>_</v>
      </c>
      <c r="AT91" s="248" t="str">
        <f>_xlfn.IFNA(VLOOKUP(Ruimtestaat[[#This Row],[Programmacode
Regulier]],Programma!$F$4:$Y$36148,12,0),"_")</f>
        <v>_</v>
      </c>
      <c r="AU91" s="248" t="str">
        <f>_xlfn.IFNA(VLOOKUP(Ruimtestaat[[#This Row],[Programmacode
Regulier]],Programma!$F$4:$Y$36148,13,0),"_")</f>
        <v>_</v>
      </c>
      <c r="AV91" s="248" t="str">
        <f>_xlfn.IFNA(VLOOKUP(Ruimtestaat[[#This Row],[Programmacode
Regulier]],Programma!$F$4:$Y$36148,14,0),"_")</f>
        <v>_</v>
      </c>
      <c r="AW91" s="248" t="str">
        <f>_xlfn.IFNA(VLOOKUP(Ruimtestaat[[#This Row],[Programmacode
Regulier]],Programma!$F$4:$Y$36148,15,0),"_")</f>
        <v>_</v>
      </c>
      <c r="AX91" s="248" t="str">
        <f>_xlfn.IFNA(VLOOKUP(Ruimtestaat[[#This Row],[Programmacode
Regulier]],Programma!$F$4:$Y$36148,16,0),"_")</f>
        <v>_</v>
      </c>
      <c r="AY91" s="248" t="str">
        <f>_xlfn.IFNA(VLOOKUP(Ruimtestaat[[#This Row],[Programmacode
Regulier]],Programma!$F$4:$Y$36148,17,0),"_")</f>
        <v>_</v>
      </c>
      <c r="AZ91" s="249" t="str">
        <f>_xlfn.IFNA(VLOOKUP(Ruimtestaat[[#This Row],[Programmacode
Regulier]],Programma!$F$4:$Y$36148,18,0),"_")</f>
        <v>_</v>
      </c>
      <c r="BA91" s="249" t="str">
        <f>_xlfn.IFNA(VLOOKUP(Ruimtestaat[[#This Row],[Programmacode
Regulier]],Programma!$F$4:$Y$36148,19,0),"_")</f>
        <v>_</v>
      </c>
      <c r="BB91" s="249" t="str">
        <f>_xlfn.IFNA(VLOOKUP(Ruimtestaat[[#This Row],[Programmacode
Regulier]],Programma!$F$4:$Y$36148,20,0),"_")</f>
        <v>_</v>
      </c>
      <c r="BC91" s="250"/>
      <c r="BD91" s="212" t="str">
        <f>IF(Ruimtestaat[[#This Row],[Frequentie weekend]]="","",_xlfn.CONCAT(Ruimtestaat[[#This Row],[Ruimte code]],"-",Ruimtestaat[[#This Row],[Frequentie weekend]]," ",Ruimtestaat[[#This Row],[Vloer code]]))</f>
        <v/>
      </c>
      <c r="BE91" s="247" t="str">
        <f>_xlfn.IFNA(VLOOKUP(Ruimtestaat[[#This Row],[Code Weekend]],Programma!$F$4:$Y$36148,2,0),"_")</f>
        <v>_</v>
      </c>
      <c r="BF91" s="247" t="str">
        <f>_xlfn.IFNA(VLOOKUP(Ruimtestaat[[#This Row],[Code Weekend]],Programma!$F$4:$Y$36148,3,0),"_")</f>
        <v>_</v>
      </c>
      <c r="BG91" s="247" t="str">
        <f>_xlfn.IFNA(VLOOKUP(Ruimtestaat[[#This Row],[Code Weekend]],Programma!$F$4:$Y$36148,4,0),"_")</f>
        <v>_</v>
      </c>
      <c r="BH91" s="247" t="str">
        <f>_xlfn.IFNA(VLOOKUP(Ruimtestaat[[#This Row],[Code Weekend]],Programma!$F$4:$Y$36148,5,0),"_")</f>
        <v>_</v>
      </c>
      <c r="BI91" s="247" t="str">
        <f>_xlfn.IFNA(VLOOKUP(Ruimtestaat[[#This Row],[Code Weekend]],Programma!$F$4:$Y$36148,6,0),"_")</f>
        <v>_</v>
      </c>
      <c r="BJ91" s="247" t="str">
        <f>_xlfn.IFNA(VLOOKUP(Ruimtestaat[[#This Row],[Code Weekend]],Programma!$F$4:$Y$36148,7,0),"_")</f>
        <v>_</v>
      </c>
      <c r="BK91" s="247" t="str">
        <f>_xlfn.IFNA(VLOOKUP(Ruimtestaat[[#This Row],[Code Weekend]],Programma!$F$4:$Y$36148,8,0),"_")</f>
        <v>_</v>
      </c>
      <c r="BL91" s="247" t="str">
        <f>_xlfn.IFNA(VLOOKUP(Ruimtestaat[[#This Row],[Code Weekend]],Programma!$F$4:$Y$36148,9,0),"_")</f>
        <v>_</v>
      </c>
      <c r="BM91" s="248" t="str">
        <f>_xlfn.IFNA(VLOOKUP(Ruimtestaat[[#This Row],[Code Weekend]],Programma!$F$4:$Y$36148,10,0),"_")</f>
        <v>_</v>
      </c>
      <c r="BN91" s="248" t="str">
        <f>_xlfn.IFNA(VLOOKUP(Ruimtestaat[[#This Row],[Code Weekend]],Programma!$F$4:$Y$36148,11,0),"_")</f>
        <v>_</v>
      </c>
      <c r="BO91" s="248" t="str">
        <f>_xlfn.IFNA(VLOOKUP(Ruimtestaat[[#This Row],[Code Weekend]],Programma!$F$4:$Y$36148,12,0),"_")</f>
        <v>_</v>
      </c>
      <c r="BP91" s="248" t="str">
        <f>_xlfn.IFNA(VLOOKUP(Ruimtestaat[[#This Row],[Code Weekend]],Programma!$F$4:$Y$36148,13,0),"_")</f>
        <v>_</v>
      </c>
      <c r="BQ91" s="248" t="str">
        <f>_xlfn.IFNA(VLOOKUP(Ruimtestaat[[#This Row],[Code Weekend]],Programma!$F$4:$Y$36148,14,0),"_")</f>
        <v>_</v>
      </c>
      <c r="BR91" s="248" t="str">
        <f>_xlfn.IFNA(VLOOKUP(Ruimtestaat[[#This Row],[Code Weekend]],Programma!$F$4:$Y$36148,15,0),"_")</f>
        <v>_</v>
      </c>
      <c r="BS91" s="248" t="str">
        <f>_xlfn.IFNA(VLOOKUP(Ruimtestaat[[#This Row],[Code Weekend]],Programma!$F$4:$Y$36148,16,0),"_")</f>
        <v>_</v>
      </c>
      <c r="BT91" s="248" t="str">
        <f>_xlfn.IFNA(VLOOKUP(Ruimtestaat[[#This Row],[Code Weekend]],Programma!$F$4:$Y$36148,17,0),"_")</f>
        <v>_</v>
      </c>
      <c r="BU91" s="249" t="str">
        <f>_xlfn.IFNA(VLOOKUP(Ruimtestaat[[#This Row],[Code Weekend]],Programma!$F$4:$Y$36148,18,0),"_")</f>
        <v>_</v>
      </c>
      <c r="BV91" s="249" t="str">
        <f>_xlfn.IFNA(VLOOKUP(Ruimtestaat[[#This Row],[Code Weekend]],Programma!$F$4:$Y$36148,19,0),"_")</f>
        <v>_</v>
      </c>
      <c r="BW91" s="249" t="str">
        <f>_xlfn.IFNA(VLOOKUP(Ruimtestaat[[#This Row],[Code Weekend]],Programma!$F$4:$Y$36148,20,0),"_")</f>
        <v>_</v>
      </c>
    </row>
    <row r="92" spans="1:219" s="205" customFormat="1" ht="12.75" customHeight="1">
      <c r="A92" s="131">
        <v>1</v>
      </c>
      <c r="B92" s="22" t="str">
        <f>VLOOKUP(Ruimtestaat[[#This Row],[Code]],Locaties[#All],2,FALSE)</f>
        <v>ESH Secondary School</v>
      </c>
      <c r="C92" s="22" t="str">
        <f>VLOOKUP(Ruimtestaat[[#This Row],[Code]],Locaties[#All],4,FALSE)</f>
        <v>Oostduinlaan 50</v>
      </c>
      <c r="D92" s="334" t="str">
        <f>VLOOKUP(Ruimtestaat[[#This Row],[Code]],Locaties[#All],5,FALSE)</f>
        <v>2596 JP</v>
      </c>
      <c r="E92" s="334" t="str">
        <f>VLOOKUP(Ruimtestaat[[#This Row],[Code]],Locaties[#All],6,FALSE)</f>
        <v>Den Haag</v>
      </c>
      <c r="F92" s="335"/>
      <c r="G92" s="334" t="s">
        <v>1611</v>
      </c>
      <c r="H92" s="351" t="s">
        <v>1538</v>
      </c>
      <c r="I92" s="335" t="s">
        <v>1512</v>
      </c>
      <c r="J92" s="334">
        <v>15</v>
      </c>
      <c r="K92" s="335" t="str">
        <f>VLOOKUP(J92,Ruimtegroepen[],2,FALSE)</f>
        <v>Keuken/pantry</v>
      </c>
      <c r="L92" s="212" t="s">
        <v>123</v>
      </c>
      <c r="M92" s="334" t="s">
        <v>144</v>
      </c>
      <c r="N92" s="337">
        <v>6</v>
      </c>
      <c r="O92" s="331"/>
      <c r="P92" s="332" t="str">
        <f>VLOOKUP(Ruimtestaat[[#This Row],[Ruimte code]],Ruimtegroepen[],4,FALSE)</f>
        <v>V  (Verkeersruimte)</v>
      </c>
      <c r="Q92" s="332"/>
      <c r="R92" s="333">
        <v>40</v>
      </c>
      <c r="S92" s="333" t="s">
        <v>19</v>
      </c>
      <c r="T92" s="37"/>
      <c r="U92" s="37">
        <f>IF(R92&gt;0,IF(RIGHT(Ruimtestaat[[#This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92" s="37">
        <f>IF(U92&gt;0,VLOOKUP($J92,Ruimtegroepen[],3,FALSE)*VLOOKUP($L92,Vloersoorten[],3,FALSE)*VLOOKUP($S92,Frequenties[],3,FALSE)*VLOOKUP($A92,Locaties[],3,FALSE),0)</f>
        <v>0</v>
      </c>
      <c r="W92" s="37">
        <f>Ruimtestaat[[#This Row],[Uitvoeringen werkdagen]]*Ruimtestaat[[#This Row],[Oppervlak (netto)]]</f>
        <v>2400</v>
      </c>
      <c r="X92" s="37">
        <f>IF(V92&gt;0,Ruimtestaat[[#This Row],[Prest. (m2 /jaar) werkdagen]]/Ruimtestaat[[#This Row],[Norm (m2/uur) werkdagen]],0)</f>
        <v>0</v>
      </c>
      <c r="Y92" s="37">
        <f>Ruimtestaat[[#This Row],[uren / jaar werkdagen]]*Tariefsopbouw!$D$38</f>
        <v>0</v>
      </c>
      <c r="Z92" s="37">
        <f>IF(Ruimtestaat[[#This Row],[Frequentie weekend]]&gt;0,VALUE(LEFT(T92,1))*R92,0)</f>
        <v>0</v>
      </c>
      <c r="AA92" s="37">
        <f>IF($Z92&gt;0,VLOOKUP($J92,Ruimtegroepen[],3,FALSE)*VLOOKUP($L92,Vloersoorten[],3,FALSE)*VLOOKUP($T92,Frequenties[],3,FALSE)*VLOOKUP($A92,Locaties[],3,FALSE),0)</f>
        <v>0</v>
      </c>
      <c r="AB92" s="37">
        <f>Ruimtestaat[[#This Row],[Uitvoeringen weekend]]*Ruimtestaat[[#This Row],[Oppervlak (netto)]]</f>
        <v>0</v>
      </c>
      <c r="AC92" s="37">
        <f>IF(AA92&gt;0,Ruimtestaat[[#This Row],[Prest. (m2 /jaar) weekend]]/Ruimtestaat[[#This Row],[Norm (m2/uur) weekend]],0)</f>
        <v>0</v>
      </c>
      <c r="AD92" s="37">
        <f>Ruimtestaat[[#This Row],[uren / jaar weekend]]*Tariefsopbouw!$D$40</f>
        <v>0</v>
      </c>
      <c r="AE92" s="89">
        <f>Ruimtestaat[[#This Row],[Prest. (m2 /jaar) weekend]]+Ruimtestaat[[#This Row],[Prest. (m2 /jaar) werkdagen]]</f>
        <v>2400</v>
      </c>
      <c r="AF92" s="89">
        <f>Ruimtestaat[[#This Row],[uren / jaar weekend]]+Ruimtestaat[[#This Row],[uren / jaar werkdagen]]</f>
        <v>0</v>
      </c>
      <c r="AG92" s="90">
        <f>Ruimtestaat[[#This Row],[kosten / jaar weekend]]+Ruimtestaat[[#This Row],[kosten / jaar werkdagen]]</f>
        <v>0</v>
      </c>
      <c r="AH92" s="253"/>
      <c r="AI92" s="252" t="str">
        <f>IF(Ruimtestaat[[#This Row],[Frequentie werkdagen]]="","",_xlfn.CONCAT(Ruimtestaat[[#This Row],[Ruimte code]],"-",Ruimtestaat[[#This Row],[Frequentie werkdagen]]," ",Ruimtestaat[[#This Row],[Vloer code]]))</f>
        <v>15-10w P</v>
      </c>
      <c r="AJ92" s="247" t="str">
        <f>_xlfn.IFNA(VLOOKUP(Ruimtestaat[[#This Row],[Programmacode
Regulier]],Programma!$F$4:$Y$36148,2,0),"_")</f>
        <v>_</v>
      </c>
      <c r="AK92" s="247" t="str">
        <f>_xlfn.IFNA(VLOOKUP(Ruimtestaat[[#This Row],[Programmacode
Regulier]],Programma!$F$4:$Y$36148,3,0),"_")</f>
        <v>_</v>
      </c>
      <c r="AL92" s="247" t="str">
        <f>_xlfn.IFNA(VLOOKUP(Ruimtestaat[[#This Row],[Programmacode
Regulier]],Programma!$F$4:$Y$36148,4,0),"_")</f>
        <v>5w</v>
      </c>
      <c r="AM92" s="247" t="str">
        <f>_xlfn.IFNA(VLOOKUP(Ruimtestaat[[#This Row],[Programmacode
Regulier]],Programma!$F$4:$Y$36148,5,0),"_")</f>
        <v>4w</v>
      </c>
      <c r="AN92" s="247" t="str">
        <f>_xlfn.IFNA(VLOOKUP(Ruimtestaat[[#This Row],[Programmacode
Regulier]],Programma!$F$4:$Y$36148,6,0),"_")</f>
        <v>1w</v>
      </c>
      <c r="AO92" s="247" t="str">
        <f>_xlfn.IFNA(VLOOKUP(Ruimtestaat[[#This Row],[Programmacode
Regulier]],Programma!$F$4:$Y$36148,7,0),"_")</f>
        <v>_</v>
      </c>
      <c r="AP92" s="247" t="str">
        <f>_xlfn.IFNA(VLOOKUP(Ruimtestaat[[#This Row],[Programmacode
Regulier]],Programma!$F$4:$Y$36148,8,0),"_")</f>
        <v>_</v>
      </c>
      <c r="AQ92" s="247" t="str">
        <f>_xlfn.IFNA(VLOOKUP(Ruimtestaat[[#This Row],[Programmacode
Regulier]],Programma!$F$4:$Y$36148,9,0),"_")</f>
        <v>5w</v>
      </c>
      <c r="AR92" s="248" t="str">
        <f>_xlfn.IFNA(VLOOKUP(Ruimtestaat[[#This Row],[Programmacode
Regulier]],Programma!$F$4:$Y$36148,10,0),"_")</f>
        <v>5w</v>
      </c>
      <c r="AS92" s="248" t="str">
        <f>_xlfn.IFNA(VLOOKUP(Ruimtestaat[[#This Row],[Programmacode
Regulier]],Programma!$F$4:$Y$36148,11,0),"_")</f>
        <v>5w</v>
      </c>
      <c r="AT92" s="248" t="str">
        <f>_xlfn.IFNA(VLOOKUP(Ruimtestaat[[#This Row],[Programmacode
Regulier]],Programma!$F$4:$Y$36148,12,0),"_")</f>
        <v>1w</v>
      </c>
      <c r="AU92" s="248" t="str">
        <f>_xlfn.IFNA(VLOOKUP(Ruimtestaat[[#This Row],[Programmacode
Regulier]],Programma!$F$4:$Y$36148,13,0),"_")</f>
        <v>1w</v>
      </c>
      <c r="AV92" s="248" t="str">
        <f>_xlfn.IFNA(VLOOKUP(Ruimtestaat[[#This Row],[Programmacode
Regulier]],Programma!$F$4:$Y$36148,14,0),"_")</f>
        <v>1m</v>
      </c>
      <c r="AW92" s="248" t="str">
        <f>_xlfn.IFNA(VLOOKUP(Ruimtestaat[[#This Row],[Programmacode
Regulier]],Programma!$F$4:$Y$36148,15,0),"_")</f>
        <v>2j</v>
      </c>
      <c r="AX92" s="248" t="str">
        <f>_xlfn.IFNA(VLOOKUP(Ruimtestaat[[#This Row],[Programmacode
Regulier]],Programma!$F$4:$Y$36148,16,0),"_")</f>
        <v>1j</v>
      </c>
      <c r="AY92" s="248" t="str">
        <f>_xlfn.IFNA(VLOOKUP(Ruimtestaat[[#This Row],[Programmacode
Regulier]],Programma!$F$4:$Y$36148,17,0),"_")</f>
        <v>5w</v>
      </c>
      <c r="AZ92" s="249" t="str">
        <f>_xlfn.IFNA(VLOOKUP(Ruimtestaat[[#This Row],[Programmacode
Regulier]],Programma!$F$4:$Y$36148,18,0),"_")</f>
        <v>_</v>
      </c>
      <c r="BA92" s="249" t="str">
        <f>_xlfn.IFNA(VLOOKUP(Ruimtestaat[[#This Row],[Programmacode
Regulier]],Programma!$F$4:$Y$36148,19,0),"_")</f>
        <v>_</v>
      </c>
      <c r="BB92" s="249" t="str">
        <f>_xlfn.IFNA(VLOOKUP(Ruimtestaat[[#This Row],[Programmacode
Regulier]],Programma!$F$4:$Y$36148,20,0),"_")</f>
        <v>_</v>
      </c>
      <c r="BC92" s="250"/>
      <c r="BD92" s="212" t="str">
        <f>IF(Ruimtestaat[[#This Row],[Frequentie weekend]]="","",_xlfn.CONCAT(Ruimtestaat[[#This Row],[Ruimte code]],"-",Ruimtestaat[[#This Row],[Frequentie weekend]]," ",Ruimtestaat[[#This Row],[Vloer code]]))</f>
        <v/>
      </c>
      <c r="BE92" s="247" t="str">
        <f>_xlfn.IFNA(VLOOKUP(Ruimtestaat[[#This Row],[Code Weekend]],Programma!$F$4:$Y$36148,2,0),"_")</f>
        <v>_</v>
      </c>
      <c r="BF92" s="247" t="str">
        <f>_xlfn.IFNA(VLOOKUP(Ruimtestaat[[#This Row],[Code Weekend]],Programma!$F$4:$Y$36148,3,0),"_")</f>
        <v>_</v>
      </c>
      <c r="BG92" s="247" t="str">
        <f>_xlfn.IFNA(VLOOKUP(Ruimtestaat[[#This Row],[Code Weekend]],Programma!$F$4:$Y$36148,4,0),"_")</f>
        <v>_</v>
      </c>
      <c r="BH92" s="247" t="str">
        <f>_xlfn.IFNA(VLOOKUP(Ruimtestaat[[#This Row],[Code Weekend]],Programma!$F$4:$Y$36148,5,0),"_")</f>
        <v>_</v>
      </c>
      <c r="BI92" s="247" t="str">
        <f>_xlfn.IFNA(VLOOKUP(Ruimtestaat[[#This Row],[Code Weekend]],Programma!$F$4:$Y$36148,6,0),"_")</f>
        <v>_</v>
      </c>
      <c r="BJ92" s="247" t="str">
        <f>_xlfn.IFNA(VLOOKUP(Ruimtestaat[[#This Row],[Code Weekend]],Programma!$F$4:$Y$36148,7,0),"_")</f>
        <v>_</v>
      </c>
      <c r="BK92" s="247" t="str">
        <f>_xlfn.IFNA(VLOOKUP(Ruimtestaat[[#This Row],[Code Weekend]],Programma!$F$4:$Y$36148,8,0),"_")</f>
        <v>_</v>
      </c>
      <c r="BL92" s="247" t="str">
        <f>_xlfn.IFNA(VLOOKUP(Ruimtestaat[[#This Row],[Code Weekend]],Programma!$F$4:$Y$36148,9,0),"_")</f>
        <v>_</v>
      </c>
      <c r="BM92" s="248" t="str">
        <f>_xlfn.IFNA(VLOOKUP(Ruimtestaat[[#This Row],[Code Weekend]],Programma!$F$4:$Y$36148,10,0),"_")</f>
        <v>_</v>
      </c>
      <c r="BN92" s="248" t="str">
        <f>_xlfn.IFNA(VLOOKUP(Ruimtestaat[[#This Row],[Code Weekend]],Programma!$F$4:$Y$36148,11,0),"_")</f>
        <v>_</v>
      </c>
      <c r="BO92" s="248" t="str">
        <f>_xlfn.IFNA(VLOOKUP(Ruimtestaat[[#This Row],[Code Weekend]],Programma!$F$4:$Y$36148,12,0),"_")</f>
        <v>_</v>
      </c>
      <c r="BP92" s="248" t="str">
        <f>_xlfn.IFNA(VLOOKUP(Ruimtestaat[[#This Row],[Code Weekend]],Programma!$F$4:$Y$36148,13,0),"_")</f>
        <v>_</v>
      </c>
      <c r="BQ92" s="248" t="str">
        <f>_xlfn.IFNA(VLOOKUP(Ruimtestaat[[#This Row],[Code Weekend]],Programma!$F$4:$Y$36148,14,0),"_")</f>
        <v>_</v>
      </c>
      <c r="BR92" s="248" t="str">
        <f>_xlfn.IFNA(VLOOKUP(Ruimtestaat[[#This Row],[Code Weekend]],Programma!$F$4:$Y$36148,15,0),"_")</f>
        <v>_</v>
      </c>
      <c r="BS92" s="248" t="str">
        <f>_xlfn.IFNA(VLOOKUP(Ruimtestaat[[#This Row],[Code Weekend]],Programma!$F$4:$Y$36148,16,0),"_")</f>
        <v>_</v>
      </c>
      <c r="BT92" s="248" t="str">
        <f>_xlfn.IFNA(VLOOKUP(Ruimtestaat[[#This Row],[Code Weekend]],Programma!$F$4:$Y$36148,17,0),"_")</f>
        <v>_</v>
      </c>
      <c r="BU92" s="249" t="str">
        <f>_xlfn.IFNA(VLOOKUP(Ruimtestaat[[#This Row],[Code Weekend]],Programma!$F$4:$Y$36148,18,0),"_")</f>
        <v>_</v>
      </c>
      <c r="BV92" s="249" t="str">
        <f>_xlfn.IFNA(VLOOKUP(Ruimtestaat[[#This Row],[Code Weekend]],Programma!$F$4:$Y$36148,19,0),"_")</f>
        <v>_</v>
      </c>
      <c r="BW92" s="249" t="str">
        <f>_xlfn.IFNA(VLOOKUP(Ruimtestaat[[#This Row],[Code Weekend]],Programma!$F$4:$Y$36148,20,0),"_")</f>
        <v>_</v>
      </c>
    </row>
    <row r="93" spans="1:219" ht="12.75" customHeight="1">
      <c r="A93" s="131">
        <v>1</v>
      </c>
      <c r="B93" s="22" t="str">
        <f>VLOOKUP(Ruimtestaat[[#This Row],[Code]],Locaties[#All],2,FALSE)</f>
        <v>ESH Secondary School</v>
      </c>
      <c r="C93" s="22" t="str">
        <f>VLOOKUP(Ruimtestaat[[#This Row],[Code]],Locaties[#All],4,FALSE)</f>
        <v>Oostduinlaan 50</v>
      </c>
      <c r="D93" s="334" t="str">
        <f>VLOOKUP(Ruimtestaat[[#This Row],[Code]],Locaties[#All],5,FALSE)</f>
        <v>2596 JP</v>
      </c>
      <c r="E93" s="334" t="str">
        <f>VLOOKUP(Ruimtestaat[[#This Row],[Code]],Locaties[#All],6,FALSE)</f>
        <v>Den Haag</v>
      </c>
      <c r="F93" s="335"/>
      <c r="G93" s="334" t="s">
        <v>1611</v>
      </c>
      <c r="H93" s="334" t="s">
        <v>1539</v>
      </c>
      <c r="I93" s="335" t="s">
        <v>1395</v>
      </c>
      <c r="J93" s="328">
        <v>6</v>
      </c>
      <c r="K93" s="335" t="str">
        <f>VLOOKUP(J93,Ruimtegroepen[],2,FALSE)</f>
        <v>Gangen/hallen BG</v>
      </c>
      <c r="L93" s="212" t="s">
        <v>122</v>
      </c>
      <c r="M93" s="334" t="s">
        <v>143</v>
      </c>
      <c r="N93" s="337">
        <v>86</v>
      </c>
      <c r="O93" s="331"/>
      <c r="P93" s="332" t="str">
        <f>VLOOKUP(Ruimtestaat[[#This Row],[Ruimte code]],Ruimtegroepen[],4,FALSE)</f>
        <v>V  (Verkeersruimte)</v>
      </c>
      <c r="Q93" s="332"/>
      <c r="R93" s="333">
        <v>40</v>
      </c>
      <c r="S93" s="333" t="s">
        <v>2</v>
      </c>
      <c r="T93" s="37"/>
      <c r="U93" s="37">
        <f>IF(R93&gt;0,IF(RIGHT(Ruimtestaat[[#This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3" s="37">
        <f>IF(U93&gt;0,VLOOKUP($J93,Ruimtegroepen[],3,FALSE)*VLOOKUP($L93,Vloersoorten[],3,FALSE)*VLOOKUP($S93,Frequenties[],3,FALSE)*VLOOKUP($A93,Locaties[],3,FALSE),0)</f>
        <v>0</v>
      </c>
      <c r="W93" s="37">
        <f>Ruimtestaat[[#This Row],[Uitvoeringen werkdagen]]*Ruimtestaat[[#This Row],[Oppervlak (netto)]]</f>
        <v>17200</v>
      </c>
      <c r="X93" s="37">
        <f>IF(V93&gt;0,Ruimtestaat[[#This Row],[Prest. (m2 /jaar) werkdagen]]/Ruimtestaat[[#This Row],[Norm (m2/uur) werkdagen]],0)</f>
        <v>0</v>
      </c>
      <c r="Y93" s="37">
        <f>Ruimtestaat[[#This Row],[uren / jaar werkdagen]]*Tariefsopbouw!$D$38</f>
        <v>0</v>
      </c>
      <c r="Z93" s="37">
        <f>IF(Ruimtestaat[[#This Row],[Frequentie weekend]]&gt;0,VALUE(LEFT(T93,1))*R93,0)</f>
        <v>0</v>
      </c>
      <c r="AA93" s="37">
        <f>IF($Z93&gt;0,VLOOKUP($J93,Ruimtegroepen[],3,FALSE)*VLOOKUP($L93,Vloersoorten[],3,FALSE)*VLOOKUP($T93,Frequenties[],3,FALSE)*VLOOKUP($A93,Locaties[],3,FALSE),0)</f>
        <v>0</v>
      </c>
      <c r="AB93" s="37">
        <f>Ruimtestaat[[#This Row],[Uitvoeringen weekend]]*Ruimtestaat[[#This Row],[Oppervlak (netto)]]</f>
        <v>0</v>
      </c>
      <c r="AC93" s="37">
        <f>IF(AA93&gt;0,Ruimtestaat[[#This Row],[Prest. (m2 /jaar) weekend]]/Ruimtestaat[[#This Row],[Norm (m2/uur) weekend]],0)</f>
        <v>0</v>
      </c>
      <c r="AD93" s="37">
        <f>Ruimtestaat[[#This Row],[uren / jaar weekend]]*Tariefsopbouw!$D$40</f>
        <v>0</v>
      </c>
      <c r="AE93" s="89">
        <f>Ruimtestaat[[#This Row],[Prest. (m2 /jaar) weekend]]+Ruimtestaat[[#This Row],[Prest. (m2 /jaar) werkdagen]]</f>
        <v>17200</v>
      </c>
      <c r="AF93" s="89">
        <f>Ruimtestaat[[#This Row],[uren / jaar weekend]]+Ruimtestaat[[#This Row],[uren / jaar werkdagen]]</f>
        <v>0</v>
      </c>
      <c r="AG93" s="90">
        <f>Ruimtestaat[[#This Row],[kosten / jaar weekend]]+Ruimtestaat[[#This Row],[kosten / jaar werkdagen]]</f>
        <v>0</v>
      </c>
      <c r="AH93" s="253"/>
      <c r="AI93" s="252" t="str">
        <f>IF(Ruimtestaat[[#This Row],[Frequentie werkdagen]]="","",_xlfn.CONCAT(Ruimtestaat[[#This Row],[Ruimte code]],"-",Ruimtestaat[[#This Row],[Frequentie werkdagen]]," ",Ruimtestaat[[#This Row],[Vloer code]]))</f>
        <v>6-5w S</v>
      </c>
      <c r="AJ93" s="247" t="str">
        <f>_xlfn.IFNA(VLOOKUP(Ruimtestaat[[#This Row],[Programmacode
Regulier]],Programma!$F$4:$Y$36148,2,0),"_")</f>
        <v>_</v>
      </c>
      <c r="AK93" s="247" t="str">
        <f>_xlfn.IFNA(VLOOKUP(Ruimtestaat[[#This Row],[Programmacode
Regulier]],Programma!$F$4:$Y$36148,3,0),"_")</f>
        <v>_</v>
      </c>
      <c r="AL93" s="247" t="str">
        <f>_xlfn.IFNA(VLOOKUP(Ruimtestaat[[#This Row],[Programmacode
Regulier]],Programma!$F$4:$Y$36148,4,0),"_")</f>
        <v>5w</v>
      </c>
      <c r="AM93" s="247" t="str">
        <f>_xlfn.IFNA(VLOOKUP(Ruimtestaat[[#This Row],[Programmacode
Regulier]],Programma!$F$4:$Y$36148,5,0),"_")</f>
        <v>_</v>
      </c>
      <c r="AN93" s="247" t="str">
        <f>_xlfn.IFNA(VLOOKUP(Ruimtestaat[[#This Row],[Programmacode
Regulier]],Programma!$F$4:$Y$36148,6,0),"_")</f>
        <v>5w</v>
      </c>
      <c r="AO93" s="247" t="str">
        <f>_xlfn.IFNA(VLOOKUP(Ruimtestaat[[#This Row],[Programmacode
Regulier]],Programma!$F$4:$Y$36148,7,0),"_")</f>
        <v>_</v>
      </c>
      <c r="AP93" s="247" t="str">
        <f>_xlfn.IFNA(VLOOKUP(Ruimtestaat[[#This Row],[Programmacode
Regulier]],Programma!$F$4:$Y$36148,8,0),"_")</f>
        <v>_</v>
      </c>
      <c r="AQ93" s="247" t="str">
        <f>_xlfn.IFNA(VLOOKUP(Ruimtestaat[[#This Row],[Programmacode
Regulier]],Programma!$F$4:$Y$36148,9,0),"_")</f>
        <v>_</v>
      </c>
      <c r="AR93" s="248" t="str">
        <f>_xlfn.IFNA(VLOOKUP(Ruimtestaat[[#This Row],[Programmacode
Regulier]],Programma!$F$4:$Y$36148,10,0),"_")</f>
        <v>5w</v>
      </c>
      <c r="AS93" s="248" t="str">
        <f>_xlfn.IFNA(VLOOKUP(Ruimtestaat[[#This Row],[Programmacode
Regulier]],Programma!$F$4:$Y$36148,11,0),"_")</f>
        <v>5w</v>
      </c>
      <c r="AT93" s="248" t="str">
        <f>_xlfn.IFNA(VLOOKUP(Ruimtestaat[[#This Row],[Programmacode
Regulier]],Programma!$F$4:$Y$36148,12,0),"_")</f>
        <v>1w</v>
      </c>
      <c r="AU93" s="248" t="str">
        <f>_xlfn.IFNA(VLOOKUP(Ruimtestaat[[#This Row],[Programmacode
Regulier]],Programma!$F$4:$Y$36148,13,0),"_")</f>
        <v>1w</v>
      </c>
      <c r="AV93" s="248" t="str">
        <f>_xlfn.IFNA(VLOOKUP(Ruimtestaat[[#This Row],[Programmacode
Regulier]],Programma!$F$4:$Y$36148,14,0),"_")</f>
        <v>1m</v>
      </c>
      <c r="AW93" s="248" t="str">
        <f>_xlfn.IFNA(VLOOKUP(Ruimtestaat[[#This Row],[Programmacode
Regulier]],Programma!$F$4:$Y$36148,15,0),"_")</f>
        <v>2j</v>
      </c>
      <c r="AX93" s="248" t="str">
        <f>_xlfn.IFNA(VLOOKUP(Ruimtestaat[[#This Row],[Programmacode
Regulier]],Programma!$F$4:$Y$36148,16,0),"_")</f>
        <v>1j</v>
      </c>
      <c r="AY93" s="248" t="str">
        <f>_xlfn.IFNA(VLOOKUP(Ruimtestaat[[#This Row],[Programmacode
Regulier]],Programma!$F$4:$Y$36148,17,0),"_")</f>
        <v>_</v>
      </c>
      <c r="AZ93" s="249" t="str">
        <f>_xlfn.IFNA(VLOOKUP(Ruimtestaat[[#This Row],[Programmacode
Regulier]],Programma!$F$4:$Y$36148,18,0),"_")</f>
        <v>_</v>
      </c>
      <c r="BA93" s="249" t="str">
        <f>_xlfn.IFNA(VLOOKUP(Ruimtestaat[[#This Row],[Programmacode
Regulier]],Programma!$F$4:$Y$36148,19,0),"_")</f>
        <v>_</v>
      </c>
      <c r="BB93" s="249" t="str">
        <f>_xlfn.IFNA(VLOOKUP(Ruimtestaat[[#This Row],[Programmacode
Regulier]],Programma!$F$4:$Y$36148,20,0),"_")</f>
        <v>_</v>
      </c>
      <c r="BC93" s="250"/>
      <c r="BD93" s="212" t="str">
        <f>IF(Ruimtestaat[[#This Row],[Frequentie weekend]]="","",_xlfn.CONCAT(Ruimtestaat[[#This Row],[Ruimte code]],"-",Ruimtestaat[[#This Row],[Frequentie weekend]]," ",Ruimtestaat[[#This Row],[Vloer code]]))</f>
        <v/>
      </c>
      <c r="BE93" s="247" t="str">
        <f>_xlfn.IFNA(VLOOKUP(Ruimtestaat[[#This Row],[Code Weekend]],Programma!$F$4:$Y$36148,2,0),"_")</f>
        <v>_</v>
      </c>
      <c r="BF93" s="247" t="str">
        <f>_xlfn.IFNA(VLOOKUP(Ruimtestaat[[#This Row],[Code Weekend]],Programma!$F$4:$Y$36148,3,0),"_")</f>
        <v>_</v>
      </c>
      <c r="BG93" s="247" t="str">
        <f>_xlfn.IFNA(VLOOKUP(Ruimtestaat[[#This Row],[Code Weekend]],Programma!$F$4:$Y$36148,4,0),"_")</f>
        <v>_</v>
      </c>
      <c r="BH93" s="247" t="str">
        <f>_xlfn.IFNA(VLOOKUP(Ruimtestaat[[#This Row],[Code Weekend]],Programma!$F$4:$Y$36148,5,0),"_")</f>
        <v>_</v>
      </c>
      <c r="BI93" s="247" t="str">
        <f>_xlfn.IFNA(VLOOKUP(Ruimtestaat[[#This Row],[Code Weekend]],Programma!$F$4:$Y$36148,6,0),"_")</f>
        <v>_</v>
      </c>
      <c r="BJ93" s="247" t="str">
        <f>_xlfn.IFNA(VLOOKUP(Ruimtestaat[[#This Row],[Code Weekend]],Programma!$F$4:$Y$36148,7,0),"_")</f>
        <v>_</v>
      </c>
      <c r="BK93" s="247" t="str">
        <f>_xlfn.IFNA(VLOOKUP(Ruimtestaat[[#This Row],[Code Weekend]],Programma!$F$4:$Y$36148,8,0),"_")</f>
        <v>_</v>
      </c>
      <c r="BL93" s="247" t="str">
        <f>_xlfn.IFNA(VLOOKUP(Ruimtestaat[[#This Row],[Code Weekend]],Programma!$F$4:$Y$36148,9,0),"_")</f>
        <v>_</v>
      </c>
      <c r="BM93" s="248" t="str">
        <f>_xlfn.IFNA(VLOOKUP(Ruimtestaat[[#This Row],[Code Weekend]],Programma!$F$4:$Y$36148,10,0),"_")</f>
        <v>_</v>
      </c>
      <c r="BN93" s="248" t="str">
        <f>_xlfn.IFNA(VLOOKUP(Ruimtestaat[[#This Row],[Code Weekend]],Programma!$F$4:$Y$36148,11,0),"_")</f>
        <v>_</v>
      </c>
      <c r="BO93" s="248" t="str">
        <f>_xlfn.IFNA(VLOOKUP(Ruimtestaat[[#This Row],[Code Weekend]],Programma!$F$4:$Y$36148,12,0),"_")</f>
        <v>_</v>
      </c>
      <c r="BP93" s="248" t="str">
        <f>_xlfn.IFNA(VLOOKUP(Ruimtestaat[[#This Row],[Code Weekend]],Programma!$F$4:$Y$36148,13,0),"_")</f>
        <v>_</v>
      </c>
      <c r="BQ93" s="248" t="str">
        <f>_xlfn.IFNA(VLOOKUP(Ruimtestaat[[#This Row],[Code Weekend]],Programma!$F$4:$Y$36148,14,0),"_")</f>
        <v>_</v>
      </c>
      <c r="BR93" s="248" t="str">
        <f>_xlfn.IFNA(VLOOKUP(Ruimtestaat[[#This Row],[Code Weekend]],Programma!$F$4:$Y$36148,15,0),"_")</f>
        <v>_</v>
      </c>
      <c r="BS93" s="248" t="str">
        <f>_xlfn.IFNA(VLOOKUP(Ruimtestaat[[#This Row],[Code Weekend]],Programma!$F$4:$Y$36148,16,0),"_")</f>
        <v>_</v>
      </c>
      <c r="BT93" s="248" t="str">
        <f>_xlfn.IFNA(VLOOKUP(Ruimtestaat[[#This Row],[Code Weekend]],Programma!$F$4:$Y$36148,17,0),"_")</f>
        <v>_</v>
      </c>
      <c r="BU93" s="249" t="str">
        <f>_xlfn.IFNA(VLOOKUP(Ruimtestaat[[#This Row],[Code Weekend]],Programma!$F$4:$Y$36148,18,0),"_")</f>
        <v>_</v>
      </c>
      <c r="BV93" s="249" t="str">
        <f>_xlfn.IFNA(VLOOKUP(Ruimtestaat[[#This Row],[Code Weekend]],Programma!$F$4:$Y$36148,19,0),"_")</f>
        <v>_</v>
      </c>
      <c r="BW93" s="249" t="str">
        <f>_xlfn.IFNA(VLOOKUP(Ruimtestaat[[#This Row],[Code Weekend]],Programma!$F$4:$Y$36148,20,0),"_")</f>
        <v>_</v>
      </c>
      <c r="HK93" s="88"/>
    </row>
    <row r="94" spans="1:219" ht="12.75" customHeight="1">
      <c r="A94" s="131">
        <v>1</v>
      </c>
      <c r="B94" s="22" t="str">
        <f>VLOOKUP(Ruimtestaat[[#This Row],[Code]],Locaties[#All],2,FALSE)</f>
        <v>ESH Secondary School</v>
      </c>
      <c r="C94" s="22" t="str">
        <f>VLOOKUP(Ruimtestaat[[#This Row],[Code]],Locaties[#All],4,FALSE)</f>
        <v>Oostduinlaan 50</v>
      </c>
      <c r="D94" s="334" t="str">
        <f>VLOOKUP(Ruimtestaat[[#This Row],[Code]],Locaties[#All],5,FALSE)</f>
        <v>2596 JP</v>
      </c>
      <c r="E94" s="334" t="str">
        <f>VLOOKUP(Ruimtestaat[[#This Row],[Code]],Locaties[#All],6,FALSE)</f>
        <v>Den Haag</v>
      </c>
      <c r="F94" s="335"/>
      <c r="G94" s="334" t="s">
        <v>1611</v>
      </c>
      <c r="H94" s="334" t="s">
        <v>1540</v>
      </c>
      <c r="I94" s="335" t="s">
        <v>1513</v>
      </c>
      <c r="J94" s="333">
        <v>16</v>
      </c>
      <c r="K94" s="335" t="str">
        <f>VLOOKUP(J94,Ruimtegroepen[],2,FALSE)</f>
        <v>Leslokalen</v>
      </c>
      <c r="L94" s="212" t="s">
        <v>123</v>
      </c>
      <c r="M94" s="334" t="s">
        <v>144</v>
      </c>
      <c r="N94" s="337">
        <v>23</v>
      </c>
      <c r="O94" s="331"/>
      <c r="P94" s="332" t="str">
        <f>VLOOKUP(Ruimtestaat[[#This Row],[Ruimte code]],Ruimtegroepen[],4,FALSE)</f>
        <v>L  (Lesruimte)</v>
      </c>
      <c r="Q94" s="332"/>
      <c r="R94" s="333">
        <v>40</v>
      </c>
      <c r="S94" s="333" t="s">
        <v>2</v>
      </c>
      <c r="T94" s="37"/>
      <c r="U94" s="37">
        <f>IF(R94&gt;0,IF(RIGHT(Ruimtestaat[[#This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4" s="37">
        <f>IF(U94&gt;0,VLOOKUP($J94,Ruimtegroepen[],3,FALSE)*VLOOKUP($L94,Vloersoorten[],3,FALSE)*VLOOKUP($S94,Frequenties[],3,FALSE)*VLOOKUP($A94,Locaties[],3,FALSE),0)</f>
        <v>0</v>
      </c>
      <c r="W94" s="37">
        <f>Ruimtestaat[[#This Row],[Uitvoeringen werkdagen]]*Ruimtestaat[[#This Row],[Oppervlak (netto)]]</f>
        <v>4600</v>
      </c>
      <c r="X94" s="37">
        <f>IF(V94&gt;0,Ruimtestaat[[#This Row],[Prest. (m2 /jaar) werkdagen]]/Ruimtestaat[[#This Row],[Norm (m2/uur) werkdagen]],0)</f>
        <v>0</v>
      </c>
      <c r="Y94" s="37">
        <f>Ruimtestaat[[#This Row],[uren / jaar werkdagen]]*Tariefsopbouw!$D$38</f>
        <v>0</v>
      </c>
      <c r="Z94" s="37">
        <f>IF(Ruimtestaat[[#This Row],[Frequentie weekend]]&gt;0,VALUE(LEFT(T94,1))*R94,0)</f>
        <v>0</v>
      </c>
      <c r="AA94" s="37">
        <f>IF($Z94&gt;0,VLOOKUP($J94,Ruimtegroepen[],3,FALSE)*VLOOKUP($L94,Vloersoorten[],3,FALSE)*VLOOKUP($T94,Frequenties[],3,FALSE)*VLOOKUP($A94,Locaties[],3,FALSE),0)</f>
        <v>0</v>
      </c>
      <c r="AB94" s="37">
        <f>Ruimtestaat[[#This Row],[Uitvoeringen weekend]]*Ruimtestaat[[#This Row],[Oppervlak (netto)]]</f>
        <v>0</v>
      </c>
      <c r="AC94" s="37">
        <f>IF(AA94&gt;0,Ruimtestaat[[#This Row],[Prest. (m2 /jaar) weekend]]/Ruimtestaat[[#This Row],[Norm (m2/uur) weekend]],0)</f>
        <v>0</v>
      </c>
      <c r="AD94" s="37">
        <f>Ruimtestaat[[#This Row],[uren / jaar weekend]]*Tariefsopbouw!$D$40</f>
        <v>0</v>
      </c>
      <c r="AE94" s="89">
        <f>Ruimtestaat[[#This Row],[Prest. (m2 /jaar) weekend]]+Ruimtestaat[[#This Row],[Prest. (m2 /jaar) werkdagen]]</f>
        <v>4600</v>
      </c>
      <c r="AF94" s="89">
        <f>Ruimtestaat[[#This Row],[uren / jaar weekend]]+Ruimtestaat[[#This Row],[uren / jaar werkdagen]]</f>
        <v>0</v>
      </c>
      <c r="AG94" s="90">
        <f>Ruimtestaat[[#This Row],[kosten / jaar weekend]]+Ruimtestaat[[#This Row],[kosten / jaar werkdagen]]</f>
        <v>0</v>
      </c>
      <c r="AH94" s="253"/>
      <c r="AI94" s="252" t="str">
        <f>IF(Ruimtestaat[[#This Row],[Frequentie werkdagen]]="","",_xlfn.CONCAT(Ruimtestaat[[#This Row],[Ruimte code]],"-",Ruimtestaat[[#This Row],[Frequentie werkdagen]]," ",Ruimtestaat[[#This Row],[Vloer code]]))</f>
        <v>16-5w P</v>
      </c>
      <c r="AJ94" s="247" t="str">
        <f>_xlfn.IFNA(VLOOKUP(Ruimtestaat[[#This Row],[Programmacode
Regulier]],Programma!$F$4:$Y$36148,2,0),"_")</f>
        <v>_</v>
      </c>
      <c r="AK94" s="247" t="str">
        <f>_xlfn.IFNA(VLOOKUP(Ruimtestaat[[#This Row],[Programmacode
Regulier]],Programma!$F$4:$Y$36148,3,0),"_")</f>
        <v>_</v>
      </c>
      <c r="AL94" s="247" t="str">
        <f>_xlfn.IFNA(VLOOKUP(Ruimtestaat[[#This Row],[Programmacode
Regulier]],Programma!$F$4:$Y$36148,4,0),"_")</f>
        <v>5w</v>
      </c>
      <c r="AM94" s="247" t="str">
        <f>_xlfn.IFNA(VLOOKUP(Ruimtestaat[[#This Row],[Programmacode
Regulier]],Programma!$F$4:$Y$36148,5,0),"_")</f>
        <v>1w</v>
      </c>
      <c r="AN94" s="247" t="str">
        <f>_xlfn.IFNA(VLOOKUP(Ruimtestaat[[#This Row],[Programmacode
Regulier]],Programma!$F$4:$Y$36148,6,0),"_")</f>
        <v>1m</v>
      </c>
      <c r="AO94" s="247" t="str">
        <f>_xlfn.IFNA(VLOOKUP(Ruimtestaat[[#This Row],[Programmacode
Regulier]],Programma!$F$4:$Y$36148,7,0),"_")</f>
        <v>_</v>
      </c>
      <c r="AP94" s="247" t="str">
        <f>_xlfn.IFNA(VLOOKUP(Ruimtestaat[[#This Row],[Programmacode
Regulier]],Programma!$F$4:$Y$36148,8,0),"_")</f>
        <v>_</v>
      </c>
      <c r="AQ94" s="247" t="str">
        <f>_xlfn.IFNA(VLOOKUP(Ruimtestaat[[#This Row],[Programmacode
Regulier]],Programma!$F$4:$Y$36148,9,0),"_")</f>
        <v>_</v>
      </c>
      <c r="AR94" s="248" t="str">
        <f>_xlfn.IFNA(VLOOKUP(Ruimtestaat[[#This Row],[Programmacode
Regulier]],Programma!$F$4:$Y$36148,10,0),"_")</f>
        <v>5w</v>
      </c>
      <c r="AS94" s="248" t="str">
        <f>_xlfn.IFNA(VLOOKUP(Ruimtestaat[[#This Row],[Programmacode
Regulier]],Programma!$F$4:$Y$36148,11,0),"_")</f>
        <v>5w</v>
      </c>
      <c r="AT94" s="248" t="str">
        <f>_xlfn.IFNA(VLOOKUP(Ruimtestaat[[#This Row],[Programmacode
Regulier]],Programma!$F$4:$Y$36148,12,0),"_")</f>
        <v>1w</v>
      </c>
      <c r="AU94" s="248" t="str">
        <f>_xlfn.IFNA(VLOOKUP(Ruimtestaat[[#This Row],[Programmacode
Regulier]],Programma!$F$4:$Y$36148,13,0),"_")</f>
        <v>1w</v>
      </c>
      <c r="AV94" s="248" t="str">
        <f>_xlfn.IFNA(VLOOKUP(Ruimtestaat[[#This Row],[Programmacode
Regulier]],Programma!$F$4:$Y$36148,14,0),"_")</f>
        <v>1m</v>
      </c>
      <c r="AW94" s="248" t="str">
        <f>_xlfn.IFNA(VLOOKUP(Ruimtestaat[[#This Row],[Programmacode
Regulier]],Programma!$F$4:$Y$36148,15,0),"_")</f>
        <v>2j</v>
      </c>
      <c r="AX94" s="248" t="str">
        <f>_xlfn.IFNA(VLOOKUP(Ruimtestaat[[#This Row],[Programmacode
Regulier]],Programma!$F$4:$Y$36148,16,0),"_")</f>
        <v>1j</v>
      </c>
      <c r="AY94" s="248" t="str">
        <f>_xlfn.IFNA(VLOOKUP(Ruimtestaat[[#This Row],[Programmacode
Regulier]],Programma!$F$4:$Y$36148,17,0),"_")</f>
        <v>_</v>
      </c>
      <c r="AZ94" s="249" t="str">
        <f>_xlfn.IFNA(VLOOKUP(Ruimtestaat[[#This Row],[Programmacode
Regulier]],Programma!$F$4:$Y$36148,18,0),"_")</f>
        <v>_</v>
      </c>
      <c r="BA94" s="249" t="str">
        <f>_xlfn.IFNA(VLOOKUP(Ruimtestaat[[#This Row],[Programmacode
Regulier]],Programma!$F$4:$Y$36148,19,0),"_")</f>
        <v>_</v>
      </c>
      <c r="BB94" s="249" t="str">
        <f>_xlfn.IFNA(VLOOKUP(Ruimtestaat[[#This Row],[Programmacode
Regulier]],Programma!$F$4:$Y$36148,20,0),"_")</f>
        <v>_</v>
      </c>
      <c r="BC94" s="250"/>
      <c r="BD94" s="212" t="str">
        <f>IF(Ruimtestaat[[#This Row],[Frequentie weekend]]="","",_xlfn.CONCAT(Ruimtestaat[[#This Row],[Ruimte code]],"-",Ruimtestaat[[#This Row],[Frequentie weekend]]," ",Ruimtestaat[[#This Row],[Vloer code]]))</f>
        <v/>
      </c>
      <c r="BE94" s="247" t="str">
        <f>_xlfn.IFNA(VLOOKUP(Ruimtestaat[[#This Row],[Code Weekend]],Programma!$F$4:$Y$36148,2,0),"_")</f>
        <v>_</v>
      </c>
      <c r="BF94" s="247" t="str">
        <f>_xlfn.IFNA(VLOOKUP(Ruimtestaat[[#This Row],[Code Weekend]],Programma!$F$4:$Y$36148,3,0),"_")</f>
        <v>_</v>
      </c>
      <c r="BG94" s="247" t="str">
        <f>_xlfn.IFNA(VLOOKUP(Ruimtestaat[[#This Row],[Code Weekend]],Programma!$F$4:$Y$36148,4,0),"_")</f>
        <v>_</v>
      </c>
      <c r="BH94" s="247" t="str">
        <f>_xlfn.IFNA(VLOOKUP(Ruimtestaat[[#This Row],[Code Weekend]],Programma!$F$4:$Y$36148,5,0),"_")</f>
        <v>_</v>
      </c>
      <c r="BI94" s="247" t="str">
        <f>_xlfn.IFNA(VLOOKUP(Ruimtestaat[[#This Row],[Code Weekend]],Programma!$F$4:$Y$36148,6,0),"_")</f>
        <v>_</v>
      </c>
      <c r="BJ94" s="247" t="str">
        <f>_xlfn.IFNA(VLOOKUP(Ruimtestaat[[#This Row],[Code Weekend]],Programma!$F$4:$Y$36148,7,0),"_")</f>
        <v>_</v>
      </c>
      <c r="BK94" s="247" t="str">
        <f>_xlfn.IFNA(VLOOKUP(Ruimtestaat[[#This Row],[Code Weekend]],Programma!$F$4:$Y$36148,8,0),"_")</f>
        <v>_</v>
      </c>
      <c r="BL94" s="247" t="str">
        <f>_xlfn.IFNA(VLOOKUP(Ruimtestaat[[#This Row],[Code Weekend]],Programma!$F$4:$Y$36148,9,0),"_")</f>
        <v>_</v>
      </c>
      <c r="BM94" s="248" t="str">
        <f>_xlfn.IFNA(VLOOKUP(Ruimtestaat[[#This Row],[Code Weekend]],Programma!$F$4:$Y$36148,10,0),"_")</f>
        <v>_</v>
      </c>
      <c r="BN94" s="248" t="str">
        <f>_xlfn.IFNA(VLOOKUP(Ruimtestaat[[#This Row],[Code Weekend]],Programma!$F$4:$Y$36148,11,0),"_")</f>
        <v>_</v>
      </c>
      <c r="BO94" s="248" t="str">
        <f>_xlfn.IFNA(VLOOKUP(Ruimtestaat[[#This Row],[Code Weekend]],Programma!$F$4:$Y$36148,12,0),"_")</f>
        <v>_</v>
      </c>
      <c r="BP94" s="248" t="str">
        <f>_xlfn.IFNA(VLOOKUP(Ruimtestaat[[#This Row],[Code Weekend]],Programma!$F$4:$Y$36148,13,0),"_")</f>
        <v>_</v>
      </c>
      <c r="BQ94" s="248" t="str">
        <f>_xlfn.IFNA(VLOOKUP(Ruimtestaat[[#This Row],[Code Weekend]],Programma!$F$4:$Y$36148,14,0),"_")</f>
        <v>_</v>
      </c>
      <c r="BR94" s="248" t="str">
        <f>_xlfn.IFNA(VLOOKUP(Ruimtestaat[[#This Row],[Code Weekend]],Programma!$F$4:$Y$36148,15,0),"_")</f>
        <v>_</v>
      </c>
      <c r="BS94" s="248" t="str">
        <f>_xlfn.IFNA(VLOOKUP(Ruimtestaat[[#This Row],[Code Weekend]],Programma!$F$4:$Y$36148,16,0),"_")</f>
        <v>_</v>
      </c>
      <c r="BT94" s="248" t="str">
        <f>_xlfn.IFNA(VLOOKUP(Ruimtestaat[[#This Row],[Code Weekend]],Programma!$F$4:$Y$36148,17,0),"_")</f>
        <v>_</v>
      </c>
      <c r="BU94" s="249" t="str">
        <f>_xlfn.IFNA(VLOOKUP(Ruimtestaat[[#This Row],[Code Weekend]],Programma!$F$4:$Y$36148,18,0),"_")</f>
        <v>_</v>
      </c>
      <c r="BV94" s="249" t="str">
        <f>_xlfn.IFNA(VLOOKUP(Ruimtestaat[[#This Row],[Code Weekend]],Programma!$F$4:$Y$36148,19,0),"_")</f>
        <v>_</v>
      </c>
      <c r="BW94" s="249" t="str">
        <f>_xlfn.IFNA(VLOOKUP(Ruimtestaat[[#This Row],[Code Weekend]],Programma!$F$4:$Y$36148,20,0),"_")</f>
        <v>_</v>
      </c>
      <c r="HK94" s="88"/>
    </row>
    <row r="95" spans="1:219" ht="12.75" customHeight="1">
      <c r="A95" s="131">
        <v>1</v>
      </c>
      <c r="B95" s="22" t="str">
        <f>VLOOKUP(Ruimtestaat[[#This Row],[Code]],Locaties[#All],2,FALSE)</f>
        <v>ESH Secondary School</v>
      </c>
      <c r="C95" s="22" t="str">
        <f>VLOOKUP(Ruimtestaat[[#This Row],[Code]],Locaties[#All],4,FALSE)</f>
        <v>Oostduinlaan 50</v>
      </c>
      <c r="D95" s="334" t="str">
        <f>VLOOKUP(Ruimtestaat[[#This Row],[Code]],Locaties[#All],5,FALSE)</f>
        <v>2596 JP</v>
      </c>
      <c r="E95" s="334" t="str">
        <f>VLOOKUP(Ruimtestaat[[#This Row],[Code]],Locaties[#All],6,FALSE)</f>
        <v>Den Haag</v>
      </c>
      <c r="F95" s="335"/>
      <c r="G95" s="334" t="s">
        <v>1611</v>
      </c>
      <c r="H95" s="334" t="s">
        <v>1541</v>
      </c>
      <c r="I95" s="335" t="s">
        <v>1514</v>
      </c>
      <c r="J95" s="333">
        <v>16</v>
      </c>
      <c r="K95" s="335" t="str">
        <f>VLOOKUP(J95,Ruimtegroepen[],2,FALSE)</f>
        <v>Leslokalen</v>
      </c>
      <c r="L95" s="212" t="s">
        <v>123</v>
      </c>
      <c r="M95" s="334" t="s">
        <v>144</v>
      </c>
      <c r="N95" s="337">
        <v>23</v>
      </c>
      <c r="O95" s="331"/>
      <c r="P95" s="332" t="str">
        <f>VLOOKUP(Ruimtestaat[[#This Row],[Ruimte code]],Ruimtegroepen[],4,FALSE)</f>
        <v>L  (Lesruimte)</v>
      </c>
      <c r="Q95" s="332"/>
      <c r="R95" s="333">
        <v>40</v>
      </c>
      <c r="S95" s="333" t="s">
        <v>2</v>
      </c>
      <c r="T95" s="37"/>
      <c r="U95" s="37">
        <f>IF(R95&gt;0,IF(RIGHT(Ruimtestaat[[#This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5" s="37">
        <f>IF(U95&gt;0,VLOOKUP($J95,Ruimtegroepen[],3,FALSE)*VLOOKUP($L95,Vloersoorten[],3,FALSE)*VLOOKUP($S95,Frequenties[],3,FALSE)*VLOOKUP($A95,Locaties[],3,FALSE),0)</f>
        <v>0</v>
      </c>
      <c r="W95" s="37">
        <f>Ruimtestaat[[#This Row],[Uitvoeringen werkdagen]]*Ruimtestaat[[#This Row],[Oppervlak (netto)]]</f>
        <v>4600</v>
      </c>
      <c r="X95" s="37">
        <f>IF(V95&gt;0,Ruimtestaat[[#This Row],[Prest. (m2 /jaar) werkdagen]]/Ruimtestaat[[#This Row],[Norm (m2/uur) werkdagen]],0)</f>
        <v>0</v>
      </c>
      <c r="Y95" s="37">
        <f>Ruimtestaat[[#This Row],[uren / jaar werkdagen]]*Tariefsopbouw!$D$38</f>
        <v>0</v>
      </c>
      <c r="Z95" s="37">
        <f>IF(Ruimtestaat[[#This Row],[Frequentie weekend]]&gt;0,VALUE(LEFT(T95,1))*R95,0)</f>
        <v>0</v>
      </c>
      <c r="AA95" s="37">
        <f>IF($Z95&gt;0,VLOOKUP($J95,Ruimtegroepen[],3,FALSE)*VLOOKUP($L95,Vloersoorten[],3,FALSE)*VLOOKUP($T95,Frequenties[],3,FALSE)*VLOOKUP($A95,Locaties[],3,FALSE),0)</f>
        <v>0</v>
      </c>
      <c r="AB95" s="37">
        <f>Ruimtestaat[[#This Row],[Uitvoeringen weekend]]*Ruimtestaat[[#This Row],[Oppervlak (netto)]]</f>
        <v>0</v>
      </c>
      <c r="AC95" s="37">
        <f>IF(AA95&gt;0,Ruimtestaat[[#This Row],[Prest. (m2 /jaar) weekend]]/Ruimtestaat[[#This Row],[Norm (m2/uur) weekend]],0)</f>
        <v>0</v>
      </c>
      <c r="AD95" s="37">
        <f>Ruimtestaat[[#This Row],[uren / jaar weekend]]*Tariefsopbouw!$D$40</f>
        <v>0</v>
      </c>
      <c r="AE95" s="89">
        <f>Ruimtestaat[[#This Row],[Prest. (m2 /jaar) weekend]]+Ruimtestaat[[#This Row],[Prest. (m2 /jaar) werkdagen]]</f>
        <v>4600</v>
      </c>
      <c r="AF95" s="89">
        <f>Ruimtestaat[[#This Row],[uren / jaar weekend]]+Ruimtestaat[[#This Row],[uren / jaar werkdagen]]</f>
        <v>0</v>
      </c>
      <c r="AG95" s="90">
        <f>Ruimtestaat[[#This Row],[kosten / jaar weekend]]+Ruimtestaat[[#This Row],[kosten / jaar werkdagen]]</f>
        <v>0</v>
      </c>
      <c r="AH95" s="253"/>
      <c r="AI95" s="252" t="str">
        <f>IF(Ruimtestaat[[#This Row],[Frequentie werkdagen]]="","",_xlfn.CONCAT(Ruimtestaat[[#This Row],[Ruimte code]],"-",Ruimtestaat[[#This Row],[Frequentie werkdagen]]," ",Ruimtestaat[[#This Row],[Vloer code]]))</f>
        <v>16-5w P</v>
      </c>
      <c r="AJ95" s="247" t="str">
        <f>_xlfn.IFNA(VLOOKUP(Ruimtestaat[[#This Row],[Programmacode
Regulier]],Programma!$F$4:$Y$36148,2,0),"_")</f>
        <v>_</v>
      </c>
      <c r="AK95" s="247" t="str">
        <f>_xlfn.IFNA(VLOOKUP(Ruimtestaat[[#This Row],[Programmacode
Regulier]],Programma!$F$4:$Y$36148,3,0),"_")</f>
        <v>_</v>
      </c>
      <c r="AL95" s="247" t="str">
        <f>_xlfn.IFNA(VLOOKUP(Ruimtestaat[[#This Row],[Programmacode
Regulier]],Programma!$F$4:$Y$36148,4,0),"_")</f>
        <v>5w</v>
      </c>
      <c r="AM95" s="247" t="str">
        <f>_xlfn.IFNA(VLOOKUP(Ruimtestaat[[#This Row],[Programmacode
Regulier]],Programma!$F$4:$Y$36148,5,0),"_")</f>
        <v>1w</v>
      </c>
      <c r="AN95" s="247" t="str">
        <f>_xlfn.IFNA(VLOOKUP(Ruimtestaat[[#This Row],[Programmacode
Regulier]],Programma!$F$4:$Y$36148,6,0),"_")</f>
        <v>1m</v>
      </c>
      <c r="AO95" s="247" t="str">
        <f>_xlfn.IFNA(VLOOKUP(Ruimtestaat[[#This Row],[Programmacode
Regulier]],Programma!$F$4:$Y$36148,7,0),"_")</f>
        <v>_</v>
      </c>
      <c r="AP95" s="247" t="str">
        <f>_xlfn.IFNA(VLOOKUP(Ruimtestaat[[#This Row],[Programmacode
Regulier]],Programma!$F$4:$Y$36148,8,0),"_")</f>
        <v>_</v>
      </c>
      <c r="AQ95" s="247" t="str">
        <f>_xlfn.IFNA(VLOOKUP(Ruimtestaat[[#This Row],[Programmacode
Regulier]],Programma!$F$4:$Y$36148,9,0),"_")</f>
        <v>_</v>
      </c>
      <c r="AR95" s="248" t="str">
        <f>_xlfn.IFNA(VLOOKUP(Ruimtestaat[[#This Row],[Programmacode
Regulier]],Programma!$F$4:$Y$36148,10,0),"_")</f>
        <v>5w</v>
      </c>
      <c r="AS95" s="248" t="str">
        <f>_xlfn.IFNA(VLOOKUP(Ruimtestaat[[#This Row],[Programmacode
Regulier]],Programma!$F$4:$Y$36148,11,0),"_")</f>
        <v>5w</v>
      </c>
      <c r="AT95" s="248" t="str">
        <f>_xlfn.IFNA(VLOOKUP(Ruimtestaat[[#This Row],[Programmacode
Regulier]],Programma!$F$4:$Y$36148,12,0),"_")</f>
        <v>1w</v>
      </c>
      <c r="AU95" s="248" t="str">
        <f>_xlfn.IFNA(VLOOKUP(Ruimtestaat[[#This Row],[Programmacode
Regulier]],Programma!$F$4:$Y$36148,13,0),"_")</f>
        <v>1w</v>
      </c>
      <c r="AV95" s="248" t="str">
        <f>_xlfn.IFNA(VLOOKUP(Ruimtestaat[[#This Row],[Programmacode
Regulier]],Programma!$F$4:$Y$36148,14,0),"_")</f>
        <v>1m</v>
      </c>
      <c r="AW95" s="248" t="str">
        <f>_xlfn.IFNA(VLOOKUP(Ruimtestaat[[#This Row],[Programmacode
Regulier]],Programma!$F$4:$Y$36148,15,0),"_")</f>
        <v>2j</v>
      </c>
      <c r="AX95" s="248" t="str">
        <f>_xlfn.IFNA(VLOOKUP(Ruimtestaat[[#This Row],[Programmacode
Regulier]],Programma!$F$4:$Y$36148,16,0),"_")</f>
        <v>1j</v>
      </c>
      <c r="AY95" s="248" t="str">
        <f>_xlfn.IFNA(VLOOKUP(Ruimtestaat[[#This Row],[Programmacode
Regulier]],Programma!$F$4:$Y$36148,17,0),"_")</f>
        <v>_</v>
      </c>
      <c r="AZ95" s="249" t="str">
        <f>_xlfn.IFNA(VLOOKUP(Ruimtestaat[[#This Row],[Programmacode
Regulier]],Programma!$F$4:$Y$36148,18,0),"_")</f>
        <v>_</v>
      </c>
      <c r="BA95" s="249" t="str">
        <f>_xlfn.IFNA(VLOOKUP(Ruimtestaat[[#This Row],[Programmacode
Regulier]],Programma!$F$4:$Y$36148,19,0),"_")</f>
        <v>_</v>
      </c>
      <c r="BB95" s="249" t="str">
        <f>_xlfn.IFNA(VLOOKUP(Ruimtestaat[[#This Row],[Programmacode
Regulier]],Programma!$F$4:$Y$36148,20,0),"_")</f>
        <v>_</v>
      </c>
      <c r="BC95" s="250"/>
      <c r="BD95" s="212" t="str">
        <f>IF(Ruimtestaat[[#This Row],[Frequentie weekend]]="","",_xlfn.CONCAT(Ruimtestaat[[#This Row],[Ruimte code]],"-",Ruimtestaat[[#This Row],[Frequentie weekend]]," ",Ruimtestaat[[#This Row],[Vloer code]]))</f>
        <v/>
      </c>
      <c r="BE95" s="247" t="str">
        <f>_xlfn.IFNA(VLOOKUP(Ruimtestaat[[#This Row],[Code Weekend]],Programma!$F$4:$Y$36148,2,0),"_")</f>
        <v>_</v>
      </c>
      <c r="BF95" s="247" t="str">
        <f>_xlfn.IFNA(VLOOKUP(Ruimtestaat[[#This Row],[Code Weekend]],Programma!$F$4:$Y$36148,3,0),"_")</f>
        <v>_</v>
      </c>
      <c r="BG95" s="247" t="str">
        <f>_xlfn.IFNA(VLOOKUP(Ruimtestaat[[#This Row],[Code Weekend]],Programma!$F$4:$Y$36148,4,0),"_")</f>
        <v>_</v>
      </c>
      <c r="BH95" s="247" t="str">
        <f>_xlfn.IFNA(VLOOKUP(Ruimtestaat[[#This Row],[Code Weekend]],Programma!$F$4:$Y$36148,5,0),"_")</f>
        <v>_</v>
      </c>
      <c r="BI95" s="247" t="str">
        <f>_xlfn.IFNA(VLOOKUP(Ruimtestaat[[#This Row],[Code Weekend]],Programma!$F$4:$Y$36148,6,0),"_")</f>
        <v>_</v>
      </c>
      <c r="BJ95" s="247" t="str">
        <f>_xlfn.IFNA(VLOOKUP(Ruimtestaat[[#This Row],[Code Weekend]],Programma!$F$4:$Y$36148,7,0),"_")</f>
        <v>_</v>
      </c>
      <c r="BK95" s="247" t="str">
        <f>_xlfn.IFNA(VLOOKUP(Ruimtestaat[[#This Row],[Code Weekend]],Programma!$F$4:$Y$36148,8,0),"_")</f>
        <v>_</v>
      </c>
      <c r="BL95" s="247" t="str">
        <f>_xlfn.IFNA(VLOOKUP(Ruimtestaat[[#This Row],[Code Weekend]],Programma!$F$4:$Y$36148,9,0),"_")</f>
        <v>_</v>
      </c>
      <c r="BM95" s="248" t="str">
        <f>_xlfn.IFNA(VLOOKUP(Ruimtestaat[[#This Row],[Code Weekend]],Programma!$F$4:$Y$36148,10,0),"_")</f>
        <v>_</v>
      </c>
      <c r="BN95" s="248" t="str">
        <f>_xlfn.IFNA(VLOOKUP(Ruimtestaat[[#This Row],[Code Weekend]],Programma!$F$4:$Y$36148,11,0),"_")</f>
        <v>_</v>
      </c>
      <c r="BO95" s="248" t="str">
        <f>_xlfn.IFNA(VLOOKUP(Ruimtestaat[[#This Row],[Code Weekend]],Programma!$F$4:$Y$36148,12,0),"_")</f>
        <v>_</v>
      </c>
      <c r="BP95" s="248" t="str">
        <f>_xlfn.IFNA(VLOOKUP(Ruimtestaat[[#This Row],[Code Weekend]],Programma!$F$4:$Y$36148,13,0),"_")</f>
        <v>_</v>
      </c>
      <c r="BQ95" s="248" t="str">
        <f>_xlfn.IFNA(VLOOKUP(Ruimtestaat[[#This Row],[Code Weekend]],Programma!$F$4:$Y$36148,14,0),"_")</f>
        <v>_</v>
      </c>
      <c r="BR95" s="248" t="str">
        <f>_xlfn.IFNA(VLOOKUP(Ruimtestaat[[#This Row],[Code Weekend]],Programma!$F$4:$Y$36148,15,0),"_")</f>
        <v>_</v>
      </c>
      <c r="BS95" s="248" t="str">
        <f>_xlfn.IFNA(VLOOKUP(Ruimtestaat[[#This Row],[Code Weekend]],Programma!$F$4:$Y$36148,16,0),"_")</f>
        <v>_</v>
      </c>
      <c r="BT95" s="248" t="str">
        <f>_xlfn.IFNA(VLOOKUP(Ruimtestaat[[#This Row],[Code Weekend]],Programma!$F$4:$Y$36148,17,0),"_")</f>
        <v>_</v>
      </c>
      <c r="BU95" s="249" t="str">
        <f>_xlfn.IFNA(VLOOKUP(Ruimtestaat[[#This Row],[Code Weekend]],Programma!$F$4:$Y$36148,18,0),"_")</f>
        <v>_</v>
      </c>
      <c r="BV95" s="249" t="str">
        <f>_xlfn.IFNA(VLOOKUP(Ruimtestaat[[#This Row],[Code Weekend]],Programma!$F$4:$Y$36148,19,0),"_")</f>
        <v>_</v>
      </c>
      <c r="BW95" s="249" t="str">
        <f>_xlfn.IFNA(VLOOKUP(Ruimtestaat[[#This Row],[Code Weekend]],Programma!$F$4:$Y$36148,20,0),"_")</f>
        <v>_</v>
      </c>
      <c r="HK95" s="88"/>
    </row>
    <row r="96" spans="1:219" ht="12.75" customHeight="1">
      <c r="A96" s="131">
        <v>1</v>
      </c>
      <c r="B96" s="22" t="str">
        <f>VLOOKUP(Ruimtestaat[[#This Row],[Code]],Locaties[#All],2,FALSE)</f>
        <v>ESH Secondary School</v>
      </c>
      <c r="C96" s="22" t="str">
        <f>VLOOKUP(Ruimtestaat[[#This Row],[Code]],Locaties[#All],4,FALSE)</f>
        <v>Oostduinlaan 50</v>
      </c>
      <c r="D96" s="334" t="str">
        <f>VLOOKUP(Ruimtestaat[[#This Row],[Code]],Locaties[#All],5,FALSE)</f>
        <v>2596 JP</v>
      </c>
      <c r="E96" s="334" t="str">
        <f>VLOOKUP(Ruimtestaat[[#This Row],[Code]],Locaties[#All],6,FALSE)</f>
        <v>Den Haag</v>
      </c>
      <c r="F96" s="335"/>
      <c r="G96" s="334" t="s">
        <v>1611</v>
      </c>
      <c r="H96" s="334" t="s">
        <v>1542</v>
      </c>
      <c r="I96" s="335" t="s">
        <v>1394</v>
      </c>
      <c r="J96" s="328">
        <v>10</v>
      </c>
      <c r="K96" s="335" t="str">
        <f>VLOOKUP(J96,Ruimtegroepen[],2,FALSE)</f>
        <v>Trappenhuizen/lift</v>
      </c>
      <c r="L96" s="212" t="s">
        <v>122</v>
      </c>
      <c r="M96" s="334" t="s">
        <v>143</v>
      </c>
      <c r="N96" s="337">
        <v>23</v>
      </c>
      <c r="O96" s="331"/>
      <c r="P96" s="332" t="str">
        <f>VLOOKUP(Ruimtestaat[[#This Row],[Ruimte code]],Ruimtegroepen[],4,FALSE)</f>
        <v>V  (Verkeersruimte)</v>
      </c>
      <c r="Q96" s="332"/>
      <c r="R96" s="333">
        <v>40</v>
      </c>
      <c r="S96" s="333" t="s">
        <v>2</v>
      </c>
      <c r="T96" s="37"/>
      <c r="U96" s="37">
        <f>IF(R96&gt;0,IF(RIGHT(Ruimtestaat[[#This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6" s="37">
        <f>IF(U96&gt;0,VLOOKUP($J96,Ruimtegroepen[],3,FALSE)*VLOOKUP($L96,Vloersoorten[],3,FALSE)*VLOOKUP($S96,Frequenties[],3,FALSE)*VLOOKUP($A96,Locaties[],3,FALSE),0)</f>
        <v>0</v>
      </c>
      <c r="W96" s="37">
        <f>Ruimtestaat[[#This Row],[Uitvoeringen werkdagen]]*Ruimtestaat[[#This Row],[Oppervlak (netto)]]</f>
        <v>4600</v>
      </c>
      <c r="X96" s="37">
        <f>IF(V96&gt;0,Ruimtestaat[[#This Row],[Prest. (m2 /jaar) werkdagen]]/Ruimtestaat[[#This Row],[Norm (m2/uur) werkdagen]],0)</f>
        <v>0</v>
      </c>
      <c r="Y96" s="37">
        <f>Ruimtestaat[[#This Row],[uren / jaar werkdagen]]*Tariefsopbouw!$D$38</f>
        <v>0</v>
      </c>
      <c r="Z96" s="37">
        <f>IF(Ruimtestaat[[#This Row],[Frequentie weekend]]&gt;0,VALUE(LEFT(T96,1))*R96,0)</f>
        <v>0</v>
      </c>
      <c r="AA96" s="37">
        <f>IF($Z96&gt;0,VLOOKUP($J96,Ruimtegroepen[],3,FALSE)*VLOOKUP($L96,Vloersoorten[],3,FALSE)*VLOOKUP($T96,Frequenties[],3,FALSE)*VLOOKUP($A96,Locaties[],3,FALSE),0)</f>
        <v>0</v>
      </c>
      <c r="AB96" s="37">
        <f>Ruimtestaat[[#This Row],[Uitvoeringen weekend]]*Ruimtestaat[[#This Row],[Oppervlak (netto)]]</f>
        <v>0</v>
      </c>
      <c r="AC96" s="37">
        <f>IF(AA96&gt;0,Ruimtestaat[[#This Row],[Prest. (m2 /jaar) weekend]]/Ruimtestaat[[#This Row],[Norm (m2/uur) weekend]],0)</f>
        <v>0</v>
      </c>
      <c r="AD96" s="37">
        <f>Ruimtestaat[[#This Row],[uren / jaar weekend]]*Tariefsopbouw!$D$40</f>
        <v>0</v>
      </c>
      <c r="AE96" s="89">
        <f>Ruimtestaat[[#This Row],[Prest. (m2 /jaar) weekend]]+Ruimtestaat[[#This Row],[Prest. (m2 /jaar) werkdagen]]</f>
        <v>4600</v>
      </c>
      <c r="AF96" s="89">
        <f>Ruimtestaat[[#This Row],[uren / jaar weekend]]+Ruimtestaat[[#This Row],[uren / jaar werkdagen]]</f>
        <v>0</v>
      </c>
      <c r="AG96" s="90">
        <f>Ruimtestaat[[#This Row],[kosten / jaar weekend]]+Ruimtestaat[[#This Row],[kosten / jaar werkdagen]]</f>
        <v>0</v>
      </c>
      <c r="AH96" s="253"/>
      <c r="AI96" s="252" t="str">
        <f>IF(Ruimtestaat[[#This Row],[Frequentie werkdagen]]="","",_xlfn.CONCAT(Ruimtestaat[[#This Row],[Ruimte code]],"-",Ruimtestaat[[#This Row],[Frequentie werkdagen]]," ",Ruimtestaat[[#This Row],[Vloer code]]))</f>
        <v>10-5w S</v>
      </c>
      <c r="AJ96" s="247" t="str">
        <f>_xlfn.IFNA(VLOOKUP(Ruimtestaat[[#This Row],[Programmacode
Regulier]],Programma!$F$4:$Y$36148,2,0),"_")</f>
        <v>_</v>
      </c>
      <c r="AK96" s="247" t="str">
        <f>_xlfn.IFNA(VLOOKUP(Ruimtestaat[[#This Row],[Programmacode
Regulier]],Programma!$F$4:$Y$36148,3,0),"_")</f>
        <v>5w</v>
      </c>
      <c r="AL96" s="247" t="str">
        <f>_xlfn.IFNA(VLOOKUP(Ruimtestaat[[#This Row],[Programmacode
Regulier]],Programma!$F$4:$Y$36148,4,0),"_")</f>
        <v>_</v>
      </c>
      <c r="AM96" s="247" t="str">
        <f>_xlfn.IFNA(VLOOKUP(Ruimtestaat[[#This Row],[Programmacode
Regulier]],Programma!$F$4:$Y$36148,5,0),"_")</f>
        <v>5w</v>
      </c>
      <c r="AN96" s="247" t="str">
        <f>_xlfn.IFNA(VLOOKUP(Ruimtestaat[[#This Row],[Programmacode
Regulier]],Programma!$F$4:$Y$36148,6,0),"_")</f>
        <v>1m</v>
      </c>
      <c r="AO96" s="247" t="str">
        <f>_xlfn.IFNA(VLOOKUP(Ruimtestaat[[#This Row],[Programmacode
Regulier]],Programma!$F$4:$Y$36148,7,0),"_")</f>
        <v>_</v>
      </c>
      <c r="AP96" s="247" t="str">
        <f>_xlfn.IFNA(VLOOKUP(Ruimtestaat[[#This Row],[Programmacode
Regulier]],Programma!$F$4:$Y$36148,8,0),"_")</f>
        <v>_</v>
      </c>
      <c r="AQ96" s="247" t="str">
        <f>_xlfn.IFNA(VLOOKUP(Ruimtestaat[[#This Row],[Programmacode
Regulier]],Programma!$F$4:$Y$36148,9,0),"_")</f>
        <v>_</v>
      </c>
      <c r="AR96" s="248" t="str">
        <f>_xlfn.IFNA(VLOOKUP(Ruimtestaat[[#This Row],[Programmacode
Regulier]],Programma!$F$4:$Y$36148,10,0),"_")</f>
        <v>5w</v>
      </c>
      <c r="AS96" s="248" t="str">
        <f>_xlfn.IFNA(VLOOKUP(Ruimtestaat[[#This Row],[Programmacode
Regulier]],Programma!$F$4:$Y$36148,11,0),"_")</f>
        <v>5w</v>
      </c>
      <c r="AT96" s="248" t="str">
        <f>_xlfn.IFNA(VLOOKUP(Ruimtestaat[[#This Row],[Programmacode
Regulier]],Programma!$F$4:$Y$36148,12,0),"_")</f>
        <v>1w</v>
      </c>
      <c r="AU96" s="248" t="str">
        <f>_xlfn.IFNA(VLOOKUP(Ruimtestaat[[#This Row],[Programmacode
Regulier]],Programma!$F$4:$Y$36148,13,0),"_")</f>
        <v>1w</v>
      </c>
      <c r="AV96" s="248" t="str">
        <f>_xlfn.IFNA(VLOOKUP(Ruimtestaat[[#This Row],[Programmacode
Regulier]],Programma!$F$4:$Y$36148,14,0),"_")</f>
        <v>1m</v>
      </c>
      <c r="AW96" s="248" t="str">
        <f>_xlfn.IFNA(VLOOKUP(Ruimtestaat[[#This Row],[Programmacode
Regulier]],Programma!$F$4:$Y$36148,15,0),"_")</f>
        <v>2j</v>
      </c>
      <c r="AX96" s="248" t="str">
        <f>_xlfn.IFNA(VLOOKUP(Ruimtestaat[[#This Row],[Programmacode
Regulier]],Programma!$F$4:$Y$36148,16,0),"_")</f>
        <v>1j</v>
      </c>
      <c r="AY96" s="248" t="str">
        <f>_xlfn.IFNA(VLOOKUP(Ruimtestaat[[#This Row],[Programmacode
Regulier]],Programma!$F$4:$Y$36148,17,0),"_")</f>
        <v>_</v>
      </c>
      <c r="AZ96" s="249" t="str">
        <f>_xlfn.IFNA(VLOOKUP(Ruimtestaat[[#This Row],[Programmacode
Regulier]],Programma!$F$4:$Y$36148,18,0),"_")</f>
        <v>_</v>
      </c>
      <c r="BA96" s="249" t="str">
        <f>_xlfn.IFNA(VLOOKUP(Ruimtestaat[[#This Row],[Programmacode
Regulier]],Programma!$F$4:$Y$36148,19,0),"_")</f>
        <v>_</v>
      </c>
      <c r="BB96" s="249" t="str">
        <f>_xlfn.IFNA(VLOOKUP(Ruimtestaat[[#This Row],[Programmacode
Regulier]],Programma!$F$4:$Y$36148,20,0),"_")</f>
        <v>_</v>
      </c>
      <c r="BC96" s="250"/>
      <c r="BD96" s="212" t="str">
        <f>IF(Ruimtestaat[[#This Row],[Frequentie weekend]]="","",_xlfn.CONCAT(Ruimtestaat[[#This Row],[Ruimte code]],"-",Ruimtestaat[[#This Row],[Frequentie weekend]]," ",Ruimtestaat[[#This Row],[Vloer code]]))</f>
        <v/>
      </c>
      <c r="BE96" s="247" t="str">
        <f>_xlfn.IFNA(VLOOKUP(Ruimtestaat[[#This Row],[Code Weekend]],Programma!$F$4:$Y$36148,2,0),"_")</f>
        <v>_</v>
      </c>
      <c r="BF96" s="247" t="str">
        <f>_xlfn.IFNA(VLOOKUP(Ruimtestaat[[#This Row],[Code Weekend]],Programma!$F$4:$Y$36148,3,0),"_")</f>
        <v>_</v>
      </c>
      <c r="BG96" s="247" t="str">
        <f>_xlfn.IFNA(VLOOKUP(Ruimtestaat[[#This Row],[Code Weekend]],Programma!$F$4:$Y$36148,4,0),"_")</f>
        <v>_</v>
      </c>
      <c r="BH96" s="247" t="str">
        <f>_xlfn.IFNA(VLOOKUP(Ruimtestaat[[#This Row],[Code Weekend]],Programma!$F$4:$Y$36148,5,0),"_")</f>
        <v>_</v>
      </c>
      <c r="BI96" s="247" t="str">
        <f>_xlfn.IFNA(VLOOKUP(Ruimtestaat[[#This Row],[Code Weekend]],Programma!$F$4:$Y$36148,6,0),"_")</f>
        <v>_</v>
      </c>
      <c r="BJ96" s="247" t="str">
        <f>_xlfn.IFNA(VLOOKUP(Ruimtestaat[[#This Row],[Code Weekend]],Programma!$F$4:$Y$36148,7,0),"_")</f>
        <v>_</v>
      </c>
      <c r="BK96" s="247" t="str">
        <f>_xlfn.IFNA(VLOOKUP(Ruimtestaat[[#This Row],[Code Weekend]],Programma!$F$4:$Y$36148,8,0),"_")</f>
        <v>_</v>
      </c>
      <c r="BL96" s="247" t="str">
        <f>_xlfn.IFNA(VLOOKUP(Ruimtestaat[[#This Row],[Code Weekend]],Programma!$F$4:$Y$36148,9,0),"_")</f>
        <v>_</v>
      </c>
      <c r="BM96" s="248" t="str">
        <f>_xlfn.IFNA(VLOOKUP(Ruimtestaat[[#This Row],[Code Weekend]],Programma!$F$4:$Y$36148,10,0),"_")</f>
        <v>_</v>
      </c>
      <c r="BN96" s="248" t="str">
        <f>_xlfn.IFNA(VLOOKUP(Ruimtestaat[[#This Row],[Code Weekend]],Programma!$F$4:$Y$36148,11,0),"_")</f>
        <v>_</v>
      </c>
      <c r="BO96" s="248" t="str">
        <f>_xlfn.IFNA(VLOOKUP(Ruimtestaat[[#This Row],[Code Weekend]],Programma!$F$4:$Y$36148,12,0),"_")</f>
        <v>_</v>
      </c>
      <c r="BP96" s="248" t="str">
        <f>_xlfn.IFNA(VLOOKUP(Ruimtestaat[[#This Row],[Code Weekend]],Programma!$F$4:$Y$36148,13,0),"_")</f>
        <v>_</v>
      </c>
      <c r="BQ96" s="248" t="str">
        <f>_xlfn.IFNA(VLOOKUP(Ruimtestaat[[#This Row],[Code Weekend]],Programma!$F$4:$Y$36148,14,0),"_")</f>
        <v>_</v>
      </c>
      <c r="BR96" s="248" t="str">
        <f>_xlfn.IFNA(VLOOKUP(Ruimtestaat[[#This Row],[Code Weekend]],Programma!$F$4:$Y$36148,15,0),"_")</f>
        <v>_</v>
      </c>
      <c r="BS96" s="248" t="str">
        <f>_xlfn.IFNA(VLOOKUP(Ruimtestaat[[#This Row],[Code Weekend]],Programma!$F$4:$Y$36148,16,0),"_")</f>
        <v>_</v>
      </c>
      <c r="BT96" s="248" t="str">
        <f>_xlfn.IFNA(VLOOKUP(Ruimtestaat[[#This Row],[Code Weekend]],Programma!$F$4:$Y$36148,17,0),"_")</f>
        <v>_</v>
      </c>
      <c r="BU96" s="249" t="str">
        <f>_xlfn.IFNA(VLOOKUP(Ruimtestaat[[#This Row],[Code Weekend]],Programma!$F$4:$Y$36148,18,0),"_")</f>
        <v>_</v>
      </c>
      <c r="BV96" s="249" t="str">
        <f>_xlfn.IFNA(VLOOKUP(Ruimtestaat[[#This Row],[Code Weekend]],Programma!$F$4:$Y$36148,19,0),"_")</f>
        <v>_</v>
      </c>
      <c r="BW96" s="249" t="str">
        <f>_xlfn.IFNA(VLOOKUP(Ruimtestaat[[#This Row],[Code Weekend]],Programma!$F$4:$Y$36148,20,0),"_")</f>
        <v>_</v>
      </c>
      <c r="HK96" s="88"/>
    </row>
    <row r="97" spans="1:219" ht="12.75" customHeight="1">
      <c r="A97" s="131">
        <v>1</v>
      </c>
      <c r="B97" s="22" t="str">
        <f>VLOOKUP(Ruimtestaat[[#This Row],[Code]],Locaties[#All],2,FALSE)</f>
        <v>ESH Secondary School</v>
      </c>
      <c r="C97" s="22" t="str">
        <f>VLOOKUP(Ruimtestaat[[#This Row],[Code]],Locaties[#All],4,FALSE)</f>
        <v>Oostduinlaan 50</v>
      </c>
      <c r="D97" s="334" t="str">
        <f>VLOOKUP(Ruimtestaat[[#This Row],[Code]],Locaties[#All],5,FALSE)</f>
        <v>2596 JP</v>
      </c>
      <c r="E97" s="334" t="str">
        <f>VLOOKUP(Ruimtestaat[[#This Row],[Code]],Locaties[#All],6,FALSE)</f>
        <v>Den Haag</v>
      </c>
      <c r="F97" s="335"/>
      <c r="G97" s="334" t="s">
        <v>1611</v>
      </c>
      <c r="H97" s="334" t="s">
        <v>1543</v>
      </c>
      <c r="I97" s="335" t="s">
        <v>1396</v>
      </c>
      <c r="J97" s="328">
        <v>21</v>
      </c>
      <c r="K97" s="335" t="str">
        <f>VLOOKUP(J97,Ruimtegroepen[],2,FALSE)</f>
        <v>Niet in onderhoud</v>
      </c>
      <c r="L97" s="334"/>
      <c r="M97" s="334"/>
      <c r="N97" s="337"/>
      <c r="O97" s="331">
        <v>4</v>
      </c>
      <c r="P97" s="332" t="str">
        <f>VLOOKUP(Ruimtestaat[[#This Row],[Ruimte code]],Ruimtegroepen[],4,FALSE)</f>
        <v>NIO</v>
      </c>
      <c r="Q97" s="332"/>
      <c r="R97" s="333"/>
      <c r="S97" s="333"/>
      <c r="T97" s="37"/>
      <c r="U97" s="37">
        <f>IF(R97&gt;0,IF(RIGHT(Ruimtestaat[[#This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97" s="37">
        <f>IF(U97&gt;0,VLOOKUP($J97,Ruimtegroepen[],3,FALSE)*VLOOKUP($L97,Vloersoorten[],3,FALSE)*VLOOKUP($S97,Frequenties[],3,FALSE)*VLOOKUP($A97,Locaties[],3,FALSE),0)</f>
        <v>0</v>
      </c>
      <c r="W97" s="37">
        <f>Ruimtestaat[[#This Row],[Uitvoeringen werkdagen]]*Ruimtestaat[[#This Row],[Oppervlak (netto)]]</f>
        <v>0</v>
      </c>
      <c r="X97" s="37">
        <f>IF(V97&gt;0,Ruimtestaat[[#This Row],[Prest. (m2 /jaar) werkdagen]]/Ruimtestaat[[#This Row],[Norm (m2/uur) werkdagen]],0)</f>
        <v>0</v>
      </c>
      <c r="Y97" s="37">
        <f>Ruimtestaat[[#This Row],[uren / jaar werkdagen]]*Tariefsopbouw!$D$38</f>
        <v>0</v>
      </c>
      <c r="Z97" s="37">
        <f>IF(Ruimtestaat[[#This Row],[Frequentie weekend]]&gt;0,VALUE(LEFT(T97,1))*R97,0)</f>
        <v>0</v>
      </c>
      <c r="AA97" s="37">
        <f>IF($Z97&gt;0,VLOOKUP($J97,Ruimtegroepen[],3,FALSE)*VLOOKUP($L97,Vloersoorten[],3,FALSE)*VLOOKUP($T97,Frequenties[],3,FALSE)*VLOOKUP($A97,Locaties[],3,FALSE),0)</f>
        <v>0</v>
      </c>
      <c r="AB97" s="37">
        <f>Ruimtestaat[[#This Row],[Uitvoeringen weekend]]*Ruimtestaat[[#This Row],[Oppervlak (netto)]]</f>
        <v>0</v>
      </c>
      <c r="AC97" s="37">
        <f>IF(AA97&gt;0,Ruimtestaat[[#This Row],[Prest. (m2 /jaar) weekend]]/Ruimtestaat[[#This Row],[Norm (m2/uur) weekend]],0)</f>
        <v>0</v>
      </c>
      <c r="AD97" s="37">
        <f>Ruimtestaat[[#This Row],[uren / jaar weekend]]*Tariefsopbouw!$D$40</f>
        <v>0</v>
      </c>
      <c r="AE97" s="89">
        <f>Ruimtestaat[[#This Row],[Prest. (m2 /jaar) weekend]]+Ruimtestaat[[#This Row],[Prest. (m2 /jaar) werkdagen]]</f>
        <v>0</v>
      </c>
      <c r="AF97" s="89">
        <f>Ruimtestaat[[#This Row],[uren / jaar weekend]]+Ruimtestaat[[#This Row],[uren / jaar werkdagen]]</f>
        <v>0</v>
      </c>
      <c r="AG97" s="90">
        <f>Ruimtestaat[[#This Row],[kosten / jaar weekend]]+Ruimtestaat[[#This Row],[kosten / jaar werkdagen]]</f>
        <v>0</v>
      </c>
      <c r="AH97" s="253"/>
      <c r="AI97" s="252" t="str">
        <f>IF(Ruimtestaat[[#This Row],[Frequentie werkdagen]]="","",_xlfn.CONCAT(Ruimtestaat[[#This Row],[Ruimte code]],"-",Ruimtestaat[[#This Row],[Frequentie werkdagen]]," ",Ruimtestaat[[#This Row],[Vloer code]]))</f>
        <v/>
      </c>
      <c r="AJ97" s="247" t="str">
        <f>_xlfn.IFNA(VLOOKUP(Ruimtestaat[[#This Row],[Programmacode
Regulier]],Programma!$F$4:$Y$36148,2,0),"_")</f>
        <v>_</v>
      </c>
      <c r="AK97" s="247" t="str">
        <f>_xlfn.IFNA(VLOOKUP(Ruimtestaat[[#This Row],[Programmacode
Regulier]],Programma!$F$4:$Y$36148,3,0),"_")</f>
        <v>_</v>
      </c>
      <c r="AL97" s="247" t="str">
        <f>_xlfn.IFNA(VLOOKUP(Ruimtestaat[[#This Row],[Programmacode
Regulier]],Programma!$F$4:$Y$36148,4,0),"_")</f>
        <v>_</v>
      </c>
      <c r="AM97" s="247" t="str">
        <f>_xlfn.IFNA(VLOOKUP(Ruimtestaat[[#This Row],[Programmacode
Regulier]],Programma!$F$4:$Y$36148,5,0),"_")</f>
        <v>_</v>
      </c>
      <c r="AN97" s="247" t="str">
        <f>_xlfn.IFNA(VLOOKUP(Ruimtestaat[[#This Row],[Programmacode
Regulier]],Programma!$F$4:$Y$36148,6,0),"_")</f>
        <v>_</v>
      </c>
      <c r="AO97" s="247" t="str">
        <f>_xlfn.IFNA(VLOOKUP(Ruimtestaat[[#This Row],[Programmacode
Regulier]],Programma!$F$4:$Y$36148,7,0),"_")</f>
        <v>_</v>
      </c>
      <c r="AP97" s="247" t="str">
        <f>_xlfn.IFNA(VLOOKUP(Ruimtestaat[[#This Row],[Programmacode
Regulier]],Programma!$F$4:$Y$36148,8,0),"_")</f>
        <v>_</v>
      </c>
      <c r="AQ97" s="247" t="str">
        <f>_xlfn.IFNA(VLOOKUP(Ruimtestaat[[#This Row],[Programmacode
Regulier]],Programma!$F$4:$Y$36148,9,0),"_")</f>
        <v>_</v>
      </c>
      <c r="AR97" s="248" t="str">
        <f>_xlfn.IFNA(VLOOKUP(Ruimtestaat[[#This Row],[Programmacode
Regulier]],Programma!$F$4:$Y$36148,10,0),"_")</f>
        <v>_</v>
      </c>
      <c r="AS97" s="248" t="str">
        <f>_xlfn.IFNA(VLOOKUP(Ruimtestaat[[#This Row],[Programmacode
Regulier]],Programma!$F$4:$Y$36148,11,0),"_")</f>
        <v>_</v>
      </c>
      <c r="AT97" s="248" t="str">
        <f>_xlfn.IFNA(VLOOKUP(Ruimtestaat[[#This Row],[Programmacode
Regulier]],Programma!$F$4:$Y$36148,12,0),"_")</f>
        <v>_</v>
      </c>
      <c r="AU97" s="248" t="str">
        <f>_xlfn.IFNA(VLOOKUP(Ruimtestaat[[#This Row],[Programmacode
Regulier]],Programma!$F$4:$Y$36148,13,0),"_")</f>
        <v>_</v>
      </c>
      <c r="AV97" s="248" t="str">
        <f>_xlfn.IFNA(VLOOKUP(Ruimtestaat[[#This Row],[Programmacode
Regulier]],Programma!$F$4:$Y$36148,14,0),"_")</f>
        <v>_</v>
      </c>
      <c r="AW97" s="248" t="str">
        <f>_xlfn.IFNA(VLOOKUP(Ruimtestaat[[#This Row],[Programmacode
Regulier]],Programma!$F$4:$Y$36148,15,0),"_")</f>
        <v>_</v>
      </c>
      <c r="AX97" s="248" t="str">
        <f>_xlfn.IFNA(VLOOKUP(Ruimtestaat[[#This Row],[Programmacode
Regulier]],Programma!$F$4:$Y$36148,16,0),"_")</f>
        <v>_</v>
      </c>
      <c r="AY97" s="248" t="str">
        <f>_xlfn.IFNA(VLOOKUP(Ruimtestaat[[#This Row],[Programmacode
Regulier]],Programma!$F$4:$Y$36148,17,0),"_")</f>
        <v>_</v>
      </c>
      <c r="AZ97" s="249" t="str">
        <f>_xlfn.IFNA(VLOOKUP(Ruimtestaat[[#This Row],[Programmacode
Regulier]],Programma!$F$4:$Y$36148,18,0),"_")</f>
        <v>_</v>
      </c>
      <c r="BA97" s="249" t="str">
        <f>_xlfn.IFNA(VLOOKUP(Ruimtestaat[[#This Row],[Programmacode
Regulier]],Programma!$F$4:$Y$36148,19,0),"_")</f>
        <v>_</v>
      </c>
      <c r="BB97" s="249" t="str">
        <f>_xlfn.IFNA(VLOOKUP(Ruimtestaat[[#This Row],[Programmacode
Regulier]],Programma!$F$4:$Y$36148,20,0),"_")</f>
        <v>_</v>
      </c>
      <c r="BC97" s="250"/>
      <c r="BD97" s="212" t="str">
        <f>IF(Ruimtestaat[[#This Row],[Frequentie weekend]]="","",_xlfn.CONCAT(Ruimtestaat[[#This Row],[Ruimte code]],"-",Ruimtestaat[[#This Row],[Frequentie weekend]]," ",Ruimtestaat[[#This Row],[Vloer code]]))</f>
        <v/>
      </c>
      <c r="BE97" s="247" t="str">
        <f>_xlfn.IFNA(VLOOKUP(Ruimtestaat[[#This Row],[Code Weekend]],Programma!$F$4:$Y$36148,2,0),"_")</f>
        <v>_</v>
      </c>
      <c r="BF97" s="247" t="str">
        <f>_xlfn.IFNA(VLOOKUP(Ruimtestaat[[#This Row],[Code Weekend]],Programma!$F$4:$Y$36148,3,0),"_")</f>
        <v>_</v>
      </c>
      <c r="BG97" s="247" t="str">
        <f>_xlfn.IFNA(VLOOKUP(Ruimtestaat[[#This Row],[Code Weekend]],Programma!$F$4:$Y$36148,4,0),"_")</f>
        <v>_</v>
      </c>
      <c r="BH97" s="247" t="str">
        <f>_xlfn.IFNA(VLOOKUP(Ruimtestaat[[#This Row],[Code Weekend]],Programma!$F$4:$Y$36148,5,0),"_")</f>
        <v>_</v>
      </c>
      <c r="BI97" s="247" t="str">
        <f>_xlfn.IFNA(VLOOKUP(Ruimtestaat[[#This Row],[Code Weekend]],Programma!$F$4:$Y$36148,6,0),"_")</f>
        <v>_</v>
      </c>
      <c r="BJ97" s="247" t="str">
        <f>_xlfn.IFNA(VLOOKUP(Ruimtestaat[[#This Row],[Code Weekend]],Programma!$F$4:$Y$36148,7,0),"_")</f>
        <v>_</v>
      </c>
      <c r="BK97" s="247" t="str">
        <f>_xlfn.IFNA(VLOOKUP(Ruimtestaat[[#This Row],[Code Weekend]],Programma!$F$4:$Y$36148,8,0),"_")</f>
        <v>_</v>
      </c>
      <c r="BL97" s="247" t="str">
        <f>_xlfn.IFNA(VLOOKUP(Ruimtestaat[[#This Row],[Code Weekend]],Programma!$F$4:$Y$36148,9,0),"_")</f>
        <v>_</v>
      </c>
      <c r="BM97" s="248" t="str">
        <f>_xlfn.IFNA(VLOOKUP(Ruimtestaat[[#This Row],[Code Weekend]],Programma!$F$4:$Y$36148,10,0),"_")</f>
        <v>_</v>
      </c>
      <c r="BN97" s="248" t="str">
        <f>_xlfn.IFNA(VLOOKUP(Ruimtestaat[[#This Row],[Code Weekend]],Programma!$F$4:$Y$36148,11,0),"_")</f>
        <v>_</v>
      </c>
      <c r="BO97" s="248" t="str">
        <f>_xlfn.IFNA(VLOOKUP(Ruimtestaat[[#This Row],[Code Weekend]],Programma!$F$4:$Y$36148,12,0),"_")</f>
        <v>_</v>
      </c>
      <c r="BP97" s="248" t="str">
        <f>_xlfn.IFNA(VLOOKUP(Ruimtestaat[[#This Row],[Code Weekend]],Programma!$F$4:$Y$36148,13,0),"_")</f>
        <v>_</v>
      </c>
      <c r="BQ97" s="248" t="str">
        <f>_xlfn.IFNA(VLOOKUP(Ruimtestaat[[#This Row],[Code Weekend]],Programma!$F$4:$Y$36148,14,0),"_")</f>
        <v>_</v>
      </c>
      <c r="BR97" s="248" t="str">
        <f>_xlfn.IFNA(VLOOKUP(Ruimtestaat[[#This Row],[Code Weekend]],Programma!$F$4:$Y$36148,15,0),"_")</f>
        <v>_</v>
      </c>
      <c r="BS97" s="248" t="str">
        <f>_xlfn.IFNA(VLOOKUP(Ruimtestaat[[#This Row],[Code Weekend]],Programma!$F$4:$Y$36148,16,0),"_")</f>
        <v>_</v>
      </c>
      <c r="BT97" s="248" t="str">
        <f>_xlfn.IFNA(VLOOKUP(Ruimtestaat[[#This Row],[Code Weekend]],Programma!$F$4:$Y$36148,17,0),"_")</f>
        <v>_</v>
      </c>
      <c r="BU97" s="249" t="str">
        <f>_xlfn.IFNA(VLOOKUP(Ruimtestaat[[#This Row],[Code Weekend]],Programma!$F$4:$Y$36148,18,0),"_")</f>
        <v>_</v>
      </c>
      <c r="BV97" s="249" t="str">
        <f>_xlfn.IFNA(VLOOKUP(Ruimtestaat[[#This Row],[Code Weekend]],Programma!$F$4:$Y$36148,19,0),"_")</f>
        <v>_</v>
      </c>
      <c r="BW97" s="249" t="str">
        <f>_xlfn.IFNA(VLOOKUP(Ruimtestaat[[#This Row],[Code Weekend]],Programma!$F$4:$Y$36148,20,0),"_")</f>
        <v>_</v>
      </c>
      <c r="HK97" s="88"/>
    </row>
    <row r="98" spans="1:219" ht="12.75" customHeight="1">
      <c r="A98" s="131">
        <v>1</v>
      </c>
      <c r="B98" s="22" t="str">
        <f>VLOOKUP(Ruimtestaat[[#This Row],[Code]],Locaties[#All],2,FALSE)</f>
        <v>ESH Secondary School</v>
      </c>
      <c r="C98" s="22" t="str">
        <f>VLOOKUP(Ruimtestaat[[#This Row],[Code]],Locaties[#All],4,FALSE)</f>
        <v>Oostduinlaan 50</v>
      </c>
      <c r="D98" s="334" t="str">
        <f>VLOOKUP(Ruimtestaat[[#This Row],[Code]],Locaties[#All],5,FALSE)</f>
        <v>2596 JP</v>
      </c>
      <c r="E98" s="334" t="str">
        <f>VLOOKUP(Ruimtestaat[[#This Row],[Code]],Locaties[#All],6,FALSE)</f>
        <v>Den Haag</v>
      </c>
      <c r="F98" s="335"/>
      <c r="G98" s="334" t="s">
        <v>1611</v>
      </c>
      <c r="H98" s="334" t="s">
        <v>1544</v>
      </c>
      <c r="I98" s="335" t="s">
        <v>1513</v>
      </c>
      <c r="J98" s="333">
        <v>16</v>
      </c>
      <c r="K98" s="335" t="str">
        <f>VLOOKUP(J98,Ruimtegroepen[],2,FALSE)</f>
        <v>Leslokalen</v>
      </c>
      <c r="L98" s="212" t="s">
        <v>123</v>
      </c>
      <c r="M98" s="334" t="s">
        <v>144</v>
      </c>
      <c r="N98" s="337">
        <v>51</v>
      </c>
      <c r="O98" s="331"/>
      <c r="P98" s="332" t="str">
        <f>VLOOKUP(Ruimtestaat[[#This Row],[Ruimte code]],Ruimtegroepen[],4,FALSE)</f>
        <v>L  (Lesruimte)</v>
      </c>
      <c r="Q98" s="332"/>
      <c r="R98" s="333">
        <v>40</v>
      </c>
      <c r="S98" s="333" t="s">
        <v>2</v>
      </c>
      <c r="T98" s="37"/>
      <c r="U98" s="37">
        <f>IF(R98&gt;0,IF(RIGHT(Ruimtestaat[[#This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8" s="37">
        <f>IF(U98&gt;0,VLOOKUP($J98,Ruimtegroepen[],3,FALSE)*VLOOKUP($L98,Vloersoorten[],3,FALSE)*VLOOKUP($S98,Frequenties[],3,FALSE)*VLOOKUP($A98,Locaties[],3,FALSE),0)</f>
        <v>0</v>
      </c>
      <c r="W98" s="37">
        <f>Ruimtestaat[[#This Row],[Uitvoeringen werkdagen]]*Ruimtestaat[[#This Row],[Oppervlak (netto)]]</f>
        <v>10200</v>
      </c>
      <c r="X98" s="37">
        <f>IF(V98&gt;0,Ruimtestaat[[#This Row],[Prest. (m2 /jaar) werkdagen]]/Ruimtestaat[[#This Row],[Norm (m2/uur) werkdagen]],0)</f>
        <v>0</v>
      </c>
      <c r="Y98" s="37">
        <f>Ruimtestaat[[#This Row],[uren / jaar werkdagen]]*Tariefsopbouw!$D$38</f>
        <v>0</v>
      </c>
      <c r="Z98" s="37">
        <f>IF(Ruimtestaat[[#This Row],[Frequentie weekend]]&gt;0,VALUE(LEFT(T98,1))*R98,0)</f>
        <v>0</v>
      </c>
      <c r="AA98" s="37">
        <f>IF($Z98&gt;0,VLOOKUP($J98,Ruimtegroepen[],3,FALSE)*VLOOKUP($L98,Vloersoorten[],3,FALSE)*VLOOKUP($T98,Frequenties[],3,FALSE)*VLOOKUP($A98,Locaties[],3,FALSE),0)</f>
        <v>0</v>
      </c>
      <c r="AB98" s="37">
        <f>Ruimtestaat[[#This Row],[Uitvoeringen weekend]]*Ruimtestaat[[#This Row],[Oppervlak (netto)]]</f>
        <v>0</v>
      </c>
      <c r="AC98" s="37">
        <f>IF(AA98&gt;0,Ruimtestaat[[#This Row],[Prest. (m2 /jaar) weekend]]/Ruimtestaat[[#This Row],[Norm (m2/uur) weekend]],0)</f>
        <v>0</v>
      </c>
      <c r="AD98" s="37">
        <f>Ruimtestaat[[#This Row],[uren / jaar weekend]]*Tariefsopbouw!$D$40</f>
        <v>0</v>
      </c>
      <c r="AE98" s="89">
        <f>Ruimtestaat[[#This Row],[Prest. (m2 /jaar) weekend]]+Ruimtestaat[[#This Row],[Prest. (m2 /jaar) werkdagen]]</f>
        <v>10200</v>
      </c>
      <c r="AF98" s="89">
        <f>Ruimtestaat[[#This Row],[uren / jaar weekend]]+Ruimtestaat[[#This Row],[uren / jaar werkdagen]]</f>
        <v>0</v>
      </c>
      <c r="AG98" s="90">
        <f>Ruimtestaat[[#This Row],[kosten / jaar weekend]]+Ruimtestaat[[#This Row],[kosten / jaar werkdagen]]</f>
        <v>0</v>
      </c>
      <c r="AH98" s="253"/>
      <c r="AI98" s="252" t="str">
        <f>IF(Ruimtestaat[[#This Row],[Frequentie werkdagen]]="","",_xlfn.CONCAT(Ruimtestaat[[#This Row],[Ruimte code]],"-",Ruimtestaat[[#This Row],[Frequentie werkdagen]]," ",Ruimtestaat[[#This Row],[Vloer code]]))</f>
        <v>16-5w P</v>
      </c>
      <c r="AJ98" s="247" t="str">
        <f>_xlfn.IFNA(VLOOKUP(Ruimtestaat[[#This Row],[Programmacode
Regulier]],Programma!$F$4:$Y$36148,2,0),"_")</f>
        <v>_</v>
      </c>
      <c r="AK98" s="247" t="str">
        <f>_xlfn.IFNA(VLOOKUP(Ruimtestaat[[#This Row],[Programmacode
Regulier]],Programma!$F$4:$Y$36148,3,0),"_")</f>
        <v>_</v>
      </c>
      <c r="AL98" s="247" t="str">
        <f>_xlfn.IFNA(VLOOKUP(Ruimtestaat[[#This Row],[Programmacode
Regulier]],Programma!$F$4:$Y$36148,4,0),"_")</f>
        <v>5w</v>
      </c>
      <c r="AM98" s="247" t="str">
        <f>_xlfn.IFNA(VLOOKUP(Ruimtestaat[[#This Row],[Programmacode
Regulier]],Programma!$F$4:$Y$36148,5,0),"_")</f>
        <v>1w</v>
      </c>
      <c r="AN98" s="247" t="str">
        <f>_xlfn.IFNA(VLOOKUP(Ruimtestaat[[#This Row],[Programmacode
Regulier]],Programma!$F$4:$Y$36148,6,0),"_")</f>
        <v>1m</v>
      </c>
      <c r="AO98" s="247" t="str">
        <f>_xlfn.IFNA(VLOOKUP(Ruimtestaat[[#This Row],[Programmacode
Regulier]],Programma!$F$4:$Y$36148,7,0),"_")</f>
        <v>_</v>
      </c>
      <c r="AP98" s="247" t="str">
        <f>_xlfn.IFNA(VLOOKUP(Ruimtestaat[[#This Row],[Programmacode
Regulier]],Programma!$F$4:$Y$36148,8,0),"_")</f>
        <v>_</v>
      </c>
      <c r="AQ98" s="247" t="str">
        <f>_xlfn.IFNA(VLOOKUP(Ruimtestaat[[#This Row],[Programmacode
Regulier]],Programma!$F$4:$Y$36148,9,0),"_")</f>
        <v>_</v>
      </c>
      <c r="AR98" s="248" t="str">
        <f>_xlfn.IFNA(VLOOKUP(Ruimtestaat[[#This Row],[Programmacode
Regulier]],Programma!$F$4:$Y$36148,10,0),"_")</f>
        <v>5w</v>
      </c>
      <c r="AS98" s="248" t="str">
        <f>_xlfn.IFNA(VLOOKUP(Ruimtestaat[[#This Row],[Programmacode
Regulier]],Programma!$F$4:$Y$36148,11,0),"_")</f>
        <v>5w</v>
      </c>
      <c r="AT98" s="248" t="str">
        <f>_xlfn.IFNA(VLOOKUP(Ruimtestaat[[#This Row],[Programmacode
Regulier]],Programma!$F$4:$Y$36148,12,0),"_")</f>
        <v>1w</v>
      </c>
      <c r="AU98" s="248" t="str">
        <f>_xlfn.IFNA(VLOOKUP(Ruimtestaat[[#This Row],[Programmacode
Regulier]],Programma!$F$4:$Y$36148,13,0),"_")</f>
        <v>1w</v>
      </c>
      <c r="AV98" s="248" t="str">
        <f>_xlfn.IFNA(VLOOKUP(Ruimtestaat[[#This Row],[Programmacode
Regulier]],Programma!$F$4:$Y$36148,14,0),"_")</f>
        <v>1m</v>
      </c>
      <c r="AW98" s="248" t="str">
        <f>_xlfn.IFNA(VLOOKUP(Ruimtestaat[[#This Row],[Programmacode
Regulier]],Programma!$F$4:$Y$36148,15,0),"_")</f>
        <v>2j</v>
      </c>
      <c r="AX98" s="248" t="str">
        <f>_xlfn.IFNA(VLOOKUP(Ruimtestaat[[#This Row],[Programmacode
Regulier]],Programma!$F$4:$Y$36148,16,0),"_")</f>
        <v>1j</v>
      </c>
      <c r="AY98" s="248" t="str">
        <f>_xlfn.IFNA(VLOOKUP(Ruimtestaat[[#This Row],[Programmacode
Regulier]],Programma!$F$4:$Y$36148,17,0),"_")</f>
        <v>_</v>
      </c>
      <c r="AZ98" s="249" t="str">
        <f>_xlfn.IFNA(VLOOKUP(Ruimtestaat[[#This Row],[Programmacode
Regulier]],Programma!$F$4:$Y$36148,18,0),"_")</f>
        <v>_</v>
      </c>
      <c r="BA98" s="249" t="str">
        <f>_xlfn.IFNA(VLOOKUP(Ruimtestaat[[#This Row],[Programmacode
Regulier]],Programma!$F$4:$Y$36148,19,0),"_")</f>
        <v>_</v>
      </c>
      <c r="BB98" s="249" t="str">
        <f>_xlfn.IFNA(VLOOKUP(Ruimtestaat[[#This Row],[Programmacode
Regulier]],Programma!$F$4:$Y$36148,20,0),"_")</f>
        <v>_</v>
      </c>
      <c r="BC98" s="250"/>
      <c r="BD98" s="212" t="str">
        <f>IF(Ruimtestaat[[#This Row],[Frequentie weekend]]="","",_xlfn.CONCAT(Ruimtestaat[[#This Row],[Ruimte code]],"-",Ruimtestaat[[#This Row],[Frequentie weekend]]," ",Ruimtestaat[[#This Row],[Vloer code]]))</f>
        <v/>
      </c>
      <c r="BE98" s="247" t="str">
        <f>_xlfn.IFNA(VLOOKUP(Ruimtestaat[[#This Row],[Code Weekend]],Programma!$F$4:$Y$36148,2,0),"_")</f>
        <v>_</v>
      </c>
      <c r="BF98" s="247" t="str">
        <f>_xlfn.IFNA(VLOOKUP(Ruimtestaat[[#This Row],[Code Weekend]],Programma!$F$4:$Y$36148,3,0),"_")</f>
        <v>_</v>
      </c>
      <c r="BG98" s="247" t="str">
        <f>_xlfn.IFNA(VLOOKUP(Ruimtestaat[[#This Row],[Code Weekend]],Programma!$F$4:$Y$36148,4,0),"_")</f>
        <v>_</v>
      </c>
      <c r="BH98" s="247" t="str">
        <f>_xlfn.IFNA(VLOOKUP(Ruimtestaat[[#This Row],[Code Weekend]],Programma!$F$4:$Y$36148,5,0),"_")</f>
        <v>_</v>
      </c>
      <c r="BI98" s="247" t="str">
        <f>_xlfn.IFNA(VLOOKUP(Ruimtestaat[[#This Row],[Code Weekend]],Programma!$F$4:$Y$36148,6,0),"_")</f>
        <v>_</v>
      </c>
      <c r="BJ98" s="247" t="str">
        <f>_xlfn.IFNA(VLOOKUP(Ruimtestaat[[#This Row],[Code Weekend]],Programma!$F$4:$Y$36148,7,0),"_")</f>
        <v>_</v>
      </c>
      <c r="BK98" s="247" t="str">
        <f>_xlfn.IFNA(VLOOKUP(Ruimtestaat[[#This Row],[Code Weekend]],Programma!$F$4:$Y$36148,8,0),"_")</f>
        <v>_</v>
      </c>
      <c r="BL98" s="247" t="str">
        <f>_xlfn.IFNA(VLOOKUP(Ruimtestaat[[#This Row],[Code Weekend]],Programma!$F$4:$Y$36148,9,0),"_")</f>
        <v>_</v>
      </c>
      <c r="BM98" s="248" t="str">
        <f>_xlfn.IFNA(VLOOKUP(Ruimtestaat[[#This Row],[Code Weekend]],Programma!$F$4:$Y$36148,10,0),"_")</f>
        <v>_</v>
      </c>
      <c r="BN98" s="248" t="str">
        <f>_xlfn.IFNA(VLOOKUP(Ruimtestaat[[#This Row],[Code Weekend]],Programma!$F$4:$Y$36148,11,0),"_")</f>
        <v>_</v>
      </c>
      <c r="BO98" s="248" t="str">
        <f>_xlfn.IFNA(VLOOKUP(Ruimtestaat[[#This Row],[Code Weekend]],Programma!$F$4:$Y$36148,12,0),"_")</f>
        <v>_</v>
      </c>
      <c r="BP98" s="248" t="str">
        <f>_xlfn.IFNA(VLOOKUP(Ruimtestaat[[#This Row],[Code Weekend]],Programma!$F$4:$Y$36148,13,0),"_")</f>
        <v>_</v>
      </c>
      <c r="BQ98" s="248" t="str">
        <f>_xlfn.IFNA(VLOOKUP(Ruimtestaat[[#This Row],[Code Weekend]],Programma!$F$4:$Y$36148,14,0),"_")</f>
        <v>_</v>
      </c>
      <c r="BR98" s="248" t="str">
        <f>_xlfn.IFNA(VLOOKUP(Ruimtestaat[[#This Row],[Code Weekend]],Programma!$F$4:$Y$36148,15,0),"_")</f>
        <v>_</v>
      </c>
      <c r="BS98" s="248" t="str">
        <f>_xlfn.IFNA(VLOOKUP(Ruimtestaat[[#This Row],[Code Weekend]],Programma!$F$4:$Y$36148,16,0),"_")</f>
        <v>_</v>
      </c>
      <c r="BT98" s="248" t="str">
        <f>_xlfn.IFNA(VLOOKUP(Ruimtestaat[[#This Row],[Code Weekend]],Programma!$F$4:$Y$36148,17,0),"_")</f>
        <v>_</v>
      </c>
      <c r="BU98" s="249" t="str">
        <f>_xlfn.IFNA(VLOOKUP(Ruimtestaat[[#This Row],[Code Weekend]],Programma!$F$4:$Y$36148,18,0),"_")</f>
        <v>_</v>
      </c>
      <c r="BV98" s="249" t="str">
        <f>_xlfn.IFNA(VLOOKUP(Ruimtestaat[[#This Row],[Code Weekend]],Programma!$F$4:$Y$36148,19,0),"_")</f>
        <v>_</v>
      </c>
      <c r="BW98" s="249" t="str">
        <f>_xlfn.IFNA(VLOOKUP(Ruimtestaat[[#This Row],[Code Weekend]],Programma!$F$4:$Y$36148,20,0),"_")</f>
        <v>_</v>
      </c>
      <c r="HK98" s="88"/>
    </row>
    <row r="99" spans="1:219" ht="12.75" customHeight="1">
      <c r="A99" s="131">
        <v>1</v>
      </c>
      <c r="B99" s="22" t="str">
        <f>VLOOKUP(Ruimtestaat[[#This Row],[Code]],Locaties[#All],2,FALSE)</f>
        <v>ESH Secondary School</v>
      </c>
      <c r="C99" s="22" t="str">
        <f>VLOOKUP(Ruimtestaat[[#This Row],[Code]],Locaties[#All],4,FALSE)</f>
        <v>Oostduinlaan 50</v>
      </c>
      <c r="D99" s="334" t="str">
        <f>VLOOKUP(Ruimtestaat[[#This Row],[Code]],Locaties[#All],5,FALSE)</f>
        <v>2596 JP</v>
      </c>
      <c r="E99" s="334" t="str">
        <f>VLOOKUP(Ruimtestaat[[#This Row],[Code]],Locaties[#All],6,FALSE)</f>
        <v>Den Haag</v>
      </c>
      <c r="F99" s="335"/>
      <c r="G99" s="334" t="s">
        <v>1611</v>
      </c>
      <c r="H99" s="334" t="s">
        <v>1545</v>
      </c>
      <c r="I99" s="335" t="s">
        <v>1500</v>
      </c>
      <c r="J99" s="333">
        <v>16</v>
      </c>
      <c r="K99" s="335" t="str">
        <f>VLOOKUP(J99,Ruimtegroepen[],2,FALSE)</f>
        <v>Leslokalen</v>
      </c>
      <c r="L99" s="212" t="s">
        <v>123</v>
      </c>
      <c r="M99" s="334" t="s">
        <v>144</v>
      </c>
      <c r="N99" s="337">
        <v>31</v>
      </c>
      <c r="O99" s="331"/>
      <c r="P99" s="332" t="str">
        <f>VLOOKUP(Ruimtestaat[[#This Row],[Ruimte code]],Ruimtegroepen[],4,FALSE)</f>
        <v>L  (Lesruimte)</v>
      </c>
      <c r="Q99" s="332"/>
      <c r="R99" s="333">
        <v>40</v>
      </c>
      <c r="S99" s="333" t="s">
        <v>2</v>
      </c>
      <c r="T99" s="37"/>
      <c r="U99" s="37">
        <f>IF(R99&gt;0,IF(RIGHT(Ruimtestaat[[#This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9" s="37">
        <f>IF(U99&gt;0,VLOOKUP($J99,Ruimtegroepen[],3,FALSE)*VLOOKUP($L99,Vloersoorten[],3,FALSE)*VLOOKUP($S99,Frequenties[],3,FALSE)*VLOOKUP($A99,Locaties[],3,FALSE),0)</f>
        <v>0</v>
      </c>
      <c r="W99" s="37">
        <f>Ruimtestaat[[#This Row],[Uitvoeringen werkdagen]]*Ruimtestaat[[#This Row],[Oppervlak (netto)]]</f>
        <v>6200</v>
      </c>
      <c r="X99" s="37">
        <f>IF(V99&gt;0,Ruimtestaat[[#This Row],[Prest. (m2 /jaar) werkdagen]]/Ruimtestaat[[#This Row],[Norm (m2/uur) werkdagen]],0)</f>
        <v>0</v>
      </c>
      <c r="Y99" s="37">
        <f>Ruimtestaat[[#This Row],[uren / jaar werkdagen]]*Tariefsopbouw!$D$38</f>
        <v>0</v>
      </c>
      <c r="Z99" s="37">
        <f>IF(Ruimtestaat[[#This Row],[Frequentie weekend]]&gt;0,VALUE(LEFT(T99,1))*R99,0)</f>
        <v>0</v>
      </c>
      <c r="AA99" s="37">
        <f>IF($Z99&gt;0,VLOOKUP($J99,Ruimtegroepen[],3,FALSE)*VLOOKUP($L99,Vloersoorten[],3,FALSE)*VLOOKUP($T99,Frequenties[],3,FALSE)*VLOOKUP($A99,Locaties[],3,FALSE),0)</f>
        <v>0</v>
      </c>
      <c r="AB99" s="37">
        <f>Ruimtestaat[[#This Row],[Uitvoeringen weekend]]*Ruimtestaat[[#This Row],[Oppervlak (netto)]]</f>
        <v>0</v>
      </c>
      <c r="AC99" s="37">
        <f>IF(AA99&gt;0,Ruimtestaat[[#This Row],[Prest. (m2 /jaar) weekend]]/Ruimtestaat[[#This Row],[Norm (m2/uur) weekend]],0)</f>
        <v>0</v>
      </c>
      <c r="AD99" s="37">
        <f>Ruimtestaat[[#This Row],[uren / jaar weekend]]*Tariefsopbouw!$D$40</f>
        <v>0</v>
      </c>
      <c r="AE99" s="89">
        <f>Ruimtestaat[[#This Row],[Prest. (m2 /jaar) weekend]]+Ruimtestaat[[#This Row],[Prest. (m2 /jaar) werkdagen]]</f>
        <v>6200</v>
      </c>
      <c r="AF99" s="89">
        <f>Ruimtestaat[[#This Row],[uren / jaar weekend]]+Ruimtestaat[[#This Row],[uren / jaar werkdagen]]</f>
        <v>0</v>
      </c>
      <c r="AG99" s="90">
        <f>Ruimtestaat[[#This Row],[kosten / jaar weekend]]+Ruimtestaat[[#This Row],[kosten / jaar werkdagen]]</f>
        <v>0</v>
      </c>
      <c r="AH99" s="253"/>
      <c r="AI99" s="252" t="str">
        <f>IF(Ruimtestaat[[#This Row],[Frequentie werkdagen]]="","",_xlfn.CONCAT(Ruimtestaat[[#This Row],[Ruimte code]],"-",Ruimtestaat[[#This Row],[Frequentie werkdagen]]," ",Ruimtestaat[[#This Row],[Vloer code]]))</f>
        <v>16-5w P</v>
      </c>
      <c r="AJ99" s="247" t="str">
        <f>_xlfn.IFNA(VLOOKUP(Ruimtestaat[[#This Row],[Programmacode
Regulier]],Programma!$F$4:$Y$36148,2,0),"_")</f>
        <v>_</v>
      </c>
      <c r="AK99" s="247" t="str">
        <f>_xlfn.IFNA(VLOOKUP(Ruimtestaat[[#This Row],[Programmacode
Regulier]],Programma!$F$4:$Y$36148,3,0),"_")</f>
        <v>_</v>
      </c>
      <c r="AL99" s="247" t="str">
        <f>_xlfn.IFNA(VLOOKUP(Ruimtestaat[[#This Row],[Programmacode
Regulier]],Programma!$F$4:$Y$36148,4,0),"_")</f>
        <v>5w</v>
      </c>
      <c r="AM99" s="247" t="str">
        <f>_xlfn.IFNA(VLOOKUP(Ruimtestaat[[#This Row],[Programmacode
Regulier]],Programma!$F$4:$Y$36148,5,0),"_")</f>
        <v>1w</v>
      </c>
      <c r="AN99" s="247" t="str">
        <f>_xlfn.IFNA(VLOOKUP(Ruimtestaat[[#This Row],[Programmacode
Regulier]],Programma!$F$4:$Y$36148,6,0),"_")</f>
        <v>1m</v>
      </c>
      <c r="AO99" s="247" t="str">
        <f>_xlfn.IFNA(VLOOKUP(Ruimtestaat[[#This Row],[Programmacode
Regulier]],Programma!$F$4:$Y$36148,7,0),"_")</f>
        <v>_</v>
      </c>
      <c r="AP99" s="247" t="str">
        <f>_xlfn.IFNA(VLOOKUP(Ruimtestaat[[#This Row],[Programmacode
Regulier]],Programma!$F$4:$Y$36148,8,0),"_")</f>
        <v>_</v>
      </c>
      <c r="AQ99" s="247" t="str">
        <f>_xlfn.IFNA(VLOOKUP(Ruimtestaat[[#This Row],[Programmacode
Regulier]],Programma!$F$4:$Y$36148,9,0),"_")</f>
        <v>_</v>
      </c>
      <c r="AR99" s="248" t="str">
        <f>_xlfn.IFNA(VLOOKUP(Ruimtestaat[[#This Row],[Programmacode
Regulier]],Programma!$F$4:$Y$36148,10,0),"_")</f>
        <v>5w</v>
      </c>
      <c r="AS99" s="248" t="str">
        <f>_xlfn.IFNA(VLOOKUP(Ruimtestaat[[#This Row],[Programmacode
Regulier]],Programma!$F$4:$Y$36148,11,0),"_")</f>
        <v>5w</v>
      </c>
      <c r="AT99" s="248" t="str">
        <f>_xlfn.IFNA(VLOOKUP(Ruimtestaat[[#This Row],[Programmacode
Regulier]],Programma!$F$4:$Y$36148,12,0),"_")</f>
        <v>1w</v>
      </c>
      <c r="AU99" s="248" t="str">
        <f>_xlfn.IFNA(VLOOKUP(Ruimtestaat[[#This Row],[Programmacode
Regulier]],Programma!$F$4:$Y$36148,13,0),"_")</f>
        <v>1w</v>
      </c>
      <c r="AV99" s="248" t="str">
        <f>_xlfn.IFNA(VLOOKUP(Ruimtestaat[[#This Row],[Programmacode
Regulier]],Programma!$F$4:$Y$36148,14,0),"_")</f>
        <v>1m</v>
      </c>
      <c r="AW99" s="248" t="str">
        <f>_xlfn.IFNA(VLOOKUP(Ruimtestaat[[#This Row],[Programmacode
Regulier]],Programma!$F$4:$Y$36148,15,0),"_")</f>
        <v>2j</v>
      </c>
      <c r="AX99" s="248" t="str">
        <f>_xlfn.IFNA(VLOOKUP(Ruimtestaat[[#This Row],[Programmacode
Regulier]],Programma!$F$4:$Y$36148,16,0),"_")</f>
        <v>1j</v>
      </c>
      <c r="AY99" s="248" t="str">
        <f>_xlfn.IFNA(VLOOKUP(Ruimtestaat[[#This Row],[Programmacode
Regulier]],Programma!$F$4:$Y$36148,17,0),"_")</f>
        <v>_</v>
      </c>
      <c r="AZ99" s="249" t="str">
        <f>_xlfn.IFNA(VLOOKUP(Ruimtestaat[[#This Row],[Programmacode
Regulier]],Programma!$F$4:$Y$36148,18,0),"_")</f>
        <v>_</v>
      </c>
      <c r="BA99" s="249" t="str">
        <f>_xlfn.IFNA(VLOOKUP(Ruimtestaat[[#This Row],[Programmacode
Regulier]],Programma!$F$4:$Y$36148,19,0),"_")</f>
        <v>_</v>
      </c>
      <c r="BB99" s="249" t="str">
        <f>_xlfn.IFNA(VLOOKUP(Ruimtestaat[[#This Row],[Programmacode
Regulier]],Programma!$F$4:$Y$36148,20,0),"_")</f>
        <v>_</v>
      </c>
      <c r="BC99" s="250"/>
      <c r="BD99" s="212" t="str">
        <f>IF(Ruimtestaat[[#This Row],[Frequentie weekend]]="","",_xlfn.CONCAT(Ruimtestaat[[#This Row],[Ruimte code]],"-",Ruimtestaat[[#This Row],[Frequentie weekend]]," ",Ruimtestaat[[#This Row],[Vloer code]]))</f>
        <v/>
      </c>
      <c r="BE99" s="247" t="str">
        <f>_xlfn.IFNA(VLOOKUP(Ruimtestaat[[#This Row],[Code Weekend]],Programma!$F$4:$Y$36148,2,0),"_")</f>
        <v>_</v>
      </c>
      <c r="BF99" s="247" t="str">
        <f>_xlfn.IFNA(VLOOKUP(Ruimtestaat[[#This Row],[Code Weekend]],Programma!$F$4:$Y$36148,3,0),"_")</f>
        <v>_</v>
      </c>
      <c r="BG99" s="247" t="str">
        <f>_xlfn.IFNA(VLOOKUP(Ruimtestaat[[#This Row],[Code Weekend]],Programma!$F$4:$Y$36148,4,0),"_")</f>
        <v>_</v>
      </c>
      <c r="BH99" s="247" t="str">
        <f>_xlfn.IFNA(VLOOKUP(Ruimtestaat[[#This Row],[Code Weekend]],Programma!$F$4:$Y$36148,5,0),"_")</f>
        <v>_</v>
      </c>
      <c r="BI99" s="247" t="str">
        <f>_xlfn.IFNA(VLOOKUP(Ruimtestaat[[#This Row],[Code Weekend]],Programma!$F$4:$Y$36148,6,0),"_")</f>
        <v>_</v>
      </c>
      <c r="BJ99" s="247" t="str">
        <f>_xlfn.IFNA(VLOOKUP(Ruimtestaat[[#This Row],[Code Weekend]],Programma!$F$4:$Y$36148,7,0),"_")</f>
        <v>_</v>
      </c>
      <c r="BK99" s="247" t="str">
        <f>_xlfn.IFNA(VLOOKUP(Ruimtestaat[[#This Row],[Code Weekend]],Programma!$F$4:$Y$36148,8,0),"_")</f>
        <v>_</v>
      </c>
      <c r="BL99" s="247" t="str">
        <f>_xlfn.IFNA(VLOOKUP(Ruimtestaat[[#This Row],[Code Weekend]],Programma!$F$4:$Y$36148,9,0),"_")</f>
        <v>_</v>
      </c>
      <c r="BM99" s="248" t="str">
        <f>_xlfn.IFNA(VLOOKUP(Ruimtestaat[[#This Row],[Code Weekend]],Programma!$F$4:$Y$36148,10,0),"_")</f>
        <v>_</v>
      </c>
      <c r="BN99" s="248" t="str">
        <f>_xlfn.IFNA(VLOOKUP(Ruimtestaat[[#This Row],[Code Weekend]],Programma!$F$4:$Y$36148,11,0),"_")</f>
        <v>_</v>
      </c>
      <c r="BO99" s="248" t="str">
        <f>_xlfn.IFNA(VLOOKUP(Ruimtestaat[[#This Row],[Code Weekend]],Programma!$F$4:$Y$36148,12,0),"_")</f>
        <v>_</v>
      </c>
      <c r="BP99" s="248" t="str">
        <f>_xlfn.IFNA(VLOOKUP(Ruimtestaat[[#This Row],[Code Weekend]],Programma!$F$4:$Y$36148,13,0),"_")</f>
        <v>_</v>
      </c>
      <c r="BQ99" s="248" t="str">
        <f>_xlfn.IFNA(VLOOKUP(Ruimtestaat[[#This Row],[Code Weekend]],Programma!$F$4:$Y$36148,14,0),"_")</f>
        <v>_</v>
      </c>
      <c r="BR99" s="248" t="str">
        <f>_xlfn.IFNA(VLOOKUP(Ruimtestaat[[#This Row],[Code Weekend]],Programma!$F$4:$Y$36148,15,0),"_")</f>
        <v>_</v>
      </c>
      <c r="BS99" s="248" t="str">
        <f>_xlfn.IFNA(VLOOKUP(Ruimtestaat[[#This Row],[Code Weekend]],Programma!$F$4:$Y$36148,16,0),"_")</f>
        <v>_</v>
      </c>
      <c r="BT99" s="248" t="str">
        <f>_xlfn.IFNA(VLOOKUP(Ruimtestaat[[#This Row],[Code Weekend]],Programma!$F$4:$Y$36148,17,0),"_")</f>
        <v>_</v>
      </c>
      <c r="BU99" s="249" t="str">
        <f>_xlfn.IFNA(VLOOKUP(Ruimtestaat[[#This Row],[Code Weekend]],Programma!$F$4:$Y$36148,18,0),"_")</f>
        <v>_</v>
      </c>
      <c r="BV99" s="249" t="str">
        <f>_xlfn.IFNA(VLOOKUP(Ruimtestaat[[#This Row],[Code Weekend]],Programma!$F$4:$Y$36148,19,0),"_")</f>
        <v>_</v>
      </c>
      <c r="BW99" s="249" t="str">
        <f>_xlfn.IFNA(VLOOKUP(Ruimtestaat[[#This Row],[Code Weekend]],Programma!$F$4:$Y$36148,20,0),"_")</f>
        <v>_</v>
      </c>
      <c r="HK99" s="88"/>
    </row>
    <row r="100" spans="1:219" ht="12.75" customHeight="1">
      <c r="A100" s="131">
        <v>1</v>
      </c>
      <c r="B100" s="22" t="str">
        <f>VLOOKUP(Ruimtestaat[[#This Row],[Code]],Locaties[#All],2,FALSE)</f>
        <v>ESH Secondary School</v>
      </c>
      <c r="C100" s="22" t="str">
        <f>VLOOKUP(Ruimtestaat[[#This Row],[Code]],Locaties[#All],4,FALSE)</f>
        <v>Oostduinlaan 50</v>
      </c>
      <c r="D100" s="334" t="str">
        <f>VLOOKUP(Ruimtestaat[[#This Row],[Code]],Locaties[#All],5,FALSE)</f>
        <v>2596 JP</v>
      </c>
      <c r="E100" s="334" t="str">
        <f>VLOOKUP(Ruimtestaat[[#This Row],[Code]],Locaties[#All],6,FALSE)</f>
        <v>Den Haag</v>
      </c>
      <c r="F100" s="335"/>
      <c r="G100" s="334" t="s">
        <v>1611</v>
      </c>
      <c r="H100" s="334" t="s">
        <v>1546</v>
      </c>
      <c r="I100" s="335" t="s">
        <v>1515</v>
      </c>
      <c r="J100" s="328">
        <v>2</v>
      </c>
      <c r="K100" s="335" t="str">
        <f>VLOOKUP(J100,Ruimtegroepen[],2,FALSE)</f>
        <v>Kantoren</v>
      </c>
      <c r="L100" s="212" t="s">
        <v>123</v>
      </c>
      <c r="M100" s="334" t="s">
        <v>144</v>
      </c>
      <c r="N100" s="353">
        <v>14</v>
      </c>
      <c r="O100" s="331"/>
      <c r="P100" s="332" t="str">
        <f>VLOOKUP(Ruimtestaat[[#This Row],[Ruimte code]],Ruimtegroepen[],4,FALSE)</f>
        <v>B  (Bureauruimte)</v>
      </c>
      <c r="Q100" s="332"/>
      <c r="R100" s="333">
        <v>40</v>
      </c>
      <c r="S100" s="333" t="s">
        <v>2</v>
      </c>
      <c r="T100" s="37"/>
      <c r="U100" s="37">
        <f>IF(R100&gt;0,IF(RIGHT(Ruimtestaat[[#This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0" s="37">
        <f>IF(U100&gt;0,VLOOKUP($J100,Ruimtegroepen[],3,FALSE)*VLOOKUP($L100,Vloersoorten[],3,FALSE)*VLOOKUP($S100,Frequenties[],3,FALSE)*VLOOKUP($A100,Locaties[],3,FALSE),0)</f>
        <v>0</v>
      </c>
      <c r="W100" s="37">
        <f>Ruimtestaat[[#This Row],[Uitvoeringen werkdagen]]*Ruimtestaat[[#This Row],[Oppervlak (netto)]]</f>
        <v>2800</v>
      </c>
      <c r="X100" s="37">
        <f>IF(V100&gt;0,Ruimtestaat[[#This Row],[Prest. (m2 /jaar) werkdagen]]/Ruimtestaat[[#This Row],[Norm (m2/uur) werkdagen]],0)</f>
        <v>0</v>
      </c>
      <c r="Y100" s="37">
        <f>Ruimtestaat[[#This Row],[uren / jaar werkdagen]]*Tariefsopbouw!$D$38</f>
        <v>0</v>
      </c>
      <c r="Z100" s="37">
        <f>IF(Ruimtestaat[[#This Row],[Frequentie weekend]]&gt;0,VALUE(LEFT(T100,1))*R100,0)</f>
        <v>0</v>
      </c>
      <c r="AA100" s="37">
        <f>IF($Z100&gt;0,VLOOKUP($J100,Ruimtegroepen[],3,FALSE)*VLOOKUP($L100,Vloersoorten[],3,FALSE)*VLOOKUP($T100,Frequenties[],3,FALSE)*VLOOKUP($A100,Locaties[],3,FALSE),0)</f>
        <v>0</v>
      </c>
      <c r="AB100" s="37">
        <f>Ruimtestaat[[#This Row],[Uitvoeringen weekend]]*Ruimtestaat[[#This Row],[Oppervlak (netto)]]</f>
        <v>0</v>
      </c>
      <c r="AC100" s="37">
        <f>IF(AA100&gt;0,Ruimtestaat[[#This Row],[Prest. (m2 /jaar) weekend]]/Ruimtestaat[[#This Row],[Norm (m2/uur) weekend]],0)</f>
        <v>0</v>
      </c>
      <c r="AD100" s="37">
        <f>Ruimtestaat[[#This Row],[uren / jaar weekend]]*Tariefsopbouw!$D$40</f>
        <v>0</v>
      </c>
      <c r="AE100" s="89">
        <f>Ruimtestaat[[#This Row],[Prest. (m2 /jaar) weekend]]+Ruimtestaat[[#This Row],[Prest. (m2 /jaar) werkdagen]]</f>
        <v>2800</v>
      </c>
      <c r="AF100" s="89">
        <f>Ruimtestaat[[#This Row],[uren / jaar weekend]]+Ruimtestaat[[#This Row],[uren / jaar werkdagen]]</f>
        <v>0</v>
      </c>
      <c r="AG100" s="90">
        <f>Ruimtestaat[[#This Row],[kosten / jaar weekend]]+Ruimtestaat[[#This Row],[kosten / jaar werkdagen]]</f>
        <v>0</v>
      </c>
      <c r="AH100" s="253"/>
      <c r="AI100" s="252" t="str">
        <f>IF(Ruimtestaat[[#This Row],[Frequentie werkdagen]]="","",_xlfn.CONCAT(Ruimtestaat[[#This Row],[Ruimte code]],"-",Ruimtestaat[[#This Row],[Frequentie werkdagen]]," ",Ruimtestaat[[#This Row],[Vloer code]]))</f>
        <v>2-5w P</v>
      </c>
      <c r="AJ100" s="247" t="str">
        <f>_xlfn.IFNA(VLOOKUP(Ruimtestaat[[#This Row],[Programmacode
Regulier]],Programma!$F$4:$Y$36148,2,0),"_")</f>
        <v>_</v>
      </c>
      <c r="AK100" s="247" t="str">
        <f>_xlfn.IFNA(VLOOKUP(Ruimtestaat[[#This Row],[Programmacode
Regulier]],Programma!$F$4:$Y$36148,3,0),"_")</f>
        <v>_</v>
      </c>
      <c r="AL100" s="247" t="str">
        <f>_xlfn.IFNA(VLOOKUP(Ruimtestaat[[#This Row],[Programmacode
Regulier]],Programma!$F$4:$Y$36148,4,0),"_")</f>
        <v>5w</v>
      </c>
      <c r="AM100" s="247" t="str">
        <f>_xlfn.IFNA(VLOOKUP(Ruimtestaat[[#This Row],[Programmacode
Regulier]],Programma!$F$4:$Y$36148,5,0),"_")</f>
        <v>1w</v>
      </c>
      <c r="AN100" s="247" t="str">
        <f>_xlfn.IFNA(VLOOKUP(Ruimtestaat[[#This Row],[Programmacode
Regulier]],Programma!$F$4:$Y$36148,6,0),"_")</f>
        <v>1m</v>
      </c>
      <c r="AO100" s="247" t="str">
        <f>_xlfn.IFNA(VLOOKUP(Ruimtestaat[[#This Row],[Programmacode
Regulier]],Programma!$F$4:$Y$36148,7,0),"_")</f>
        <v>_</v>
      </c>
      <c r="AP100" s="247" t="str">
        <f>_xlfn.IFNA(VLOOKUP(Ruimtestaat[[#This Row],[Programmacode
Regulier]],Programma!$F$4:$Y$36148,8,0),"_")</f>
        <v>_</v>
      </c>
      <c r="AQ100" s="247" t="str">
        <f>_xlfn.IFNA(VLOOKUP(Ruimtestaat[[#This Row],[Programmacode
Regulier]],Programma!$F$4:$Y$36148,9,0),"_")</f>
        <v>_</v>
      </c>
      <c r="AR100" s="248" t="str">
        <f>_xlfn.IFNA(VLOOKUP(Ruimtestaat[[#This Row],[Programmacode
Regulier]],Programma!$F$4:$Y$36148,10,0),"_")</f>
        <v>5w</v>
      </c>
      <c r="AS100" s="248" t="str">
        <f>_xlfn.IFNA(VLOOKUP(Ruimtestaat[[#This Row],[Programmacode
Regulier]],Programma!$F$4:$Y$36148,11,0),"_")</f>
        <v>5w</v>
      </c>
      <c r="AT100" s="248" t="str">
        <f>_xlfn.IFNA(VLOOKUP(Ruimtestaat[[#This Row],[Programmacode
Regulier]],Programma!$F$4:$Y$36148,12,0),"_")</f>
        <v>1w</v>
      </c>
      <c r="AU100" s="248" t="str">
        <f>_xlfn.IFNA(VLOOKUP(Ruimtestaat[[#This Row],[Programmacode
Regulier]],Programma!$F$4:$Y$36148,13,0),"_")</f>
        <v>1w</v>
      </c>
      <c r="AV100" s="248" t="str">
        <f>_xlfn.IFNA(VLOOKUP(Ruimtestaat[[#This Row],[Programmacode
Regulier]],Programma!$F$4:$Y$36148,14,0),"_")</f>
        <v>1m</v>
      </c>
      <c r="AW100" s="248" t="str">
        <f>_xlfn.IFNA(VLOOKUP(Ruimtestaat[[#This Row],[Programmacode
Regulier]],Programma!$F$4:$Y$36148,15,0),"_")</f>
        <v>2j</v>
      </c>
      <c r="AX100" s="248" t="str">
        <f>_xlfn.IFNA(VLOOKUP(Ruimtestaat[[#This Row],[Programmacode
Regulier]],Programma!$F$4:$Y$36148,16,0),"_")</f>
        <v>1j</v>
      </c>
      <c r="AY100" s="248" t="str">
        <f>_xlfn.IFNA(VLOOKUP(Ruimtestaat[[#This Row],[Programmacode
Regulier]],Programma!$F$4:$Y$36148,17,0),"_")</f>
        <v>_</v>
      </c>
      <c r="AZ100" s="249" t="str">
        <f>_xlfn.IFNA(VLOOKUP(Ruimtestaat[[#This Row],[Programmacode
Regulier]],Programma!$F$4:$Y$36148,18,0),"_")</f>
        <v>_</v>
      </c>
      <c r="BA100" s="249" t="str">
        <f>_xlfn.IFNA(VLOOKUP(Ruimtestaat[[#This Row],[Programmacode
Regulier]],Programma!$F$4:$Y$36148,19,0),"_")</f>
        <v>_</v>
      </c>
      <c r="BB100" s="249" t="str">
        <f>_xlfn.IFNA(VLOOKUP(Ruimtestaat[[#This Row],[Programmacode
Regulier]],Programma!$F$4:$Y$36148,20,0),"_")</f>
        <v>_</v>
      </c>
      <c r="BC100" s="244"/>
      <c r="BD100" s="212" t="str">
        <f>IF(Ruimtestaat[[#This Row],[Frequentie weekend]]="","",_xlfn.CONCAT(Ruimtestaat[[#This Row],[Ruimte code]],"-",Ruimtestaat[[#This Row],[Frequentie weekend]]," ",Ruimtestaat[[#This Row],[Vloer code]]))</f>
        <v/>
      </c>
      <c r="BE100" s="247" t="str">
        <f>_xlfn.IFNA(VLOOKUP(Ruimtestaat[[#This Row],[Code Weekend]],Programma!$F$4:$Y$36148,2,0),"_")</f>
        <v>_</v>
      </c>
      <c r="BF100" s="247" t="str">
        <f>_xlfn.IFNA(VLOOKUP(Ruimtestaat[[#This Row],[Code Weekend]],Programma!$F$4:$Y$36148,3,0),"_")</f>
        <v>_</v>
      </c>
      <c r="BG100" s="247" t="str">
        <f>_xlfn.IFNA(VLOOKUP(Ruimtestaat[[#This Row],[Code Weekend]],Programma!$F$4:$Y$36148,4,0),"_")</f>
        <v>_</v>
      </c>
      <c r="BH100" s="247" t="str">
        <f>_xlfn.IFNA(VLOOKUP(Ruimtestaat[[#This Row],[Code Weekend]],Programma!$F$4:$Y$36148,5,0),"_")</f>
        <v>_</v>
      </c>
      <c r="BI100" s="247" t="str">
        <f>_xlfn.IFNA(VLOOKUP(Ruimtestaat[[#This Row],[Code Weekend]],Programma!$F$4:$Y$36148,6,0),"_")</f>
        <v>_</v>
      </c>
      <c r="BJ100" s="247" t="str">
        <f>_xlfn.IFNA(VLOOKUP(Ruimtestaat[[#This Row],[Code Weekend]],Programma!$F$4:$Y$36148,7,0),"_")</f>
        <v>_</v>
      </c>
      <c r="BK100" s="247" t="str">
        <f>_xlfn.IFNA(VLOOKUP(Ruimtestaat[[#This Row],[Code Weekend]],Programma!$F$4:$Y$36148,8,0),"_")</f>
        <v>_</v>
      </c>
      <c r="BL100" s="247" t="str">
        <f>_xlfn.IFNA(VLOOKUP(Ruimtestaat[[#This Row],[Code Weekend]],Programma!$F$4:$Y$36148,9,0),"_")</f>
        <v>_</v>
      </c>
      <c r="BM100" s="248" t="str">
        <f>_xlfn.IFNA(VLOOKUP(Ruimtestaat[[#This Row],[Code Weekend]],Programma!$F$4:$Y$36148,10,0),"_")</f>
        <v>_</v>
      </c>
      <c r="BN100" s="248" t="str">
        <f>_xlfn.IFNA(VLOOKUP(Ruimtestaat[[#This Row],[Code Weekend]],Programma!$F$4:$Y$36148,11,0),"_")</f>
        <v>_</v>
      </c>
      <c r="BO100" s="248" t="str">
        <f>_xlfn.IFNA(VLOOKUP(Ruimtestaat[[#This Row],[Code Weekend]],Programma!$F$4:$Y$36148,12,0),"_")</f>
        <v>_</v>
      </c>
      <c r="BP100" s="248" t="str">
        <f>_xlfn.IFNA(VLOOKUP(Ruimtestaat[[#This Row],[Code Weekend]],Programma!$F$4:$Y$36148,13,0),"_")</f>
        <v>_</v>
      </c>
      <c r="BQ100" s="248" t="str">
        <f>_xlfn.IFNA(VLOOKUP(Ruimtestaat[[#This Row],[Code Weekend]],Programma!$F$4:$Y$36148,14,0),"_")</f>
        <v>_</v>
      </c>
      <c r="BR100" s="248" t="str">
        <f>_xlfn.IFNA(VLOOKUP(Ruimtestaat[[#This Row],[Code Weekend]],Programma!$F$4:$Y$36148,15,0),"_")</f>
        <v>_</v>
      </c>
      <c r="BS100" s="248" t="str">
        <f>_xlfn.IFNA(VLOOKUP(Ruimtestaat[[#This Row],[Code Weekend]],Programma!$F$4:$Y$36148,16,0),"_")</f>
        <v>_</v>
      </c>
      <c r="BT100" s="248" t="str">
        <f>_xlfn.IFNA(VLOOKUP(Ruimtestaat[[#This Row],[Code Weekend]],Programma!$F$4:$Y$36148,17,0),"_")</f>
        <v>_</v>
      </c>
      <c r="BU100" s="249" t="str">
        <f>_xlfn.IFNA(VLOOKUP(Ruimtestaat[[#This Row],[Code Weekend]],Programma!$F$4:$Y$36148,18,0),"_")</f>
        <v>_</v>
      </c>
      <c r="BV100" s="249" t="str">
        <f>_xlfn.IFNA(VLOOKUP(Ruimtestaat[[#This Row],[Code Weekend]],Programma!$F$4:$Y$36148,19,0),"_")</f>
        <v>_</v>
      </c>
      <c r="BW100" s="249" t="str">
        <f>_xlfn.IFNA(VLOOKUP(Ruimtestaat[[#This Row],[Code Weekend]],Programma!$F$4:$Y$36148,20,0),"_")</f>
        <v>_</v>
      </c>
      <c r="HK100" s="88"/>
    </row>
    <row r="101" spans="1:219" ht="12.75" customHeight="1">
      <c r="A101" s="131">
        <v>1</v>
      </c>
      <c r="B101" s="22" t="str">
        <f>VLOOKUP(Ruimtestaat[[#This Row],[Code]],Locaties[#All],2,FALSE)</f>
        <v>ESH Secondary School</v>
      </c>
      <c r="C101" s="22" t="str">
        <f>VLOOKUP(Ruimtestaat[[#This Row],[Code]],Locaties[#All],4,FALSE)</f>
        <v>Oostduinlaan 50</v>
      </c>
      <c r="D101" s="334" t="str">
        <f>VLOOKUP(Ruimtestaat[[#This Row],[Code]],Locaties[#All],5,FALSE)</f>
        <v>2596 JP</v>
      </c>
      <c r="E101" s="334" t="str">
        <f>VLOOKUP(Ruimtestaat[[#This Row],[Code]],Locaties[#All],6,FALSE)</f>
        <v>Den Haag</v>
      </c>
      <c r="F101" s="335"/>
      <c r="G101" s="334" t="s">
        <v>1611</v>
      </c>
      <c r="H101" s="334" t="s">
        <v>1547</v>
      </c>
      <c r="I101" s="335" t="s">
        <v>1516</v>
      </c>
      <c r="J101" s="328">
        <v>19</v>
      </c>
      <c r="K101" s="335" t="str">
        <f>VLOOKUP(J101,Ruimtegroepen[],2,FALSE)</f>
        <v>Kleedruimten</v>
      </c>
      <c r="L101" s="212" t="s">
        <v>122</v>
      </c>
      <c r="M101" s="334" t="s">
        <v>1764</v>
      </c>
      <c r="N101" s="337">
        <v>27</v>
      </c>
      <c r="O101" s="331"/>
      <c r="P101" s="332" t="str">
        <f>VLOOKUP(Ruimtestaat[[#This Row],[Ruimte code]],Ruimtegroepen[],4,FALSE)</f>
        <v>V  (Verkeersruimte)</v>
      </c>
      <c r="Q101" s="332"/>
      <c r="R101" s="333">
        <v>40</v>
      </c>
      <c r="S101" s="333" t="s">
        <v>2</v>
      </c>
      <c r="T101" s="37"/>
      <c r="U101" s="37">
        <f>IF(R101&gt;0,IF(RIGHT(Ruimtestaat[[#This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1" s="37">
        <f>IF(U101&gt;0,VLOOKUP($J101,Ruimtegroepen[],3,FALSE)*VLOOKUP($L101,Vloersoorten[],3,FALSE)*VLOOKUP($S101,Frequenties[],3,FALSE)*VLOOKUP($A101,Locaties[],3,FALSE),0)</f>
        <v>0</v>
      </c>
      <c r="W101" s="37">
        <f>Ruimtestaat[[#This Row],[Uitvoeringen werkdagen]]*Ruimtestaat[[#This Row],[Oppervlak (netto)]]</f>
        <v>5400</v>
      </c>
      <c r="X101" s="37">
        <f>IF(V101&gt;0,Ruimtestaat[[#This Row],[Prest. (m2 /jaar) werkdagen]]/Ruimtestaat[[#This Row],[Norm (m2/uur) werkdagen]],0)</f>
        <v>0</v>
      </c>
      <c r="Y101" s="37">
        <f>Ruimtestaat[[#This Row],[uren / jaar werkdagen]]*Tariefsopbouw!$D$38</f>
        <v>0</v>
      </c>
      <c r="Z101" s="37">
        <f>IF(Ruimtestaat[[#This Row],[Frequentie weekend]]&gt;0,VALUE(LEFT(T101,1))*R101,0)</f>
        <v>0</v>
      </c>
      <c r="AA101" s="37">
        <f>IF($Z101&gt;0,VLOOKUP($J101,Ruimtegroepen[],3,FALSE)*VLOOKUP($L101,Vloersoorten[],3,FALSE)*VLOOKUP($T101,Frequenties[],3,FALSE)*VLOOKUP($A101,Locaties[],3,FALSE),0)</f>
        <v>0</v>
      </c>
      <c r="AB101" s="37">
        <f>Ruimtestaat[[#This Row],[Uitvoeringen weekend]]*Ruimtestaat[[#This Row],[Oppervlak (netto)]]</f>
        <v>0</v>
      </c>
      <c r="AC101" s="37">
        <f>IF(AA101&gt;0,Ruimtestaat[[#This Row],[Prest. (m2 /jaar) weekend]]/Ruimtestaat[[#This Row],[Norm (m2/uur) weekend]],0)</f>
        <v>0</v>
      </c>
      <c r="AD101" s="37">
        <f>Ruimtestaat[[#This Row],[uren / jaar weekend]]*Tariefsopbouw!$D$40</f>
        <v>0</v>
      </c>
      <c r="AE101" s="89">
        <f>Ruimtestaat[[#This Row],[Prest. (m2 /jaar) weekend]]+Ruimtestaat[[#This Row],[Prest. (m2 /jaar) werkdagen]]</f>
        <v>5400</v>
      </c>
      <c r="AF101" s="89">
        <f>Ruimtestaat[[#This Row],[uren / jaar weekend]]+Ruimtestaat[[#This Row],[uren / jaar werkdagen]]</f>
        <v>0</v>
      </c>
      <c r="AG101" s="90">
        <f>Ruimtestaat[[#This Row],[kosten / jaar weekend]]+Ruimtestaat[[#This Row],[kosten / jaar werkdagen]]</f>
        <v>0</v>
      </c>
      <c r="AH101" s="253"/>
      <c r="AI101" s="252" t="str">
        <f>IF(Ruimtestaat[[#This Row],[Frequentie werkdagen]]="","",_xlfn.CONCAT(Ruimtestaat[[#This Row],[Ruimte code]],"-",Ruimtestaat[[#This Row],[Frequentie werkdagen]]," ",Ruimtestaat[[#This Row],[Vloer code]]))</f>
        <v>19-5w S</v>
      </c>
      <c r="AJ101" s="247" t="str">
        <f>_xlfn.IFNA(VLOOKUP(Ruimtestaat[[#This Row],[Programmacode
Regulier]],Programma!$F$4:$Y$36148,2,0),"_")</f>
        <v>_</v>
      </c>
      <c r="AK101" s="247" t="str">
        <f>_xlfn.IFNA(VLOOKUP(Ruimtestaat[[#This Row],[Programmacode
Regulier]],Programma!$F$4:$Y$36148,3,0),"_")</f>
        <v>_</v>
      </c>
      <c r="AL101" s="247" t="str">
        <f>_xlfn.IFNA(VLOOKUP(Ruimtestaat[[#This Row],[Programmacode
Regulier]],Programma!$F$4:$Y$36148,4,0),"_")</f>
        <v>5w</v>
      </c>
      <c r="AM101" s="247" t="str">
        <f>_xlfn.IFNA(VLOOKUP(Ruimtestaat[[#This Row],[Programmacode
Regulier]],Programma!$F$4:$Y$36148,5,0),"_")</f>
        <v>4w</v>
      </c>
      <c r="AN101" s="247" t="str">
        <f>_xlfn.IFNA(VLOOKUP(Ruimtestaat[[#This Row],[Programmacode
Regulier]],Programma!$F$4:$Y$36148,6,0),"_")</f>
        <v>1w</v>
      </c>
      <c r="AO101" s="247" t="str">
        <f>_xlfn.IFNA(VLOOKUP(Ruimtestaat[[#This Row],[Programmacode
Regulier]],Programma!$F$4:$Y$36148,7,0),"_")</f>
        <v>_</v>
      </c>
      <c r="AP101" s="247" t="str">
        <f>_xlfn.IFNA(VLOOKUP(Ruimtestaat[[#This Row],[Programmacode
Regulier]],Programma!$F$4:$Y$36148,8,0),"_")</f>
        <v>_</v>
      </c>
      <c r="AQ101" s="247" t="str">
        <f>_xlfn.IFNA(VLOOKUP(Ruimtestaat[[#This Row],[Programmacode
Regulier]],Programma!$F$4:$Y$36148,9,0),"_")</f>
        <v>_</v>
      </c>
      <c r="AR101" s="248" t="str">
        <f>_xlfn.IFNA(VLOOKUP(Ruimtestaat[[#This Row],[Programmacode
Regulier]],Programma!$F$4:$Y$36148,10,0),"_")</f>
        <v>_</v>
      </c>
      <c r="AS101" s="248" t="str">
        <f>_xlfn.IFNA(VLOOKUP(Ruimtestaat[[#This Row],[Programmacode
Regulier]],Programma!$F$4:$Y$36148,11,0),"_")</f>
        <v>_</v>
      </c>
      <c r="AT101" s="248" t="str">
        <f>_xlfn.IFNA(VLOOKUP(Ruimtestaat[[#This Row],[Programmacode
Regulier]],Programma!$F$4:$Y$36148,12,0),"_")</f>
        <v>_</v>
      </c>
      <c r="AU101" s="248" t="str">
        <f>_xlfn.IFNA(VLOOKUP(Ruimtestaat[[#This Row],[Programmacode
Regulier]],Programma!$F$4:$Y$36148,13,0),"_")</f>
        <v>5w</v>
      </c>
      <c r="AV101" s="248" t="str">
        <f>_xlfn.IFNA(VLOOKUP(Ruimtestaat[[#This Row],[Programmacode
Regulier]],Programma!$F$4:$Y$36148,14,0),"_")</f>
        <v>1w</v>
      </c>
      <c r="AW101" s="248" t="str">
        <f>_xlfn.IFNA(VLOOKUP(Ruimtestaat[[#This Row],[Programmacode
Regulier]],Programma!$F$4:$Y$36148,15,0),"_")</f>
        <v>_</v>
      </c>
      <c r="AX101" s="248" t="str">
        <f>_xlfn.IFNA(VLOOKUP(Ruimtestaat[[#This Row],[Programmacode
Regulier]],Programma!$F$4:$Y$36148,16,0),"_")</f>
        <v>_</v>
      </c>
      <c r="AY101" s="248" t="str">
        <f>_xlfn.IFNA(VLOOKUP(Ruimtestaat[[#This Row],[Programmacode
Regulier]],Programma!$F$4:$Y$36148,17,0),"_")</f>
        <v>_</v>
      </c>
      <c r="AZ101" s="249" t="str">
        <f>_xlfn.IFNA(VLOOKUP(Ruimtestaat[[#This Row],[Programmacode
Regulier]],Programma!$F$4:$Y$36148,18,0),"_")</f>
        <v>5w</v>
      </c>
      <c r="BA101" s="249" t="str">
        <f>_xlfn.IFNA(VLOOKUP(Ruimtestaat[[#This Row],[Programmacode
Regulier]],Programma!$F$4:$Y$36148,19,0),"_")</f>
        <v>1m</v>
      </c>
      <c r="BB101" s="249" t="str">
        <f>_xlfn.IFNA(VLOOKUP(Ruimtestaat[[#This Row],[Programmacode
Regulier]],Programma!$F$4:$Y$36148,20,0),"_")</f>
        <v>_</v>
      </c>
      <c r="BC101" s="250"/>
      <c r="BD101" s="212" t="str">
        <f>IF(Ruimtestaat[[#This Row],[Frequentie weekend]]="","",_xlfn.CONCAT(Ruimtestaat[[#This Row],[Ruimte code]],"-",Ruimtestaat[[#This Row],[Frequentie weekend]]," ",Ruimtestaat[[#This Row],[Vloer code]]))</f>
        <v/>
      </c>
      <c r="BE101" s="247" t="str">
        <f>_xlfn.IFNA(VLOOKUP(Ruimtestaat[[#This Row],[Code Weekend]],Programma!$F$4:$Y$36148,2,0),"_")</f>
        <v>_</v>
      </c>
      <c r="BF101" s="247" t="str">
        <f>_xlfn.IFNA(VLOOKUP(Ruimtestaat[[#This Row],[Code Weekend]],Programma!$F$4:$Y$36148,3,0),"_")</f>
        <v>_</v>
      </c>
      <c r="BG101" s="247" t="str">
        <f>_xlfn.IFNA(VLOOKUP(Ruimtestaat[[#This Row],[Code Weekend]],Programma!$F$4:$Y$36148,4,0),"_")</f>
        <v>_</v>
      </c>
      <c r="BH101" s="247" t="str">
        <f>_xlfn.IFNA(VLOOKUP(Ruimtestaat[[#This Row],[Code Weekend]],Programma!$F$4:$Y$36148,5,0),"_")</f>
        <v>_</v>
      </c>
      <c r="BI101" s="247" t="str">
        <f>_xlfn.IFNA(VLOOKUP(Ruimtestaat[[#This Row],[Code Weekend]],Programma!$F$4:$Y$36148,6,0),"_")</f>
        <v>_</v>
      </c>
      <c r="BJ101" s="247" t="str">
        <f>_xlfn.IFNA(VLOOKUP(Ruimtestaat[[#This Row],[Code Weekend]],Programma!$F$4:$Y$36148,7,0),"_")</f>
        <v>_</v>
      </c>
      <c r="BK101" s="247" t="str">
        <f>_xlfn.IFNA(VLOOKUP(Ruimtestaat[[#This Row],[Code Weekend]],Programma!$F$4:$Y$36148,8,0),"_")</f>
        <v>_</v>
      </c>
      <c r="BL101" s="247" t="str">
        <f>_xlfn.IFNA(VLOOKUP(Ruimtestaat[[#This Row],[Code Weekend]],Programma!$F$4:$Y$36148,9,0),"_")</f>
        <v>_</v>
      </c>
      <c r="BM101" s="248" t="str">
        <f>_xlfn.IFNA(VLOOKUP(Ruimtestaat[[#This Row],[Code Weekend]],Programma!$F$4:$Y$36148,10,0),"_")</f>
        <v>_</v>
      </c>
      <c r="BN101" s="248" t="str">
        <f>_xlfn.IFNA(VLOOKUP(Ruimtestaat[[#This Row],[Code Weekend]],Programma!$F$4:$Y$36148,11,0),"_")</f>
        <v>_</v>
      </c>
      <c r="BO101" s="248" t="str">
        <f>_xlfn.IFNA(VLOOKUP(Ruimtestaat[[#This Row],[Code Weekend]],Programma!$F$4:$Y$36148,12,0),"_")</f>
        <v>_</v>
      </c>
      <c r="BP101" s="248" t="str">
        <f>_xlfn.IFNA(VLOOKUP(Ruimtestaat[[#This Row],[Code Weekend]],Programma!$F$4:$Y$36148,13,0),"_")</f>
        <v>_</v>
      </c>
      <c r="BQ101" s="248" t="str">
        <f>_xlfn.IFNA(VLOOKUP(Ruimtestaat[[#This Row],[Code Weekend]],Programma!$F$4:$Y$36148,14,0),"_")</f>
        <v>_</v>
      </c>
      <c r="BR101" s="248" t="str">
        <f>_xlfn.IFNA(VLOOKUP(Ruimtestaat[[#This Row],[Code Weekend]],Programma!$F$4:$Y$36148,15,0),"_")</f>
        <v>_</v>
      </c>
      <c r="BS101" s="248" t="str">
        <f>_xlfn.IFNA(VLOOKUP(Ruimtestaat[[#This Row],[Code Weekend]],Programma!$F$4:$Y$36148,16,0),"_")</f>
        <v>_</v>
      </c>
      <c r="BT101" s="248" t="str">
        <f>_xlfn.IFNA(VLOOKUP(Ruimtestaat[[#This Row],[Code Weekend]],Programma!$F$4:$Y$36148,17,0),"_")</f>
        <v>_</v>
      </c>
      <c r="BU101" s="249" t="str">
        <f>_xlfn.IFNA(VLOOKUP(Ruimtestaat[[#This Row],[Code Weekend]],Programma!$F$4:$Y$36148,18,0),"_")</f>
        <v>_</v>
      </c>
      <c r="BV101" s="249" t="str">
        <f>_xlfn.IFNA(VLOOKUP(Ruimtestaat[[#This Row],[Code Weekend]],Programma!$F$4:$Y$36148,19,0),"_")</f>
        <v>_</v>
      </c>
      <c r="BW101" s="249" t="str">
        <f>_xlfn.IFNA(VLOOKUP(Ruimtestaat[[#This Row],[Code Weekend]],Programma!$F$4:$Y$36148,20,0),"_")</f>
        <v>_</v>
      </c>
      <c r="HK101" s="88"/>
    </row>
    <row r="102" spans="1:219" ht="12.75" customHeight="1">
      <c r="A102" s="131">
        <v>1</v>
      </c>
      <c r="B102" s="22" t="str">
        <f>VLOOKUP(Ruimtestaat[[#This Row],[Code]],Locaties[#All],2,FALSE)</f>
        <v>ESH Secondary School</v>
      </c>
      <c r="C102" s="22" t="str">
        <f>VLOOKUP(Ruimtestaat[[#This Row],[Code]],Locaties[#All],4,FALSE)</f>
        <v>Oostduinlaan 50</v>
      </c>
      <c r="D102" s="334" t="str">
        <f>VLOOKUP(Ruimtestaat[[#This Row],[Code]],Locaties[#All],5,FALSE)</f>
        <v>2596 JP</v>
      </c>
      <c r="E102" s="334" t="str">
        <f>VLOOKUP(Ruimtestaat[[#This Row],[Code]],Locaties[#All],6,FALSE)</f>
        <v>Den Haag</v>
      </c>
      <c r="F102" s="335"/>
      <c r="G102" s="334" t="s">
        <v>1611</v>
      </c>
      <c r="H102" s="334" t="s">
        <v>1548</v>
      </c>
      <c r="I102" s="335" t="s">
        <v>1517</v>
      </c>
      <c r="J102" s="328">
        <v>5</v>
      </c>
      <c r="K102" s="335" t="str">
        <f>VLOOKUP(J102,Ruimtegroepen[],2,FALSE)</f>
        <v>Sanitair</v>
      </c>
      <c r="L102" s="212" t="s">
        <v>122</v>
      </c>
      <c r="M102" s="334" t="s">
        <v>1764</v>
      </c>
      <c r="N102" s="337">
        <v>4</v>
      </c>
      <c r="O102" s="331"/>
      <c r="P102" s="332" t="str">
        <f>VLOOKUP(Ruimtestaat[[#This Row],[Ruimte code]],Ruimtegroepen[],4,FALSE)</f>
        <v>S  (Sanitair)</v>
      </c>
      <c r="Q102" s="332"/>
      <c r="R102" s="333">
        <v>40</v>
      </c>
      <c r="S102" s="333" t="s">
        <v>19</v>
      </c>
      <c r="T102" s="37"/>
      <c r="U102" s="37">
        <f>IF(R102&gt;0,IF(RIGHT(Ruimtestaat[[#This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102" s="37">
        <f>IF(U102&gt;0,VLOOKUP($J102,Ruimtegroepen[],3,FALSE)*VLOOKUP($L102,Vloersoorten[],3,FALSE)*VLOOKUP($S102,Frequenties[],3,FALSE)*VLOOKUP($A102,Locaties[],3,FALSE),0)</f>
        <v>0</v>
      </c>
      <c r="W102" s="37">
        <f>Ruimtestaat[[#This Row],[Uitvoeringen werkdagen]]*Ruimtestaat[[#This Row],[Oppervlak (netto)]]</f>
        <v>1600</v>
      </c>
      <c r="X102" s="37">
        <f>IF(V102&gt;0,Ruimtestaat[[#This Row],[Prest. (m2 /jaar) werkdagen]]/Ruimtestaat[[#This Row],[Norm (m2/uur) werkdagen]],0)</f>
        <v>0</v>
      </c>
      <c r="Y102" s="37">
        <f>Ruimtestaat[[#This Row],[uren / jaar werkdagen]]*Tariefsopbouw!$D$38</f>
        <v>0</v>
      </c>
      <c r="Z102" s="37">
        <f>IF(Ruimtestaat[[#This Row],[Frequentie weekend]]&gt;0,VALUE(LEFT(T102,1))*R102,0)</f>
        <v>0</v>
      </c>
      <c r="AA102" s="37">
        <f>IF($Z102&gt;0,VLOOKUP($J102,Ruimtegroepen[],3,FALSE)*VLOOKUP($L102,Vloersoorten[],3,FALSE)*VLOOKUP($T102,Frequenties[],3,FALSE)*VLOOKUP($A102,Locaties[],3,FALSE),0)</f>
        <v>0</v>
      </c>
      <c r="AB102" s="37">
        <f>Ruimtestaat[[#This Row],[Uitvoeringen weekend]]*Ruimtestaat[[#This Row],[Oppervlak (netto)]]</f>
        <v>0</v>
      </c>
      <c r="AC102" s="37">
        <f>IF(AA102&gt;0,Ruimtestaat[[#This Row],[Prest. (m2 /jaar) weekend]]/Ruimtestaat[[#This Row],[Norm (m2/uur) weekend]],0)</f>
        <v>0</v>
      </c>
      <c r="AD102" s="37">
        <f>Ruimtestaat[[#This Row],[uren / jaar weekend]]*Tariefsopbouw!$D$40</f>
        <v>0</v>
      </c>
      <c r="AE102" s="89">
        <f>Ruimtestaat[[#This Row],[Prest. (m2 /jaar) weekend]]+Ruimtestaat[[#This Row],[Prest. (m2 /jaar) werkdagen]]</f>
        <v>1600</v>
      </c>
      <c r="AF102" s="89">
        <f>Ruimtestaat[[#This Row],[uren / jaar weekend]]+Ruimtestaat[[#This Row],[uren / jaar werkdagen]]</f>
        <v>0</v>
      </c>
      <c r="AG102" s="90">
        <f>Ruimtestaat[[#This Row],[kosten / jaar weekend]]+Ruimtestaat[[#This Row],[kosten / jaar werkdagen]]</f>
        <v>0</v>
      </c>
      <c r="AH102" s="253"/>
      <c r="AI102" s="252" t="str">
        <f>IF(Ruimtestaat[[#This Row],[Frequentie werkdagen]]="","",_xlfn.CONCAT(Ruimtestaat[[#This Row],[Ruimte code]],"-",Ruimtestaat[[#This Row],[Frequentie werkdagen]]," ",Ruimtestaat[[#This Row],[Vloer code]]))</f>
        <v>5-10w S</v>
      </c>
      <c r="AJ102" s="247" t="str">
        <f>_xlfn.IFNA(VLOOKUP(Ruimtestaat[[#This Row],[Programmacode
Regulier]],Programma!$F$4:$Y$36148,2,0),"_")</f>
        <v>_</v>
      </c>
      <c r="AK102" s="247" t="str">
        <f>_xlfn.IFNA(VLOOKUP(Ruimtestaat[[#This Row],[Programmacode
Regulier]],Programma!$F$4:$Y$36148,3,0),"_")</f>
        <v>_</v>
      </c>
      <c r="AL102" s="247" t="str">
        <f>_xlfn.IFNA(VLOOKUP(Ruimtestaat[[#This Row],[Programmacode
Regulier]],Programma!$F$4:$Y$36148,4,0),"_")</f>
        <v>_</v>
      </c>
      <c r="AM102" s="247" t="str">
        <f>_xlfn.IFNA(VLOOKUP(Ruimtestaat[[#This Row],[Programmacode
Regulier]],Programma!$F$4:$Y$36148,5,0),"_")</f>
        <v>4w</v>
      </c>
      <c r="AN102" s="247" t="str">
        <f>_xlfn.IFNA(VLOOKUP(Ruimtestaat[[#This Row],[Programmacode
Regulier]],Programma!$F$4:$Y$36148,6,0),"_")</f>
        <v>1w</v>
      </c>
      <c r="AO102" s="247" t="str">
        <f>_xlfn.IFNA(VLOOKUP(Ruimtestaat[[#This Row],[Programmacode
Regulier]],Programma!$F$4:$Y$36148,7,0),"_")</f>
        <v>_</v>
      </c>
      <c r="AP102" s="247" t="str">
        <f>_xlfn.IFNA(VLOOKUP(Ruimtestaat[[#This Row],[Programmacode
Regulier]],Programma!$F$4:$Y$36148,8,0),"_")</f>
        <v>_</v>
      </c>
      <c r="AQ102" s="247" t="str">
        <f>_xlfn.IFNA(VLOOKUP(Ruimtestaat[[#This Row],[Programmacode
Regulier]],Programma!$F$4:$Y$36148,9,0),"_")</f>
        <v>5w</v>
      </c>
      <c r="AR102" s="248" t="str">
        <f>_xlfn.IFNA(VLOOKUP(Ruimtestaat[[#This Row],[Programmacode
Regulier]],Programma!$F$4:$Y$36148,10,0),"_")</f>
        <v>_</v>
      </c>
      <c r="AS102" s="248" t="str">
        <f>_xlfn.IFNA(VLOOKUP(Ruimtestaat[[#This Row],[Programmacode
Regulier]],Programma!$F$4:$Y$36148,11,0),"_")</f>
        <v>_</v>
      </c>
      <c r="AT102" s="248" t="str">
        <f>_xlfn.IFNA(VLOOKUP(Ruimtestaat[[#This Row],[Programmacode
Regulier]],Programma!$F$4:$Y$36148,12,0),"_")</f>
        <v>_</v>
      </c>
      <c r="AU102" s="248" t="str">
        <f>_xlfn.IFNA(VLOOKUP(Ruimtestaat[[#This Row],[Programmacode
Regulier]],Programma!$F$4:$Y$36148,13,0),"_")</f>
        <v>_</v>
      </c>
      <c r="AV102" s="248" t="str">
        <f>_xlfn.IFNA(VLOOKUP(Ruimtestaat[[#This Row],[Programmacode
Regulier]],Programma!$F$4:$Y$36148,14,0),"_")</f>
        <v>_</v>
      </c>
      <c r="AW102" s="248" t="str">
        <f>_xlfn.IFNA(VLOOKUP(Ruimtestaat[[#This Row],[Programmacode
Regulier]],Programma!$F$4:$Y$36148,15,0),"_")</f>
        <v>_</v>
      </c>
      <c r="AX102" s="248" t="str">
        <f>_xlfn.IFNA(VLOOKUP(Ruimtestaat[[#This Row],[Programmacode
Regulier]],Programma!$F$4:$Y$36148,16,0),"_")</f>
        <v>_</v>
      </c>
      <c r="AY102" s="248" t="str">
        <f>_xlfn.IFNA(VLOOKUP(Ruimtestaat[[#This Row],[Programmacode
Regulier]],Programma!$F$4:$Y$36148,17,0),"_")</f>
        <v>_</v>
      </c>
      <c r="AZ102" s="249" t="str">
        <f>_xlfn.IFNA(VLOOKUP(Ruimtestaat[[#This Row],[Programmacode
Regulier]],Programma!$F$4:$Y$36148,18,0),"_")</f>
        <v>4w</v>
      </c>
      <c r="BA102" s="249" t="str">
        <f>_xlfn.IFNA(VLOOKUP(Ruimtestaat[[#This Row],[Programmacode
Regulier]],Programma!$F$4:$Y$36148,19,0),"_")</f>
        <v>1w</v>
      </c>
      <c r="BB102" s="249" t="str">
        <f>_xlfn.IFNA(VLOOKUP(Ruimtestaat[[#This Row],[Programmacode
Regulier]],Programma!$F$4:$Y$36148,20,0),"_")</f>
        <v>5w</v>
      </c>
      <c r="BC102" s="250"/>
      <c r="BD102" s="212" t="str">
        <f>IF(Ruimtestaat[[#This Row],[Frequentie weekend]]="","",_xlfn.CONCAT(Ruimtestaat[[#This Row],[Ruimte code]],"-",Ruimtestaat[[#This Row],[Frequentie weekend]]," ",Ruimtestaat[[#This Row],[Vloer code]]))</f>
        <v/>
      </c>
      <c r="BE102" s="247" t="str">
        <f>_xlfn.IFNA(VLOOKUP(Ruimtestaat[[#This Row],[Code Weekend]],Programma!$F$4:$Y$36148,2,0),"_")</f>
        <v>_</v>
      </c>
      <c r="BF102" s="247" t="str">
        <f>_xlfn.IFNA(VLOOKUP(Ruimtestaat[[#This Row],[Code Weekend]],Programma!$F$4:$Y$36148,3,0),"_")</f>
        <v>_</v>
      </c>
      <c r="BG102" s="247" t="str">
        <f>_xlfn.IFNA(VLOOKUP(Ruimtestaat[[#This Row],[Code Weekend]],Programma!$F$4:$Y$36148,4,0),"_")</f>
        <v>_</v>
      </c>
      <c r="BH102" s="247" t="str">
        <f>_xlfn.IFNA(VLOOKUP(Ruimtestaat[[#This Row],[Code Weekend]],Programma!$F$4:$Y$36148,5,0),"_")</f>
        <v>_</v>
      </c>
      <c r="BI102" s="247" t="str">
        <f>_xlfn.IFNA(VLOOKUP(Ruimtestaat[[#This Row],[Code Weekend]],Programma!$F$4:$Y$36148,6,0),"_")</f>
        <v>_</v>
      </c>
      <c r="BJ102" s="247" t="str">
        <f>_xlfn.IFNA(VLOOKUP(Ruimtestaat[[#This Row],[Code Weekend]],Programma!$F$4:$Y$36148,7,0),"_")</f>
        <v>_</v>
      </c>
      <c r="BK102" s="247" t="str">
        <f>_xlfn.IFNA(VLOOKUP(Ruimtestaat[[#This Row],[Code Weekend]],Programma!$F$4:$Y$36148,8,0),"_")</f>
        <v>_</v>
      </c>
      <c r="BL102" s="247" t="str">
        <f>_xlfn.IFNA(VLOOKUP(Ruimtestaat[[#This Row],[Code Weekend]],Programma!$F$4:$Y$36148,9,0),"_")</f>
        <v>_</v>
      </c>
      <c r="BM102" s="248" t="str">
        <f>_xlfn.IFNA(VLOOKUP(Ruimtestaat[[#This Row],[Code Weekend]],Programma!$F$4:$Y$36148,10,0),"_")</f>
        <v>_</v>
      </c>
      <c r="BN102" s="248" t="str">
        <f>_xlfn.IFNA(VLOOKUP(Ruimtestaat[[#This Row],[Code Weekend]],Programma!$F$4:$Y$36148,11,0),"_")</f>
        <v>_</v>
      </c>
      <c r="BO102" s="248" t="str">
        <f>_xlfn.IFNA(VLOOKUP(Ruimtestaat[[#This Row],[Code Weekend]],Programma!$F$4:$Y$36148,12,0),"_")</f>
        <v>_</v>
      </c>
      <c r="BP102" s="248" t="str">
        <f>_xlfn.IFNA(VLOOKUP(Ruimtestaat[[#This Row],[Code Weekend]],Programma!$F$4:$Y$36148,13,0),"_")</f>
        <v>_</v>
      </c>
      <c r="BQ102" s="248" t="str">
        <f>_xlfn.IFNA(VLOOKUP(Ruimtestaat[[#This Row],[Code Weekend]],Programma!$F$4:$Y$36148,14,0),"_")</f>
        <v>_</v>
      </c>
      <c r="BR102" s="248" t="str">
        <f>_xlfn.IFNA(VLOOKUP(Ruimtestaat[[#This Row],[Code Weekend]],Programma!$F$4:$Y$36148,15,0),"_")</f>
        <v>_</v>
      </c>
      <c r="BS102" s="248" t="str">
        <f>_xlfn.IFNA(VLOOKUP(Ruimtestaat[[#This Row],[Code Weekend]],Programma!$F$4:$Y$36148,16,0),"_")</f>
        <v>_</v>
      </c>
      <c r="BT102" s="248" t="str">
        <f>_xlfn.IFNA(VLOOKUP(Ruimtestaat[[#This Row],[Code Weekend]],Programma!$F$4:$Y$36148,17,0),"_")</f>
        <v>_</v>
      </c>
      <c r="BU102" s="249" t="str">
        <f>_xlfn.IFNA(VLOOKUP(Ruimtestaat[[#This Row],[Code Weekend]],Programma!$F$4:$Y$36148,18,0),"_")</f>
        <v>_</v>
      </c>
      <c r="BV102" s="249" t="str">
        <f>_xlfn.IFNA(VLOOKUP(Ruimtestaat[[#This Row],[Code Weekend]],Programma!$F$4:$Y$36148,19,0),"_")</f>
        <v>_</v>
      </c>
      <c r="BW102" s="249" t="str">
        <f>_xlfn.IFNA(VLOOKUP(Ruimtestaat[[#This Row],[Code Weekend]],Programma!$F$4:$Y$36148,20,0),"_")</f>
        <v>_</v>
      </c>
      <c r="HK102" s="88"/>
    </row>
    <row r="103" spans="1:219" ht="12.75" customHeight="1">
      <c r="A103" s="131">
        <v>1</v>
      </c>
      <c r="B103" s="22" t="str">
        <f>VLOOKUP(Ruimtestaat[[#This Row],[Code]],Locaties[#All],2,FALSE)</f>
        <v>ESH Secondary School</v>
      </c>
      <c r="C103" s="22" t="str">
        <f>VLOOKUP(Ruimtestaat[[#This Row],[Code]],Locaties[#All],4,FALSE)</f>
        <v>Oostduinlaan 50</v>
      </c>
      <c r="D103" s="334" t="str">
        <f>VLOOKUP(Ruimtestaat[[#This Row],[Code]],Locaties[#All],5,FALSE)</f>
        <v>2596 JP</v>
      </c>
      <c r="E103" s="334" t="str">
        <f>VLOOKUP(Ruimtestaat[[#This Row],[Code]],Locaties[#All],6,FALSE)</f>
        <v>Den Haag</v>
      </c>
      <c r="F103" s="335"/>
      <c r="G103" s="334" t="s">
        <v>1611</v>
      </c>
      <c r="H103" s="334" t="s">
        <v>1549</v>
      </c>
      <c r="I103" s="335" t="s">
        <v>1395</v>
      </c>
      <c r="J103" s="328">
        <v>6</v>
      </c>
      <c r="K103" s="335" t="str">
        <f>VLOOKUP(J103,Ruimtegroepen[],2,FALSE)</f>
        <v>Gangen/hallen BG</v>
      </c>
      <c r="L103" s="212" t="s">
        <v>123</v>
      </c>
      <c r="M103" s="334" t="s">
        <v>144</v>
      </c>
      <c r="N103" s="337">
        <v>126</v>
      </c>
      <c r="O103" s="331"/>
      <c r="P103" s="332" t="str">
        <f>VLOOKUP(Ruimtestaat[[#This Row],[Ruimte code]],Ruimtegroepen[],4,FALSE)</f>
        <v>V  (Verkeersruimte)</v>
      </c>
      <c r="Q103" s="332"/>
      <c r="R103" s="333">
        <v>40</v>
      </c>
      <c r="S103" s="333" t="s">
        <v>2</v>
      </c>
      <c r="T103" s="37"/>
      <c r="U103" s="37">
        <f>IF(R103&gt;0,IF(RIGHT(Ruimtestaat[[#This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3" s="37">
        <f>IF(U103&gt;0,VLOOKUP($J103,Ruimtegroepen[],3,FALSE)*VLOOKUP($L103,Vloersoorten[],3,FALSE)*VLOOKUP($S103,Frequenties[],3,FALSE)*VLOOKUP($A103,Locaties[],3,FALSE),0)</f>
        <v>0</v>
      </c>
      <c r="W103" s="37">
        <f>Ruimtestaat[[#This Row],[Uitvoeringen werkdagen]]*Ruimtestaat[[#This Row],[Oppervlak (netto)]]</f>
        <v>25200</v>
      </c>
      <c r="X103" s="37">
        <f>IF(V103&gt;0,Ruimtestaat[[#This Row],[Prest. (m2 /jaar) werkdagen]]/Ruimtestaat[[#This Row],[Norm (m2/uur) werkdagen]],0)</f>
        <v>0</v>
      </c>
      <c r="Y103" s="37">
        <f>Ruimtestaat[[#This Row],[uren / jaar werkdagen]]*Tariefsopbouw!$D$38</f>
        <v>0</v>
      </c>
      <c r="Z103" s="37">
        <f>IF(Ruimtestaat[[#This Row],[Frequentie weekend]]&gt;0,VALUE(LEFT(T103,1))*R103,0)</f>
        <v>0</v>
      </c>
      <c r="AA103" s="37">
        <f>IF($Z103&gt;0,VLOOKUP($J103,Ruimtegroepen[],3,FALSE)*VLOOKUP($L103,Vloersoorten[],3,FALSE)*VLOOKUP($T103,Frequenties[],3,FALSE)*VLOOKUP($A103,Locaties[],3,FALSE),0)</f>
        <v>0</v>
      </c>
      <c r="AB103" s="37">
        <f>Ruimtestaat[[#This Row],[Uitvoeringen weekend]]*Ruimtestaat[[#This Row],[Oppervlak (netto)]]</f>
        <v>0</v>
      </c>
      <c r="AC103" s="37">
        <f>IF(AA103&gt;0,Ruimtestaat[[#This Row],[Prest. (m2 /jaar) weekend]]/Ruimtestaat[[#This Row],[Norm (m2/uur) weekend]],0)</f>
        <v>0</v>
      </c>
      <c r="AD103" s="37">
        <f>Ruimtestaat[[#This Row],[uren / jaar weekend]]*Tariefsopbouw!$D$40</f>
        <v>0</v>
      </c>
      <c r="AE103" s="89">
        <f>Ruimtestaat[[#This Row],[Prest. (m2 /jaar) weekend]]+Ruimtestaat[[#This Row],[Prest. (m2 /jaar) werkdagen]]</f>
        <v>25200</v>
      </c>
      <c r="AF103" s="89">
        <f>Ruimtestaat[[#This Row],[uren / jaar weekend]]+Ruimtestaat[[#This Row],[uren / jaar werkdagen]]</f>
        <v>0</v>
      </c>
      <c r="AG103" s="90">
        <f>Ruimtestaat[[#This Row],[kosten / jaar weekend]]+Ruimtestaat[[#This Row],[kosten / jaar werkdagen]]</f>
        <v>0</v>
      </c>
      <c r="AH103" s="253"/>
      <c r="AI103" s="252" t="str">
        <f>IF(Ruimtestaat[[#This Row],[Frequentie werkdagen]]="","",_xlfn.CONCAT(Ruimtestaat[[#This Row],[Ruimte code]],"-",Ruimtestaat[[#This Row],[Frequentie werkdagen]]," ",Ruimtestaat[[#This Row],[Vloer code]]))</f>
        <v>6-5w P</v>
      </c>
      <c r="AJ103" s="247" t="str">
        <f>_xlfn.IFNA(VLOOKUP(Ruimtestaat[[#This Row],[Programmacode
Regulier]],Programma!$F$4:$Y$36148,2,0),"_")</f>
        <v>_</v>
      </c>
      <c r="AK103" s="247" t="str">
        <f>_xlfn.IFNA(VLOOKUP(Ruimtestaat[[#This Row],[Programmacode
Regulier]],Programma!$F$4:$Y$36148,3,0),"_")</f>
        <v>_</v>
      </c>
      <c r="AL103" s="247" t="str">
        <f>_xlfn.IFNA(VLOOKUP(Ruimtestaat[[#This Row],[Programmacode
Regulier]],Programma!$F$4:$Y$36148,4,0),"_")</f>
        <v>5w</v>
      </c>
      <c r="AM103" s="247" t="str">
        <f>_xlfn.IFNA(VLOOKUP(Ruimtestaat[[#This Row],[Programmacode
Regulier]],Programma!$F$4:$Y$36148,5,0),"_")</f>
        <v>_</v>
      </c>
      <c r="AN103" s="247" t="str">
        <f>_xlfn.IFNA(VLOOKUP(Ruimtestaat[[#This Row],[Programmacode
Regulier]],Programma!$F$4:$Y$36148,6,0),"_")</f>
        <v>5w</v>
      </c>
      <c r="AO103" s="247" t="str">
        <f>_xlfn.IFNA(VLOOKUP(Ruimtestaat[[#This Row],[Programmacode
Regulier]],Programma!$F$4:$Y$36148,7,0),"_")</f>
        <v>_</v>
      </c>
      <c r="AP103" s="247" t="str">
        <f>_xlfn.IFNA(VLOOKUP(Ruimtestaat[[#This Row],[Programmacode
Regulier]],Programma!$F$4:$Y$36148,8,0),"_")</f>
        <v>_</v>
      </c>
      <c r="AQ103" s="247" t="str">
        <f>_xlfn.IFNA(VLOOKUP(Ruimtestaat[[#This Row],[Programmacode
Regulier]],Programma!$F$4:$Y$36148,9,0),"_")</f>
        <v>_</v>
      </c>
      <c r="AR103" s="248" t="str">
        <f>_xlfn.IFNA(VLOOKUP(Ruimtestaat[[#This Row],[Programmacode
Regulier]],Programma!$F$4:$Y$36148,10,0),"_")</f>
        <v>5w</v>
      </c>
      <c r="AS103" s="248" t="str">
        <f>_xlfn.IFNA(VLOOKUP(Ruimtestaat[[#This Row],[Programmacode
Regulier]],Programma!$F$4:$Y$36148,11,0),"_")</f>
        <v>5w</v>
      </c>
      <c r="AT103" s="248" t="str">
        <f>_xlfn.IFNA(VLOOKUP(Ruimtestaat[[#This Row],[Programmacode
Regulier]],Programma!$F$4:$Y$36148,12,0),"_")</f>
        <v>1w</v>
      </c>
      <c r="AU103" s="248" t="str">
        <f>_xlfn.IFNA(VLOOKUP(Ruimtestaat[[#This Row],[Programmacode
Regulier]],Programma!$F$4:$Y$36148,13,0),"_")</f>
        <v>1w</v>
      </c>
      <c r="AV103" s="248" t="str">
        <f>_xlfn.IFNA(VLOOKUP(Ruimtestaat[[#This Row],[Programmacode
Regulier]],Programma!$F$4:$Y$36148,14,0),"_")</f>
        <v>1m</v>
      </c>
      <c r="AW103" s="248" t="str">
        <f>_xlfn.IFNA(VLOOKUP(Ruimtestaat[[#This Row],[Programmacode
Regulier]],Programma!$F$4:$Y$36148,15,0),"_")</f>
        <v>2j</v>
      </c>
      <c r="AX103" s="248" t="str">
        <f>_xlfn.IFNA(VLOOKUP(Ruimtestaat[[#This Row],[Programmacode
Regulier]],Programma!$F$4:$Y$36148,16,0),"_")</f>
        <v>1j</v>
      </c>
      <c r="AY103" s="248" t="str">
        <f>_xlfn.IFNA(VLOOKUP(Ruimtestaat[[#This Row],[Programmacode
Regulier]],Programma!$F$4:$Y$36148,17,0),"_")</f>
        <v>_</v>
      </c>
      <c r="AZ103" s="249" t="str">
        <f>_xlfn.IFNA(VLOOKUP(Ruimtestaat[[#This Row],[Programmacode
Regulier]],Programma!$F$4:$Y$36148,18,0),"_")</f>
        <v>_</v>
      </c>
      <c r="BA103" s="249" t="str">
        <f>_xlfn.IFNA(VLOOKUP(Ruimtestaat[[#This Row],[Programmacode
Regulier]],Programma!$F$4:$Y$36148,19,0),"_")</f>
        <v>_</v>
      </c>
      <c r="BB103" s="249" t="str">
        <f>_xlfn.IFNA(VLOOKUP(Ruimtestaat[[#This Row],[Programmacode
Regulier]],Programma!$F$4:$Y$36148,20,0),"_")</f>
        <v>_</v>
      </c>
      <c r="BC103" s="250"/>
      <c r="BD103" s="212" t="str">
        <f>IF(Ruimtestaat[[#This Row],[Frequentie weekend]]="","",_xlfn.CONCAT(Ruimtestaat[[#This Row],[Ruimte code]],"-",Ruimtestaat[[#This Row],[Frequentie weekend]]," ",Ruimtestaat[[#This Row],[Vloer code]]))</f>
        <v/>
      </c>
      <c r="BE103" s="247" t="str">
        <f>_xlfn.IFNA(VLOOKUP(Ruimtestaat[[#This Row],[Code Weekend]],Programma!$F$4:$Y$36148,2,0),"_")</f>
        <v>_</v>
      </c>
      <c r="BF103" s="247" t="str">
        <f>_xlfn.IFNA(VLOOKUP(Ruimtestaat[[#This Row],[Code Weekend]],Programma!$F$4:$Y$36148,3,0),"_")</f>
        <v>_</v>
      </c>
      <c r="BG103" s="247" t="str">
        <f>_xlfn.IFNA(VLOOKUP(Ruimtestaat[[#This Row],[Code Weekend]],Programma!$F$4:$Y$36148,4,0),"_")</f>
        <v>_</v>
      </c>
      <c r="BH103" s="247" t="str">
        <f>_xlfn.IFNA(VLOOKUP(Ruimtestaat[[#This Row],[Code Weekend]],Programma!$F$4:$Y$36148,5,0),"_")</f>
        <v>_</v>
      </c>
      <c r="BI103" s="247" t="str">
        <f>_xlfn.IFNA(VLOOKUP(Ruimtestaat[[#This Row],[Code Weekend]],Programma!$F$4:$Y$36148,6,0),"_")</f>
        <v>_</v>
      </c>
      <c r="BJ103" s="247" t="str">
        <f>_xlfn.IFNA(VLOOKUP(Ruimtestaat[[#This Row],[Code Weekend]],Programma!$F$4:$Y$36148,7,0),"_")</f>
        <v>_</v>
      </c>
      <c r="BK103" s="247" t="str">
        <f>_xlfn.IFNA(VLOOKUP(Ruimtestaat[[#This Row],[Code Weekend]],Programma!$F$4:$Y$36148,8,0),"_")</f>
        <v>_</v>
      </c>
      <c r="BL103" s="247" t="str">
        <f>_xlfn.IFNA(VLOOKUP(Ruimtestaat[[#This Row],[Code Weekend]],Programma!$F$4:$Y$36148,9,0),"_")</f>
        <v>_</v>
      </c>
      <c r="BM103" s="248" t="str">
        <f>_xlfn.IFNA(VLOOKUP(Ruimtestaat[[#This Row],[Code Weekend]],Programma!$F$4:$Y$36148,10,0),"_")</f>
        <v>_</v>
      </c>
      <c r="BN103" s="248" t="str">
        <f>_xlfn.IFNA(VLOOKUP(Ruimtestaat[[#This Row],[Code Weekend]],Programma!$F$4:$Y$36148,11,0),"_")</f>
        <v>_</v>
      </c>
      <c r="BO103" s="248" t="str">
        <f>_xlfn.IFNA(VLOOKUP(Ruimtestaat[[#This Row],[Code Weekend]],Programma!$F$4:$Y$36148,12,0),"_")</f>
        <v>_</v>
      </c>
      <c r="BP103" s="248" t="str">
        <f>_xlfn.IFNA(VLOOKUP(Ruimtestaat[[#This Row],[Code Weekend]],Programma!$F$4:$Y$36148,13,0),"_")</f>
        <v>_</v>
      </c>
      <c r="BQ103" s="248" t="str">
        <f>_xlfn.IFNA(VLOOKUP(Ruimtestaat[[#This Row],[Code Weekend]],Programma!$F$4:$Y$36148,14,0),"_")</f>
        <v>_</v>
      </c>
      <c r="BR103" s="248" t="str">
        <f>_xlfn.IFNA(VLOOKUP(Ruimtestaat[[#This Row],[Code Weekend]],Programma!$F$4:$Y$36148,15,0),"_")</f>
        <v>_</v>
      </c>
      <c r="BS103" s="248" t="str">
        <f>_xlfn.IFNA(VLOOKUP(Ruimtestaat[[#This Row],[Code Weekend]],Programma!$F$4:$Y$36148,16,0),"_")</f>
        <v>_</v>
      </c>
      <c r="BT103" s="248" t="str">
        <f>_xlfn.IFNA(VLOOKUP(Ruimtestaat[[#This Row],[Code Weekend]],Programma!$F$4:$Y$36148,17,0),"_")</f>
        <v>_</v>
      </c>
      <c r="BU103" s="249" t="str">
        <f>_xlfn.IFNA(VLOOKUP(Ruimtestaat[[#This Row],[Code Weekend]],Programma!$F$4:$Y$36148,18,0),"_")</f>
        <v>_</v>
      </c>
      <c r="BV103" s="249" t="str">
        <f>_xlfn.IFNA(VLOOKUP(Ruimtestaat[[#This Row],[Code Weekend]],Programma!$F$4:$Y$36148,19,0),"_")</f>
        <v>_</v>
      </c>
      <c r="BW103" s="249" t="str">
        <f>_xlfn.IFNA(VLOOKUP(Ruimtestaat[[#This Row],[Code Weekend]],Programma!$F$4:$Y$36148,20,0),"_")</f>
        <v>_</v>
      </c>
      <c r="HK103" s="88"/>
    </row>
    <row r="104" spans="1:219" ht="12.75" customHeight="1">
      <c r="A104" s="131">
        <v>1</v>
      </c>
      <c r="B104" s="22" t="str">
        <f>VLOOKUP(Ruimtestaat[[#This Row],[Code]],Locaties[#All],2,FALSE)</f>
        <v>ESH Secondary School</v>
      </c>
      <c r="C104" s="22" t="str">
        <f>VLOOKUP(Ruimtestaat[[#This Row],[Code]],Locaties[#All],4,FALSE)</f>
        <v>Oostduinlaan 50</v>
      </c>
      <c r="D104" s="334" t="str">
        <f>VLOOKUP(Ruimtestaat[[#This Row],[Code]],Locaties[#All],5,FALSE)</f>
        <v>2596 JP</v>
      </c>
      <c r="E104" s="334" t="str">
        <f>VLOOKUP(Ruimtestaat[[#This Row],[Code]],Locaties[#All],6,FALSE)</f>
        <v>Den Haag</v>
      </c>
      <c r="F104" s="335"/>
      <c r="G104" s="334" t="s">
        <v>1611</v>
      </c>
      <c r="H104" s="334" t="s">
        <v>1550</v>
      </c>
      <c r="I104" s="335" t="s">
        <v>1516</v>
      </c>
      <c r="J104" s="328">
        <v>19</v>
      </c>
      <c r="K104" s="335" t="str">
        <f>VLOOKUP(J104,Ruimtegroepen[],2,FALSE)</f>
        <v>Kleedruimten</v>
      </c>
      <c r="L104" s="212" t="s">
        <v>122</v>
      </c>
      <c r="M104" s="334" t="s">
        <v>1764</v>
      </c>
      <c r="N104" s="337">
        <v>25</v>
      </c>
      <c r="O104" s="331"/>
      <c r="P104" s="332" t="str">
        <f>VLOOKUP(Ruimtestaat[[#This Row],[Ruimte code]],Ruimtegroepen[],4,FALSE)</f>
        <v>V  (Verkeersruimte)</v>
      </c>
      <c r="Q104" s="332"/>
      <c r="R104" s="333">
        <v>40</v>
      </c>
      <c r="S104" s="333" t="s">
        <v>2</v>
      </c>
      <c r="T104" s="37"/>
      <c r="U104" s="37">
        <f>IF(R104&gt;0,IF(RIGHT(Ruimtestaat[[#This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4" s="37">
        <f>IF(U104&gt;0,VLOOKUP($J104,Ruimtegroepen[],3,FALSE)*VLOOKUP($L104,Vloersoorten[],3,FALSE)*VLOOKUP($S104,Frequenties[],3,FALSE)*VLOOKUP($A104,Locaties[],3,FALSE),0)</f>
        <v>0</v>
      </c>
      <c r="W104" s="37">
        <f>Ruimtestaat[[#This Row],[Uitvoeringen werkdagen]]*Ruimtestaat[[#This Row],[Oppervlak (netto)]]</f>
        <v>5000</v>
      </c>
      <c r="X104" s="37">
        <f>IF(V104&gt;0,Ruimtestaat[[#This Row],[Prest. (m2 /jaar) werkdagen]]/Ruimtestaat[[#This Row],[Norm (m2/uur) werkdagen]],0)</f>
        <v>0</v>
      </c>
      <c r="Y104" s="37">
        <f>Ruimtestaat[[#This Row],[uren / jaar werkdagen]]*Tariefsopbouw!$D$38</f>
        <v>0</v>
      </c>
      <c r="Z104" s="37">
        <f>IF(Ruimtestaat[[#This Row],[Frequentie weekend]]&gt;0,VALUE(LEFT(T104,1))*R104,0)</f>
        <v>0</v>
      </c>
      <c r="AA104" s="37">
        <f>IF($Z104&gt;0,VLOOKUP($J104,Ruimtegroepen[],3,FALSE)*VLOOKUP($L104,Vloersoorten[],3,FALSE)*VLOOKUP($T104,Frequenties[],3,FALSE)*VLOOKUP($A104,Locaties[],3,FALSE),0)</f>
        <v>0</v>
      </c>
      <c r="AB104" s="37">
        <f>Ruimtestaat[[#This Row],[Uitvoeringen weekend]]*Ruimtestaat[[#This Row],[Oppervlak (netto)]]</f>
        <v>0</v>
      </c>
      <c r="AC104" s="37">
        <f>IF(AA104&gt;0,Ruimtestaat[[#This Row],[Prest. (m2 /jaar) weekend]]/Ruimtestaat[[#This Row],[Norm (m2/uur) weekend]],0)</f>
        <v>0</v>
      </c>
      <c r="AD104" s="37">
        <f>Ruimtestaat[[#This Row],[uren / jaar weekend]]*Tariefsopbouw!$D$40</f>
        <v>0</v>
      </c>
      <c r="AE104" s="89">
        <f>Ruimtestaat[[#This Row],[Prest. (m2 /jaar) weekend]]+Ruimtestaat[[#This Row],[Prest. (m2 /jaar) werkdagen]]</f>
        <v>5000</v>
      </c>
      <c r="AF104" s="89">
        <f>Ruimtestaat[[#This Row],[uren / jaar weekend]]+Ruimtestaat[[#This Row],[uren / jaar werkdagen]]</f>
        <v>0</v>
      </c>
      <c r="AG104" s="90">
        <f>Ruimtestaat[[#This Row],[kosten / jaar weekend]]+Ruimtestaat[[#This Row],[kosten / jaar werkdagen]]</f>
        <v>0</v>
      </c>
      <c r="AH104" s="253"/>
      <c r="AI104" s="252" t="str">
        <f>IF(Ruimtestaat[[#This Row],[Frequentie werkdagen]]="","",_xlfn.CONCAT(Ruimtestaat[[#This Row],[Ruimte code]],"-",Ruimtestaat[[#This Row],[Frequentie werkdagen]]," ",Ruimtestaat[[#This Row],[Vloer code]]))</f>
        <v>19-5w S</v>
      </c>
      <c r="AJ104" s="247" t="str">
        <f>_xlfn.IFNA(VLOOKUP(Ruimtestaat[[#This Row],[Programmacode
Regulier]],Programma!$F$4:$Y$36148,2,0),"_")</f>
        <v>_</v>
      </c>
      <c r="AK104" s="247" t="str">
        <f>_xlfn.IFNA(VLOOKUP(Ruimtestaat[[#This Row],[Programmacode
Regulier]],Programma!$F$4:$Y$36148,3,0),"_")</f>
        <v>_</v>
      </c>
      <c r="AL104" s="247" t="str">
        <f>_xlfn.IFNA(VLOOKUP(Ruimtestaat[[#This Row],[Programmacode
Regulier]],Programma!$F$4:$Y$36148,4,0),"_")</f>
        <v>5w</v>
      </c>
      <c r="AM104" s="247" t="str">
        <f>_xlfn.IFNA(VLOOKUP(Ruimtestaat[[#This Row],[Programmacode
Regulier]],Programma!$F$4:$Y$36148,5,0),"_")</f>
        <v>4w</v>
      </c>
      <c r="AN104" s="247" t="str">
        <f>_xlfn.IFNA(VLOOKUP(Ruimtestaat[[#This Row],[Programmacode
Regulier]],Programma!$F$4:$Y$36148,6,0),"_")</f>
        <v>1w</v>
      </c>
      <c r="AO104" s="247" t="str">
        <f>_xlfn.IFNA(VLOOKUP(Ruimtestaat[[#This Row],[Programmacode
Regulier]],Programma!$F$4:$Y$36148,7,0),"_")</f>
        <v>_</v>
      </c>
      <c r="AP104" s="247" t="str">
        <f>_xlfn.IFNA(VLOOKUP(Ruimtestaat[[#This Row],[Programmacode
Regulier]],Programma!$F$4:$Y$36148,8,0),"_")</f>
        <v>_</v>
      </c>
      <c r="AQ104" s="247" t="str">
        <f>_xlfn.IFNA(VLOOKUP(Ruimtestaat[[#This Row],[Programmacode
Regulier]],Programma!$F$4:$Y$36148,9,0),"_")</f>
        <v>_</v>
      </c>
      <c r="AR104" s="248" t="str">
        <f>_xlfn.IFNA(VLOOKUP(Ruimtestaat[[#This Row],[Programmacode
Regulier]],Programma!$F$4:$Y$36148,10,0),"_")</f>
        <v>_</v>
      </c>
      <c r="AS104" s="248" t="str">
        <f>_xlfn.IFNA(VLOOKUP(Ruimtestaat[[#This Row],[Programmacode
Regulier]],Programma!$F$4:$Y$36148,11,0),"_")</f>
        <v>_</v>
      </c>
      <c r="AT104" s="248" t="str">
        <f>_xlfn.IFNA(VLOOKUP(Ruimtestaat[[#This Row],[Programmacode
Regulier]],Programma!$F$4:$Y$36148,12,0),"_")</f>
        <v>_</v>
      </c>
      <c r="AU104" s="248" t="str">
        <f>_xlfn.IFNA(VLOOKUP(Ruimtestaat[[#This Row],[Programmacode
Regulier]],Programma!$F$4:$Y$36148,13,0),"_")</f>
        <v>5w</v>
      </c>
      <c r="AV104" s="248" t="str">
        <f>_xlfn.IFNA(VLOOKUP(Ruimtestaat[[#This Row],[Programmacode
Regulier]],Programma!$F$4:$Y$36148,14,0),"_")</f>
        <v>1w</v>
      </c>
      <c r="AW104" s="248" t="str">
        <f>_xlfn.IFNA(VLOOKUP(Ruimtestaat[[#This Row],[Programmacode
Regulier]],Programma!$F$4:$Y$36148,15,0),"_")</f>
        <v>_</v>
      </c>
      <c r="AX104" s="248" t="str">
        <f>_xlfn.IFNA(VLOOKUP(Ruimtestaat[[#This Row],[Programmacode
Regulier]],Programma!$F$4:$Y$36148,16,0),"_")</f>
        <v>_</v>
      </c>
      <c r="AY104" s="248" t="str">
        <f>_xlfn.IFNA(VLOOKUP(Ruimtestaat[[#This Row],[Programmacode
Regulier]],Programma!$F$4:$Y$36148,17,0),"_")</f>
        <v>_</v>
      </c>
      <c r="AZ104" s="249" t="str">
        <f>_xlfn.IFNA(VLOOKUP(Ruimtestaat[[#This Row],[Programmacode
Regulier]],Programma!$F$4:$Y$36148,18,0),"_")</f>
        <v>5w</v>
      </c>
      <c r="BA104" s="249" t="str">
        <f>_xlfn.IFNA(VLOOKUP(Ruimtestaat[[#This Row],[Programmacode
Regulier]],Programma!$F$4:$Y$36148,19,0),"_")</f>
        <v>1m</v>
      </c>
      <c r="BB104" s="249" t="str">
        <f>_xlfn.IFNA(VLOOKUP(Ruimtestaat[[#This Row],[Programmacode
Regulier]],Programma!$F$4:$Y$36148,20,0),"_")</f>
        <v>_</v>
      </c>
      <c r="BC104" s="250"/>
      <c r="BD104" s="212" t="str">
        <f>IF(Ruimtestaat[[#This Row],[Frequentie weekend]]="","",_xlfn.CONCAT(Ruimtestaat[[#This Row],[Ruimte code]],"-",Ruimtestaat[[#This Row],[Frequentie weekend]]," ",Ruimtestaat[[#This Row],[Vloer code]]))</f>
        <v/>
      </c>
      <c r="BE104" s="247" t="str">
        <f>_xlfn.IFNA(VLOOKUP(Ruimtestaat[[#This Row],[Code Weekend]],Programma!$F$4:$Y$36148,2,0),"_")</f>
        <v>_</v>
      </c>
      <c r="BF104" s="247" t="str">
        <f>_xlfn.IFNA(VLOOKUP(Ruimtestaat[[#This Row],[Code Weekend]],Programma!$F$4:$Y$36148,3,0),"_")</f>
        <v>_</v>
      </c>
      <c r="BG104" s="247" t="str">
        <f>_xlfn.IFNA(VLOOKUP(Ruimtestaat[[#This Row],[Code Weekend]],Programma!$F$4:$Y$36148,4,0),"_")</f>
        <v>_</v>
      </c>
      <c r="BH104" s="247" t="str">
        <f>_xlfn.IFNA(VLOOKUP(Ruimtestaat[[#This Row],[Code Weekend]],Programma!$F$4:$Y$36148,5,0),"_")</f>
        <v>_</v>
      </c>
      <c r="BI104" s="247" t="str">
        <f>_xlfn.IFNA(VLOOKUP(Ruimtestaat[[#This Row],[Code Weekend]],Programma!$F$4:$Y$36148,6,0),"_")</f>
        <v>_</v>
      </c>
      <c r="BJ104" s="247" t="str">
        <f>_xlfn.IFNA(VLOOKUP(Ruimtestaat[[#This Row],[Code Weekend]],Programma!$F$4:$Y$36148,7,0),"_")</f>
        <v>_</v>
      </c>
      <c r="BK104" s="247" t="str">
        <f>_xlfn.IFNA(VLOOKUP(Ruimtestaat[[#This Row],[Code Weekend]],Programma!$F$4:$Y$36148,8,0),"_")</f>
        <v>_</v>
      </c>
      <c r="BL104" s="247" t="str">
        <f>_xlfn.IFNA(VLOOKUP(Ruimtestaat[[#This Row],[Code Weekend]],Programma!$F$4:$Y$36148,9,0),"_")</f>
        <v>_</v>
      </c>
      <c r="BM104" s="248" t="str">
        <f>_xlfn.IFNA(VLOOKUP(Ruimtestaat[[#This Row],[Code Weekend]],Programma!$F$4:$Y$36148,10,0),"_")</f>
        <v>_</v>
      </c>
      <c r="BN104" s="248" t="str">
        <f>_xlfn.IFNA(VLOOKUP(Ruimtestaat[[#This Row],[Code Weekend]],Programma!$F$4:$Y$36148,11,0),"_")</f>
        <v>_</v>
      </c>
      <c r="BO104" s="248" t="str">
        <f>_xlfn.IFNA(VLOOKUP(Ruimtestaat[[#This Row],[Code Weekend]],Programma!$F$4:$Y$36148,12,0),"_")</f>
        <v>_</v>
      </c>
      <c r="BP104" s="248" t="str">
        <f>_xlfn.IFNA(VLOOKUP(Ruimtestaat[[#This Row],[Code Weekend]],Programma!$F$4:$Y$36148,13,0),"_")</f>
        <v>_</v>
      </c>
      <c r="BQ104" s="248" t="str">
        <f>_xlfn.IFNA(VLOOKUP(Ruimtestaat[[#This Row],[Code Weekend]],Programma!$F$4:$Y$36148,14,0),"_")</f>
        <v>_</v>
      </c>
      <c r="BR104" s="248" t="str">
        <f>_xlfn.IFNA(VLOOKUP(Ruimtestaat[[#This Row],[Code Weekend]],Programma!$F$4:$Y$36148,15,0),"_")</f>
        <v>_</v>
      </c>
      <c r="BS104" s="248" t="str">
        <f>_xlfn.IFNA(VLOOKUP(Ruimtestaat[[#This Row],[Code Weekend]],Programma!$F$4:$Y$36148,16,0),"_")</f>
        <v>_</v>
      </c>
      <c r="BT104" s="248" t="str">
        <f>_xlfn.IFNA(VLOOKUP(Ruimtestaat[[#This Row],[Code Weekend]],Programma!$F$4:$Y$36148,17,0),"_")</f>
        <v>_</v>
      </c>
      <c r="BU104" s="249" t="str">
        <f>_xlfn.IFNA(VLOOKUP(Ruimtestaat[[#This Row],[Code Weekend]],Programma!$F$4:$Y$36148,18,0),"_")</f>
        <v>_</v>
      </c>
      <c r="BV104" s="249" t="str">
        <f>_xlfn.IFNA(VLOOKUP(Ruimtestaat[[#This Row],[Code Weekend]],Programma!$F$4:$Y$36148,19,0),"_")</f>
        <v>_</v>
      </c>
      <c r="BW104" s="249" t="str">
        <f>_xlfn.IFNA(VLOOKUP(Ruimtestaat[[#This Row],[Code Weekend]],Programma!$F$4:$Y$36148,20,0),"_")</f>
        <v>_</v>
      </c>
      <c r="HK104" s="88"/>
    </row>
    <row r="105" spans="1:219" ht="12.75" customHeight="1">
      <c r="A105" s="130">
        <v>1</v>
      </c>
      <c r="B105" s="22" t="str">
        <f>VLOOKUP(Ruimtestaat[[#This Row],[Code]],Locaties[#All],2,FALSE)</f>
        <v>ESH Secondary School</v>
      </c>
      <c r="C105" s="22" t="str">
        <f>VLOOKUP(Ruimtestaat[[#This Row],[Code]],Locaties[#All],4,FALSE)</f>
        <v>Oostduinlaan 50</v>
      </c>
      <c r="D105" s="334" t="str">
        <f>VLOOKUP(Ruimtestaat[[#This Row],[Code]],Locaties[#All],5,FALSE)</f>
        <v>2596 JP</v>
      </c>
      <c r="E105" s="334" t="str">
        <f>VLOOKUP(Ruimtestaat[[#This Row],[Code]],Locaties[#All],6,FALSE)</f>
        <v>Den Haag</v>
      </c>
      <c r="F105" s="335"/>
      <c r="G105" s="334" t="s">
        <v>1611</v>
      </c>
      <c r="H105" s="334" t="s">
        <v>1551</v>
      </c>
      <c r="I105" s="335" t="s">
        <v>1517</v>
      </c>
      <c r="J105" s="328">
        <v>5</v>
      </c>
      <c r="K105" s="335" t="str">
        <f>VLOOKUP(J105,Ruimtegroepen[],2,FALSE)</f>
        <v>Sanitair</v>
      </c>
      <c r="L105" s="212" t="s">
        <v>122</v>
      </c>
      <c r="M105" s="334" t="s">
        <v>1764</v>
      </c>
      <c r="N105" s="337">
        <v>4</v>
      </c>
      <c r="O105" s="331"/>
      <c r="P105" s="332" t="str">
        <f>VLOOKUP(Ruimtestaat[[#This Row],[Ruimte code]],Ruimtegroepen[],4,FALSE)</f>
        <v>S  (Sanitair)</v>
      </c>
      <c r="Q105" s="332"/>
      <c r="R105" s="333">
        <v>40</v>
      </c>
      <c r="S105" s="333" t="s">
        <v>19</v>
      </c>
      <c r="T105" s="37"/>
      <c r="U105" s="37">
        <f>IF(R105&gt;0,IF(RIGHT(Ruimtestaat[[#This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105" s="37">
        <f>IF(U105&gt;0,VLOOKUP($J105,Ruimtegroepen[],3,FALSE)*VLOOKUP($L105,Vloersoorten[],3,FALSE)*VLOOKUP($S105,Frequenties[],3,FALSE)*VLOOKUP($A105,Locaties[],3,FALSE),0)</f>
        <v>0</v>
      </c>
      <c r="W105" s="37">
        <f>Ruimtestaat[[#This Row],[Uitvoeringen werkdagen]]*Ruimtestaat[[#This Row],[Oppervlak (netto)]]</f>
        <v>1600</v>
      </c>
      <c r="X105" s="37">
        <f>IF(V105&gt;0,Ruimtestaat[[#This Row],[Prest. (m2 /jaar) werkdagen]]/Ruimtestaat[[#This Row],[Norm (m2/uur) werkdagen]],0)</f>
        <v>0</v>
      </c>
      <c r="Y105" s="37">
        <f>Ruimtestaat[[#This Row],[uren / jaar werkdagen]]*Tariefsopbouw!$D$38</f>
        <v>0</v>
      </c>
      <c r="Z105" s="37">
        <f>IF(Ruimtestaat[[#This Row],[Frequentie weekend]]&gt;0,VALUE(LEFT(T105,1))*R105,0)</f>
        <v>0</v>
      </c>
      <c r="AA105" s="37">
        <f>IF($Z105&gt;0,VLOOKUP($J105,Ruimtegroepen[],3,FALSE)*VLOOKUP($L105,Vloersoorten[],3,FALSE)*VLOOKUP($T105,Frequenties[],3,FALSE)*VLOOKUP($A105,Locaties[],3,FALSE),0)</f>
        <v>0</v>
      </c>
      <c r="AB105" s="37">
        <f>Ruimtestaat[[#This Row],[Uitvoeringen weekend]]*Ruimtestaat[[#This Row],[Oppervlak (netto)]]</f>
        <v>0</v>
      </c>
      <c r="AC105" s="37">
        <f>IF(AA105&gt;0,Ruimtestaat[[#This Row],[Prest. (m2 /jaar) weekend]]/Ruimtestaat[[#This Row],[Norm (m2/uur) weekend]],0)</f>
        <v>0</v>
      </c>
      <c r="AD105" s="37">
        <f>Ruimtestaat[[#This Row],[uren / jaar weekend]]*Tariefsopbouw!$D$40</f>
        <v>0</v>
      </c>
      <c r="AE105" s="89">
        <f>Ruimtestaat[[#This Row],[Prest. (m2 /jaar) weekend]]+Ruimtestaat[[#This Row],[Prest. (m2 /jaar) werkdagen]]</f>
        <v>1600</v>
      </c>
      <c r="AF105" s="89">
        <f>Ruimtestaat[[#This Row],[uren / jaar weekend]]+Ruimtestaat[[#This Row],[uren / jaar werkdagen]]</f>
        <v>0</v>
      </c>
      <c r="AG105" s="90">
        <f>Ruimtestaat[[#This Row],[kosten / jaar weekend]]+Ruimtestaat[[#This Row],[kosten / jaar werkdagen]]</f>
        <v>0</v>
      </c>
      <c r="AH105" s="253"/>
      <c r="AI105" s="252" t="str">
        <f>IF(Ruimtestaat[[#This Row],[Frequentie werkdagen]]="","",_xlfn.CONCAT(Ruimtestaat[[#This Row],[Ruimte code]],"-",Ruimtestaat[[#This Row],[Frequentie werkdagen]]," ",Ruimtestaat[[#This Row],[Vloer code]]))</f>
        <v>5-10w S</v>
      </c>
      <c r="AJ105" s="247" t="str">
        <f>_xlfn.IFNA(VLOOKUP(Ruimtestaat[[#This Row],[Programmacode
Regulier]],Programma!$F$4:$Y$36148,2,0),"_")</f>
        <v>_</v>
      </c>
      <c r="AK105" s="247" t="str">
        <f>_xlfn.IFNA(VLOOKUP(Ruimtestaat[[#This Row],[Programmacode
Regulier]],Programma!$F$4:$Y$36148,3,0),"_")</f>
        <v>_</v>
      </c>
      <c r="AL105" s="247" t="str">
        <f>_xlfn.IFNA(VLOOKUP(Ruimtestaat[[#This Row],[Programmacode
Regulier]],Programma!$F$4:$Y$36148,4,0),"_")</f>
        <v>_</v>
      </c>
      <c r="AM105" s="247" t="str">
        <f>_xlfn.IFNA(VLOOKUP(Ruimtestaat[[#This Row],[Programmacode
Regulier]],Programma!$F$4:$Y$36148,5,0),"_")</f>
        <v>4w</v>
      </c>
      <c r="AN105" s="247" t="str">
        <f>_xlfn.IFNA(VLOOKUP(Ruimtestaat[[#This Row],[Programmacode
Regulier]],Programma!$F$4:$Y$36148,6,0),"_")</f>
        <v>1w</v>
      </c>
      <c r="AO105" s="247" t="str">
        <f>_xlfn.IFNA(VLOOKUP(Ruimtestaat[[#This Row],[Programmacode
Regulier]],Programma!$F$4:$Y$36148,7,0),"_")</f>
        <v>_</v>
      </c>
      <c r="AP105" s="247" t="str">
        <f>_xlfn.IFNA(VLOOKUP(Ruimtestaat[[#This Row],[Programmacode
Regulier]],Programma!$F$4:$Y$36148,8,0),"_")</f>
        <v>_</v>
      </c>
      <c r="AQ105" s="247" t="str">
        <f>_xlfn.IFNA(VLOOKUP(Ruimtestaat[[#This Row],[Programmacode
Regulier]],Programma!$F$4:$Y$36148,9,0),"_")</f>
        <v>5w</v>
      </c>
      <c r="AR105" s="248" t="str">
        <f>_xlfn.IFNA(VLOOKUP(Ruimtestaat[[#This Row],[Programmacode
Regulier]],Programma!$F$4:$Y$36148,10,0),"_")</f>
        <v>_</v>
      </c>
      <c r="AS105" s="248" t="str">
        <f>_xlfn.IFNA(VLOOKUP(Ruimtestaat[[#This Row],[Programmacode
Regulier]],Programma!$F$4:$Y$36148,11,0),"_")</f>
        <v>_</v>
      </c>
      <c r="AT105" s="248" t="str">
        <f>_xlfn.IFNA(VLOOKUP(Ruimtestaat[[#This Row],[Programmacode
Regulier]],Programma!$F$4:$Y$36148,12,0),"_")</f>
        <v>_</v>
      </c>
      <c r="AU105" s="248" t="str">
        <f>_xlfn.IFNA(VLOOKUP(Ruimtestaat[[#This Row],[Programmacode
Regulier]],Programma!$F$4:$Y$36148,13,0),"_")</f>
        <v>_</v>
      </c>
      <c r="AV105" s="248" t="str">
        <f>_xlfn.IFNA(VLOOKUP(Ruimtestaat[[#This Row],[Programmacode
Regulier]],Programma!$F$4:$Y$36148,14,0),"_")</f>
        <v>_</v>
      </c>
      <c r="AW105" s="248" t="str">
        <f>_xlfn.IFNA(VLOOKUP(Ruimtestaat[[#This Row],[Programmacode
Regulier]],Programma!$F$4:$Y$36148,15,0),"_")</f>
        <v>_</v>
      </c>
      <c r="AX105" s="248" t="str">
        <f>_xlfn.IFNA(VLOOKUP(Ruimtestaat[[#This Row],[Programmacode
Regulier]],Programma!$F$4:$Y$36148,16,0),"_")</f>
        <v>_</v>
      </c>
      <c r="AY105" s="248" t="str">
        <f>_xlfn.IFNA(VLOOKUP(Ruimtestaat[[#This Row],[Programmacode
Regulier]],Programma!$F$4:$Y$36148,17,0),"_")</f>
        <v>_</v>
      </c>
      <c r="AZ105" s="249" t="str">
        <f>_xlfn.IFNA(VLOOKUP(Ruimtestaat[[#This Row],[Programmacode
Regulier]],Programma!$F$4:$Y$36148,18,0),"_")</f>
        <v>4w</v>
      </c>
      <c r="BA105" s="249" t="str">
        <f>_xlfn.IFNA(VLOOKUP(Ruimtestaat[[#This Row],[Programmacode
Regulier]],Programma!$F$4:$Y$36148,19,0),"_")</f>
        <v>1w</v>
      </c>
      <c r="BB105" s="249" t="str">
        <f>_xlfn.IFNA(VLOOKUP(Ruimtestaat[[#This Row],[Programmacode
Regulier]],Programma!$F$4:$Y$36148,20,0),"_")</f>
        <v>5w</v>
      </c>
      <c r="BC105" s="250"/>
      <c r="BD105" s="212" t="str">
        <f>IF(Ruimtestaat[[#This Row],[Frequentie weekend]]="","",_xlfn.CONCAT(Ruimtestaat[[#This Row],[Ruimte code]],"-",Ruimtestaat[[#This Row],[Frequentie weekend]]," ",Ruimtestaat[[#This Row],[Vloer code]]))</f>
        <v/>
      </c>
      <c r="BE105" s="247" t="str">
        <f>_xlfn.IFNA(VLOOKUP(Ruimtestaat[[#This Row],[Code Weekend]],Programma!$F$4:$Y$36148,2,0),"_")</f>
        <v>_</v>
      </c>
      <c r="BF105" s="247" t="str">
        <f>_xlfn.IFNA(VLOOKUP(Ruimtestaat[[#This Row],[Code Weekend]],Programma!$F$4:$Y$36148,3,0),"_")</f>
        <v>_</v>
      </c>
      <c r="BG105" s="247" t="str">
        <f>_xlfn.IFNA(VLOOKUP(Ruimtestaat[[#This Row],[Code Weekend]],Programma!$F$4:$Y$36148,4,0),"_")</f>
        <v>_</v>
      </c>
      <c r="BH105" s="247" t="str">
        <f>_xlfn.IFNA(VLOOKUP(Ruimtestaat[[#This Row],[Code Weekend]],Programma!$F$4:$Y$36148,5,0),"_")</f>
        <v>_</v>
      </c>
      <c r="BI105" s="247" t="str">
        <f>_xlfn.IFNA(VLOOKUP(Ruimtestaat[[#This Row],[Code Weekend]],Programma!$F$4:$Y$36148,6,0),"_")</f>
        <v>_</v>
      </c>
      <c r="BJ105" s="247" t="str">
        <f>_xlfn.IFNA(VLOOKUP(Ruimtestaat[[#This Row],[Code Weekend]],Programma!$F$4:$Y$36148,7,0),"_")</f>
        <v>_</v>
      </c>
      <c r="BK105" s="247" t="str">
        <f>_xlfn.IFNA(VLOOKUP(Ruimtestaat[[#This Row],[Code Weekend]],Programma!$F$4:$Y$36148,8,0),"_")</f>
        <v>_</v>
      </c>
      <c r="BL105" s="247" t="str">
        <f>_xlfn.IFNA(VLOOKUP(Ruimtestaat[[#This Row],[Code Weekend]],Programma!$F$4:$Y$36148,9,0),"_")</f>
        <v>_</v>
      </c>
      <c r="BM105" s="248" t="str">
        <f>_xlfn.IFNA(VLOOKUP(Ruimtestaat[[#This Row],[Code Weekend]],Programma!$F$4:$Y$36148,10,0),"_")</f>
        <v>_</v>
      </c>
      <c r="BN105" s="248" t="str">
        <f>_xlfn.IFNA(VLOOKUP(Ruimtestaat[[#This Row],[Code Weekend]],Programma!$F$4:$Y$36148,11,0),"_")</f>
        <v>_</v>
      </c>
      <c r="BO105" s="248" t="str">
        <f>_xlfn.IFNA(VLOOKUP(Ruimtestaat[[#This Row],[Code Weekend]],Programma!$F$4:$Y$36148,12,0),"_")</f>
        <v>_</v>
      </c>
      <c r="BP105" s="248" t="str">
        <f>_xlfn.IFNA(VLOOKUP(Ruimtestaat[[#This Row],[Code Weekend]],Programma!$F$4:$Y$36148,13,0),"_")</f>
        <v>_</v>
      </c>
      <c r="BQ105" s="248" t="str">
        <f>_xlfn.IFNA(VLOOKUP(Ruimtestaat[[#This Row],[Code Weekend]],Programma!$F$4:$Y$36148,14,0),"_")</f>
        <v>_</v>
      </c>
      <c r="BR105" s="248" t="str">
        <f>_xlfn.IFNA(VLOOKUP(Ruimtestaat[[#This Row],[Code Weekend]],Programma!$F$4:$Y$36148,15,0),"_")</f>
        <v>_</v>
      </c>
      <c r="BS105" s="248" t="str">
        <f>_xlfn.IFNA(VLOOKUP(Ruimtestaat[[#This Row],[Code Weekend]],Programma!$F$4:$Y$36148,16,0),"_")</f>
        <v>_</v>
      </c>
      <c r="BT105" s="248" t="str">
        <f>_xlfn.IFNA(VLOOKUP(Ruimtestaat[[#This Row],[Code Weekend]],Programma!$F$4:$Y$36148,17,0),"_")</f>
        <v>_</v>
      </c>
      <c r="BU105" s="249" t="str">
        <f>_xlfn.IFNA(VLOOKUP(Ruimtestaat[[#This Row],[Code Weekend]],Programma!$F$4:$Y$36148,18,0),"_")</f>
        <v>_</v>
      </c>
      <c r="BV105" s="249" t="str">
        <f>_xlfn.IFNA(VLOOKUP(Ruimtestaat[[#This Row],[Code Weekend]],Programma!$F$4:$Y$36148,19,0),"_")</f>
        <v>_</v>
      </c>
      <c r="BW105" s="249" t="str">
        <f>_xlfn.IFNA(VLOOKUP(Ruimtestaat[[#This Row],[Code Weekend]],Programma!$F$4:$Y$36148,20,0),"_")</f>
        <v>_</v>
      </c>
      <c r="HK105" s="88"/>
    </row>
    <row r="106" spans="1:219" ht="12.75" customHeight="1">
      <c r="A106" s="130">
        <v>1</v>
      </c>
      <c r="B106" s="22" t="str">
        <f>VLOOKUP(Ruimtestaat[[#This Row],[Code]],Locaties[#All],2,FALSE)</f>
        <v>ESH Secondary School</v>
      </c>
      <c r="C106" s="22" t="str">
        <f>VLOOKUP(Ruimtestaat[[#This Row],[Code]],Locaties[#All],4,FALSE)</f>
        <v>Oostduinlaan 50</v>
      </c>
      <c r="D106" s="334" t="str">
        <f>VLOOKUP(Ruimtestaat[[#This Row],[Code]],Locaties[#All],5,FALSE)</f>
        <v>2596 JP</v>
      </c>
      <c r="E106" s="334" t="str">
        <f>VLOOKUP(Ruimtestaat[[#This Row],[Code]],Locaties[#All],6,FALSE)</f>
        <v>Den Haag</v>
      </c>
      <c r="F106" s="335"/>
      <c r="G106" s="334" t="s">
        <v>1611</v>
      </c>
      <c r="H106" s="334" t="s">
        <v>1552</v>
      </c>
      <c r="I106" s="335" t="s">
        <v>78</v>
      </c>
      <c r="J106" s="328">
        <v>18</v>
      </c>
      <c r="K106" s="335" t="str">
        <f>VLOOKUP(J106,Ruimtegroepen[],2,FALSE)</f>
        <v>Gymzaal</v>
      </c>
      <c r="L106" s="212" t="s">
        <v>123</v>
      </c>
      <c r="M106" s="334" t="s">
        <v>1767</v>
      </c>
      <c r="N106" s="337">
        <v>165</v>
      </c>
      <c r="O106" s="331"/>
      <c r="P106" s="332" t="str">
        <f>VLOOKUP(Ruimtestaat[[#This Row],[Ruimte code]],Ruimtegroepen[],4,FALSE)</f>
        <v>Sp  (Sportruimte)</v>
      </c>
      <c r="Q106" s="332"/>
      <c r="R106" s="333">
        <v>40</v>
      </c>
      <c r="S106" s="333" t="s">
        <v>2</v>
      </c>
      <c r="T106" s="37"/>
      <c r="U106" s="37">
        <f>IF(R106&gt;0,IF(RIGHT(Ruimtestaat[[#This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6" s="37">
        <f>IF(U106&gt;0,VLOOKUP($J106,Ruimtegroepen[],3,FALSE)*VLOOKUP($L106,Vloersoorten[],3,FALSE)*VLOOKUP($S106,Frequenties[],3,FALSE)*VLOOKUP($A106,Locaties[],3,FALSE),0)</f>
        <v>0</v>
      </c>
      <c r="W106" s="37">
        <f>Ruimtestaat[[#This Row],[Uitvoeringen werkdagen]]*Ruimtestaat[[#This Row],[Oppervlak (netto)]]</f>
        <v>33000</v>
      </c>
      <c r="X106" s="37">
        <f>IF(V106&gt;0,Ruimtestaat[[#This Row],[Prest. (m2 /jaar) werkdagen]]/Ruimtestaat[[#This Row],[Norm (m2/uur) werkdagen]],0)</f>
        <v>0</v>
      </c>
      <c r="Y106" s="37">
        <f>Ruimtestaat[[#This Row],[uren / jaar werkdagen]]*Tariefsopbouw!$D$38</f>
        <v>0</v>
      </c>
      <c r="Z106" s="37">
        <f>IF(Ruimtestaat[[#This Row],[Frequentie weekend]]&gt;0,VALUE(LEFT(T106,1))*R106,0)</f>
        <v>0</v>
      </c>
      <c r="AA106" s="37">
        <f>IF($Z106&gt;0,VLOOKUP($J106,Ruimtegroepen[],3,FALSE)*VLOOKUP($L106,Vloersoorten[],3,FALSE)*VLOOKUP($T106,Frequenties[],3,FALSE)*VLOOKUP($A106,Locaties[],3,FALSE),0)</f>
        <v>0</v>
      </c>
      <c r="AB106" s="37">
        <f>Ruimtestaat[[#This Row],[Uitvoeringen weekend]]*Ruimtestaat[[#This Row],[Oppervlak (netto)]]</f>
        <v>0</v>
      </c>
      <c r="AC106" s="37">
        <f>IF(AA106&gt;0,Ruimtestaat[[#This Row],[Prest. (m2 /jaar) weekend]]/Ruimtestaat[[#This Row],[Norm (m2/uur) weekend]],0)</f>
        <v>0</v>
      </c>
      <c r="AD106" s="37">
        <f>Ruimtestaat[[#This Row],[uren / jaar weekend]]*Tariefsopbouw!$D$40</f>
        <v>0</v>
      </c>
      <c r="AE106" s="89">
        <f>Ruimtestaat[[#This Row],[Prest. (m2 /jaar) weekend]]+Ruimtestaat[[#This Row],[Prest. (m2 /jaar) werkdagen]]</f>
        <v>33000</v>
      </c>
      <c r="AF106" s="89">
        <f>Ruimtestaat[[#This Row],[uren / jaar weekend]]+Ruimtestaat[[#This Row],[uren / jaar werkdagen]]</f>
        <v>0</v>
      </c>
      <c r="AG106" s="90">
        <f>Ruimtestaat[[#This Row],[kosten / jaar weekend]]+Ruimtestaat[[#This Row],[kosten / jaar werkdagen]]</f>
        <v>0</v>
      </c>
      <c r="AH106" s="253"/>
      <c r="AI106" s="252" t="str">
        <f>IF(Ruimtestaat[[#This Row],[Frequentie werkdagen]]="","",_xlfn.CONCAT(Ruimtestaat[[#This Row],[Ruimte code]],"-",Ruimtestaat[[#This Row],[Frequentie werkdagen]]," ",Ruimtestaat[[#This Row],[Vloer code]]))</f>
        <v>18-5w P</v>
      </c>
      <c r="AJ106" s="247" t="str">
        <f>_xlfn.IFNA(VLOOKUP(Ruimtestaat[[#This Row],[Programmacode
Regulier]],Programma!$F$4:$Y$36148,2,0),"_")</f>
        <v>_</v>
      </c>
      <c r="AK106" s="247" t="str">
        <f>_xlfn.IFNA(VLOOKUP(Ruimtestaat[[#This Row],[Programmacode
Regulier]],Programma!$F$4:$Y$36148,3,0),"_")</f>
        <v>_</v>
      </c>
      <c r="AL106" s="247" t="str">
        <f>_xlfn.IFNA(VLOOKUP(Ruimtestaat[[#This Row],[Programmacode
Regulier]],Programma!$F$4:$Y$36148,4,0),"_")</f>
        <v>5w</v>
      </c>
      <c r="AM106" s="247" t="str">
        <f>_xlfn.IFNA(VLOOKUP(Ruimtestaat[[#This Row],[Programmacode
Regulier]],Programma!$F$4:$Y$36148,5,0),"_")</f>
        <v>4w</v>
      </c>
      <c r="AN106" s="247" t="str">
        <f>_xlfn.IFNA(VLOOKUP(Ruimtestaat[[#This Row],[Programmacode
Regulier]],Programma!$F$4:$Y$36148,6,0),"_")</f>
        <v>1w</v>
      </c>
      <c r="AO106" s="247" t="str">
        <f>_xlfn.IFNA(VLOOKUP(Ruimtestaat[[#This Row],[Programmacode
Regulier]],Programma!$F$4:$Y$36148,7,0),"_")</f>
        <v>_</v>
      </c>
      <c r="AP106" s="247" t="str">
        <f>_xlfn.IFNA(VLOOKUP(Ruimtestaat[[#This Row],[Programmacode
Regulier]],Programma!$F$4:$Y$36148,8,0),"_")</f>
        <v>_</v>
      </c>
      <c r="AQ106" s="247" t="str">
        <f>_xlfn.IFNA(VLOOKUP(Ruimtestaat[[#This Row],[Programmacode
Regulier]],Programma!$F$4:$Y$36148,9,0),"_")</f>
        <v>_</v>
      </c>
      <c r="AR106" s="248" t="str">
        <f>_xlfn.IFNA(VLOOKUP(Ruimtestaat[[#This Row],[Programmacode
Regulier]],Programma!$F$4:$Y$36148,10,0),"_")</f>
        <v>5w</v>
      </c>
      <c r="AS106" s="248" t="str">
        <f>_xlfn.IFNA(VLOOKUP(Ruimtestaat[[#This Row],[Programmacode
Regulier]],Programma!$F$4:$Y$36148,11,0),"_")</f>
        <v>5w</v>
      </c>
      <c r="AT106" s="248" t="str">
        <f>_xlfn.IFNA(VLOOKUP(Ruimtestaat[[#This Row],[Programmacode
Regulier]],Programma!$F$4:$Y$36148,12,0),"_")</f>
        <v>1w</v>
      </c>
      <c r="AU106" s="248" t="str">
        <f>_xlfn.IFNA(VLOOKUP(Ruimtestaat[[#This Row],[Programmacode
Regulier]],Programma!$F$4:$Y$36148,13,0),"_")</f>
        <v>1w</v>
      </c>
      <c r="AV106" s="248" t="str">
        <f>_xlfn.IFNA(VLOOKUP(Ruimtestaat[[#This Row],[Programmacode
Regulier]],Programma!$F$4:$Y$36148,14,0),"_")</f>
        <v>1m</v>
      </c>
      <c r="AW106" s="248" t="str">
        <f>_xlfn.IFNA(VLOOKUP(Ruimtestaat[[#This Row],[Programmacode
Regulier]],Programma!$F$4:$Y$36148,15,0),"_")</f>
        <v>2j</v>
      </c>
      <c r="AX106" s="248" t="str">
        <f>_xlfn.IFNA(VLOOKUP(Ruimtestaat[[#This Row],[Programmacode
Regulier]],Programma!$F$4:$Y$36148,16,0),"_")</f>
        <v>1j</v>
      </c>
      <c r="AY106" s="248" t="str">
        <f>_xlfn.IFNA(VLOOKUP(Ruimtestaat[[#This Row],[Programmacode
Regulier]],Programma!$F$4:$Y$36148,17,0),"_")</f>
        <v>_</v>
      </c>
      <c r="AZ106" s="249" t="str">
        <f>_xlfn.IFNA(VLOOKUP(Ruimtestaat[[#This Row],[Programmacode
Regulier]],Programma!$F$4:$Y$36148,18,0),"_")</f>
        <v>_</v>
      </c>
      <c r="BA106" s="249" t="str">
        <f>_xlfn.IFNA(VLOOKUP(Ruimtestaat[[#This Row],[Programmacode
Regulier]],Programma!$F$4:$Y$36148,19,0),"_")</f>
        <v>_</v>
      </c>
      <c r="BB106" s="249" t="str">
        <f>_xlfn.IFNA(VLOOKUP(Ruimtestaat[[#This Row],[Programmacode
Regulier]],Programma!$F$4:$Y$36148,20,0),"_")</f>
        <v>_</v>
      </c>
      <c r="BC106" s="250"/>
      <c r="BD106" s="212" t="str">
        <f>IF(Ruimtestaat[[#This Row],[Frequentie weekend]]="","",_xlfn.CONCAT(Ruimtestaat[[#This Row],[Ruimte code]],"-",Ruimtestaat[[#This Row],[Frequentie weekend]]," ",Ruimtestaat[[#This Row],[Vloer code]]))</f>
        <v/>
      </c>
      <c r="BE106" s="247" t="str">
        <f>_xlfn.IFNA(VLOOKUP(Ruimtestaat[[#This Row],[Code Weekend]],Programma!$F$4:$Y$36148,2,0),"_")</f>
        <v>_</v>
      </c>
      <c r="BF106" s="247" t="str">
        <f>_xlfn.IFNA(VLOOKUP(Ruimtestaat[[#This Row],[Code Weekend]],Programma!$F$4:$Y$36148,3,0),"_")</f>
        <v>_</v>
      </c>
      <c r="BG106" s="247" t="str">
        <f>_xlfn.IFNA(VLOOKUP(Ruimtestaat[[#This Row],[Code Weekend]],Programma!$F$4:$Y$36148,4,0),"_")</f>
        <v>_</v>
      </c>
      <c r="BH106" s="247" t="str">
        <f>_xlfn.IFNA(VLOOKUP(Ruimtestaat[[#This Row],[Code Weekend]],Programma!$F$4:$Y$36148,5,0),"_")</f>
        <v>_</v>
      </c>
      <c r="BI106" s="247" t="str">
        <f>_xlfn.IFNA(VLOOKUP(Ruimtestaat[[#This Row],[Code Weekend]],Programma!$F$4:$Y$36148,6,0),"_")</f>
        <v>_</v>
      </c>
      <c r="BJ106" s="247" t="str">
        <f>_xlfn.IFNA(VLOOKUP(Ruimtestaat[[#This Row],[Code Weekend]],Programma!$F$4:$Y$36148,7,0),"_")</f>
        <v>_</v>
      </c>
      <c r="BK106" s="247" t="str">
        <f>_xlfn.IFNA(VLOOKUP(Ruimtestaat[[#This Row],[Code Weekend]],Programma!$F$4:$Y$36148,8,0),"_")</f>
        <v>_</v>
      </c>
      <c r="BL106" s="247" t="str">
        <f>_xlfn.IFNA(VLOOKUP(Ruimtestaat[[#This Row],[Code Weekend]],Programma!$F$4:$Y$36148,9,0),"_")</f>
        <v>_</v>
      </c>
      <c r="BM106" s="248" t="str">
        <f>_xlfn.IFNA(VLOOKUP(Ruimtestaat[[#This Row],[Code Weekend]],Programma!$F$4:$Y$36148,10,0),"_")</f>
        <v>_</v>
      </c>
      <c r="BN106" s="248" t="str">
        <f>_xlfn.IFNA(VLOOKUP(Ruimtestaat[[#This Row],[Code Weekend]],Programma!$F$4:$Y$36148,11,0),"_")</f>
        <v>_</v>
      </c>
      <c r="BO106" s="248" t="str">
        <f>_xlfn.IFNA(VLOOKUP(Ruimtestaat[[#This Row],[Code Weekend]],Programma!$F$4:$Y$36148,12,0),"_")</f>
        <v>_</v>
      </c>
      <c r="BP106" s="248" t="str">
        <f>_xlfn.IFNA(VLOOKUP(Ruimtestaat[[#This Row],[Code Weekend]],Programma!$F$4:$Y$36148,13,0),"_")</f>
        <v>_</v>
      </c>
      <c r="BQ106" s="248" t="str">
        <f>_xlfn.IFNA(VLOOKUP(Ruimtestaat[[#This Row],[Code Weekend]],Programma!$F$4:$Y$36148,14,0),"_")</f>
        <v>_</v>
      </c>
      <c r="BR106" s="248" t="str">
        <f>_xlfn.IFNA(VLOOKUP(Ruimtestaat[[#This Row],[Code Weekend]],Programma!$F$4:$Y$36148,15,0),"_")</f>
        <v>_</v>
      </c>
      <c r="BS106" s="248" t="str">
        <f>_xlfn.IFNA(VLOOKUP(Ruimtestaat[[#This Row],[Code Weekend]],Programma!$F$4:$Y$36148,16,0),"_")</f>
        <v>_</v>
      </c>
      <c r="BT106" s="248" t="str">
        <f>_xlfn.IFNA(VLOOKUP(Ruimtestaat[[#This Row],[Code Weekend]],Programma!$F$4:$Y$36148,17,0),"_")</f>
        <v>_</v>
      </c>
      <c r="BU106" s="249" t="str">
        <f>_xlfn.IFNA(VLOOKUP(Ruimtestaat[[#This Row],[Code Weekend]],Programma!$F$4:$Y$36148,18,0),"_")</f>
        <v>_</v>
      </c>
      <c r="BV106" s="249" t="str">
        <f>_xlfn.IFNA(VLOOKUP(Ruimtestaat[[#This Row],[Code Weekend]],Programma!$F$4:$Y$36148,19,0),"_")</f>
        <v>_</v>
      </c>
      <c r="BW106" s="249" t="str">
        <f>_xlfn.IFNA(VLOOKUP(Ruimtestaat[[#This Row],[Code Weekend]],Programma!$F$4:$Y$36148,20,0),"_")</f>
        <v>_</v>
      </c>
      <c r="HK106" s="88"/>
    </row>
    <row r="107" spans="1:219" ht="12.75" customHeight="1">
      <c r="A107" s="334">
        <v>1</v>
      </c>
      <c r="B107" s="334" t="s">
        <v>1481</v>
      </c>
      <c r="C107" s="212" t="s">
        <v>1482</v>
      </c>
      <c r="D107" s="212" t="s">
        <v>1483</v>
      </c>
      <c r="E107" s="212" t="s">
        <v>1358</v>
      </c>
      <c r="F107" s="335"/>
      <c r="G107" s="334" t="s">
        <v>1611</v>
      </c>
      <c r="H107" s="334" t="s">
        <v>1790</v>
      </c>
      <c r="I107" s="335" t="s">
        <v>1791</v>
      </c>
      <c r="J107" s="252">
        <v>1</v>
      </c>
      <c r="K107" s="336" t="str">
        <f>VLOOKUP(J107,Ruimtegroepen[],2,FALSE)</f>
        <v>Magazijnen/bergingen</v>
      </c>
      <c r="L107" s="212" t="s">
        <v>123</v>
      </c>
      <c r="M107" s="334" t="s">
        <v>1767</v>
      </c>
      <c r="N107" s="337">
        <v>25</v>
      </c>
      <c r="O107" s="331"/>
      <c r="P107" s="332" t="str">
        <f>VLOOKUP(Ruimtestaat[[#This Row],[Ruimte code]],Ruimtegroepen[],4,FALSE)</f>
        <v>V  (Verkeersruimte)</v>
      </c>
      <c r="Q107" s="332"/>
      <c r="R107" s="333">
        <v>40</v>
      </c>
      <c r="S107" s="333" t="s">
        <v>16</v>
      </c>
      <c r="T107" s="37"/>
      <c r="U107" s="339">
        <f>IF(R107&gt;0,IF(RIGHT(Ruimtestaat[[#This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107" s="340">
        <f>IF(U107&gt;0,VLOOKUP($J107,Ruimtegroepen[],3,FALSE)*VLOOKUP($L107,Vloersoorten[],3,FALSE)*VLOOKUP($S107,Frequenties[],3,FALSE)*VLOOKUP($A107,Locaties[],3,FALSE),0)</f>
        <v>0</v>
      </c>
      <c r="W107" s="341">
        <f>Ruimtestaat[[#This Row],[Uitvoeringen werkdagen]]*Ruimtestaat[[#This Row],[Oppervlak (netto)]]</f>
        <v>300</v>
      </c>
      <c r="X107" s="342">
        <f>IF(V107&gt;0,Ruimtestaat[[#This Row],[Prest. (m2 /jaar) werkdagen]]/Ruimtestaat[[#This Row],[Norm (m2/uur) werkdagen]],0)</f>
        <v>0</v>
      </c>
      <c r="Y107" s="343">
        <f>Ruimtestaat[[#This Row],[uren / jaar werkdagen]]*Tariefsopbouw!$D$38</f>
        <v>0</v>
      </c>
      <c r="Z107" s="252">
        <f>IF(Ruimtestaat[[#This Row],[Frequentie weekend]]&gt;0,VALUE(LEFT(T107,1))*R107,0)</f>
        <v>0</v>
      </c>
      <c r="AA107" s="341">
        <f>IF($Z107&gt;0,VLOOKUP($J107,Ruimtegroepen[],3,FALSE)*VLOOKUP($L107,Vloersoorten[],3,FALSE)*VLOOKUP(#REF!,Frequenties[],3,FALSE)*VLOOKUP(#REF!,Locaties[],3,FALSE),0)</f>
        <v>0</v>
      </c>
      <c r="AB107" s="344">
        <f>Ruimtestaat[[#This Row],[Uitvoeringen weekend]]*Ruimtestaat[[#This Row],[Oppervlak (netto)]]</f>
        <v>0</v>
      </c>
      <c r="AC107" s="344">
        <f>IF(AA107&gt;0,Ruimtestaat[[#This Row],[Prest. (m2 /jaar) weekend]]/Ruimtestaat[[#This Row],[Norm (m2/uur) weekend]],0)</f>
        <v>0</v>
      </c>
      <c r="AD107" s="333">
        <f>Ruimtestaat[[#This Row],[uren / jaar weekend]]*Tariefsopbouw!$D$40</f>
        <v>0</v>
      </c>
      <c r="AE107" s="345">
        <f>Ruimtestaat[[#This Row],[Prest. (m2 /jaar) weekend]]+Ruimtestaat[[#This Row],[Prest. (m2 /jaar) werkdagen]]</f>
        <v>300</v>
      </c>
      <c r="AF107" s="345">
        <f>Ruimtestaat[[#This Row],[uren / jaar weekend]]+Ruimtestaat[[#This Row],[uren / jaar werkdagen]]</f>
        <v>0</v>
      </c>
      <c r="AG107" s="213">
        <f>Ruimtestaat[[#This Row],[kosten / jaar weekend]]+Ruimtestaat[[#This Row],[kosten / jaar werkdagen]]</f>
        <v>0</v>
      </c>
      <c r="AH107" s="253"/>
      <c r="AI107" s="252" t="str">
        <f>IF(Ruimtestaat[[#This Row],[Frequentie werkdagen]]="","",_xlfn.CONCAT(Ruimtestaat[[#This Row],[Ruimte code]],"-",Ruimtestaat[[#This Row],[Frequentie werkdagen]]," ",Ruimtestaat[[#This Row],[Vloer code]]))</f>
        <v>1-1m P</v>
      </c>
      <c r="AJ107" s="346" t="str">
        <f>_xlfn.IFNA(VLOOKUP(Ruimtestaat[[#This Row],[Programmacode
Regulier]],Programma!$F$4:$Y$36148,2,0),"_")</f>
        <v>_</v>
      </c>
      <c r="AK107" s="346" t="str">
        <f>_xlfn.IFNA(VLOOKUP(Ruimtestaat[[#This Row],[Programmacode
Regulier]],Programma!$F$4:$Y$36148,3,0),"_")</f>
        <v>_</v>
      </c>
      <c r="AL107" s="346" t="str">
        <f>_xlfn.IFNA(VLOOKUP(Ruimtestaat[[#This Row],[Programmacode
Regulier]],Programma!$F$4:$Y$36148,4,0),"_")</f>
        <v>1m</v>
      </c>
      <c r="AM107" s="346" t="str">
        <f>_xlfn.IFNA(VLOOKUP(Ruimtestaat[[#This Row],[Programmacode
Regulier]],Programma!$F$4:$Y$36148,5,0),"_")</f>
        <v>1m</v>
      </c>
      <c r="AN107" s="346" t="str">
        <f>_xlfn.IFNA(VLOOKUP(Ruimtestaat[[#This Row],[Programmacode
Regulier]],Programma!$F$4:$Y$36148,6,0),"_")</f>
        <v>_</v>
      </c>
      <c r="AO107" s="346" t="str">
        <f>_xlfn.IFNA(VLOOKUP(Ruimtestaat[[#This Row],[Programmacode
Regulier]],Programma!$F$4:$Y$36148,7,0),"_")</f>
        <v>_</v>
      </c>
      <c r="AP107" s="346" t="str">
        <f>_xlfn.IFNA(VLOOKUP(Ruimtestaat[[#This Row],[Programmacode
Regulier]],Programma!$F$4:$Y$36148,8,0),"_")</f>
        <v>_</v>
      </c>
      <c r="AQ107" s="346" t="str">
        <f>_xlfn.IFNA(VLOOKUP(Ruimtestaat[[#This Row],[Programmacode
Regulier]],Programma!$F$4:$Y$36148,9,0),"_")</f>
        <v>_</v>
      </c>
      <c r="AR107" s="346" t="str">
        <f>_xlfn.IFNA(VLOOKUP(Ruimtestaat[[#This Row],[Programmacode
Regulier]],Programma!$F$4:$Y$36148,10,0),"_")</f>
        <v>_</v>
      </c>
      <c r="AS107" s="346" t="str">
        <f>_xlfn.IFNA(VLOOKUP(Ruimtestaat[[#This Row],[Programmacode
Regulier]],Programma!$F$4:$Y$36148,11,0),"_")</f>
        <v>_</v>
      </c>
      <c r="AT107" s="346" t="str">
        <f>_xlfn.IFNA(VLOOKUP(Ruimtestaat[[#This Row],[Programmacode
Regulier]],Programma!$F$4:$Y$36148,12,0),"_")</f>
        <v>_</v>
      </c>
      <c r="AU107" s="346" t="str">
        <f>_xlfn.IFNA(VLOOKUP(Ruimtestaat[[#This Row],[Programmacode
Regulier]],Programma!$F$4:$Y$36148,13,0),"_")</f>
        <v>_</v>
      </c>
      <c r="AV107" s="346" t="str">
        <f>_xlfn.IFNA(VLOOKUP(Ruimtestaat[[#This Row],[Programmacode
Regulier]],Programma!$F$4:$Y$36148,14,0),"_")</f>
        <v>1j</v>
      </c>
      <c r="AW107" s="346" t="str">
        <f>_xlfn.IFNA(VLOOKUP(Ruimtestaat[[#This Row],[Programmacode
Regulier]],Programma!$F$4:$Y$36148,15,0),"_")</f>
        <v>1j</v>
      </c>
      <c r="AX107" s="346" t="str">
        <f>_xlfn.IFNA(VLOOKUP(Ruimtestaat[[#This Row],[Programmacode
Regulier]],Programma!$F$4:$Y$36148,16,0),"_")</f>
        <v>1j</v>
      </c>
      <c r="AY107" s="346" t="str">
        <f>_xlfn.IFNA(VLOOKUP(Ruimtestaat[[#This Row],[Programmacode
Regulier]],Programma!$F$4:$Y$36148,17,0),"_")</f>
        <v>_</v>
      </c>
      <c r="AZ107" s="346" t="str">
        <f>_xlfn.IFNA(VLOOKUP(Ruimtestaat[[#This Row],[Programmacode
Regulier]],Programma!$F$4:$Y$36148,18,0),"_")</f>
        <v>_</v>
      </c>
      <c r="BA107" s="346" t="str">
        <f>_xlfn.IFNA(VLOOKUP(Ruimtestaat[[#This Row],[Programmacode
Regulier]],Programma!$F$4:$Y$36148,19,0),"_")</f>
        <v>_</v>
      </c>
      <c r="BB107" s="346" t="str">
        <f>_xlfn.IFNA(VLOOKUP(Ruimtestaat[[#This Row],[Programmacode
Regulier]],Programma!$F$4:$Y$36148,20,0),"_")</f>
        <v>_</v>
      </c>
      <c r="BC107" s="347"/>
      <c r="BD107" s="212" t="str">
        <f>IF(Ruimtestaat[[#This Row],[Frequentie weekend]]="","",_xlfn.CONCAT(Ruimtestaat[[#This Row],[Ruimte code]],"-",Ruimtestaat[[#This Row],[Frequentie weekend]]," ",Ruimtestaat[[#This Row],[Vloer code]]))</f>
        <v/>
      </c>
      <c r="BE107" s="346" t="str">
        <f>_xlfn.IFNA(VLOOKUP(Ruimtestaat[[#This Row],[Code Weekend]],Programma!$F$4:$Y$36148,2,0),"_")</f>
        <v>_</v>
      </c>
      <c r="BF107" s="346" t="str">
        <f>_xlfn.IFNA(VLOOKUP(Ruimtestaat[[#This Row],[Code Weekend]],Programma!$F$4:$Y$36148,3,0),"_")</f>
        <v>_</v>
      </c>
      <c r="BG107" s="346" t="str">
        <f>_xlfn.IFNA(VLOOKUP(Ruimtestaat[[#This Row],[Code Weekend]],Programma!$F$4:$Y$36148,4,0),"_")</f>
        <v>_</v>
      </c>
      <c r="BH107" s="346" t="str">
        <f>_xlfn.IFNA(VLOOKUP(Ruimtestaat[[#This Row],[Code Weekend]],Programma!$F$4:$Y$36148,5,0),"_")</f>
        <v>_</v>
      </c>
      <c r="BI107" s="346"/>
      <c r="BJ107" s="346" t="str">
        <f>_xlfn.IFNA(VLOOKUP(Ruimtestaat[[#This Row],[Code Weekend]],Programma!$F$4:$Y$36148,7,0),"_")</f>
        <v>_</v>
      </c>
      <c r="BK107" s="346" t="str">
        <f>_xlfn.IFNA(VLOOKUP(Ruimtestaat[[#This Row],[Code Weekend]],Programma!$F$4:$Y$36148,8,0),"_")</f>
        <v>_</v>
      </c>
      <c r="BL107" s="346" t="str">
        <f>_xlfn.IFNA(VLOOKUP(Ruimtestaat[[#This Row],[Code Weekend]],Programma!$F$4:$Y$36148,9,0),"_")</f>
        <v>_</v>
      </c>
      <c r="BM107" s="346" t="str">
        <f>_xlfn.IFNA(VLOOKUP(Ruimtestaat[[#This Row],[Code Weekend]],Programma!$F$4:$Y$36148,10,0),"_")</f>
        <v>_</v>
      </c>
      <c r="BN107" s="346" t="str">
        <f>_xlfn.IFNA(VLOOKUP(Ruimtestaat[[#This Row],[Code Weekend]],Programma!$F$4:$Y$36148,11,0),"_")</f>
        <v>_</v>
      </c>
      <c r="BO107" s="346" t="str">
        <f>_xlfn.IFNA(VLOOKUP(Ruimtestaat[[#This Row],[Code Weekend]],Programma!$F$4:$Y$36148,12,0),"_")</f>
        <v>_</v>
      </c>
      <c r="BP107" s="346" t="str">
        <f>_xlfn.IFNA(VLOOKUP(Ruimtestaat[[#This Row],[Code Weekend]],Programma!$F$4:$Y$36148,13,0),"_")</f>
        <v>_</v>
      </c>
      <c r="BQ107" s="346" t="str">
        <f>_xlfn.IFNA(VLOOKUP(Ruimtestaat[[#This Row],[Code Weekend]],Programma!$F$4:$Y$36148,14,0),"_")</f>
        <v>_</v>
      </c>
      <c r="BR107" s="346" t="str">
        <f>_xlfn.IFNA(VLOOKUP(Ruimtestaat[[#This Row],[Code Weekend]],Programma!$F$4:$Y$36148,15,0),"_")</f>
        <v>_</v>
      </c>
      <c r="BS107" s="346" t="str">
        <f>_xlfn.IFNA(VLOOKUP(Ruimtestaat[[#This Row],[Code Weekend]],Programma!$F$4:$Y$36148,16,0),"_")</f>
        <v>_</v>
      </c>
      <c r="BT107" s="346" t="str">
        <f>_xlfn.IFNA(VLOOKUP(Ruimtestaat[[#This Row],[Code Weekend]],Programma!$F$4:$Y$36148,17,0),"_")</f>
        <v>_</v>
      </c>
      <c r="BU107" s="346" t="str">
        <f>_xlfn.IFNA(VLOOKUP(Ruimtestaat[[#This Row],[Code Weekend]],Programma!$F$4:$Y$36148,18,0),"_")</f>
        <v>_</v>
      </c>
      <c r="BV107" s="346" t="str">
        <f>_xlfn.IFNA(VLOOKUP(Ruimtestaat[[#This Row],[Code Weekend]],Programma!$F$4:$Y$36148,19,0),"_")</f>
        <v>_</v>
      </c>
      <c r="BW107" s="346" t="str">
        <f>_xlfn.IFNA(VLOOKUP(Ruimtestaat[[#This Row],[Code Weekend]],Programma!$F$4:$Y$36148,20,0),"_")</f>
        <v>_</v>
      </c>
      <c r="HK107" s="88"/>
    </row>
    <row r="108" spans="1:219" ht="12.75" customHeight="1">
      <c r="A108" s="130">
        <v>1</v>
      </c>
      <c r="B108" s="22" t="str">
        <f>VLOOKUP(Ruimtestaat[[#This Row],[Code]],Locaties[#All],2,FALSE)</f>
        <v>ESH Secondary School</v>
      </c>
      <c r="C108" s="22" t="str">
        <f>VLOOKUP(Ruimtestaat[[#This Row],[Code]],Locaties[#All],4,FALSE)</f>
        <v>Oostduinlaan 50</v>
      </c>
      <c r="D108" s="334" t="str">
        <f>VLOOKUP(Ruimtestaat[[#This Row],[Code]],Locaties[#All],5,FALSE)</f>
        <v>2596 JP</v>
      </c>
      <c r="E108" s="334" t="str">
        <f>VLOOKUP(Ruimtestaat[[#This Row],[Code]],Locaties[#All],6,FALSE)</f>
        <v>Den Haag</v>
      </c>
      <c r="F108" s="335"/>
      <c r="G108" s="334" t="s">
        <v>1611</v>
      </c>
      <c r="H108" s="334" t="s">
        <v>1553</v>
      </c>
      <c r="I108" s="335" t="s">
        <v>1516</v>
      </c>
      <c r="J108" s="334">
        <v>19</v>
      </c>
      <c r="K108" s="335" t="str">
        <f>VLOOKUP(J108,Ruimtegroepen[],2,FALSE)</f>
        <v>Kleedruimten</v>
      </c>
      <c r="L108" s="212" t="s">
        <v>122</v>
      </c>
      <c r="M108" s="334" t="s">
        <v>1764</v>
      </c>
      <c r="N108" s="337">
        <v>24</v>
      </c>
      <c r="O108" s="331"/>
      <c r="P108" s="332" t="str">
        <f>VLOOKUP(Ruimtestaat[[#This Row],[Ruimte code]],Ruimtegroepen[],4,FALSE)</f>
        <v>V  (Verkeersruimte)</v>
      </c>
      <c r="Q108" s="332"/>
      <c r="R108" s="333">
        <v>40</v>
      </c>
      <c r="S108" s="333" t="s">
        <v>2</v>
      </c>
      <c r="T108" s="37"/>
      <c r="U108" s="37">
        <f>IF(R108&gt;0,IF(RIGHT(Ruimtestaat[[#This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8" s="37">
        <f>IF(U108&gt;0,VLOOKUP($J108,Ruimtegroepen[],3,FALSE)*VLOOKUP($L108,Vloersoorten[],3,FALSE)*VLOOKUP($S108,Frequenties[],3,FALSE)*VLOOKUP($A108,Locaties[],3,FALSE),0)</f>
        <v>0</v>
      </c>
      <c r="W108" s="37">
        <f>Ruimtestaat[[#This Row],[Uitvoeringen werkdagen]]*Ruimtestaat[[#This Row],[Oppervlak (netto)]]</f>
        <v>4800</v>
      </c>
      <c r="X108" s="37">
        <f>IF(V108&gt;0,Ruimtestaat[[#This Row],[Prest. (m2 /jaar) werkdagen]]/Ruimtestaat[[#This Row],[Norm (m2/uur) werkdagen]],0)</f>
        <v>0</v>
      </c>
      <c r="Y108" s="37">
        <f>Ruimtestaat[[#This Row],[uren / jaar werkdagen]]*Tariefsopbouw!$D$38</f>
        <v>0</v>
      </c>
      <c r="Z108" s="37">
        <f>IF(Ruimtestaat[[#This Row],[Frequentie weekend]]&gt;0,VALUE(LEFT(T108,1))*R108,0)</f>
        <v>0</v>
      </c>
      <c r="AA108" s="37">
        <f>IF($Z108&gt;0,VLOOKUP($J108,Ruimtegroepen[],3,FALSE)*VLOOKUP($L108,Vloersoorten[],3,FALSE)*VLOOKUP($T108,Frequenties[],3,FALSE)*VLOOKUP($A108,Locaties[],3,FALSE),0)</f>
        <v>0</v>
      </c>
      <c r="AB108" s="37">
        <f>Ruimtestaat[[#This Row],[Uitvoeringen weekend]]*Ruimtestaat[[#This Row],[Oppervlak (netto)]]</f>
        <v>0</v>
      </c>
      <c r="AC108" s="37">
        <f>IF(AA108&gt;0,Ruimtestaat[[#This Row],[Prest. (m2 /jaar) weekend]]/Ruimtestaat[[#This Row],[Norm (m2/uur) weekend]],0)</f>
        <v>0</v>
      </c>
      <c r="AD108" s="37">
        <f>Ruimtestaat[[#This Row],[uren / jaar weekend]]*Tariefsopbouw!$D$40</f>
        <v>0</v>
      </c>
      <c r="AE108" s="89">
        <f>Ruimtestaat[[#This Row],[Prest. (m2 /jaar) weekend]]+Ruimtestaat[[#This Row],[Prest. (m2 /jaar) werkdagen]]</f>
        <v>4800</v>
      </c>
      <c r="AF108" s="89">
        <f>Ruimtestaat[[#This Row],[uren / jaar weekend]]+Ruimtestaat[[#This Row],[uren / jaar werkdagen]]</f>
        <v>0</v>
      </c>
      <c r="AG108" s="90">
        <f>Ruimtestaat[[#This Row],[kosten / jaar weekend]]+Ruimtestaat[[#This Row],[kosten / jaar werkdagen]]</f>
        <v>0</v>
      </c>
      <c r="AH108" s="253"/>
      <c r="AI108" s="252" t="str">
        <f>IF(Ruimtestaat[[#This Row],[Frequentie werkdagen]]="","",_xlfn.CONCAT(Ruimtestaat[[#This Row],[Ruimte code]],"-",Ruimtestaat[[#This Row],[Frequentie werkdagen]]," ",Ruimtestaat[[#This Row],[Vloer code]]))</f>
        <v>19-5w S</v>
      </c>
      <c r="AJ108" s="247" t="str">
        <f>_xlfn.IFNA(VLOOKUP(Ruimtestaat[[#This Row],[Programmacode
Regulier]],Programma!$F$4:$Y$36148,2,0),"_")</f>
        <v>_</v>
      </c>
      <c r="AK108" s="247" t="str">
        <f>_xlfn.IFNA(VLOOKUP(Ruimtestaat[[#This Row],[Programmacode
Regulier]],Programma!$F$4:$Y$36148,3,0),"_")</f>
        <v>_</v>
      </c>
      <c r="AL108" s="247" t="str">
        <f>_xlfn.IFNA(VLOOKUP(Ruimtestaat[[#This Row],[Programmacode
Regulier]],Programma!$F$4:$Y$36148,4,0),"_")</f>
        <v>5w</v>
      </c>
      <c r="AM108" s="247" t="str">
        <f>_xlfn.IFNA(VLOOKUP(Ruimtestaat[[#This Row],[Programmacode
Regulier]],Programma!$F$4:$Y$36148,5,0),"_")</f>
        <v>4w</v>
      </c>
      <c r="AN108" s="247" t="str">
        <f>_xlfn.IFNA(VLOOKUP(Ruimtestaat[[#This Row],[Programmacode
Regulier]],Programma!$F$4:$Y$36148,6,0),"_")</f>
        <v>1w</v>
      </c>
      <c r="AO108" s="247" t="str">
        <f>_xlfn.IFNA(VLOOKUP(Ruimtestaat[[#This Row],[Programmacode
Regulier]],Programma!$F$4:$Y$36148,7,0),"_")</f>
        <v>_</v>
      </c>
      <c r="AP108" s="247" t="str">
        <f>_xlfn.IFNA(VLOOKUP(Ruimtestaat[[#This Row],[Programmacode
Regulier]],Programma!$F$4:$Y$36148,8,0),"_")</f>
        <v>_</v>
      </c>
      <c r="AQ108" s="247" t="str">
        <f>_xlfn.IFNA(VLOOKUP(Ruimtestaat[[#This Row],[Programmacode
Regulier]],Programma!$F$4:$Y$36148,9,0),"_")</f>
        <v>_</v>
      </c>
      <c r="AR108" s="248" t="str">
        <f>_xlfn.IFNA(VLOOKUP(Ruimtestaat[[#This Row],[Programmacode
Regulier]],Programma!$F$4:$Y$36148,10,0),"_")</f>
        <v>_</v>
      </c>
      <c r="AS108" s="248" t="str">
        <f>_xlfn.IFNA(VLOOKUP(Ruimtestaat[[#This Row],[Programmacode
Regulier]],Programma!$F$4:$Y$36148,11,0),"_")</f>
        <v>_</v>
      </c>
      <c r="AT108" s="248" t="str">
        <f>_xlfn.IFNA(VLOOKUP(Ruimtestaat[[#This Row],[Programmacode
Regulier]],Programma!$F$4:$Y$36148,12,0),"_")</f>
        <v>_</v>
      </c>
      <c r="AU108" s="248" t="str">
        <f>_xlfn.IFNA(VLOOKUP(Ruimtestaat[[#This Row],[Programmacode
Regulier]],Programma!$F$4:$Y$36148,13,0),"_")</f>
        <v>5w</v>
      </c>
      <c r="AV108" s="248" t="str">
        <f>_xlfn.IFNA(VLOOKUP(Ruimtestaat[[#This Row],[Programmacode
Regulier]],Programma!$F$4:$Y$36148,14,0),"_")</f>
        <v>1w</v>
      </c>
      <c r="AW108" s="248" t="str">
        <f>_xlfn.IFNA(VLOOKUP(Ruimtestaat[[#This Row],[Programmacode
Regulier]],Programma!$F$4:$Y$36148,15,0),"_")</f>
        <v>_</v>
      </c>
      <c r="AX108" s="248" t="str">
        <f>_xlfn.IFNA(VLOOKUP(Ruimtestaat[[#This Row],[Programmacode
Regulier]],Programma!$F$4:$Y$36148,16,0),"_")</f>
        <v>_</v>
      </c>
      <c r="AY108" s="248" t="str">
        <f>_xlfn.IFNA(VLOOKUP(Ruimtestaat[[#This Row],[Programmacode
Regulier]],Programma!$F$4:$Y$36148,17,0),"_")</f>
        <v>_</v>
      </c>
      <c r="AZ108" s="249" t="str">
        <f>_xlfn.IFNA(VLOOKUP(Ruimtestaat[[#This Row],[Programmacode
Regulier]],Programma!$F$4:$Y$36148,18,0),"_")</f>
        <v>5w</v>
      </c>
      <c r="BA108" s="249" t="str">
        <f>_xlfn.IFNA(VLOOKUP(Ruimtestaat[[#This Row],[Programmacode
Regulier]],Programma!$F$4:$Y$36148,19,0),"_")</f>
        <v>1m</v>
      </c>
      <c r="BB108" s="249" t="str">
        <f>_xlfn.IFNA(VLOOKUP(Ruimtestaat[[#This Row],[Programmacode
Regulier]],Programma!$F$4:$Y$36148,20,0),"_")</f>
        <v>_</v>
      </c>
      <c r="BC108" s="250"/>
      <c r="BD108" s="212" t="str">
        <f>IF(Ruimtestaat[[#This Row],[Frequentie weekend]]="","",_xlfn.CONCAT(Ruimtestaat[[#This Row],[Ruimte code]],"-",Ruimtestaat[[#This Row],[Frequentie weekend]]," ",Ruimtestaat[[#This Row],[Vloer code]]))</f>
        <v/>
      </c>
      <c r="BE108" s="247" t="str">
        <f>_xlfn.IFNA(VLOOKUP(Ruimtestaat[[#This Row],[Code Weekend]],Programma!$F$4:$Y$36148,2,0),"_")</f>
        <v>_</v>
      </c>
      <c r="BF108" s="247" t="str">
        <f>_xlfn.IFNA(VLOOKUP(Ruimtestaat[[#This Row],[Code Weekend]],Programma!$F$4:$Y$36148,3,0),"_")</f>
        <v>_</v>
      </c>
      <c r="BG108" s="247" t="str">
        <f>_xlfn.IFNA(VLOOKUP(Ruimtestaat[[#This Row],[Code Weekend]],Programma!$F$4:$Y$36148,4,0),"_")</f>
        <v>_</v>
      </c>
      <c r="BH108" s="247" t="str">
        <f>_xlfn.IFNA(VLOOKUP(Ruimtestaat[[#This Row],[Code Weekend]],Programma!$F$4:$Y$36148,5,0),"_")</f>
        <v>_</v>
      </c>
      <c r="BI108" s="247" t="str">
        <f>_xlfn.IFNA(VLOOKUP(Ruimtestaat[[#This Row],[Code Weekend]],Programma!$F$4:$Y$36148,6,0),"_")</f>
        <v>_</v>
      </c>
      <c r="BJ108" s="247" t="str">
        <f>_xlfn.IFNA(VLOOKUP(Ruimtestaat[[#This Row],[Code Weekend]],Programma!$F$4:$Y$36148,7,0),"_")</f>
        <v>_</v>
      </c>
      <c r="BK108" s="247" t="str">
        <f>_xlfn.IFNA(VLOOKUP(Ruimtestaat[[#This Row],[Code Weekend]],Programma!$F$4:$Y$36148,8,0),"_")</f>
        <v>_</v>
      </c>
      <c r="BL108" s="247" t="str">
        <f>_xlfn.IFNA(VLOOKUP(Ruimtestaat[[#This Row],[Code Weekend]],Programma!$F$4:$Y$36148,9,0),"_")</f>
        <v>_</v>
      </c>
      <c r="BM108" s="248" t="str">
        <f>_xlfn.IFNA(VLOOKUP(Ruimtestaat[[#This Row],[Code Weekend]],Programma!$F$4:$Y$36148,10,0),"_")</f>
        <v>_</v>
      </c>
      <c r="BN108" s="248" t="str">
        <f>_xlfn.IFNA(VLOOKUP(Ruimtestaat[[#This Row],[Code Weekend]],Programma!$F$4:$Y$36148,11,0),"_")</f>
        <v>_</v>
      </c>
      <c r="BO108" s="248" t="str">
        <f>_xlfn.IFNA(VLOOKUP(Ruimtestaat[[#This Row],[Code Weekend]],Programma!$F$4:$Y$36148,12,0),"_")</f>
        <v>_</v>
      </c>
      <c r="BP108" s="248" t="str">
        <f>_xlfn.IFNA(VLOOKUP(Ruimtestaat[[#This Row],[Code Weekend]],Programma!$F$4:$Y$36148,13,0),"_")</f>
        <v>_</v>
      </c>
      <c r="BQ108" s="248" t="str">
        <f>_xlfn.IFNA(VLOOKUP(Ruimtestaat[[#This Row],[Code Weekend]],Programma!$F$4:$Y$36148,14,0),"_")</f>
        <v>_</v>
      </c>
      <c r="BR108" s="248" t="str">
        <f>_xlfn.IFNA(VLOOKUP(Ruimtestaat[[#This Row],[Code Weekend]],Programma!$F$4:$Y$36148,15,0),"_")</f>
        <v>_</v>
      </c>
      <c r="BS108" s="248" t="str">
        <f>_xlfn.IFNA(VLOOKUP(Ruimtestaat[[#This Row],[Code Weekend]],Programma!$F$4:$Y$36148,16,0),"_")</f>
        <v>_</v>
      </c>
      <c r="BT108" s="248" t="str">
        <f>_xlfn.IFNA(VLOOKUP(Ruimtestaat[[#This Row],[Code Weekend]],Programma!$F$4:$Y$36148,17,0),"_")</f>
        <v>_</v>
      </c>
      <c r="BU108" s="249" t="str">
        <f>_xlfn.IFNA(VLOOKUP(Ruimtestaat[[#This Row],[Code Weekend]],Programma!$F$4:$Y$36148,18,0),"_")</f>
        <v>_</v>
      </c>
      <c r="BV108" s="249" t="str">
        <f>_xlfn.IFNA(VLOOKUP(Ruimtestaat[[#This Row],[Code Weekend]],Programma!$F$4:$Y$36148,19,0),"_")</f>
        <v>_</v>
      </c>
      <c r="BW108" s="249" t="str">
        <f>_xlfn.IFNA(VLOOKUP(Ruimtestaat[[#This Row],[Code Weekend]],Programma!$F$4:$Y$36148,20,0),"_")</f>
        <v>_</v>
      </c>
      <c r="HK108" s="88"/>
    </row>
    <row r="109" spans="1:219" ht="12.75" customHeight="1">
      <c r="A109" s="130">
        <v>1</v>
      </c>
      <c r="B109" s="22" t="str">
        <f>VLOOKUP(Ruimtestaat[[#This Row],[Code]],Locaties[#All],2,FALSE)</f>
        <v>ESH Secondary School</v>
      </c>
      <c r="C109" s="22" t="str">
        <f>VLOOKUP(Ruimtestaat[[#This Row],[Code]],Locaties[#All],4,FALSE)</f>
        <v>Oostduinlaan 50</v>
      </c>
      <c r="D109" s="334" t="str">
        <f>VLOOKUP(Ruimtestaat[[#This Row],[Code]],Locaties[#All],5,FALSE)</f>
        <v>2596 JP</v>
      </c>
      <c r="E109" s="334" t="str">
        <f>VLOOKUP(Ruimtestaat[[#This Row],[Code]],Locaties[#All],6,FALSE)</f>
        <v>Den Haag</v>
      </c>
      <c r="F109" s="335"/>
      <c r="G109" s="334" t="s">
        <v>1611</v>
      </c>
      <c r="H109" s="334" t="s">
        <v>1554</v>
      </c>
      <c r="I109" s="335" t="s">
        <v>1516</v>
      </c>
      <c r="J109" s="328">
        <v>19</v>
      </c>
      <c r="K109" s="335" t="str">
        <f>VLOOKUP(J109,Ruimtegroepen[],2,FALSE)</f>
        <v>Kleedruimten</v>
      </c>
      <c r="L109" s="212" t="s">
        <v>122</v>
      </c>
      <c r="M109" s="334" t="s">
        <v>1764</v>
      </c>
      <c r="N109" s="337">
        <v>30</v>
      </c>
      <c r="O109" s="331"/>
      <c r="P109" s="332" t="str">
        <f>VLOOKUP(Ruimtestaat[[#This Row],[Ruimte code]],Ruimtegroepen[],4,FALSE)</f>
        <v>V  (Verkeersruimte)</v>
      </c>
      <c r="Q109" s="332"/>
      <c r="R109" s="333">
        <v>40</v>
      </c>
      <c r="S109" s="333" t="s">
        <v>2</v>
      </c>
      <c r="T109" s="37"/>
      <c r="U109" s="37">
        <f>IF(R109&gt;0,IF(RIGHT(Ruimtestaat[[#This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9" s="37">
        <f>IF(U109&gt;0,VLOOKUP($J109,Ruimtegroepen[],3,FALSE)*VLOOKUP($L109,Vloersoorten[],3,FALSE)*VLOOKUP($S109,Frequenties[],3,FALSE)*VLOOKUP($A109,Locaties[],3,FALSE),0)</f>
        <v>0</v>
      </c>
      <c r="W109" s="37">
        <f>Ruimtestaat[[#This Row],[Uitvoeringen werkdagen]]*Ruimtestaat[[#This Row],[Oppervlak (netto)]]</f>
        <v>6000</v>
      </c>
      <c r="X109" s="37">
        <f>IF(V109&gt;0,Ruimtestaat[[#This Row],[Prest. (m2 /jaar) werkdagen]]/Ruimtestaat[[#This Row],[Norm (m2/uur) werkdagen]],0)</f>
        <v>0</v>
      </c>
      <c r="Y109" s="37">
        <f>Ruimtestaat[[#This Row],[uren / jaar werkdagen]]*Tariefsopbouw!$D$38</f>
        <v>0</v>
      </c>
      <c r="Z109" s="37">
        <f>IF(Ruimtestaat[[#This Row],[Frequentie weekend]]&gt;0,VALUE(LEFT(T109,1))*R109,0)</f>
        <v>0</v>
      </c>
      <c r="AA109" s="37">
        <f>IF($Z109&gt;0,VLOOKUP($J109,Ruimtegroepen[],3,FALSE)*VLOOKUP($L109,Vloersoorten[],3,FALSE)*VLOOKUP($T109,Frequenties[],3,FALSE)*VLOOKUP($A109,Locaties[],3,FALSE),0)</f>
        <v>0</v>
      </c>
      <c r="AB109" s="37">
        <f>Ruimtestaat[[#This Row],[Uitvoeringen weekend]]*Ruimtestaat[[#This Row],[Oppervlak (netto)]]</f>
        <v>0</v>
      </c>
      <c r="AC109" s="37">
        <f>IF(AA109&gt;0,Ruimtestaat[[#This Row],[Prest. (m2 /jaar) weekend]]/Ruimtestaat[[#This Row],[Norm (m2/uur) weekend]],0)</f>
        <v>0</v>
      </c>
      <c r="AD109" s="37">
        <f>Ruimtestaat[[#This Row],[uren / jaar weekend]]*Tariefsopbouw!$D$40</f>
        <v>0</v>
      </c>
      <c r="AE109" s="89">
        <f>Ruimtestaat[[#This Row],[Prest. (m2 /jaar) weekend]]+Ruimtestaat[[#This Row],[Prest. (m2 /jaar) werkdagen]]</f>
        <v>6000</v>
      </c>
      <c r="AF109" s="89">
        <f>Ruimtestaat[[#This Row],[uren / jaar weekend]]+Ruimtestaat[[#This Row],[uren / jaar werkdagen]]</f>
        <v>0</v>
      </c>
      <c r="AG109" s="90">
        <f>Ruimtestaat[[#This Row],[kosten / jaar weekend]]+Ruimtestaat[[#This Row],[kosten / jaar werkdagen]]</f>
        <v>0</v>
      </c>
      <c r="AH109" s="253"/>
      <c r="AI109" s="252" t="str">
        <f>IF(Ruimtestaat[[#This Row],[Frequentie werkdagen]]="","",_xlfn.CONCAT(Ruimtestaat[[#This Row],[Ruimte code]],"-",Ruimtestaat[[#This Row],[Frequentie werkdagen]]," ",Ruimtestaat[[#This Row],[Vloer code]]))</f>
        <v>19-5w S</v>
      </c>
      <c r="AJ109" s="247" t="str">
        <f>_xlfn.IFNA(VLOOKUP(Ruimtestaat[[#This Row],[Programmacode
Regulier]],Programma!$F$4:$Y$36148,2,0),"_")</f>
        <v>_</v>
      </c>
      <c r="AK109" s="247" t="str">
        <f>_xlfn.IFNA(VLOOKUP(Ruimtestaat[[#This Row],[Programmacode
Regulier]],Programma!$F$4:$Y$36148,3,0),"_")</f>
        <v>_</v>
      </c>
      <c r="AL109" s="247" t="str">
        <f>_xlfn.IFNA(VLOOKUP(Ruimtestaat[[#This Row],[Programmacode
Regulier]],Programma!$F$4:$Y$36148,4,0),"_")</f>
        <v>5w</v>
      </c>
      <c r="AM109" s="247" t="str">
        <f>_xlfn.IFNA(VLOOKUP(Ruimtestaat[[#This Row],[Programmacode
Regulier]],Programma!$F$4:$Y$36148,5,0),"_")</f>
        <v>4w</v>
      </c>
      <c r="AN109" s="247" t="str">
        <f>_xlfn.IFNA(VLOOKUP(Ruimtestaat[[#This Row],[Programmacode
Regulier]],Programma!$F$4:$Y$36148,6,0),"_")</f>
        <v>1w</v>
      </c>
      <c r="AO109" s="247" t="str">
        <f>_xlfn.IFNA(VLOOKUP(Ruimtestaat[[#This Row],[Programmacode
Regulier]],Programma!$F$4:$Y$36148,7,0),"_")</f>
        <v>_</v>
      </c>
      <c r="AP109" s="247" t="str">
        <f>_xlfn.IFNA(VLOOKUP(Ruimtestaat[[#This Row],[Programmacode
Regulier]],Programma!$F$4:$Y$36148,8,0),"_")</f>
        <v>_</v>
      </c>
      <c r="AQ109" s="247" t="str">
        <f>_xlfn.IFNA(VLOOKUP(Ruimtestaat[[#This Row],[Programmacode
Regulier]],Programma!$F$4:$Y$36148,9,0),"_")</f>
        <v>_</v>
      </c>
      <c r="AR109" s="248" t="str">
        <f>_xlfn.IFNA(VLOOKUP(Ruimtestaat[[#This Row],[Programmacode
Regulier]],Programma!$F$4:$Y$36148,10,0),"_")</f>
        <v>_</v>
      </c>
      <c r="AS109" s="248" t="str">
        <f>_xlfn.IFNA(VLOOKUP(Ruimtestaat[[#This Row],[Programmacode
Regulier]],Programma!$F$4:$Y$36148,11,0),"_")</f>
        <v>_</v>
      </c>
      <c r="AT109" s="248" t="str">
        <f>_xlfn.IFNA(VLOOKUP(Ruimtestaat[[#This Row],[Programmacode
Regulier]],Programma!$F$4:$Y$36148,12,0),"_")</f>
        <v>_</v>
      </c>
      <c r="AU109" s="248" t="str">
        <f>_xlfn.IFNA(VLOOKUP(Ruimtestaat[[#This Row],[Programmacode
Regulier]],Programma!$F$4:$Y$36148,13,0),"_")</f>
        <v>5w</v>
      </c>
      <c r="AV109" s="248" t="str">
        <f>_xlfn.IFNA(VLOOKUP(Ruimtestaat[[#This Row],[Programmacode
Regulier]],Programma!$F$4:$Y$36148,14,0),"_")</f>
        <v>1w</v>
      </c>
      <c r="AW109" s="248" t="str">
        <f>_xlfn.IFNA(VLOOKUP(Ruimtestaat[[#This Row],[Programmacode
Regulier]],Programma!$F$4:$Y$36148,15,0),"_")</f>
        <v>_</v>
      </c>
      <c r="AX109" s="248" t="str">
        <f>_xlfn.IFNA(VLOOKUP(Ruimtestaat[[#This Row],[Programmacode
Regulier]],Programma!$F$4:$Y$36148,16,0),"_")</f>
        <v>_</v>
      </c>
      <c r="AY109" s="248" t="str">
        <f>_xlfn.IFNA(VLOOKUP(Ruimtestaat[[#This Row],[Programmacode
Regulier]],Programma!$F$4:$Y$36148,17,0),"_")</f>
        <v>_</v>
      </c>
      <c r="AZ109" s="249" t="str">
        <f>_xlfn.IFNA(VLOOKUP(Ruimtestaat[[#This Row],[Programmacode
Regulier]],Programma!$F$4:$Y$36148,18,0),"_")</f>
        <v>5w</v>
      </c>
      <c r="BA109" s="249" t="str">
        <f>_xlfn.IFNA(VLOOKUP(Ruimtestaat[[#This Row],[Programmacode
Regulier]],Programma!$F$4:$Y$36148,19,0),"_")</f>
        <v>1m</v>
      </c>
      <c r="BB109" s="249" t="str">
        <f>_xlfn.IFNA(VLOOKUP(Ruimtestaat[[#This Row],[Programmacode
Regulier]],Programma!$F$4:$Y$36148,20,0),"_")</f>
        <v>_</v>
      </c>
      <c r="BC109" s="250"/>
      <c r="BD109" s="212" t="str">
        <f>IF(Ruimtestaat[[#This Row],[Frequentie weekend]]="","",_xlfn.CONCAT(Ruimtestaat[[#This Row],[Ruimte code]],"-",Ruimtestaat[[#This Row],[Frequentie weekend]]," ",Ruimtestaat[[#This Row],[Vloer code]]))</f>
        <v/>
      </c>
      <c r="BE109" s="247" t="str">
        <f>_xlfn.IFNA(VLOOKUP(Ruimtestaat[[#This Row],[Code Weekend]],Programma!$F$4:$Y$36148,2,0),"_")</f>
        <v>_</v>
      </c>
      <c r="BF109" s="247" t="str">
        <f>_xlfn.IFNA(VLOOKUP(Ruimtestaat[[#This Row],[Code Weekend]],Programma!$F$4:$Y$36148,3,0),"_")</f>
        <v>_</v>
      </c>
      <c r="BG109" s="247" t="str">
        <f>_xlfn.IFNA(VLOOKUP(Ruimtestaat[[#This Row],[Code Weekend]],Programma!$F$4:$Y$36148,4,0),"_")</f>
        <v>_</v>
      </c>
      <c r="BH109" s="247" t="str">
        <f>_xlfn.IFNA(VLOOKUP(Ruimtestaat[[#This Row],[Code Weekend]],Programma!$F$4:$Y$36148,5,0),"_")</f>
        <v>_</v>
      </c>
      <c r="BI109" s="247" t="str">
        <f>_xlfn.IFNA(VLOOKUP(Ruimtestaat[[#This Row],[Code Weekend]],Programma!$F$4:$Y$36148,6,0),"_")</f>
        <v>_</v>
      </c>
      <c r="BJ109" s="247" t="str">
        <f>_xlfn.IFNA(VLOOKUP(Ruimtestaat[[#This Row],[Code Weekend]],Programma!$F$4:$Y$36148,7,0),"_")</f>
        <v>_</v>
      </c>
      <c r="BK109" s="247" t="str">
        <f>_xlfn.IFNA(VLOOKUP(Ruimtestaat[[#This Row],[Code Weekend]],Programma!$F$4:$Y$36148,8,0),"_")</f>
        <v>_</v>
      </c>
      <c r="BL109" s="247" t="str">
        <f>_xlfn.IFNA(VLOOKUP(Ruimtestaat[[#This Row],[Code Weekend]],Programma!$F$4:$Y$36148,9,0),"_")</f>
        <v>_</v>
      </c>
      <c r="BM109" s="248" t="str">
        <f>_xlfn.IFNA(VLOOKUP(Ruimtestaat[[#This Row],[Code Weekend]],Programma!$F$4:$Y$36148,10,0),"_")</f>
        <v>_</v>
      </c>
      <c r="BN109" s="248" t="str">
        <f>_xlfn.IFNA(VLOOKUP(Ruimtestaat[[#This Row],[Code Weekend]],Programma!$F$4:$Y$36148,11,0),"_")</f>
        <v>_</v>
      </c>
      <c r="BO109" s="248" t="str">
        <f>_xlfn.IFNA(VLOOKUP(Ruimtestaat[[#This Row],[Code Weekend]],Programma!$F$4:$Y$36148,12,0),"_")</f>
        <v>_</v>
      </c>
      <c r="BP109" s="248" t="str">
        <f>_xlfn.IFNA(VLOOKUP(Ruimtestaat[[#This Row],[Code Weekend]],Programma!$F$4:$Y$36148,13,0),"_")</f>
        <v>_</v>
      </c>
      <c r="BQ109" s="248" t="str">
        <f>_xlfn.IFNA(VLOOKUP(Ruimtestaat[[#This Row],[Code Weekend]],Programma!$F$4:$Y$36148,14,0),"_")</f>
        <v>_</v>
      </c>
      <c r="BR109" s="248" t="str">
        <f>_xlfn.IFNA(VLOOKUP(Ruimtestaat[[#This Row],[Code Weekend]],Programma!$F$4:$Y$36148,15,0),"_")</f>
        <v>_</v>
      </c>
      <c r="BS109" s="248" t="str">
        <f>_xlfn.IFNA(VLOOKUP(Ruimtestaat[[#This Row],[Code Weekend]],Programma!$F$4:$Y$36148,16,0),"_")</f>
        <v>_</v>
      </c>
      <c r="BT109" s="248" t="str">
        <f>_xlfn.IFNA(VLOOKUP(Ruimtestaat[[#This Row],[Code Weekend]],Programma!$F$4:$Y$36148,17,0),"_")</f>
        <v>_</v>
      </c>
      <c r="BU109" s="249" t="str">
        <f>_xlfn.IFNA(VLOOKUP(Ruimtestaat[[#This Row],[Code Weekend]],Programma!$F$4:$Y$36148,18,0),"_")</f>
        <v>_</v>
      </c>
      <c r="BV109" s="249" t="str">
        <f>_xlfn.IFNA(VLOOKUP(Ruimtestaat[[#This Row],[Code Weekend]],Programma!$F$4:$Y$36148,19,0),"_")</f>
        <v>_</v>
      </c>
      <c r="BW109" s="249" t="str">
        <f>_xlfn.IFNA(VLOOKUP(Ruimtestaat[[#This Row],[Code Weekend]],Programma!$F$4:$Y$36148,20,0),"_")</f>
        <v>_</v>
      </c>
      <c r="HK109" s="88"/>
    </row>
    <row r="110" spans="1:219" ht="12.75" customHeight="1">
      <c r="A110" s="130">
        <v>1</v>
      </c>
      <c r="B110" s="22" t="str">
        <f>VLOOKUP(Ruimtestaat[[#This Row],[Code]],Locaties[#All],2,FALSE)</f>
        <v>ESH Secondary School</v>
      </c>
      <c r="C110" s="22" t="str">
        <f>VLOOKUP(Ruimtestaat[[#This Row],[Code]],Locaties[#All],4,FALSE)</f>
        <v>Oostduinlaan 50</v>
      </c>
      <c r="D110" s="334" t="str">
        <f>VLOOKUP(Ruimtestaat[[#This Row],[Code]],Locaties[#All],5,FALSE)</f>
        <v>2596 JP</v>
      </c>
      <c r="E110" s="334" t="str">
        <f>VLOOKUP(Ruimtestaat[[#This Row],[Code]],Locaties[#All],6,FALSE)</f>
        <v>Den Haag</v>
      </c>
      <c r="F110" s="335"/>
      <c r="G110" s="334" t="s">
        <v>1611</v>
      </c>
      <c r="H110" s="334" t="s">
        <v>1555</v>
      </c>
      <c r="I110" s="335" t="s">
        <v>1518</v>
      </c>
      <c r="J110" s="328">
        <v>1</v>
      </c>
      <c r="K110" s="335" t="str">
        <f>VLOOKUP(J110,Ruimtegroepen[],2,FALSE)</f>
        <v>Magazijnen/bergingen</v>
      </c>
      <c r="L110" s="212" t="s">
        <v>123</v>
      </c>
      <c r="M110" s="334" t="s">
        <v>144</v>
      </c>
      <c r="N110" s="337">
        <v>18</v>
      </c>
      <c r="O110" s="331"/>
      <c r="P110" s="332" t="str">
        <f>VLOOKUP(Ruimtestaat[[#This Row],[Ruimte code]],Ruimtegroepen[],4,FALSE)</f>
        <v>V  (Verkeersruimte)</v>
      </c>
      <c r="Q110" s="332"/>
      <c r="R110" s="333">
        <v>40</v>
      </c>
      <c r="S110" s="333" t="s">
        <v>16</v>
      </c>
      <c r="T110" s="37"/>
      <c r="U110" s="37">
        <f>IF(R110&gt;0,IF(RIGHT(Ruimtestaat[[#This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110" s="37">
        <f>IF(U110&gt;0,VLOOKUP($J110,Ruimtegroepen[],3,FALSE)*VLOOKUP($L110,Vloersoorten[],3,FALSE)*VLOOKUP($S110,Frequenties[],3,FALSE)*VLOOKUP($A110,Locaties[],3,FALSE),0)</f>
        <v>0</v>
      </c>
      <c r="W110" s="37">
        <f>Ruimtestaat[[#This Row],[Uitvoeringen werkdagen]]*Ruimtestaat[[#This Row],[Oppervlak (netto)]]</f>
        <v>216</v>
      </c>
      <c r="X110" s="37">
        <f>IF(V110&gt;0,Ruimtestaat[[#This Row],[Prest. (m2 /jaar) werkdagen]]/Ruimtestaat[[#This Row],[Norm (m2/uur) werkdagen]],0)</f>
        <v>0</v>
      </c>
      <c r="Y110" s="37">
        <f>Ruimtestaat[[#This Row],[uren / jaar werkdagen]]*Tariefsopbouw!$D$38</f>
        <v>0</v>
      </c>
      <c r="Z110" s="37">
        <f>IF(Ruimtestaat[[#This Row],[Frequentie weekend]]&gt;0,VALUE(LEFT(T110,1))*R110,0)</f>
        <v>0</v>
      </c>
      <c r="AA110" s="37">
        <f>IF($Z110&gt;0,VLOOKUP($J110,Ruimtegroepen[],3,FALSE)*VLOOKUP($L110,Vloersoorten[],3,FALSE)*VLOOKUP($T110,Frequenties[],3,FALSE)*VLOOKUP($A110,Locaties[],3,FALSE),0)</f>
        <v>0</v>
      </c>
      <c r="AB110" s="37">
        <f>Ruimtestaat[[#This Row],[Uitvoeringen weekend]]*Ruimtestaat[[#This Row],[Oppervlak (netto)]]</f>
        <v>0</v>
      </c>
      <c r="AC110" s="37">
        <f>IF(AA110&gt;0,Ruimtestaat[[#This Row],[Prest. (m2 /jaar) weekend]]/Ruimtestaat[[#This Row],[Norm (m2/uur) weekend]],0)</f>
        <v>0</v>
      </c>
      <c r="AD110" s="37">
        <f>Ruimtestaat[[#This Row],[uren / jaar weekend]]*Tariefsopbouw!$D$40</f>
        <v>0</v>
      </c>
      <c r="AE110" s="89">
        <f>Ruimtestaat[[#This Row],[Prest. (m2 /jaar) weekend]]+Ruimtestaat[[#This Row],[Prest. (m2 /jaar) werkdagen]]</f>
        <v>216</v>
      </c>
      <c r="AF110" s="89">
        <f>Ruimtestaat[[#This Row],[uren / jaar weekend]]+Ruimtestaat[[#This Row],[uren / jaar werkdagen]]</f>
        <v>0</v>
      </c>
      <c r="AG110" s="90">
        <f>Ruimtestaat[[#This Row],[kosten / jaar weekend]]+Ruimtestaat[[#This Row],[kosten / jaar werkdagen]]</f>
        <v>0</v>
      </c>
      <c r="AH110" s="253"/>
      <c r="AI110" s="252" t="str">
        <f>IF(Ruimtestaat[[#This Row],[Frequentie werkdagen]]="","",_xlfn.CONCAT(Ruimtestaat[[#This Row],[Ruimte code]],"-",Ruimtestaat[[#This Row],[Frequentie werkdagen]]," ",Ruimtestaat[[#This Row],[Vloer code]]))</f>
        <v>1-1m P</v>
      </c>
      <c r="AJ110" s="247" t="str">
        <f>_xlfn.IFNA(VLOOKUP(Ruimtestaat[[#This Row],[Programmacode
Regulier]],Programma!$F$4:$Y$36148,2,0),"_")</f>
        <v>_</v>
      </c>
      <c r="AK110" s="247" t="str">
        <f>_xlfn.IFNA(VLOOKUP(Ruimtestaat[[#This Row],[Programmacode
Regulier]],Programma!$F$4:$Y$36148,3,0),"_")</f>
        <v>_</v>
      </c>
      <c r="AL110" s="247" t="str">
        <f>_xlfn.IFNA(VLOOKUP(Ruimtestaat[[#This Row],[Programmacode
Regulier]],Programma!$F$4:$Y$36148,4,0),"_")</f>
        <v>1m</v>
      </c>
      <c r="AM110" s="247" t="str">
        <f>_xlfn.IFNA(VLOOKUP(Ruimtestaat[[#This Row],[Programmacode
Regulier]],Programma!$F$4:$Y$36148,5,0),"_")</f>
        <v>1m</v>
      </c>
      <c r="AN110" s="247" t="str">
        <f>_xlfn.IFNA(VLOOKUP(Ruimtestaat[[#This Row],[Programmacode
Regulier]],Programma!$F$4:$Y$36148,6,0),"_")</f>
        <v>_</v>
      </c>
      <c r="AO110" s="247" t="str">
        <f>_xlfn.IFNA(VLOOKUP(Ruimtestaat[[#This Row],[Programmacode
Regulier]],Programma!$F$4:$Y$36148,7,0),"_")</f>
        <v>_</v>
      </c>
      <c r="AP110" s="247" t="str">
        <f>_xlfn.IFNA(VLOOKUP(Ruimtestaat[[#This Row],[Programmacode
Regulier]],Programma!$F$4:$Y$36148,8,0),"_")</f>
        <v>_</v>
      </c>
      <c r="AQ110" s="247" t="str">
        <f>_xlfn.IFNA(VLOOKUP(Ruimtestaat[[#This Row],[Programmacode
Regulier]],Programma!$F$4:$Y$36148,9,0),"_")</f>
        <v>_</v>
      </c>
      <c r="AR110" s="248" t="str">
        <f>_xlfn.IFNA(VLOOKUP(Ruimtestaat[[#This Row],[Programmacode
Regulier]],Programma!$F$4:$Y$36148,10,0),"_")</f>
        <v>_</v>
      </c>
      <c r="AS110" s="248" t="str">
        <f>_xlfn.IFNA(VLOOKUP(Ruimtestaat[[#This Row],[Programmacode
Regulier]],Programma!$F$4:$Y$36148,11,0),"_")</f>
        <v>_</v>
      </c>
      <c r="AT110" s="248" t="str">
        <f>_xlfn.IFNA(VLOOKUP(Ruimtestaat[[#This Row],[Programmacode
Regulier]],Programma!$F$4:$Y$36148,12,0),"_")</f>
        <v>_</v>
      </c>
      <c r="AU110" s="248" t="str">
        <f>_xlfn.IFNA(VLOOKUP(Ruimtestaat[[#This Row],[Programmacode
Regulier]],Programma!$F$4:$Y$36148,13,0),"_")</f>
        <v>_</v>
      </c>
      <c r="AV110" s="248" t="str">
        <f>_xlfn.IFNA(VLOOKUP(Ruimtestaat[[#This Row],[Programmacode
Regulier]],Programma!$F$4:$Y$36148,14,0),"_")</f>
        <v>1j</v>
      </c>
      <c r="AW110" s="248" t="str">
        <f>_xlfn.IFNA(VLOOKUP(Ruimtestaat[[#This Row],[Programmacode
Regulier]],Programma!$F$4:$Y$36148,15,0),"_")</f>
        <v>1j</v>
      </c>
      <c r="AX110" s="248" t="str">
        <f>_xlfn.IFNA(VLOOKUP(Ruimtestaat[[#This Row],[Programmacode
Regulier]],Programma!$F$4:$Y$36148,16,0),"_")</f>
        <v>1j</v>
      </c>
      <c r="AY110" s="248" t="str">
        <f>_xlfn.IFNA(VLOOKUP(Ruimtestaat[[#This Row],[Programmacode
Regulier]],Programma!$F$4:$Y$36148,17,0),"_")</f>
        <v>_</v>
      </c>
      <c r="AZ110" s="249" t="str">
        <f>_xlfn.IFNA(VLOOKUP(Ruimtestaat[[#This Row],[Programmacode
Regulier]],Programma!$F$4:$Y$36148,18,0),"_")</f>
        <v>_</v>
      </c>
      <c r="BA110" s="249" t="str">
        <f>_xlfn.IFNA(VLOOKUP(Ruimtestaat[[#This Row],[Programmacode
Regulier]],Programma!$F$4:$Y$36148,19,0),"_")</f>
        <v>_</v>
      </c>
      <c r="BB110" s="249" t="str">
        <f>_xlfn.IFNA(VLOOKUP(Ruimtestaat[[#This Row],[Programmacode
Regulier]],Programma!$F$4:$Y$36148,20,0),"_")</f>
        <v>_</v>
      </c>
      <c r="BC110" s="244"/>
      <c r="BD110" s="212" t="str">
        <f>IF(Ruimtestaat[[#This Row],[Frequentie weekend]]="","",_xlfn.CONCAT(Ruimtestaat[[#This Row],[Ruimte code]],"-",Ruimtestaat[[#This Row],[Frequentie weekend]]," ",Ruimtestaat[[#This Row],[Vloer code]]))</f>
        <v/>
      </c>
      <c r="BE110" s="247" t="str">
        <f>_xlfn.IFNA(VLOOKUP(Ruimtestaat[[#This Row],[Code Weekend]],Programma!$F$4:$Y$36148,2,0),"_")</f>
        <v>_</v>
      </c>
      <c r="BF110" s="247" t="str">
        <f>_xlfn.IFNA(VLOOKUP(Ruimtestaat[[#This Row],[Code Weekend]],Programma!$F$4:$Y$36148,3,0),"_")</f>
        <v>_</v>
      </c>
      <c r="BG110" s="247" t="str">
        <f>_xlfn.IFNA(VLOOKUP(Ruimtestaat[[#This Row],[Code Weekend]],Programma!$F$4:$Y$36148,4,0),"_")</f>
        <v>_</v>
      </c>
      <c r="BH110" s="247" t="str">
        <f>_xlfn.IFNA(VLOOKUP(Ruimtestaat[[#This Row],[Code Weekend]],Programma!$F$4:$Y$36148,5,0),"_")</f>
        <v>_</v>
      </c>
      <c r="BI110" s="247" t="str">
        <f>_xlfn.IFNA(VLOOKUP(Ruimtestaat[[#This Row],[Code Weekend]],Programma!$F$4:$Y$36148,6,0),"_")</f>
        <v>_</v>
      </c>
      <c r="BJ110" s="247" t="str">
        <f>_xlfn.IFNA(VLOOKUP(Ruimtestaat[[#This Row],[Code Weekend]],Programma!$F$4:$Y$36148,7,0),"_")</f>
        <v>_</v>
      </c>
      <c r="BK110" s="247" t="str">
        <f>_xlfn.IFNA(VLOOKUP(Ruimtestaat[[#This Row],[Code Weekend]],Programma!$F$4:$Y$36148,8,0),"_")</f>
        <v>_</v>
      </c>
      <c r="BL110" s="247" t="str">
        <f>_xlfn.IFNA(VLOOKUP(Ruimtestaat[[#This Row],[Code Weekend]],Programma!$F$4:$Y$36148,9,0),"_")</f>
        <v>_</v>
      </c>
      <c r="BM110" s="248" t="str">
        <f>_xlfn.IFNA(VLOOKUP(Ruimtestaat[[#This Row],[Code Weekend]],Programma!$F$4:$Y$36148,10,0),"_")</f>
        <v>_</v>
      </c>
      <c r="BN110" s="248" t="str">
        <f>_xlfn.IFNA(VLOOKUP(Ruimtestaat[[#This Row],[Code Weekend]],Programma!$F$4:$Y$36148,11,0),"_")</f>
        <v>_</v>
      </c>
      <c r="BO110" s="248" t="str">
        <f>_xlfn.IFNA(VLOOKUP(Ruimtestaat[[#This Row],[Code Weekend]],Programma!$F$4:$Y$36148,12,0),"_")</f>
        <v>_</v>
      </c>
      <c r="BP110" s="248" t="str">
        <f>_xlfn.IFNA(VLOOKUP(Ruimtestaat[[#This Row],[Code Weekend]],Programma!$F$4:$Y$36148,13,0),"_")</f>
        <v>_</v>
      </c>
      <c r="BQ110" s="248" t="str">
        <f>_xlfn.IFNA(VLOOKUP(Ruimtestaat[[#This Row],[Code Weekend]],Programma!$F$4:$Y$36148,14,0),"_")</f>
        <v>_</v>
      </c>
      <c r="BR110" s="248" t="str">
        <f>_xlfn.IFNA(VLOOKUP(Ruimtestaat[[#This Row],[Code Weekend]],Programma!$F$4:$Y$36148,15,0),"_")</f>
        <v>_</v>
      </c>
      <c r="BS110" s="248" t="str">
        <f>_xlfn.IFNA(VLOOKUP(Ruimtestaat[[#This Row],[Code Weekend]],Programma!$F$4:$Y$36148,16,0),"_")</f>
        <v>_</v>
      </c>
      <c r="BT110" s="248" t="str">
        <f>_xlfn.IFNA(VLOOKUP(Ruimtestaat[[#This Row],[Code Weekend]],Programma!$F$4:$Y$36148,17,0),"_")</f>
        <v>_</v>
      </c>
      <c r="BU110" s="249" t="str">
        <f>_xlfn.IFNA(VLOOKUP(Ruimtestaat[[#This Row],[Code Weekend]],Programma!$F$4:$Y$36148,18,0),"_")</f>
        <v>_</v>
      </c>
      <c r="BV110" s="249" t="str">
        <f>_xlfn.IFNA(VLOOKUP(Ruimtestaat[[#This Row],[Code Weekend]],Programma!$F$4:$Y$36148,19,0),"_")</f>
        <v>_</v>
      </c>
      <c r="BW110" s="249" t="str">
        <f>_xlfn.IFNA(VLOOKUP(Ruimtestaat[[#This Row],[Code Weekend]],Programma!$F$4:$Y$36148,20,0),"_")</f>
        <v>_</v>
      </c>
      <c r="HK110" s="88"/>
    </row>
    <row r="111" spans="1:219" ht="12.75" customHeight="1">
      <c r="A111" s="130">
        <v>1</v>
      </c>
      <c r="B111" s="22" t="str">
        <f>VLOOKUP(Ruimtestaat[[#This Row],[Code]],Locaties[#All],2,FALSE)</f>
        <v>ESH Secondary School</v>
      </c>
      <c r="C111" s="22" t="str">
        <f>VLOOKUP(Ruimtestaat[[#This Row],[Code]],Locaties[#All],4,FALSE)</f>
        <v>Oostduinlaan 50</v>
      </c>
      <c r="D111" s="334" t="str">
        <f>VLOOKUP(Ruimtestaat[[#This Row],[Code]],Locaties[#All],5,FALSE)</f>
        <v>2596 JP</v>
      </c>
      <c r="E111" s="334" t="str">
        <f>VLOOKUP(Ruimtestaat[[#This Row],[Code]],Locaties[#All],6,FALSE)</f>
        <v>Den Haag</v>
      </c>
      <c r="F111" s="335"/>
      <c r="G111" s="334" t="s">
        <v>1611</v>
      </c>
      <c r="H111" s="334" t="s">
        <v>1556</v>
      </c>
      <c r="I111" s="335" t="s">
        <v>78</v>
      </c>
      <c r="J111" s="328">
        <v>18</v>
      </c>
      <c r="K111" s="335" t="str">
        <f>VLOOKUP(J111,Ruimtegroepen[],2,FALSE)</f>
        <v>Gymzaal</v>
      </c>
      <c r="L111" s="212" t="s">
        <v>123</v>
      </c>
      <c r="M111" s="334" t="s">
        <v>1767</v>
      </c>
      <c r="N111" s="337">
        <v>247</v>
      </c>
      <c r="O111" s="331"/>
      <c r="P111" s="332" t="str">
        <f>VLOOKUP(Ruimtestaat[[#This Row],[Ruimte code]],Ruimtegroepen[],4,FALSE)</f>
        <v>Sp  (Sportruimte)</v>
      </c>
      <c r="Q111" s="332"/>
      <c r="R111" s="333">
        <v>40</v>
      </c>
      <c r="S111" s="333" t="s">
        <v>2</v>
      </c>
      <c r="T111" s="37"/>
      <c r="U111" s="37">
        <f>IF(R111&gt;0,IF(RIGHT(Ruimtestaat[[#This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11" s="37">
        <f>IF(U111&gt;0,VLOOKUP($J111,Ruimtegroepen[],3,FALSE)*VLOOKUP($L111,Vloersoorten[],3,FALSE)*VLOOKUP($S111,Frequenties[],3,FALSE)*VLOOKUP($A111,Locaties[],3,FALSE),0)</f>
        <v>0</v>
      </c>
      <c r="W111" s="37">
        <f>Ruimtestaat[[#This Row],[Uitvoeringen werkdagen]]*Ruimtestaat[[#This Row],[Oppervlak (netto)]]</f>
        <v>49400</v>
      </c>
      <c r="X111" s="37">
        <f>IF(V111&gt;0,Ruimtestaat[[#This Row],[Prest. (m2 /jaar) werkdagen]]/Ruimtestaat[[#This Row],[Norm (m2/uur) werkdagen]],0)</f>
        <v>0</v>
      </c>
      <c r="Y111" s="37">
        <f>Ruimtestaat[[#This Row],[uren / jaar werkdagen]]*Tariefsopbouw!$D$38</f>
        <v>0</v>
      </c>
      <c r="Z111" s="37">
        <f>IF(Ruimtestaat[[#This Row],[Frequentie weekend]]&gt;0,VALUE(LEFT(T111,1))*R111,0)</f>
        <v>0</v>
      </c>
      <c r="AA111" s="37">
        <f>IF($Z111&gt;0,VLOOKUP($J111,Ruimtegroepen[],3,FALSE)*VLOOKUP($L111,Vloersoorten[],3,FALSE)*VLOOKUP($T111,Frequenties[],3,FALSE)*VLOOKUP($A111,Locaties[],3,FALSE),0)</f>
        <v>0</v>
      </c>
      <c r="AB111" s="37">
        <f>Ruimtestaat[[#This Row],[Uitvoeringen weekend]]*Ruimtestaat[[#This Row],[Oppervlak (netto)]]</f>
        <v>0</v>
      </c>
      <c r="AC111" s="37">
        <f>IF(AA111&gt;0,Ruimtestaat[[#This Row],[Prest. (m2 /jaar) weekend]]/Ruimtestaat[[#This Row],[Norm (m2/uur) weekend]],0)</f>
        <v>0</v>
      </c>
      <c r="AD111" s="37">
        <f>Ruimtestaat[[#This Row],[uren / jaar weekend]]*Tariefsopbouw!$D$40</f>
        <v>0</v>
      </c>
      <c r="AE111" s="89">
        <f>Ruimtestaat[[#This Row],[Prest. (m2 /jaar) weekend]]+Ruimtestaat[[#This Row],[Prest. (m2 /jaar) werkdagen]]</f>
        <v>49400</v>
      </c>
      <c r="AF111" s="89">
        <f>Ruimtestaat[[#This Row],[uren / jaar weekend]]+Ruimtestaat[[#This Row],[uren / jaar werkdagen]]</f>
        <v>0</v>
      </c>
      <c r="AG111" s="90">
        <f>Ruimtestaat[[#This Row],[kosten / jaar weekend]]+Ruimtestaat[[#This Row],[kosten / jaar werkdagen]]</f>
        <v>0</v>
      </c>
      <c r="AH111" s="253"/>
      <c r="AI111" s="252" t="str">
        <f>IF(Ruimtestaat[[#This Row],[Frequentie werkdagen]]="","",_xlfn.CONCAT(Ruimtestaat[[#This Row],[Ruimte code]],"-",Ruimtestaat[[#This Row],[Frequentie werkdagen]]," ",Ruimtestaat[[#This Row],[Vloer code]]))</f>
        <v>18-5w P</v>
      </c>
      <c r="AJ111" s="247" t="str">
        <f>_xlfn.IFNA(VLOOKUP(Ruimtestaat[[#This Row],[Programmacode
Regulier]],Programma!$F$4:$Y$36148,2,0),"_")</f>
        <v>_</v>
      </c>
      <c r="AK111" s="247" t="str">
        <f>_xlfn.IFNA(VLOOKUP(Ruimtestaat[[#This Row],[Programmacode
Regulier]],Programma!$F$4:$Y$36148,3,0),"_")</f>
        <v>_</v>
      </c>
      <c r="AL111" s="247" t="str">
        <f>_xlfn.IFNA(VLOOKUP(Ruimtestaat[[#This Row],[Programmacode
Regulier]],Programma!$F$4:$Y$36148,4,0),"_")</f>
        <v>5w</v>
      </c>
      <c r="AM111" s="247" t="str">
        <f>_xlfn.IFNA(VLOOKUP(Ruimtestaat[[#This Row],[Programmacode
Regulier]],Programma!$F$4:$Y$36148,5,0),"_")</f>
        <v>4w</v>
      </c>
      <c r="AN111" s="247" t="str">
        <f>_xlfn.IFNA(VLOOKUP(Ruimtestaat[[#This Row],[Programmacode
Regulier]],Programma!$F$4:$Y$36148,6,0),"_")</f>
        <v>1w</v>
      </c>
      <c r="AO111" s="247" t="str">
        <f>_xlfn.IFNA(VLOOKUP(Ruimtestaat[[#This Row],[Programmacode
Regulier]],Programma!$F$4:$Y$36148,7,0),"_")</f>
        <v>_</v>
      </c>
      <c r="AP111" s="247" t="str">
        <f>_xlfn.IFNA(VLOOKUP(Ruimtestaat[[#This Row],[Programmacode
Regulier]],Programma!$F$4:$Y$36148,8,0),"_")</f>
        <v>_</v>
      </c>
      <c r="AQ111" s="247" t="str">
        <f>_xlfn.IFNA(VLOOKUP(Ruimtestaat[[#This Row],[Programmacode
Regulier]],Programma!$F$4:$Y$36148,9,0),"_")</f>
        <v>_</v>
      </c>
      <c r="AR111" s="248" t="str">
        <f>_xlfn.IFNA(VLOOKUP(Ruimtestaat[[#This Row],[Programmacode
Regulier]],Programma!$F$4:$Y$36148,10,0),"_")</f>
        <v>5w</v>
      </c>
      <c r="AS111" s="248" t="str">
        <f>_xlfn.IFNA(VLOOKUP(Ruimtestaat[[#This Row],[Programmacode
Regulier]],Programma!$F$4:$Y$36148,11,0),"_")</f>
        <v>5w</v>
      </c>
      <c r="AT111" s="248" t="str">
        <f>_xlfn.IFNA(VLOOKUP(Ruimtestaat[[#This Row],[Programmacode
Regulier]],Programma!$F$4:$Y$36148,12,0),"_")</f>
        <v>1w</v>
      </c>
      <c r="AU111" s="248" t="str">
        <f>_xlfn.IFNA(VLOOKUP(Ruimtestaat[[#This Row],[Programmacode
Regulier]],Programma!$F$4:$Y$36148,13,0),"_")</f>
        <v>1w</v>
      </c>
      <c r="AV111" s="248" t="str">
        <f>_xlfn.IFNA(VLOOKUP(Ruimtestaat[[#This Row],[Programmacode
Regulier]],Programma!$F$4:$Y$36148,14,0),"_")</f>
        <v>1m</v>
      </c>
      <c r="AW111" s="248" t="str">
        <f>_xlfn.IFNA(VLOOKUP(Ruimtestaat[[#This Row],[Programmacode
Regulier]],Programma!$F$4:$Y$36148,15,0),"_")</f>
        <v>2j</v>
      </c>
      <c r="AX111" s="248" t="str">
        <f>_xlfn.IFNA(VLOOKUP(Ruimtestaat[[#This Row],[Programmacode
Regulier]],Programma!$F$4:$Y$36148,16,0),"_")</f>
        <v>1j</v>
      </c>
      <c r="AY111" s="248" t="str">
        <f>_xlfn.IFNA(VLOOKUP(Ruimtestaat[[#This Row],[Programmacode
Regulier]],Programma!$F$4:$Y$36148,17,0),"_")</f>
        <v>_</v>
      </c>
      <c r="AZ111" s="249" t="str">
        <f>_xlfn.IFNA(VLOOKUP(Ruimtestaat[[#This Row],[Programmacode
Regulier]],Programma!$F$4:$Y$36148,18,0),"_")</f>
        <v>_</v>
      </c>
      <c r="BA111" s="249" t="str">
        <f>_xlfn.IFNA(VLOOKUP(Ruimtestaat[[#This Row],[Programmacode
Regulier]],Programma!$F$4:$Y$36148,19,0),"_")</f>
        <v>_</v>
      </c>
      <c r="BB111" s="249" t="str">
        <f>_xlfn.IFNA(VLOOKUP(Ruimtestaat[[#This Row],[Programmacode
Regulier]],Programma!$F$4:$Y$36148,20,0),"_")</f>
        <v>_</v>
      </c>
      <c r="BC111" s="250"/>
      <c r="BD111" s="212" t="str">
        <f>IF(Ruimtestaat[[#This Row],[Frequentie weekend]]="","",_xlfn.CONCAT(Ruimtestaat[[#This Row],[Ruimte code]],"-",Ruimtestaat[[#This Row],[Frequentie weekend]]," ",Ruimtestaat[[#This Row],[Vloer code]]))</f>
        <v/>
      </c>
      <c r="BE111" s="247" t="str">
        <f>_xlfn.IFNA(VLOOKUP(Ruimtestaat[[#This Row],[Code Weekend]],Programma!$F$4:$Y$36148,2,0),"_")</f>
        <v>_</v>
      </c>
      <c r="BF111" s="247" t="str">
        <f>_xlfn.IFNA(VLOOKUP(Ruimtestaat[[#This Row],[Code Weekend]],Programma!$F$4:$Y$36148,3,0),"_")</f>
        <v>_</v>
      </c>
      <c r="BG111" s="247" t="str">
        <f>_xlfn.IFNA(VLOOKUP(Ruimtestaat[[#This Row],[Code Weekend]],Programma!$F$4:$Y$36148,4,0),"_")</f>
        <v>_</v>
      </c>
      <c r="BH111" s="247" t="str">
        <f>_xlfn.IFNA(VLOOKUP(Ruimtestaat[[#This Row],[Code Weekend]],Programma!$F$4:$Y$36148,5,0),"_")</f>
        <v>_</v>
      </c>
      <c r="BI111" s="247" t="str">
        <f>_xlfn.IFNA(VLOOKUP(Ruimtestaat[[#This Row],[Code Weekend]],Programma!$F$4:$Y$36148,6,0),"_")</f>
        <v>_</v>
      </c>
      <c r="BJ111" s="247" t="str">
        <f>_xlfn.IFNA(VLOOKUP(Ruimtestaat[[#This Row],[Code Weekend]],Programma!$F$4:$Y$36148,7,0),"_")</f>
        <v>_</v>
      </c>
      <c r="BK111" s="247" t="str">
        <f>_xlfn.IFNA(VLOOKUP(Ruimtestaat[[#This Row],[Code Weekend]],Programma!$F$4:$Y$36148,8,0),"_")</f>
        <v>_</v>
      </c>
      <c r="BL111" s="247" t="str">
        <f>_xlfn.IFNA(VLOOKUP(Ruimtestaat[[#This Row],[Code Weekend]],Programma!$F$4:$Y$36148,9,0),"_")</f>
        <v>_</v>
      </c>
      <c r="BM111" s="248" t="str">
        <f>_xlfn.IFNA(VLOOKUP(Ruimtestaat[[#This Row],[Code Weekend]],Programma!$F$4:$Y$36148,10,0),"_")</f>
        <v>_</v>
      </c>
      <c r="BN111" s="248" t="str">
        <f>_xlfn.IFNA(VLOOKUP(Ruimtestaat[[#This Row],[Code Weekend]],Programma!$F$4:$Y$36148,11,0),"_")</f>
        <v>_</v>
      </c>
      <c r="BO111" s="248" t="str">
        <f>_xlfn.IFNA(VLOOKUP(Ruimtestaat[[#This Row],[Code Weekend]],Programma!$F$4:$Y$36148,12,0),"_")</f>
        <v>_</v>
      </c>
      <c r="BP111" s="248" t="str">
        <f>_xlfn.IFNA(VLOOKUP(Ruimtestaat[[#This Row],[Code Weekend]],Programma!$F$4:$Y$36148,13,0),"_")</f>
        <v>_</v>
      </c>
      <c r="BQ111" s="248" t="str">
        <f>_xlfn.IFNA(VLOOKUP(Ruimtestaat[[#This Row],[Code Weekend]],Programma!$F$4:$Y$36148,14,0),"_")</f>
        <v>_</v>
      </c>
      <c r="BR111" s="248" t="str">
        <f>_xlfn.IFNA(VLOOKUP(Ruimtestaat[[#This Row],[Code Weekend]],Programma!$F$4:$Y$36148,15,0),"_")</f>
        <v>_</v>
      </c>
      <c r="BS111" s="248" t="str">
        <f>_xlfn.IFNA(VLOOKUP(Ruimtestaat[[#This Row],[Code Weekend]],Programma!$F$4:$Y$36148,16,0),"_")</f>
        <v>_</v>
      </c>
      <c r="BT111" s="248" t="str">
        <f>_xlfn.IFNA(VLOOKUP(Ruimtestaat[[#This Row],[Code Weekend]],Programma!$F$4:$Y$36148,17,0),"_")</f>
        <v>_</v>
      </c>
      <c r="BU111" s="249" t="str">
        <f>_xlfn.IFNA(VLOOKUP(Ruimtestaat[[#This Row],[Code Weekend]],Programma!$F$4:$Y$36148,18,0),"_")</f>
        <v>_</v>
      </c>
      <c r="BV111" s="249" t="str">
        <f>_xlfn.IFNA(VLOOKUP(Ruimtestaat[[#This Row],[Code Weekend]],Programma!$F$4:$Y$36148,19,0),"_")</f>
        <v>_</v>
      </c>
      <c r="BW111" s="249" t="str">
        <f>_xlfn.IFNA(VLOOKUP(Ruimtestaat[[#This Row],[Code Weekend]],Programma!$F$4:$Y$36148,20,0),"_")</f>
        <v>_</v>
      </c>
      <c r="HK111" s="88"/>
    </row>
    <row r="112" spans="1:219" ht="12.75" customHeight="1">
      <c r="A112" s="334">
        <v>1</v>
      </c>
      <c r="B112" s="334" t="s">
        <v>1481</v>
      </c>
      <c r="C112" s="212" t="s">
        <v>1482</v>
      </c>
      <c r="D112" s="212" t="s">
        <v>1483</v>
      </c>
      <c r="E112" s="212" t="s">
        <v>1358</v>
      </c>
      <c r="F112" s="335"/>
      <c r="G112" s="334" t="s">
        <v>1611</v>
      </c>
      <c r="H112" s="334" t="s">
        <v>1792</v>
      </c>
      <c r="I112" s="335" t="s">
        <v>1791</v>
      </c>
      <c r="J112" s="252">
        <v>1</v>
      </c>
      <c r="K112" s="336" t="str">
        <f>VLOOKUP(J112,Ruimtegroepen[],2,FALSE)</f>
        <v>Magazijnen/bergingen</v>
      </c>
      <c r="L112" s="212" t="s">
        <v>123</v>
      </c>
      <c r="M112" s="334" t="s">
        <v>1767</v>
      </c>
      <c r="N112" s="337">
        <v>50</v>
      </c>
      <c r="O112" s="331"/>
      <c r="P112" s="332" t="str">
        <f>VLOOKUP(Ruimtestaat[[#This Row],[Ruimte code]],Ruimtegroepen[],4,FALSE)</f>
        <v>V  (Verkeersruimte)</v>
      </c>
      <c r="Q112" s="332"/>
      <c r="R112" s="333">
        <v>40</v>
      </c>
      <c r="S112" s="333" t="s">
        <v>16</v>
      </c>
      <c r="T112" s="37"/>
      <c r="U112" s="339">
        <f>IF(R112&gt;0,IF(RIGHT(Ruimtestaat[[#This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112" s="340">
        <f>IF(U112&gt;0,VLOOKUP($J112,Ruimtegroepen[],3,FALSE)*VLOOKUP($L112,Vloersoorten[],3,FALSE)*VLOOKUP($S112,Frequenties[],3,FALSE)*VLOOKUP($A112,Locaties[],3,FALSE),0)</f>
        <v>0</v>
      </c>
      <c r="W112" s="341">
        <f>Ruimtestaat[[#This Row],[Uitvoeringen werkdagen]]*Ruimtestaat[[#This Row],[Oppervlak (netto)]]</f>
        <v>600</v>
      </c>
      <c r="X112" s="342">
        <f>IF(V112&gt;0,Ruimtestaat[[#This Row],[Prest. (m2 /jaar) werkdagen]]/Ruimtestaat[[#This Row],[Norm (m2/uur) werkdagen]],0)</f>
        <v>0</v>
      </c>
      <c r="Y112" s="343">
        <f>Ruimtestaat[[#This Row],[uren / jaar werkdagen]]*Tariefsopbouw!$D$38</f>
        <v>0</v>
      </c>
      <c r="Z112" s="252">
        <f>IF(Ruimtestaat[[#This Row],[Frequentie weekend]]&gt;0,VALUE(LEFT(T112,1))*R112,0)</f>
        <v>0</v>
      </c>
      <c r="AA112" s="341">
        <f>IF($Z112&gt;0,VLOOKUP($J112,Ruimtegroepen[],3,FALSE)*VLOOKUP($L112,Vloersoorten[],3,FALSE)*VLOOKUP(#REF!,Frequenties[],3,FALSE)*VLOOKUP(#REF!,Locaties[],3,FALSE),0)</f>
        <v>0</v>
      </c>
      <c r="AB112" s="344">
        <f>Ruimtestaat[[#This Row],[Uitvoeringen weekend]]*Ruimtestaat[[#This Row],[Oppervlak (netto)]]</f>
        <v>0</v>
      </c>
      <c r="AC112" s="344">
        <f>IF(AA112&gt;0,Ruimtestaat[[#This Row],[Prest. (m2 /jaar) weekend]]/Ruimtestaat[[#This Row],[Norm (m2/uur) weekend]],0)</f>
        <v>0</v>
      </c>
      <c r="AD112" s="333">
        <f>Ruimtestaat[[#This Row],[uren / jaar weekend]]*Tariefsopbouw!$D$40</f>
        <v>0</v>
      </c>
      <c r="AE112" s="345">
        <f>Ruimtestaat[[#This Row],[Prest. (m2 /jaar) weekend]]+Ruimtestaat[[#This Row],[Prest. (m2 /jaar) werkdagen]]</f>
        <v>600</v>
      </c>
      <c r="AF112" s="345">
        <f>Ruimtestaat[[#This Row],[uren / jaar weekend]]+Ruimtestaat[[#This Row],[uren / jaar werkdagen]]</f>
        <v>0</v>
      </c>
      <c r="AG112" s="213">
        <f>Ruimtestaat[[#This Row],[kosten / jaar weekend]]+Ruimtestaat[[#This Row],[kosten / jaar werkdagen]]</f>
        <v>0</v>
      </c>
      <c r="AH112" s="253"/>
      <c r="AI112" s="252" t="str">
        <f>IF(Ruimtestaat[[#This Row],[Frequentie werkdagen]]="","",_xlfn.CONCAT(Ruimtestaat[[#This Row],[Ruimte code]],"-",Ruimtestaat[[#This Row],[Frequentie werkdagen]]," ",Ruimtestaat[[#This Row],[Vloer code]]))</f>
        <v>1-1m P</v>
      </c>
      <c r="AJ112" s="346" t="str">
        <f>_xlfn.IFNA(VLOOKUP(Ruimtestaat[[#This Row],[Programmacode
Regulier]],Programma!$F$4:$Y$36148,2,0),"_")</f>
        <v>_</v>
      </c>
      <c r="AK112" s="346" t="str">
        <f>_xlfn.IFNA(VLOOKUP(Ruimtestaat[[#This Row],[Programmacode
Regulier]],Programma!$F$4:$Y$36148,3,0),"_")</f>
        <v>_</v>
      </c>
      <c r="AL112" s="346" t="str">
        <f>_xlfn.IFNA(VLOOKUP(Ruimtestaat[[#This Row],[Programmacode
Regulier]],Programma!$F$4:$Y$36148,4,0),"_")</f>
        <v>1m</v>
      </c>
      <c r="AM112" s="346" t="str">
        <f>_xlfn.IFNA(VLOOKUP(Ruimtestaat[[#This Row],[Programmacode
Regulier]],Programma!$F$4:$Y$36148,5,0),"_")</f>
        <v>1m</v>
      </c>
      <c r="AN112" s="346" t="str">
        <f>_xlfn.IFNA(VLOOKUP(Ruimtestaat[[#This Row],[Programmacode
Regulier]],Programma!$F$4:$Y$36148,6,0),"_")</f>
        <v>_</v>
      </c>
      <c r="AO112" s="346" t="str">
        <f>_xlfn.IFNA(VLOOKUP(Ruimtestaat[[#This Row],[Programmacode
Regulier]],Programma!$F$4:$Y$36148,7,0),"_")</f>
        <v>_</v>
      </c>
      <c r="AP112" s="346" t="str">
        <f>_xlfn.IFNA(VLOOKUP(Ruimtestaat[[#This Row],[Programmacode
Regulier]],Programma!$F$4:$Y$36148,8,0),"_")</f>
        <v>_</v>
      </c>
      <c r="AQ112" s="346" t="str">
        <f>_xlfn.IFNA(VLOOKUP(Ruimtestaat[[#This Row],[Programmacode
Regulier]],Programma!$F$4:$Y$36148,9,0),"_")</f>
        <v>_</v>
      </c>
      <c r="AR112" s="346" t="str">
        <f>_xlfn.IFNA(VLOOKUP(Ruimtestaat[[#This Row],[Programmacode
Regulier]],Programma!$F$4:$Y$36148,10,0),"_")</f>
        <v>_</v>
      </c>
      <c r="AS112" s="346" t="str">
        <f>_xlfn.IFNA(VLOOKUP(Ruimtestaat[[#This Row],[Programmacode
Regulier]],Programma!$F$4:$Y$36148,11,0),"_")</f>
        <v>_</v>
      </c>
      <c r="AT112" s="346" t="str">
        <f>_xlfn.IFNA(VLOOKUP(Ruimtestaat[[#This Row],[Programmacode
Regulier]],Programma!$F$4:$Y$36148,12,0),"_")</f>
        <v>_</v>
      </c>
      <c r="AU112" s="346" t="str">
        <f>_xlfn.IFNA(VLOOKUP(Ruimtestaat[[#This Row],[Programmacode
Regulier]],Programma!$F$4:$Y$36148,13,0),"_")</f>
        <v>_</v>
      </c>
      <c r="AV112" s="346" t="str">
        <f>_xlfn.IFNA(VLOOKUP(Ruimtestaat[[#This Row],[Programmacode
Regulier]],Programma!$F$4:$Y$36148,14,0),"_")</f>
        <v>1j</v>
      </c>
      <c r="AW112" s="346" t="str">
        <f>_xlfn.IFNA(VLOOKUP(Ruimtestaat[[#This Row],[Programmacode
Regulier]],Programma!$F$4:$Y$36148,15,0),"_")</f>
        <v>1j</v>
      </c>
      <c r="AX112" s="346" t="str">
        <f>_xlfn.IFNA(VLOOKUP(Ruimtestaat[[#This Row],[Programmacode
Regulier]],Programma!$F$4:$Y$36148,16,0),"_")</f>
        <v>1j</v>
      </c>
      <c r="AY112" s="346" t="str">
        <f>_xlfn.IFNA(VLOOKUP(Ruimtestaat[[#This Row],[Programmacode
Regulier]],Programma!$F$4:$Y$36148,17,0),"_")</f>
        <v>_</v>
      </c>
      <c r="AZ112" s="346" t="str">
        <f>_xlfn.IFNA(VLOOKUP(Ruimtestaat[[#This Row],[Programmacode
Regulier]],Programma!$F$4:$Y$36148,18,0),"_")</f>
        <v>_</v>
      </c>
      <c r="BA112" s="346" t="str">
        <f>_xlfn.IFNA(VLOOKUP(Ruimtestaat[[#This Row],[Programmacode
Regulier]],Programma!$F$4:$Y$36148,19,0),"_")</f>
        <v>_</v>
      </c>
      <c r="BB112" s="346" t="str">
        <f>_xlfn.IFNA(VLOOKUP(Ruimtestaat[[#This Row],[Programmacode
Regulier]],Programma!$F$4:$Y$36148,20,0),"_")</f>
        <v>_</v>
      </c>
      <c r="BC112" s="347"/>
      <c r="BD112" s="212" t="str">
        <f>IF(Ruimtestaat[[#This Row],[Frequentie weekend]]="","",_xlfn.CONCAT(Ruimtestaat[[#This Row],[Ruimte code]],"-",Ruimtestaat[[#This Row],[Frequentie weekend]]," ",Ruimtestaat[[#This Row],[Vloer code]]))</f>
        <v/>
      </c>
      <c r="BE112" s="346" t="str">
        <f>_xlfn.IFNA(VLOOKUP(Ruimtestaat[[#This Row],[Code Weekend]],Programma!$F$4:$Y$36148,2,0),"_")</f>
        <v>_</v>
      </c>
      <c r="BF112" s="346" t="str">
        <f>_xlfn.IFNA(VLOOKUP(Ruimtestaat[[#This Row],[Code Weekend]],Programma!$F$4:$Y$36148,3,0),"_")</f>
        <v>_</v>
      </c>
      <c r="BG112" s="346" t="str">
        <f>_xlfn.IFNA(VLOOKUP(Ruimtestaat[[#This Row],[Code Weekend]],Programma!$F$4:$Y$36148,4,0),"_")</f>
        <v>_</v>
      </c>
      <c r="BH112" s="346" t="str">
        <f>_xlfn.IFNA(VLOOKUP(Ruimtestaat[[#This Row],[Code Weekend]],Programma!$F$4:$Y$36148,5,0),"_")</f>
        <v>_</v>
      </c>
      <c r="BI112" s="346"/>
      <c r="BJ112" s="346" t="str">
        <f>_xlfn.IFNA(VLOOKUP(Ruimtestaat[[#This Row],[Code Weekend]],Programma!$F$4:$Y$36148,7,0),"_")</f>
        <v>_</v>
      </c>
      <c r="BK112" s="346" t="str">
        <f>_xlfn.IFNA(VLOOKUP(Ruimtestaat[[#This Row],[Code Weekend]],Programma!$F$4:$Y$36148,8,0),"_")</f>
        <v>_</v>
      </c>
      <c r="BL112" s="346" t="str">
        <f>_xlfn.IFNA(VLOOKUP(Ruimtestaat[[#This Row],[Code Weekend]],Programma!$F$4:$Y$36148,9,0),"_")</f>
        <v>_</v>
      </c>
      <c r="BM112" s="346" t="str">
        <f>_xlfn.IFNA(VLOOKUP(Ruimtestaat[[#This Row],[Code Weekend]],Programma!$F$4:$Y$36148,10,0),"_")</f>
        <v>_</v>
      </c>
      <c r="BN112" s="346" t="str">
        <f>_xlfn.IFNA(VLOOKUP(Ruimtestaat[[#This Row],[Code Weekend]],Programma!$F$4:$Y$36148,11,0),"_")</f>
        <v>_</v>
      </c>
      <c r="BO112" s="346" t="str">
        <f>_xlfn.IFNA(VLOOKUP(Ruimtestaat[[#This Row],[Code Weekend]],Programma!$F$4:$Y$36148,12,0),"_")</f>
        <v>_</v>
      </c>
      <c r="BP112" s="346" t="str">
        <f>_xlfn.IFNA(VLOOKUP(Ruimtestaat[[#This Row],[Code Weekend]],Programma!$F$4:$Y$36148,13,0),"_")</f>
        <v>_</v>
      </c>
      <c r="BQ112" s="346" t="str">
        <f>_xlfn.IFNA(VLOOKUP(Ruimtestaat[[#This Row],[Code Weekend]],Programma!$F$4:$Y$36148,14,0),"_")</f>
        <v>_</v>
      </c>
      <c r="BR112" s="346" t="str">
        <f>_xlfn.IFNA(VLOOKUP(Ruimtestaat[[#This Row],[Code Weekend]],Programma!$F$4:$Y$36148,15,0),"_")</f>
        <v>_</v>
      </c>
      <c r="BS112" s="346" t="str">
        <f>_xlfn.IFNA(VLOOKUP(Ruimtestaat[[#This Row],[Code Weekend]],Programma!$F$4:$Y$36148,16,0),"_")</f>
        <v>_</v>
      </c>
      <c r="BT112" s="346" t="str">
        <f>_xlfn.IFNA(VLOOKUP(Ruimtestaat[[#This Row],[Code Weekend]],Programma!$F$4:$Y$36148,17,0),"_")</f>
        <v>_</v>
      </c>
      <c r="BU112" s="346" t="str">
        <f>_xlfn.IFNA(VLOOKUP(Ruimtestaat[[#This Row],[Code Weekend]],Programma!$F$4:$Y$36148,18,0),"_")</f>
        <v>_</v>
      </c>
      <c r="BV112" s="346" t="str">
        <f>_xlfn.IFNA(VLOOKUP(Ruimtestaat[[#This Row],[Code Weekend]],Programma!$F$4:$Y$36148,19,0),"_")</f>
        <v>_</v>
      </c>
      <c r="BW112" s="346" t="str">
        <f>_xlfn.IFNA(VLOOKUP(Ruimtestaat[[#This Row],[Code Weekend]],Programma!$F$4:$Y$36148,20,0),"_")</f>
        <v>_</v>
      </c>
      <c r="HK112" s="88"/>
    </row>
    <row r="113" spans="1:219" ht="12.75" customHeight="1">
      <c r="A113" s="130">
        <v>1</v>
      </c>
      <c r="B113" s="22" t="str">
        <f>VLOOKUP(Ruimtestaat[[#This Row],[Code]],Locaties[#All],2,FALSE)</f>
        <v>ESH Secondary School</v>
      </c>
      <c r="C113" s="22" t="str">
        <f>VLOOKUP(Ruimtestaat[[#This Row],[Code]],Locaties[#All],4,FALSE)</f>
        <v>Oostduinlaan 50</v>
      </c>
      <c r="D113" s="334" t="str">
        <f>VLOOKUP(Ruimtestaat[[#This Row],[Code]],Locaties[#All],5,FALSE)</f>
        <v>2596 JP</v>
      </c>
      <c r="E113" s="334" t="str">
        <f>VLOOKUP(Ruimtestaat[[#This Row],[Code]],Locaties[#All],6,FALSE)</f>
        <v>Den Haag</v>
      </c>
      <c r="F113" s="335"/>
      <c r="G113" s="334" t="s">
        <v>1611</v>
      </c>
      <c r="H113" s="334" t="s">
        <v>1557</v>
      </c>
      <c r="I113" s="335" t="s">
        <v>1395</v>
      </c>
      <c r="J113" s="333">
        <v>6</v>
      </c>
      <c r="K113" s="335" t="s">
        <v>1768</v>
      </c>
      <c r="L113" s="212" t="s">
        <v>123</v>
      </c>
      <c r="M113" s="334" t="s">
        <v>144</v>
      </c>
      <c r="N113" s="337">
        <v>24</v>
      </c>
      <c r="O113" s="331"/>
      <c r="P113" s="332" t="str">
        <f>VLOOKUP(Ruimtestaat[[#This Row],[Ruimte code]],Ruimtegroepen[],4,FALSE)</f>
        <v>V  (Verkeersruimte)</v>
      </c>
      <c r="Q113" s="332"/>
      <c r="R113" s="333">
        <v>40</v>
      </c>
      <c r="S113" s="333" t="s">
        <v>2</v>
      </c>
      <c r="T113" s="37"/>
      <c r="U113" s="37">
        <f>IF(R113&gt;0,IF(RIGHT(Ruimtestaat[[#This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13" s="37">
        <f>IF(U113&gt;0,VLOOKUP($J113,Ruimtegroepen[],3,FALSE)*VLOOKUP($L113,Vloersoorten[],3,FALSE)*VLOOKUP($S113,Frequenties[],3,FALSE)*VLOOKUP($A113,Locaties[],3,FALSE),0)</f>
        <v>0</v>
      </c>
      <c r="W113" s="37">
        <f>Ruimtestaat[[#This Row],[Uitvoeringen werkdagen]]*Ruimtestaat[[#This Row],[Oppervlak (netto)]]</f>
        <v>4800</v>
      </c>
      <c r="X113" s="37">
        <f>IF(V113&gt;0,Ruimtestaat[[#This Row],[Prest. (m2 /jaar) werkdagen]]/Ruimtestaat[[#This Row],[Norm (m2/uur) werkdagen]],0)</f>
        <v>0</v>
      </c>
      <c r="Y113" s="37">
        <f>Ruimtestaat[[#This Row],[uren / jaar werkdagen]]*Tariefsopbouw!$D$38</f>
        <v>0</v>
      </c>
      <c r="Z113" s="37">
        <f>IF(Ruimtestaat[[#This Row],[Frequentie weekend]]&gt;0,VALUE(LEFT(T113,1))*R113,0)</f>
        <v>0</v>
      </c>
      <c r="AA113" s="37">
        <f>IF($Z113&gt;0,VLOOKUP($J113,Ruimtegroepen[],3,FALSE)*VLOOKUP($L113,Vloersoorten[],3,FALSE)*VLOOKUP($T113,Frequenties[],3,FALSE)*VLOOKUP($A113,Locaties[],3,FALSE),0)</f>
        <v>0</v>
      </c>
      <c r="AB113" s="37">
        <f>Ruimtestaat[[#This Row],[Uitvoeringen weekend]]*Ruimtestaat[[#This Row],[Oppervlak (netto)]]</f>
        <v>0</v>
      </c>
      <c r="AC113" s="37">
        <f>IF(AA113&gt;0,Ruimtestaat[[#This Row],[Prest. (m2 /jaar) weekend]]/Ruimtestaat[[#This Row],[Norm (m2/uur) weekend]],0)</f>
        <v>0</v>
      </c>
      <c r="AD113" s="37">
        <f>Ruimtestaat[[#This Row],[uren / jaar weekend]]*Tariefsopbouw!$D$40</f>
        <v>0</v>
      </c>
      <c r="AE113" s="89">
        <f>Ruimtestaat[[#This Row],[Prest. (m2 /jaar) weekend]]+Ruimtestaat[[#This Row],[Prest. (m2 /jaar) werkdagen]]</f>
        <v>4800</v>
      </c>
      <c r="AF113" s="89">
        <f>Ruimtestaat[[#This Row],[uren / jaar weekend]]+Ruimtestaat[[#This Row],[uren / jaar werkdagen]]</f>
        <v>0</v>
      </c>
      <c r="AG113" s="90">
        <f>Ruimtestaat[[#This Row],[kosten / jaar weekend]]+Ruimtestaat[[#This Row],[kosten / jaar werkdagen]]</f>
        <v>0</v>
      </c>
      <c r="AH113" s="253"/>
      <c r="AI113" s="252" t="str">
        <f>IF(Ruimtestaat[[#This Row],[Frequentie werkdagen]]="","",_xlfn.CONCAT(Ruimtestaat[[#This Row],[Ruimte code]],"-",Ruimtestaat[[#This Row],[Frequentie werkdagen]]," ",Ruimtestaat[[#This Row],[Vloer code]]))</f>
        <v>6-5w P</v>
      </c>
      <c r="AJ113" s="247" t="str">
        <f>_xlfn.IFNA(VLOOKUP(Ruimtestaat[[#This Row],[Programmacode
Regulier]],Programma!$F$4:$Y$36148,2,0),"_")</f>
        <v>_</v>
      </c>
      <c r="AK113" s="247" t="str">
        <f>_xlfn.IFNA(VLOOKUP(Ruimtestaat[[#This Row],[Programmacode
Regulier]],Programma!$F$4:$Y$36148,3,0),"_")</f>
        <v>_</v>
      </c>
      <c r="AL113" s="247" t="str">
        <f>_xlfn.IFNA(VLOOKUP(Ruimtestaat[[#This Row],[Programmacode
Regulier]],Programma!$F$4:$Y$36148,4,0),"_")</f>
        <v>5w</v>
      </c>
      <c r="AM113" s="247" t="str">
        <f>_xlfn.IFNA(VLOOKUP(Ruimtestaat[[#This Row],[Programmacode
Regulier]],Programma!$F$4:$Y$36148,5,0),"_")</f>
        <v>_</v>
      </c>
      <c r="AN113" s="247" t="str">
        <f>_xlfn.IFNA(VLOOKUP(Ruimtestaat[[#This Row],[Programmacode
Regulier]],Programma!$F$4:$Y$36148,6,0),"_")</f>
        <v>5w</v>
      </c>
      <c r="AO113" s="247" t="str">
        <f>_xlfn.IFNA(VLOOKUP(Ruimtestaat[[#This Row],[Programmacode
Regulier]],Programma!$F$4:$Y$36148,7,0),"_")</f>
        <v>_</v>
      </c>
      <c r="AP113" s="247" t="str">
        <f>_xlfn.IFNA(VLOOKUP(Ruimtestaat[[#This Row],[Programmacode
Regulier]],Programma!$F$4:$Y$36148,8,0),"_")</f>
        <v>_</v>
      </c>
      <c r="AQ113" s="247" t="str">
        <f>_xlfn.IFNA(VLOOKUP(Ruimtestaat[[#This Row],[Programmacode
Regulier]],Programma!$F$4:$Y$36148,9,0),"_")</f>
        <v>_</v>
      </c>
      <c r="AR113" s="248" t="str">
        <f>_xlfn.IFNA(VLOOKUP(Ruimtestaat[[#This Row],[Programmacode
Regulier]],Programma!$F$4:$Y$36148,10,0),"_")</f>
        <v>5w</v>
      </c>
      <c r="AS113" s="248" t="str">
        <f>_xlfn.IFNA(VLOOKUP(Ruimtestaat[[#This Row],[Programmacode
Regulier]],Programma!$F$4:$Y$36148,11,0),"_")</f>
        <v>5w</v>
      </c>
      <c r="AT113" s="248" t="str">
        <f>_xlfn.IFNA(VLOOKUP(Ruimtestaat[[#This Row],[Programmacode
Regulier]],Programma!$F$4:$Y$36148,12,0),"_")</f>
        <v>1w</v>
      </c>
      <c r="AU113" s="248" t="str">
        <f>_xlfn.IFNA(VLOOKUP(Ruimtestaat[[#This Row],[Programmacode
Regulier]],Programma!$F$4:$Y$36148,13,0),"_")</f>
        <v>1w</v>
      </c>
      <c r="AV113" s="248" t="str">
        <f>_xlfn.IFNA(VLOOKUP(Ruimtestaat[[#This Row],[Programmacode
Regulier]],Programma!$F$4:$Y$36148,14,0),"_")</f>
        <v>1m</v>
      </c>
      <c r="AW113" s="248" t="str">
        <f>_xlfn.IFNA(VLOOKUP(Ruimtestaat[[#This Row],[Programmacode
Regulier]],Programma!$F$4:$Y$36148,15,0),"_")</f>
        <v>2j</v>
      </c>
      <c r="AX113" s="248" t="str">
        <f>_xlfn.IFNA(VLOOKUP(Ruimtestaat[[#This Row],[Programmacode
Regulier]],Programma!$F$4:$Y$36148,16,0),"_")</f>
        <v>1j</v>
      </c>
      <c r="AY113" s="248" t="str">
        <f>_xlfn.IFNA(VLOOKUP(Ruimtestaat[[#This Row],[Programmacode
Regulier]],Programma!$F$4:$Y$36148,17,0),"_")</f>
        <v>_</v>
      </c>
      <c r="AZ113" s="249" t="str">
        <f>_xlfn.IFNA(VLOOKUP(Ruimtestaat[[#This Row],[Programmacode
Regulier]],Programma!$F$4:$Y$36148,18,0),"_")</f>
        <v>_</v>
      </c>
      <c r="BA113" s="249" t="str">
        <f>_xlfn.IFNA(VLOOKUP(Ruimtestaat[[#This Row],[Programmacode
Regulier]],Programma!$F$4:$Y$36148,19,0),"_")</f>
        <v>_</v>
      </c>
      <c r="BB113" s="249" t="str">
        <f>_xlfn.IFNA(VLOOKUP(Ruimtestaat[[#This Row],[Programmacode
Regulier]],Programma!$F$4:$Y$36148,20,0),"_")</f>
        <v>_</v>
      </c>
      <c r="BC113" s="250"/>
      <c r="BD113" s="212" t="str">
        <f>IF(Ruimtestaat[[#This Row],[Frequentie weekend]]="","",_xlfn.CONCAT(Ruimtestaat[[#This Row],[Ruimte code]],"-",Ruimtestaat[[#This Row],[Frequentie weekend]]," ",Ruimtestaat[[#This Row],[Vloer code]]))</f>
        <v/>
      </c>
      <c r="BE113" s="247" t="str">
        <f>_xlfn.IFNA(VLOOKUP(Ruimtestaat[[#This Row],[Code Weekend]],Programma!$F$4:$Y$36148,2,0),"_")</f>
        <v>_</v>
      </c>
      <c r="BF113" s="247" t="str">
        <f>_xlfn.IFNA(VLOOKUP(Ruimtestaat[[#This Row],[Code Weekend]],Programma!$F$4:$Y$36148,3,0),"_")</f>
        <v>_</v>
      </c>
      <c r="BG113" s="247" t="str">
        <f>_xlfn.IFNA(VLOOKUP(Ruimtestaat[[#This Row],[Code Weekend]],Programma!$F$4:$Y$36148,4,0),"_")</f>
        <v>_</v>
      </c>
      <c r="BH113" s="247" t="str">
        <f>_xlfn.IFNA(VLOOKUP(Ruimtestaat[[#This Row],[Code Weekend]],Programma!$F$4:$Y$36148,5,0),"_")</f>
        <v>_</v>
      </c>
      <c r="BI113" s="247" t="str">
        <f>_xlfn.IFNA(VLOOKUP(Ruimtestaat[[#This Row],[Code Weekend]],Programma!$F$4:$Y$36148,6,0),"_")</f>
        <v>_</v>
      </c>
      <c r="BJ113" s="247" t="str">
        <f>_xlfn.IFNA(VLOOKUP(Ruimtestaat[[#This Row],[Code Weekend]],Programma!$F$4:$Y$36148,7,0),"_")</f>
        <v>_</v>
      </c>
      <c r="BK113" s="247" t="str">
        <f>_xlfn.IFNA(VLOOKUP(Ruimtestaat[[#This Row],[Code Weekend]],Programma!$F$4:$Y$36148,8,0),"_")</f>
        <v>_</v>
      </c>
      <c r="BL113" s="247" t="str">
        <f>_xlfn.IFNA(VLOOKUP(Ruimtestaat[[#This Row],[Code Weekend]],Programma!$F$4:$Y$36148,9,0),"_")</f>
        <v>_</v>
      </c>
      <c r="BM113" s="248" t="str">
        <f>_xlfn.IFNA(VLOOKUP(Ruimtestaat[[#This Row],[Code Weekend]],Programma!$F$4:$Y$36148,10,0),"_")</f>
        <v>_</v>
      </c>
      <c r="BN113" s="248" t="str">
        <f>_xlfn.IFNA(VLOOKUP(Ruimtestaat[[#This Row],[Code Weekend]],Programma!$F$4:$Y$36148,11,0),"_")</f>
        <v>_</v>
      </c>
      <c r="BO113" s="248" t="str">
        <f>_xlfn.IFNA(VLOOKUP(Ruimtestaat[[#This Row],[Code Weekend]],Programma!$F$4:$Y$36148,12,0),"_")</f>
        <v>_</v>
      </c>
      <c r="BP113" s="248" t="str">
        <f>_xlfn.IFNA(VLOOKUP(Ruimtestaat[[#This Row],[Code Weekend]],Programma!$F$4:$Y$36148,13,0),"_")</f>
        <v>_</v>
      </c>
      <c r="BQ113" s="248" t="str">
        <f>_xlfn.IFNA(VLOOKUP(Ruimtestaat[[#This Row],[Code Weekend]],Programma!$F$4:$Y$36148,14,0),"_")</f>
        <v>_</v>
      </c>
      <c r="BR113" s="248" t="str">
        <f>_xlfn.IFNA(VLOOKUP(Ruimtestaat[[#This Row],[Code Weekend]],Programma!$F$4:$Y$36148,15,0),"_")</f>
        <v>_</v>
      </c>
      <c r="BS113" s="248" t="str">
        <f>_xlfn.IFNA(VLOOKUP(Ruimtestaat[[#This Row],[Code Weekend]],Programma!$F$4:$Y$36148,16,0),"_")</f>
        <v>_</v>
      </c>
      <c r="BT113" s="248" t="str">
        <f>_xlfn.IFNA(VLOOKUP(Ruimtestaat[[#This Row],[Code Weekend]],Programma!$F$4:$Y$36148,17,0),"_")</f>
        <v>_</v>
      </c>
      <c r="BU113" s="249" t="str">
        <f>_xlfn.IFNA(VLOOKUP(Ruimtestaat[[#This Row],[Code Weekend]],Programma!$F$4:$Y$36148,18,0),"_")</f>
        <v>_</v>
      </c>
      <c r="BV113" s="249" t="str">
        <f>_xlfn.IFNA(VLOOKUP(Ruimtestaat[[#This Row],[Code Weekend]],Programma!$F$4:$Y$36148,19,0),"_")</f>
        <v>_</v>
      </c>
      <c r="BW113" s="249" t="str">
        <f>_xlfn.IFNA(VLOOKUP(Ruimtestaat[[#This Row],[Code Weekend]],Programma!$F$4:$Y$36148,20,0),"_")</f>
        <v>_</v>
      </c>
      <c r="HK113" s="88"/>
    </row>
    <row r="114" spans="1:219" ht="12.75" customHeight="1">
      <c r="A114" s="130">
        <v>1</v>
      </c>
      <c r="B114" s="22" t="str">
        <f>VLOOKUP(Ruimtestaat[[#This Row],[Code]],Locaties[#All],2,FALSE)</f>
        <v>ESH Secondary School</v>
      </c>
      <c r="C114" s="22" t="str">
        <f>VLOOKUP(Ruimtestaat[[#This Row],[Code]],Locaties[#All],4,FALSE)</f>
        <v>Oostduinlaan 50</v>
      </c>
      <c r="D114" s="334" t="str">
        <f>VLOOKUP(Ruimtestaat[[#This Row],[Code]],Locaties[#All],5,FALSE)</f>
        <v>2596 JP</v>
      </c>
      <c r="E114" s="334" t="str">
        <f>VLOOKUP(Ruimtestaat[[#This Row],[Code]],Locaties[#All],6,FALSE)</f>
        <v>Den Haag</v>
      </c>
      <c r="F114" s="335"/>
      <c r="G114" s="334" t="s">
        <v>1611</v>
      </c>
      <c r="H114" s="334" t="s">
        <v>1558</v>
      </c>
      <c r="I114" s="335" t="s">
        <v>1519</v>
      </c>
      <c r="J114" s="328">
        <v>16</v>
      </c>
      <c r="K114" s="335" t="str">
        <f>VLOOKUP(J114,Ruimtegroepen[],2,FALSE)</f>
        <v>Leslokalen</v>
      </c>
      <c r="L114" s="212" t="s">
        <v>123</v>
      </c>
      <c r="M114" s="334" t="s">
        <v>144</v>
      </c>
      <c r="N114" s="337">
        <v>51</v>
      </c>
      <c r="O114" s="331"/>
      <c r="P114" s="332" t="str">
        <f>VLOOKUP(Ruimtestaat[[#This Row],[Ruimte code]],Ruimtegroepen[],4,FALSE)</f>
        <v>L  (Lesruimte)</v>
      </c>
      <c r="Q114" s="332"/>
      <c r="R114" s="333">
        <v>40</v>
      </c>
      <c r="S114" s="333" t="s">
        <v>2</v>
      </c>
      <c r="T114" s="37"/>
      <c r="U114" s="37">
        <f>IF(R114&gt;0,IF(RIGHT(Ruimtestaat[[#This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14" s="37">
        <f>IF(U114&gt;0,VLOOKUP($J114,Ruimtegroepen[],3,FALSE)*VLOOKUP($L114,Vloersoorten[],3,FALSE)*VLOOKUP($S114,Frequenties[],3,FALSE)*VLOOKUP($A114,Locaties[],3,FALSE),0)</f>
        <v>0</v>
      </c>
      <c r="W114" s="37">
        <f>Ruimtestaat[[#This Row],[Uitvoeringen werkdagen]]*Ruimtestaat[[#This Row],[Oppervlak (netto)]]</f>
        <v>10200</v>
      </c>
      <c r="X114" s="37">
        <f>IF(V114&gt;0,Ruimtestaat[[#This Row],[Prest. (m2 /jaar) werkdagen]]/Ruimtestaat[[#This Row],[Norm (m2/uur) werkdagen]],0)</f>
        <v>0</v>
      </c>
      <c r="Y114" s="37">
        <f>Ruimtestaat[[#This Row],[uren / jaar werkdagen]]*Tariefsopbouw!$D$38</f>
        <v>0</v>
      </c>
      <c r="Z114" s="37">
        <f>IF(Ruimtestaat[[#This Row],[Frequentie weekend]]&gt;0,VALUE(LEFT(T114,1))*R114,0)</f>
        <v>0</v>
      </c>
      <c r="AA114" s="37">
        <f>IF($Z114&gt;0,VLOOKUP($J114,Ruimtegroepen[],3,FALSE)*VLOOKUP($L114,Vloersoorten[],3,FALSE)*VLOOKUP($T114,Frequenties[],3,FALSE)*VLOOKUP($A114,Locaties[],3,FALSE),0)</f>
        <v>0</v>
      </c>
      <c r="AB114" s="37">
        <f>Ruimtestaat[[#This Row],[Uitvoeringen weekend]]*Ruimtestaat[[#This Row],[Oppervlak (netto)]]</f>
        <v>0</v>
      </c>
      <c r="AC114" s="37">
        <f>IF(AA114&gt;0,Ruimtestaat[[#This Row],[Prest. (m2 /jaar) weekend]]/Ruimtestaat[[#This Row],[Norm (m2/uur) weekend]],0)</f>
        <v>0</v>
      </c>
      <c r="AD114" s="37">
        <f>Ruimtestaat[[#This Row],[uren / jaar weekend]]*Tariefsopbouw!$D$40</f>
        <v>0</v>
      </c>
      <c r="AE114" s="89">
        <f>Ruimtestaat[[#This Row],[Prest. (m2 /jaar) weekend]]+Ruimtestaat[[#This Row],[Prest. (m2 /jaar) werkdagen]]</f>
        <v>10200</v>
      </c>
      <c r="AF114" s="89">
        <f>Ruimtestaat[[#This Row],[uren / jaar weekend]]+Ruimtestaat[[#This Row],[uren / jaar werkdagen]]</f>
        <v>0</v>
      </c>
      <c r="AG114" s="90">
        <f>Ruimtestaat[[#This Row],[kosten / jaar weekend]]+Ruimtestaat[[#This Row],[kosten / jaar werkdagen]]</f>
        <v>0</v>
      </c>
      <c r="AH114" s="253"/>
      <c r="AI114" s="252" t="str">
        <f>IF(Ruimtestaat[[#This Row],[Frequentie werkdagen]]="","",_xlfn.CONCAT(Ruimtestaat[[#This Row],[Ruimte code]],"-",Ruimtestaat[[#This Row],[Frequentie werkdagen]]," ",Ruimtestaat[[#This Row],[Vloer code]]))</f>
        <v>16-5w P</v>
      </c>
      <c r="AJ114" s="247" t="str">
        <f>_xlfn.IFNA(VLOOKUP(Ruimtestaat[[#This Row],[Programmacode
Regulier]],Programma!$F$4:$Y$36148,2,0),"_")</f>
        <v>_</v>
      </c>
      <c r="AK114" s="247" t="str">
        <f>_xlfn.IFNA(VLOOKUP(Ruimtestaat[[#This Row],[Programmacode
Regulier]],Programma!$F$4:$Y$36148,3,0),"_")</f>
        <v>_</v>
      </c>
      <c r="AL114" s="247" t="str">
        <f>_xlfn.IFNA(VLOOKUP(Ruimtestaat[[#This Row],[Programmacode
Regulier]],Programma!$F$4:$Y$36148,4,0),"_")</f>
        <v>5w</v>
      </c>
      <c r="AM114" s="247" t="str">
        <f>_xlfn.IFNA(VLOOKUP(Ruimtestaat[[#This Row],[Programmacode
Regulier]],Programma!$F$4:$Y$36148,5,0),"_")</f>
        <v>1w</v>
      </c>
      <c r="AN114" s="247" t="str">
        <f>_xlfn.IFNA(VLOOKUP(Ruimtestaat[[#This Row],[Programmacode
Regulier]],Programma!$F$4:$Y$36148,6,0),"_")</f>
        <v>1m</v>
      </c>
      <c r="AO114" s="247" t="str">
        <f>_xlfn.IFNA(VLOOKUP(Ruimtestaat[[#This Row],[Programmacode
Regulier]],Programma!$F$4:$Y$36148,7,0),"_")</f>
        <v>_</v>
      </c>
      <c r="AP114" s="247" t="str">
        <f>_xlfn.IFNA(VLOOKUP(Ruimtestaat[[#This Row],[Programmacode
Regulier]],Programma!$F$4:$Y$36148,8,0),"_")</f>
        <v>_</v>
      </c>
      <c r="AQ114" s="247" t="str">
        <f>_xlfn.IFNA(VLOOKUP(Ruimtestaat[[#This Row],[Programmacode
Regulier]],Programma!$F$4:$Y$36148,9,0),"_")</f>
        <v>_</v>
      </c>
      <c r="AR114" s="248" t="str">
        <f>_xlfn.IFNA(VLOOKUP(Ruimtestaat[[#This Row],[Programmacode
Regulier]],Programma!$F$4:$Y$36148,10,0),"_")</f>
        <v>5w</v>
      </c>
      <c r="AS114" s="248" t="str">
        <f>_xlfn.IFNA(VLOOKUP(Ruimtestaat[[#This Row],[Programmacode
Regulier]],Programma!$F$4:$Y$36148,11,0),"_")</f>
        <v>5w</v>
      </c>
      <c r="AT114" s="248" t="str">
        <f>_xlfn.IFNA(VLOOKUP(Ruimtestaat[[#This Row],[Programmacode
Regulier]],Programma!$F$4:$Y$36148,12,0),"_")</f>
        <v>1w</v>
      </c>
      <c r="AU114" s="248" t="str">
        <f>_xlfn.IFNA(VLOOKUP(Ruimtestaat[[#This Row],[Programmacode
Regulier]],Programma!$F$4:$Y$36148,13,0),"_")</f>
        <v>1w</v>
      </c>
      <c r="AV114" s="248" t="str">
        <f>_xlfn.IFNA(VLOOKUP(Ruimtestaat[[#This Row],[Programmacode
Regulier]],Programma!$F$4:$Y$36148,14,0),"_")</f>
        <v>1m</v>
      </c>
      <c r="AW114" s="248" t="str">
        <f>_xlfn.IFNA(VLOOKUP(Ruimtestaat[[#This Row],[Programmacode
Regulier]],Programma!$F$4:$Y$36148,15,0),"_")</f>
        <v>2j</v>
      </c>
      <c r="AX114" s="248" t="str">
        <f>_xlfn.IFNA(VLOOKUP(Ruimtestaat[[#This Row],[Programmacode
Regulier]],Programma!$F$4:$Y$36148,16,0),"_")</f>
        <v>1j</v>
      </c>
      <c r="AY114" s="248" t="str">
        <f>_xlfn.IFNA(VLOOKUP(Ruimtestaat[[#This Row],[Programmacode
Regulier]],Programma!$F$4:$Y$36148,17,0),"_")</f>
        <v>_</v>
      </c>
      <c r="AZ114" s="249" t="str">
        <f>_xlfn.IFNA(VLOOKUP(Ruimtestaat[[#This Row],[Programmacode
Regulier]],Programma!$F$4:$Y$36148,18,0),"_")</f>
        <v>_</v>
      </c>
      <c r="BA114" s="249" t="str">
        <f>_xlfn.IFNA(VLOOKUP(Ruimtestaat[[#This Row],[Programmacode
Regulier]],Programma!$F$4:$Y$36148,19,0),"_")</f>
        <v>_</v>
      </c>
      <c r="BB114" s="249" t="str">
        <f>_xlfn.IFNA(VLOOKUP(Ruimtestaat[[#This Row],[Programmacode
Regulier]],Programma!$F$4:$Y$36148,20,0),"_")</f>
        <v>_</v>
      </c>
      <c r="BC114" s="250"/>
      <c r="BD114" s="212" t="str">
        <f>IF(Ruimtestaat[[#This Row],[Frequentie weekend]]="","",_xlfn.CONCAT(Ruimtestaat[[#This Row],[Ruimte code]],"-",Ruimtestaat[[#This Row],[Frequentie weekend]]," ",Ruimtestaat[[#This Row],[Vloer code]]))</f>
        <v/>
      </c>
      <c r="BE114" s="247" t="str">
        <f>_xlfn.IFNA(VLOOKUP(Ruimtestaat[[#This Row],[Code Weekend]],Programma!$F$4:$Y$36148,2,0),"_")</f>
        <v>_</v>
      </c>
      <c r="BF114" s="247" t="str">
        <f>_xlfn.IFNA(VLOOKUP(Ruimtestaat[[#This Row],[Code Weekend]],Programma!$F$4:$Y$36148,3,0),"_")</f>
        <v>_</v>
      </c>
      <c r="BG114" s="247" t="str">
        <f>_xlfn.IFNA(VLOOKUP(Ruimtestaat[[#This Row],[Code Weekend]],Programma!$F$4:$Y$36148,4,0),"_")</f>
        <v>_</v>
      </c>
      <c r="BH114" s="247" t="str">
        <f>_xlfn.IFNA(VLOOKUP(Ruimtestaat[[#This Row],[Code Weekend]],Programma!$F$4:$Y$36148,5,0),"_")</f>
        <v>_</v>
      </c>
      <c r="BI114" s="247" t="str">
        <f>_xlfn.IFNA(VLOOKUP(Ruimtestaat[[#This Row],[Code Weekend]],Programma!$F$4:$Y$36148,6,0),"_")</f>
        <v>_</v>
      </c>
      <c r="BJ114" s="247" t="str">
        <f>_xlfn.IFNA(VLOOKUP(Ruimtestaat[[#This Row],[Code Weekend]],Programma!$F$4:$Y$36148,7,0),"_")</f>
        <v>_</v>
      </c>
      <c r="BK114" s="247" t="str">
        <f>_xlfn.IFNA(VLOOKUP(Ruimtestaat[[#This Row],[Code Weekend]],Programma!$F$4:$Y$36148,8,0),"_")</f>
        <v>_</v>
      </c>
      <c r="BL114" s="247" t="str">
        <f>_xlfn.IFNA(VLOOKUP(Ruimtestaat[[#This Row],[Code Weekend]],Programma!$F$4:$Y$36148,9,0),"_")</f>
        <v>_</v>
      </c>
      <c r="BM114" s="248" t="str">
        <f>_xlfn.IFNA(VLOOKUP(Ruimtestaat[[#This Row],[Code Weekend]],Programma!$F$4:$Y$36148,10,0),"_")</f>
        <v>_</v>
      </c>
      <c r="BN114" s="248" t="str">
        <f>_xlfn.IFNA(VLOOKUP(Ruimtestaat[[#This Row],[Code Weekend]],Programma!$F$4:$Y$36148,11,0),"_")</f>
        <v>_</v>
      </c>
      <c r="BO114" s="248" t="str">
        <f>_xlfn.IFNA(VLOOKUP(Ruimtestaat[[#This Row],[Code Weekend]],Programma!$F$4:$Y$36148,12,0),"_")</f>
        <v>_</v>
      </c>
      <c r="BP114" s="248" t="str">
        <f>_xlfn.IFNA(VLOOKUP(Ruimtestaat[[#This Row],[Code Weekend]],Programma!$F$4:$Y$36148,13,0),"_")</f>
        <v>_</v>
      </c>
      <c r="BQ114" s="248" t="str">
        <f>_xlfn.IFNA(VLOOKUP(Ruimtestaat[[#This Row],[Code Weekend]],Programma!$F$4:$Y$36148,14,0),"_")</f>
        <v>_</v>
      </c>
      <c r="BR114" s="248" t="str">
        <f>_xlfn.IFNA(VLOOKUP(Ruimtestaat[[#This Row],[Code Weekend]],Programma!$F$4:$Y$36148,15,0),"_")</f>
        <v>_</v>
      </c>
      <c r="BS114" s="248" t="str">
        <f>_xlfn.IFNA(VLOOKUP(Ruimtestaat[[#This Row],[Code Weekend]],Programma!$F$4:$Y$36148,16,0),"_")</f>
        <v>_</v>
      </c>
      <c r="BT114" s="248" t="str">
        <f>_xlfn.IFNA(VLOOKUP(Ruimtestaat[[#This Row],[Code Weekend]],Programma!$F$4:$Y$36148,17,0),"_")</f>
        <v>_</v>
      </c>
      <c r="BU114" s="249" t="str">
        <f>_xlfn.IFNA(VLOOKUP(Ruimtestaat[[#This Row],[Code Weekend]],Programma!$F$4:$Y$36148,18,0),"_")</f>
        <v>_</v>
      </c>
      <c r="BV114" s="249" t="str">
        <f>_xlfn.IFNA(VLOOKUP(Ruimtestaat[[#This Row],[Code Weekend]],Programma!$F$4:$Y$36148,19,0),"_")</f>
        <v>_</v>
      </c>
      <c r="BW114" s="249" t="str">
        <f>_xlfn.IFNA(VLOOKUP(Ruimtestaat[[#This Row],[Code Weekend]],Programma!$F$4:$Y$36148,20,0),"_")</f>
        <v>_</v>
      </c>
      <c r="HK114" s="88"/>
    </row>
    <row r="115" spans="1:219" ht="12.75" customHeight="1">
      <c r="A115" s="130">
        <v>1</v>
      </c>
      <c r="B115" s="22" t="str">
        <f>VLOOKUP(Ruimtestaat[[#This Row],[Code]],Locaties[#All],2,FALSE)</f>
        <v>ESH Secondary School</v>
      </c>
      <c r="C115" s="22" t="str">
        <f>VLOOKUP(Ruimtestaat[[#This Row],[Code]],Locaties[#All],4,FALSE)</f>
        <v>Oostduinlaan 50</v>
      </c>
      <c r="D115" s="334" t="str">
        <f>VLOOKUP(Ruimtestaat[[#This Row],[Code]],Locaties[#All],5,FALSE)</f>
        <v>2596 JP</v>
      </c>
      <c r="E115" s="334" t="str">
        <f>VLOOKUP(Ruimtestaat[[#This Row],[Code]],Locaties[#All],6,FALSE)</f>
        <v>Den Haag</v>
      </c>
      <c r="F115" s="335"/>
      <c r="G115" s="334" t="s">
        <v>1611</v>
      </c>
      <c r="H115" s="334" t="s">
        <v>1559</v>
      </c>
      <c r="I115" s="335" t="s">
        <v>1773</v>
      </c>
      <c r="J115" s="333">
        <v>16</v>
      </c>
      <c r="K115" s="335" t="str">
        <f>VLOOKUP(J115,Ruimtegroepen[],2,FALSE)</f>
        <v>Leslokalen</v>
      </c>
      <c r="L115" s="212" t="s">
        <v>123</v>
      </c>
      <c r="M115" s="334" t="s">
        <v>144</v>
      </c>
      <c r="N115" s="337">
        <v>7</v>
      </c>
      <c r="O115" s="331"/>
      <c r="P115" s="332" t="str">
        <f>VLOOKUP(Ruimtestaat[[#This Row],[Ruimte code]],Ruimtegroepen[],4,FALSE)</f>
        <v>L  (Lesruimte)</v>
      </c>
      <c r="Q115" s="332"/>
      <c r="R115" s="333">
        <v>40</v>
      </c>
      <c r="S115" s="333" t="s">
        <v>2</v>
      </c>
      <c r="T115" s="37"/>
      <c r="U115" s="37">
        <f>IF(R115&gt;0,IF(RIGHT(Ruimtestaat[[#This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15" s="37">
        <f>IF(U115&gt;0,VLOOKUP($J115,Ruimtegroepen[],3,FALSE)*VLOOKUP($L115,Vloersoorten[],3,FALSE)*VLOOKUP($S115,Frequenties[],3,FALSE)*VLOOKUP($A115,Locaties[],3,FALSE),0)</f>
        <v>0</v>
      </c>
      <c r="W115" s="37">
        <f>Ruimtestaat[[#This Row],[Uitvoeringen werkdagen]]*Ruimtestaat[[#This Row],[Oppervlak (netto)]]</f>
        <v>1400</v>
      </c>
      <c r="X115" s="37">
        <f>IF(V115&gt;0,Ruimtestaat[[#This Row],[Prest. (m2 /jaar) werkdagen]]/Ruimtestaat[[#This Row],[Norm (m2/uur) werkdagen]],0)</f>
        <v>0</v>
      </c>
      <c r="Y115" s="37">
        <f>Ruimtestaat[[#This Row],[uren / jaar werkdagen]]*Tariefsopbouw!$D$38</f>
        <v>0</v>
      </c>
      <c r="Z115" s="37">
        <f>IF(Ruimtestaat[[#This Row],[Frequentie weekend]]&gt;0,VALUE(LEFT(T115,1))*R115,0)</f>
        <v>0</v>
      </c>
      <c r="AA115" s="37">
        <f>IF($Z115&gt;0,VLOOKUP($J115,Ruimtegroepen[],3,FALSE)*VLOOKUP($L115,Vloersoorten[],3,FALSE)*VLOOKUP($T115,Frequenties[],3,FALSE)*VLOOKUP($A115,Locaties[],3,FALSE),0)</f>
        <v>0</v>
      </c>
      <c r="AB115" s="37">
        <f>Ruimtestaat[[#This Row],[Uitvoeringen weekend]]*Ruimtestaat[[#This Row],[Oppervlak (netto)]]</f>
        <v>0</v>
      </c>
      <c r="AC115" s="37">
        <f>IF(AA115&gt;0,Ruimtestaat[[#This Row],[Prest. (m2 /jaar) weekend]]/Ruimtestaat[[#This Row],[Norm (m2/uur) weekend]],0)</f>
        <v>0</v>
      </c>
      <c r="AD115" s="37">
        <f>Ruimtestaat[[#This Row],[uren / jaar weekend]]*Tariefsopbouw!$D$40</f>
        <v>0</v>
      </c>
      <c r="AE115" s="89">
        <f>Ruimtestaat[[#This Row],[Prest. (m2 /jaar) weekend]]+Ruimtestaat[[#This Row],[Prest. (m2 /jaar) werkdagen]]</f>
        <v>1400</v>
      </c>
      <c r="AF115" s="89">
        <f>Ruimtestaat[[#This Row],[uren / jaar weekend]]+Ruimtestaat[[#This Row],[uren / jaar werkdagen]]</f>
        <v>0</v>
      </c>
      <c r="AG115" s="90">
        <f>Ruimtestaat[[#This Row],[kosten / jaar weekend]]+Ruimtestaat[[#This Row],[kosten / jaar werkdagen]]</f>
        <v>0</v>
      </c>
      <c r="AH115" s="253"/>
      <c r="AI115" s="252" t="str">
        <f>IF(Ruimtestaat[[#This Row],[Frequentie werkdagen]]="","",_xlfn.CONCAT(Ruimtestaat[[#This Row],[Ruimte code]],"-",Ruimtestaat[[#This Row],[Frequentie werkdagen]]," ",Ruimtestaat[[#This Row],[Vloer code]]))</f>
        <v>16-5w P</v>
      </c>
      <c r="AJ115" s="247" t="str">
        <f>_xlfn.IFNA(VLOOKUP(Ruimtestaat[[#This Row],[Programmacode
Regulier]],Programma!$F$4:$Y$36148,2,0),"_")</f>
        <v>_</v>
      </c>
      <c r="AK115" s="247" t="str">
        <f>_xlfn.IFNA(VLOOKUP(Ruimtestaat[[#This Row],[Programmacode
Regulier]],Programma!$F$4:$Y$36148,3,0),"_")</f>
        <v>_</v>
      </c>
      <c r="AL115" s="247" t="str">
        <f>_xlfn.IFNA(VLOOKUP(Ruimtestaat[[#This Row],[Programmacode
Regulier]],Programma!$F$4:$Y$36148,4,0),"_")</f>
        <v>5w</v>
      </c>
      <c r="AM115" s="247" t="str">
        <f>_xlfn.IFNA(VLOOKUP(Ruimtestaat[[#This Row],[Programmacode
Regulier]],Programma!$F$4:$Y$36148,5,0),"_")</f>
        <v>1w</v>
      </c>
      <c r="AN115" s="247" t="str">
        <f>_xlfn.IFNA(VLOOKUP(Ruimtestaat[[#This Row],[Programmacode
Regulier]],Programma!$F$4:$Y$36148,6,0),"_")</f>
        <v>1m</v>
      </c>
      <c r="AO115" s="247" t="str">
        <f>_xlfn.IFNA(VLOOKUP(Ruimtestaat[[#This Row],[Programmacode
Regulier]],Programma!$F$4:$Y$36148,7,0),"_")</f>
        <v>_</v>
      </c>
      <c r="AP115" s="247" t="str">
        <f>_xlfn.IFNA(VLOOKUP(Ruimtestaat[[#This Row],[Programmacode
Regulier]],Programma!$F$4:$Y$36148,8,0),"_")</f>
        <v>_</v>
      </c>
      <c r="AQ115" s="247" t="str">
        <f>_xlfn.IFNA(VLOOKUP(Ruimtestaat[[#This Row],[Programmacode
Regulier]],Programma!$F$4:$Y$36148,9,0),"_")</f>
        <v>_</v>
      </c>
      <c r="AR115" s="248" t="str">
        <f>_xlfn.IFNA(VLOOKUP(Ruimtestaat[[#This Row],[Programmacode
Regulier]],Programma!$F$4:$Y$36148,10,0),"_")</f>
        <v>5w</v>
      </c>
      <c r="AS115" s="248" t="str">
        <f>_xlfn.IFNA(VLOOKUP(Ruimtestaat[[#This Row],[Programmacode
Regulier]],Programma!$F$4:$Y$36148,11,0),"_")</f>
        <v>5w</v>
      </c>
      <c r="AT115" s="248" t="str">
        <f>_xlfn.IFNA(VLOOKUP(Ruimtestaat[[#This Row],[Programmacode
Regulier]],Programma!$F$4:$Y$36148,12,0),"_")</f>
        <v>1w</v>
      </c>
      <c r="AU115" s="248" t="str">
        <f>_xlfn.IFNA(VLOOKUP(Ruimtestaat[[#This Row],[Programmacode
Regulier]],Programma!$F$4:$Y$36148,13,0),"_")</f>
        <v>1w</v>
      </c>
      <c r="AV115" s="248" t="str">
        <f>_xlfn.IFNA(VLOOKUP(Ruimtestaat[[#This Row],[Programmacode
Regulier]],Programma!$F$4:$Y$36148,14,0),"_")</f>
        <v>1m</v>
      </c>
      <c r="AW115" s="248" t="str">
        <f>_xlfn.IFNA(VLOOKUP(Ruimtestaat[[#This Row],[Programmacode
Regulier]],Programma!$F$4:$Y$36148,15,0),"_")</f>
        <v>2j</v>
      </c>
      <c r="AX115" s="248" t="str">
        <f>_xlfn.IFNA(VLOOKUP(Ruimtestaat[[#This Row],[Programmacode
Regulier]],Programma!$F$4:$Y$36148,16,0),"_")</f>
        <v>1j</v>
      </c>
      <c r="AY115" s="248" t="str">
        <f>_xlfn.IFNA(VLOOKUP(Ruimtestaat[[#This Row],[Programmacode
Regulier]],Programma!$F$4:$Y$36148,17,0),"_")</f>
        <v>_</v>
      </c>
      <c r="AZ115" s="249" t="str">
        <f>_xlfn.IFNA(VLOOKUP(Ruimtestaat[[#This Row],[Programmacode
Regulier]],Programma!$F$4:$Y$36148,18,0),"_")</f>
        <v>_</v>
      </c>
      <c r="BA115" s="249" t="str">
        <f>_xlfn.IFNA(VLOOKUP(Ruimtestaat[[#This Row],[Programmacode
Regulier]],Programma!$F$4:$Y$36148,19,0),"_")</f>
        <v>_</v>
      </c>
      <c r="BB115" s="249" t="str">
        <f>_xlfn.IFNA(VLOOKUP(Ruimtestaat[[#This Row],[Programmacode
Regulier]],Programma!$F$4:$Y$36148,20,0),"_")</f>
        <v>_</v>
      </c>
      <c r="BC115" s="250"/>
      <c r="BD115" s="212" t="str">
        <f>IF(Ruimtestaat[[#This Row],[Frequentie weekend]]="","",_xlfn.CONCAT(Ruimtestaat[[#This Row],[Ruimte code]],"-",Ruimtestaat[[#This Row],[Frequentie weekend]]," ",Ruimtestaat[[#This Row],[Vloer code]]))</f>
        <v/>
      </c>
      <c r="BE115" s="247" t="str">
        <f>_xlfn.IFNA(VLOOKUP(Ruimtestaat[[#This Row],[Code Weekend]],Programma!$F$4:$Y$36148,2,0),"_")</f>
        <v>_</v>
      </c>
      <c r="BF115" s="247" t="str">
        <f>_xlfn.IFNA(VLOOKUP(Ruimtestaat[[#This Row],[Code Weekend]],Programma!$F$4:$Y$36148,3,0),"_")</f>
        <v>_</v>
      </c>
      <c r="BG115" s="247" t="str">
        <f>_xlfn.IFNA(VLOOKUP(Ruimtestaat[[#This Row],[Code Weekend]],Programma!$F$4:$Y$36148,4,0),"_")</f>
        <v>_</v>
      </c>
      <c r="BH115" s="247" t="str">
        <f>_xlfn.IFNA(VLOOKUP(Ruimtestaat[[#This Row],[Code Weekend]],Programma!$F$4:$Y$36148,5,0),"_")</f>
        <v>_</v>
      </c>
      <c r="BI115" s="247" t="str">
        <f>_xlfn.IFNA(VLOOKUP(Ruimtestaat[[#This Row],[Code Weekend]],Programma!$F$4:$Y$36148,6,0),"_")</f>
        <v>_</v>
      </c>
      <c r="BJ115" s="247" t="str">
        <f>_xlfn.IFNA(VLOOKUP(Ruimtestaat[[#This Row],[Code Weekend]],Programma!$F$4:$Y$36148,7,0),"_")</f>
        <v>_</v>
      </c>
      <c r="BK115" s="247" t="str">
        <f>_xlfn.IFNA(VLOOKUP(Ruimtestaat[[#This Row],[Code Weekend]],Programma!$F$4:$Y$36148,8,0),"_")</f>
        <v>_</v>
      </c>
      <c r="BL115" s="247" t="str">
        <f>_xlfn.IFNA(VLOOKUP(Ruimtestaat[[#This Row],[Code Weekend]],Programma!$F$4:$Y$36148,9,0),"_")</f>
        <v>_</v>
      </c>
      <c r="BM115" s="248" t="str">
        <f>_xlfn.IFNA(VLOOKUP(Ruimtestaat[[#This Row],[Code Weekend]],Programma!$F$4:$Y$36148,10,0),"_")</f>
        <v>_</v>
      </c>
      <c r="BN115" s="248" t="str">
        <f>_xlfn.IFNA(VLOOKUP(Ruimtestaat[[#This Row],[Code Weekend]],Programma!$F$4:$Y$36148,11,0),"_")</f>
        <v>_</v>
      </c>
      <c r="BO115" s="248" t="str">
        <f>_xlfn.IFNA(VLOOKUP(Ruimtestaat[[#This Row],[Code Weekend]],Programma!$F$4:$Y$36148,12,0),"_")</f>
        <v>_</v>
      </c>
      <c r="BP115" s="248" t="str">
        <f>_xlfn.IFNA(VLOOKUP(Ruimtestaat[[#This Row],[Code Weekend]],Programma!$F$4:$Y$36148,13,0),"_")</f>
        <v>_</v>
      </c>
      <c r="BQ115" s="248" t="str">
        <f>_xlfn.IFNA(VLOOKUP(Ruimtestaat[[#This Row],[Code Weekend]],Programma!$F$4:$Y$36148,14,0),"_")</f>
        <v>_</v>
      </c>
      <c r="BR115" s="248" t="str">
        <f>_xlfn.IFNA(VLOOKUP(Ruimtestaat[[#This Row],[Code Weekend]],Programma!$F$4:$Y$36148,15,0),"_")</f>
        <v>_</v>
      </c>
      <c r="BS115" s="248" t="str">
        <f>_xlfn.IFNA(VLOOKUP(Ruimtestaat[[#This Row],[Code Weekend]],Programma!$F$4:$Y$36148,16,0),"_")</f>
        <v>_</v>
      </c>
      <c r="BT115" s="248" t="str">
        <f>_xlfn.IFNA(VLOOKUP(Ruimtestaat[[#This Row],[Code Weekend]],Programma!$F$4:$Y$36148,17,0),"_")</f>
        <v>_</v>
      </c>
      <c r="BU115" s="249" t="str">
        <f>_xlfn.IFNA(VLOOKUP(Ruimtestaat[[#This Row],[Code Weekend]],Programma!$F$4:$Y$36148,18,0),"_")</f>
        <v>_</v>
      </c>
      <c r="BV115" s="249" t="str">
        <f>_xlfn.IFNA(VLOOKUP(Ruimtestaat[[#This Row],[Code Weekend]],Programma!$F$4:$Y$36148,19,0),"_")</f>
        <v>_</v>
      </c>
      <c r="BW115" s="249" t="str">
        <f>_xlfn.IFNA(VLOOKUP(Ruimtestaat[[#This Row],[Code Weekend]],Programma!$F$4:$Y$36148,20,0),"_")</f>
        <v>_</v>
      </c>
      <c r="HK115" s="88"/>
    </row>
    <row r="116" spans="1:219" ht="12.75" customHeight="1">
      <c r="A116" s="130">
        <v>1</v>
      </c>
      <c r="B116" s="22" t="str">
        <f>VLOOKUP(Ruimtestaat[[#This Row],[Code]],Locaties[#All],2,FALSE)</f>
        <v>ESH Secondary School</v>
      </c>
      <c r="C116" s="22" t="str">
        <f>VLOOKUP(Ruimtestaat[[#This Row],[Code]],Locaties[#All],4,FALSE)</f>
        <v>Oostduinlaan 50</v>
      </c>
      <c r="D116" s="334" t="str">
        <f>VLOOKUP(Ruimtestaat[[#This Row],[Code]],Locaties[#All],5,FALSE)</f>
        <v>2596 JP</v>
      </c>
      <c r="E116" s="334" t="str">
        <f>VLOOKUP(Ruimtestaat[[#This Row],[Code]],Locaties[#All],6,FALSE)</f>
        <v>Den Haag</v>
      </c>
      <c r="F116" s="335"/>
      <c r="G116" s="334" t="s">
        <v>1611</v>
      </c>
      <c r="H116" s="334" t="s">
        <v>1560</v>
      </c>
      <c r="I116" s="335" t="s">
        <v>1520</v>
      </c>
      <c r="J116" s="333">
        <v>16</v>
      </c>
      <c r="K116" s="335" t="str">
        <f>VLOOKUP(J116,Ruimtegroepen[],2,FALSE)</f>
        <v>Leslokalen</v>
      </c>
      <c r="L116" s="212" t="s">
        <v>123</v>
      </c>
      <c r="M116" s="334" t="s">
        <v>144</v>
      </c>
      <c r="N116" s="337">
        <v>7</v>
      </c>
      <c r="O116" s="331"/>
      <c r="P116" s="332" t="str">
        <f>VLOOKUP(Ruimtestaat[[#This Row],[Ruimte code]],Ruimtegroepen[],4,FALSE)</f>
        <v>L  (Lesruimte)</v>
      </c>
      <c r="Q116" s="332"/>
      <c r="R116" s="333">
        <v>40</v>
      </c>
      <c r="S116" s="333" t="s">
        <v>2</v>
      </c>
      <c r="T116" s="37"/>
      <c r="U116" s="37">
        <f>IF(R116&gt;0,IF(RIGHT(Ruimtestaat[[#This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16" s="37">
        <f>IF(U116&gt;0,VLOOKUP($J116,Ruimtegroepen[],3,FALSE)*VLOOKUP($L116,Vloersoorten[],3,FALSE)*VLOOKUP($S116,Frequenties[],3,FALSE)*VLOOKUP($A116,Locaties[],3,FALSE),0)</f>
        <v>0</v>
      </c>
      <c r="W116" s="37">
        <f>Ruimtestaat[[#This Row],[Uitvoeringen werkdagen]]*Ruimtestaat[[#This Row],[Oppervlak (netto)]]</f>
        <v>1400</v>
      </c>
      <c r="X116" s="37">
        <f>IF(V116&gt;0,Ruimtestaat[[#This Row],[Prest. (m2 /jaar) werkdagen]]/Ruimtestaat[[#This Row],[Norm (m2/uur) werkdagen]],0)</f>
        <v>0</v>
      </c>
      <c r="Y116" s="37">
        <f>Ruimtestaat[[#This Row],[uren / jaar werkdagen]]*Tariefsopbouw!$D$38</f>
        <v>0</v>
      </c>
      <c r="Z116" s="37">
        <f>IF(Ruimtestaat[[#This Row],[Frequentie weekend]]&gt;0,VALUE(LEFT(T116,1))*R116,0)</f>
        <v>0</v>
      </c>
      <c r="AA116" s="37">
        <f>IF($Z116&gt;0,VLOOKUP($J116,Ruimtegroepen[],3,FALSE)*VLOOKUP($L116,Vloersoorten[],3,FALSE)*VLOOKUP($T116,Frequenties[],3,FALSE)*VLOOKUP($A116,Locaties[],3,FALSE),0)</f>
        <v>0</v>
      </c>
      <c r="AB116" s="37">
        <f>Ruimtestaat[[#This Row],[Uitvoeringen weekend]]*Ruimtestaat[[#This Row],[Oppervlak (netto)]]</f>
        <v>0</v>
      </c>
      <c r="AC116" s="37">
        <f>IF(AA116&gt;0,Ruimtestaat[[#This Row],[Prest. (m2 /jaar) weekend]]/Ruimtestaat[[#This Row],[Norm (m2/uur) weekend]],0)</f>
        <v>0</v>
      </c>
      <c r="AD116" s="37">
        <f>Ruimtestaat[[#This Row],[uren / jaar weekend]]*Tariefsopbouw!$D$40</f>
        <v>0</v>
      </c>
      <c r="AE116" s="89">
        <f>Ruimtestaat[[#This Row],[Prest. (m2 /jaar) weekend]]+Ruimtestaat[[#This Row],[Prest. (m2 /jaar) werkdagen]]</f>
        <v>1400</v>
      </c>
      <c r="AF116" s="89">
        <f>Ruimtestaat[[#This Row],[uren / jaar weekend]]+Ruimtestaat[[#This Row],[uren / jaar werkdagen]]</f>
        <v>0</v>
      </c>
      <c r="AG116" s="90">
        <f>Ruimtestaat[[#This Row],[kosten / jaar weekend]]+Ruimtestaat[[#This Row],[kosten / jaar werkdagen]]</f>
        <v>0</v>
      </c>
      <c r="AH116" s="253"/>
      <c r="AI116" s="252" t="str">
        <f>IF(Ruimtestaat[[#This Row],[Frequentie werkdagen]]="","",_xlfn.CONCAT(Ruimtestaat[[#This Row],[Ruimte code]],"-",Ruimtestaat[[#This Row],[Frequentie werkdagen]]," ",Ruimtestaat[[#This Row],[Vloer code]]))</f>
        <v>16-5w P</v>
      </c>
      <c r="AJ116" s="247" t="str">
        <f>_xlfn.IFNA(VLOOKUP(Ruimtestaat[[#This Row],[Programmacode
Regulier]],Programma!$F$4:$Y$36148,2,0),"_")</f>
        <v>_</v>
      </c>
      <c r="AK116" s="247" t="str">
        <f>_xlfn.IFNA(VLOOKUP(Ruimtestaat[[#This Row],[Programmacode
Regulier]],Programma!$F$4:$Y$36148,3,0),"_")</f>
        <v>_</v>
      </c>
      <c r="AL116" s="247" t="str">
        <f>_xlfn.IFNA(VLOOKUP(Ruimtestaat[[#This Row],[Programmacode
Regulier]],Programma!$F$4:$Y$36148,4,0),"_")</f>
        <v>5w</v>
      </c>
      <c r="AM116" s="247" t="str">
        <f>_xlfn.IFNA(VLOOKUP(Ruimtestaat[[#This Row],[Programmacode
Regulier]],Programma!$F$4:$Y$36148,5,0),"_")</f>
        <v>1w</v>
      </c>
      <c r="AN116" s="247" t="str">
        <f>_xlfn.IFNA(VLOOKUP(Ruimtestaat[[#This Row],[Programmacode
Regulier]],Programma!$F$4:$Y$36148,6,0),"_")</f>
        <v>1m</v>
      </c>
      <c r="AO116" s="247" t="str">
        <f>_xlfn.IFNA(VLOOKUP(Ruimtestaat[[#This Row],[Programmacode
Regulier]],Programma!$F$4:$Y$36148,7,0),"_")</f>
        <v>_</v>
      </c>
      <c r="AP116" s="247" t="str">
        <f>_xlfn.IFNA(VLOOKUP(Ruimtestaat[[#This Row],[Programmacode
Regulier]],Programma!$F$4:$Y$36148,8,0),"_")</f>
        <v>_</v>
      </c>
      <c r="AQ116" s="247" t="str">
        <f>_xlfn.IFNA(VLOOKUP(Ruimtestaat[[#This Row],[Programmacode
Regulier]],Programma!$F$4:$Y$36148,9,0),"_")</f>
        <v>_</v>
      </c>
      <c r="AR116" s="248" t="str">
        <f>_xlfn.IFNA(VLOOKUP(Ruimtestaat[[#This Row],[Programmacode
Regulier]],Programma!$F$4:$Y$36148,10,0),"_")</f>
        <v>5w</v>
      </c>
      <c r="AS116" s="248" t="str">
        <f>_xlfn.IFNA(VLOOKUP(Ruimtestaat[[#This Row],[Programmacode
Regulier]],Programma!$F$4:$Y$36148,11,0),"_")</f>
        <v>5w</v>
      </c>
      <c r="AT116" s="248" t="str">
        <f>_xlfn.IFNA(VLOOKUP(Ruimtestaat[[#This Row],[Programmacode
Regulier]],Programma!$F$4:$Y$36148,12,0),"_")</f>
        <v>1w</v>
      </c>
      <c r="AU116" s="248" t="str">
        <f>_xlfn.IFNA(VLOOKUP(Ruimtestaat[[#This Row],[Programmacode
Regulier]],Programma!$F$4:$Y$36148,13,0),"_")</f>
        <v>1w</v>
      </c>
      <c r="AV116" s="248" t="str">
        <f>_xlfn.IFNA(VLOOKUP(Ruimtestaat[[#This Row],[Programmacode
Regulier]],Programma!$F$4:$Y$36148,14,0),"_")</f>
        <v>1m</v>
      </c>
      <c r="AW116" s="248" t="str">
        <f>_xlfn.IFNA(VLOOKUP(Ruimtestaat[[#This Row],[Programmacode
Regulier]],Programma!$F$4:$Y$36148,15,0),"_")</f>
        <v>2j</v>
      </c>
      <c r="AX116" s="248" t="str">
        <f>_xlfn.IFNA(VLOOKUP(Ruimtestaat[[#This Row],[Programmacode
Regulier]],Programma!$F$4:$Y$36148,16,0),"_")</f>
        <v>1j</v>
      </c>
      <c r="AY116" s="248" t="str">
        <f>_xlfn.IFNA(VLOOKUP(Ruimtestaat[[#This Row],[Programmacode
Regulier]],Programma!$F$4:$Y$36148,17,0),"_")</f>
        <v>_</v>
      </c>
      <c r="AZ116" s="249" t="str">
        <f>_xlfn.IFNA(VLOOKUP(Ruimtestaat[[#This Row],[Programmacode
Regulier]],Programma!$F$4:$Y$36148,18,0),"_")</f>
        <v>_</v>
      </c>
      <c r="BA116" s="249" t="str">
        <f>_xlfn.IFNA(VLOOKUP(Ruimtestaat[[#This Row],[Programmacode
Regulier]],Programma!$F$4:$Y$36148,19,0),"_")</f>
        <v>_</v>
      </c>
      <c r="BB116" s="249" t="str">
        <f>_xlfn.IFNA(VLOOKUP(Ruimtestaat[[#This Row],[Programmacode
Regulier]],Programma!$F$4:$Y$36148,20,0),"_")</f>
        <v>_</v>
      </c>
      <c r="BC116" s="250"/>
      <c r="BD116" s="212" t="str">
        <f>IF(Ruimtestaat[[#This Row],[Frequentie weekend]]="","",_xlfn.CONCAT(Ruimtestaat[[#This Row],[Ruimte code]],"-",Ruimtestaat[[#This Row],[Frequentie weekend]]," ",Ruimtestaat[[#This Row],[Vloer code]]))</f>
        <v/>
      </c>
      <c r="BE116" s="247" t="str">
        <f>_xlfn.IFNA(VLOOKUP(Ruimtestaat[[#This Row],[Code Weekend]],Programma!$F$4:$Y$36148,2,0),"_")</f>
        <v>_</v>
      </c>
      <c r="BF116" s="247" t="str">
        <f>_xlfn.IFNA(VLOOKUP(Ruimtestaat[[#This Row],[Code Weekend]],Programma!$F$4:$Y$36148,3,0),"_")</f>
        <v>_</v>
      </c>
      <c r="BG116" s="247" t="str">
        <f>_xlfn.IFNA(VLOOKUP(Ruimtestaat[[#This Row],[Code Weekend]],Programma!$F$4:$Y$36148,4,0),"_")</f>
        <v>_</v>
      </c>
      <c r="BH116" s="247" t="str">
        <f>_xlfn.IFNA(VLOOKUP(Ruimtestaat[[#This Row],[Code Weekend]],Programma!$F$4:$Y$36148,5,0),"_")</f>
        <v>_</v>
      </c>
      <c r="BI116" s="247" t="str">
        <f>_xlfn.IFNA(VLOOKUP(Ruimtestaat[[#This Row],[Code Weekend]],Programma!$F$4:$Y$36148,6,0),"_")</f>
        <v>_</v>
      </c>
      <c r="BJ116" s="247" t="str">
        <f>_xlfn.IFNA(VLOOKUP(Ruimtestaat[[#This Row],[Code Weekend]],Programma!$F$4:$Y$36148,7,0),"_")</f>
        <v>_</v>
      </c>
      <c r="BK116" s="247" t="str">
        <f>_xlfn.IFNA(VLOOKUP(Ruimtestaat[[#This Row],[Code Weekend]],Programma!$F$4:$Y$36148,8,0),"_")</f>
        <v>_</v>
      </c>
      <c r="BL116" s="247" t="str">
        <f>_xlfn.IFNA(VLOOKUP(Ruimtestaat[[#This Row],[Code Weekend]],Programma!$F$4:$Y$36148,9,0),"_")</f>
        <v>_</v>
      </c>
      <c r="BM116" s="248" t="str">
        <f>_xlfn.IFNA(VLOOKUP(Ruimtestaat[[#This Row],[Code Weekend]],Programma!$F$4:$Y$36148,10,0),"_")</f>
        <v>_</v>
      </c>
      <c r="BN116" s="248" t="str">
        <f>_xlfn.IFNA(VLOOKUP(Ruimtestaat[[#This Row],[Code Weekend]],Programma!$F$4:$Y$36148,11,0),"_")</f>
        <v>_</v>
      </c>
      <c r="BO116" s="248" t="str">
        <f>_xlfn.IFNA(VLOOKUP(Ruimtestaat[[#This Row],[Code Weekend]],Programma!$F$4:$Y$36148,12,0),"_")</f>
        <v>_</v>
      </c>
      <c r="BP116" s="248" t="str">
        <f>_xlfn.IFNA(VLOOKUP(Ruimtestaat[[#This Row],[Code Weekend]],Programma!$F$4:$Y$36148,13,0),"_")</f>
        <v>_</v>
      </c>
      <c r="BQ116" s="248" t="str">
        <f>_xlfn.IFNA(VLOOKUP(Ruimtestaat[[#This Row],[Code Weekend]],Programma!$F$4:$Y$36148,14,0),"_")</f>
        <v>_</v>
      </c>
      <c r="BR116" s="248" t="str">
        <f>_xlfn.IFNA(VLOOKUP(Ruimtestaat[[#This Row],[Code Weekend]],Programma!$F$4:$Y$36148,15,0),"_")</f>
        <v>_</v>
      </c>
      <c r="BS116" s="248" t="str">
        <f>_xlfn.IFNA(VLOOKUP(Ruimtestaat[[#This Row],[Code Weekend]],Programma!$F$4:$Y$36148,16,0),"_")</f>
        <v>_</v>
      </c>
      <c r="BT116" s="248" t="str">
        <f>_xlfn.IFNA(VLOOKUP(Ruimtestaat[[#This Row],[Code Weekend]],Programma!$F$4:$Y$36148,17,0),"_")</f>
        <v>_</v>
      </c>
      <c r="BU116" s="249" t="str">
        <f>_xlfn.IFNA(VLOOKUP(Ruimtestaat[[#This Row],[Code Weekend]],Programma!$F$4:$Y$36148,18,0),"_")</f>
        <v>_</v>
      </c>
      <c r="BV116" s="249" t="str">
        <f>_xlfn.IFNA(VLOOKUP(Ruimtestaat[[#This Row],[Code Weekend]],Programma!$F$4:$Y$36148,19,0),"_")</f>
        <v>_</v>
      </c>
      <c r="BW116" s="249" t="str">
        <f>_xlfn.IFNA(VLOOKUP(Ruimtestaat[[#This Row],[Code Weekend]],Programma!$F$4:$Y$36148,20,0),"_")</f>
        <v>_</v>
      </c>
      <c r="HK116" s="88"/>
    </row>
    <row r="117" spans="1:219" ht="12.75" customHeight="1">
      <c r="A117" s="130">
        <v>1</v>
      </c>
      <c r="B117" s="22" t="str">
        <f>VLOOKUP(Ruimtestaat[[#This Row],[Code]],Locaties[#All],2,FALSE)</f>
        <v>ESH Secondary School</v>
      </c>
      <c r="C117" s="22" t="str">
        <f>VLOOKUP(Ruimtestaat[[#This Row],[Code]],Locaties[#All],4,FALSE)</f>
        <v>Oostduinlaan 50</v>
      </c>
      <c r="D117" s="334" t="str">
        <f>VLOOKUP(Ruimtestaat[[#This Row],[Code]],Locaties[#All],5,FALSE)</f>
        <v>2596 JP</v>
      </c>
      <c r="E117" s="334" t="str">
        <f>VLOOKUP(Ruimtestaat[[#This Row],[Code]],Locaties[#All],6,FALSE)</f>
        <v>Den Haag</v>
      </c>
      <c r="F117" s="335"/>
      <c r="G117" s="334" t="s">
        <v>1611</v>
      </c>
      <c r="H117" s="334" t="s">
        <v>1561</v>
      </c>
      <c r="I117" s="335" t="s">
        <v>1520</v>
      </c>
      <c r="J117" s="333">
        <v>16</v>
      </c>
      <c r="K117" s="335" t="str">
        <f>VLOOKUP(J117,Ruimtegroepen[],2,FALSE)</f>
        <v>Leslokalen</v>
      </c>
      <c r="L117" s="212" t="s">
        <v>123</v>
      </c>
      <c r="M117" s="334" t="s">
        <v>144</v>
      </c>
      <c r="N117" s="337">
        <v>7</v>
      </c>
      <c r="O117" s="331"/>
      <c r="P117" s="332" t="str">
        <f>VLOOKUP(Ruimtestaat[[#This Row],[Ruimte code]],Ruimtegroepen[],4,FALSE)</f>
        <v>L  (Lesruimte)</v>
      </c>
      <c r="Q117" s="332"/>
      <c r="R117" s="333">
        <v>40</v>
      </c>
      <c r="S117" s="333" t="s">
        <v>2</v>
      </c>
      <c r="T117" s="37"/>
      <c r="U117" s="37">
        <f>IF(R117&gt;0,IF(RIGHT(Ruimtestaat[[#This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17" s="37">
        <f>IF(U117&gt;0,VLOOKUP($J117,Ruimtegroepen[],3,FALSE)*VLOOKUP($L117,Vloersoorten[],3,FALSE)*VLOOKUP($S117,Frequenties[],3,FALSE)*VLOOKUP($A117,Locaties[],3,FALSE),0)</f>
        <v>0</v>
      </c>
      <c r="W117" s="37">
        <f>Ruimtestaat[[#This Row],[Uitvoeringen werkdagen]]*Ruimtestaat[[#This Row],[Oppervlak (netto)]]</f>
        <v>1400</v>
      </c>
      <c r="X117" s="37">
        <f>IF(V117&gt;0,Ruimtestaat[[#This Row],[Prest. (m2 /jaar) werkdagen]]/Ruimtestaat[[#This Row],[Norm (m2/uur) werkdagen]],0)</f>
        <v>0</v>
      </c>
      <c r="Y117" s="37">
        <f>Ruimtestaat[[#This Row],[uren / jaar werkdagen]]*Tariefsopbouw!$D$38</f>
        <v>0</v>
      </c>
      <c r="Z117" s="37">
        <f>IF(Ruimtestaat[[#This Row],[Frequentie weekend]]&gt;0,VALUE(LEFT(T117,1))*R117,0)</f>
        <v>0</v>
      </c>
      <c r="AA117" s="37">
        <f>IF($Z117&gt;0,VLOOKUP($J117,Ruimtegroepen[],3,FALSE)*VLOOKUP($L117,Vloersoorten[],3,FALSE)*VLOOKUP($T117,Frequenties[],3,FALSE)*VLOOKUP($A117,Locaties[],3,FALSE),0)</f>
        <v>0</v>
      </c>
      <c r="AB117" s="37">
        <f>Ruimtestaat[[#This Row],[Uitvoeringen weekend]]*Ruimtestaat[[#This Row],[Oppervlak (netto)]]</f>
        <v>0</v>
      </c>
      <c r="AC117" s="37">
        <f>IF(AA117&gt;0,Ruimtestaat[[#This Row],[Prest. (m2 /jaar) weekend]]/Ruimtestaat[[#This Row],[Norm (m2/uur) weekend]],0)</f>
        <v>0</v>
      </c>
      <c r="AD117" s="37">
        <f>Ruimtestaat[[#This Row],[uren / jaar weekend]]*Tariefsopbouw!$D$40</f>
        <v>0</v>
      </c>
      <c r="AE117" s="89">
        <f>Ruimtestaat[[#This Row],[Prest. (m2 /jaar) weekend]]+Ruimtestaat[[#This Row],[Prest. (m2 /jaar) werkdagen]]</f>
        <v>1400</v>
      </c>
      <c r="AF117" s="89">
        <f>Ruimtestaat[[#This Row],[uren / jaar weekend]]+Ruimtestaat[[#This Row],[uren / jaar werkdagen]]</f>
        <v>0</v>
      </c>
      <c r="AG117" s="90">
        <f>Ruimtestaat[[#This Row],[kosten / jaar weekend]]+Ruimtestaat[[#This Row],[kosten / jaar werkdagen]]</f>
        <v>0</v>
      </c>
      <c r="AH117" s="253"/>
      <c r="AI117" s="252" t="str">
        <f>IF(Ruimtestaat[[#This Row],[Frequentie werkdagen]]="","",_xlfn.CONCAT(Ruimtestaat[[#This Row],[Ruimte code]],"-",Ruimtestaat[[#This Row],[Frequentie werkdagen]]," ",Ruimtestaat[[#This Row],[Vloer code]]))</f>
        <v>16-5w P</v>
      </c>
      <c r="AJ117" s="247" t="str">
        <f>_xlfn.IFNA(VLOOKUP(Ruimtestaat[[#This Row],[Programmacode
Regulier]],Programma!$F$4:$Y$36148,2,0),"_")</f>
        <v>_</v>
      </c>
      <c r="AK117" s="247" t="str">
        <f>_xlfn.IFNA(VLOOKUP(Ruimtestaat[[#This Row],[Programmacode
Regulier]],Programma!$F$4:$Y$36148,3,0),"_")</f>
        <v>_</v>
      </c>
      <c r="AL117" s="247" t="str">
        <f>_xlfn.IFNA(VLOOKUP(Ruimtestaat[[#This Row],[Programmacode
Regulier]],Programma!$F$4:$Y$36148,4,0),"_")</f>
        <v>5w</v>
      </c>
      <c r="AM117" s="247" t="str">
        <f>_xlfn.IFNA(VLOOKUP(Ruimtestaat[[#This Row],[Programmacode
Regulier]],Programma!$F$4:$Y$36148,5,0),"_")</f>
        <v>1w</v>
      </c>
      <c r="AN117" s="247" t="str">
        <f>_xlfn.IFNA(VLOOKUP(Ruimtestaat[[#This Row],[Programmacode
Regulier]],Programma!$F$4:$Y$36148,6,0),"_")</f>
        <v>1m</v>
      </c>
      <c r="AO117" s="247" t="str">
        <f>_xlfn.IFNA(VLOOKUP(Ruimtestaat[[#This Row],[Programmacode
Regulier]],Programma!$F$4:$Y$36148,7,0),"_")</f>
        <v>_</v>
      </c>
      <c r="AP117" s="247" t="str">
        <f>_xlfn.IFNA(VLOOKUP(Ruimtestaat[[#This Row],[Programmacode
Regulier]],Programma!$F$4:$Y$36148,8,0),"_")</f>
        <v>_</v>
      </c>
      <c r="AQ117" s="247" t="str">
        <f>_xlfn.IFNA(VLOOKUP(Ruimtestaat[[#This Row],[Programmacode
Regulier]],Programma!$F$4:$Y$36148,9,0),"_")</f>
        <v>_</v>
      </c>
      <c r="AR117" s="248" t="str">
        <f>_xlfn.IFNA(VLOOKUP(Ruimtestaat[[#This Row],[Programmacode
Regulier]],Programma!$F$4:$Y$36148,10,0),"_")</f>
        <v>5w</v>
      </c>
      <c r="AS117" s="248" t="str">
        <f>_xlfn.IFNA(VLOOKUP(Ruimtestaat[[#This Row],[Programmacode
Regulier]],Programma!$F$4:$Y$36148,11,0),"_")</f>
        <v>5w</v>
      </c>
      <c r="AT117" s="248" t="str">
        <f>_xlfn.IFNA(VLOOKUP(Ruimtestaat[[#This Row],[Programmacode
Regulier]],Programma!$F$4:$Y$36148,12,0),"_")</f>
        <v>1w</v>
      </c>
      <c r="AU117" s="248" t="str">
        <f>_xlfn.IFNA(VLOOKUP(Ruimtestaat[[#This Row],[Programmacode
Regulier]],Programma!$F$4:$Y$36148,13,0),"_")</f>
        <v>1w</v>
      </c>
      <c r="AV117" s="248" t="str">
        <f>_xlfn.IFNA(VLOOKUP(Ruimtestaat[[#This Row],[Programmacode
Regulier]],Programma!$F$4:$Y$36148,14,0),"_")</f>
        <v>1m</v>
      </c>
      <c r="AW117" s="248" t="str">
        <f>_xlfn.IFNA(VLOOKUP(Ruimtestaat[[#This Row],[Programmacode
Regulier]],Programma!$F$4:$Y$36148,15,0),"_")</f>
        <v>2j</v>
      </c>
      <c r="AX117" s="248" t="str">
        <f>_xlfn.IFNA(VLOOKUP(Ruimtestaat[[#This Row],[Programmacode
Regulier]],Programma!$F$4:$Y$36148,16,0),"_")</f>
        <v>1j</v>
      </c>
      <c r="AY117" s="248" t="str">
        <f>_xlfn.IFNA(VLOOKUP(Ruimtestaat[[#This Row],[Programmacode
Regulier]],Programma!$F$4:$Y$36148,17,0),"_")</f>
        <v>_</v>
      </c>
      <c r="AZ117" s="249" t="str">
        <f>_xlfn.IFNA(VLOOKUP(Ruimtestaat[[#This Row],[Programmacode
Regulier]],Programma!$F$4:$Y$36148,18,0),"_")</f>
        <v>_</v>
      </c>
      <c r="BA117" s="249" t="str">
        <f>_xlfn.IFNA(VLOOKUP(Ruimtestaat[[#This Row],[Programmacode
Regulier]],Programma!$F$4:$Y$36148,19,0),"_")</f>
        <v>_</v>
      </c>
      <c r="BB117" s="249" t="str">
        <f>_xlfn.IFNA(VLOOKUP(Ruimtestaat[[#This Row],[Programmacode
Regulier]],Programma!$F$4:$Y$36148,20,0),"_")</f>
        <v>_</v>
      </c>
      <c r="BC117" s="250"/>
      <c r="BD117" s="212" t="str">
        <f>IF(Ruimtestaat[[#This Row],[Frequentie weekend]]="","",_xlfn.CONCAT(Ruimtestaat[[#This Row],[Ruimte code]],"-",Ruimtestaat[[#This Row],[Frequentie weekend]]," ",Ruimtestaat[[#This Row],[Vloer code]]))</f>
        <v/>
      </c>
      <c r="BE117" s="247" t="str">
        <f>_xlfn.IFNA(VLOOKUP(Ruimtestaat[[#This Row],[Code Weekend]],Programma!$F$4:$Y$36148,2,0),"_")</f>
        <v>_</v>
      </c>
      <c r="BF117" s="247" t="str">
        <f>_xlfn.IFNA(VLOOKUP(Ruimtestaat[[#This Row],[Code Weekend]],Programma!$F$4:$Y$36148,3,0),"_")</f>
        <v>_</v>
      </c>
      <c r="BG117" s="247" t="str">
        <f>_xlfn.IFNA(VLOOKUP(Ruimtestaat[[#This Row],[Code Weekend]],Programma!$F$4:$Y$36148,4,0),"_")</f>
        <v>_</v>
      </c>
      <c r="BH117" s="247" t="str">
        <f>_xlfn.IFNA(VLOOKUP(Ruimtestaat[[#This Row],[Code Weekend]],Programma!$F$4:$Y$36148,5,0),"_")</f>
        <v>_</v>
      </c>
      <c r="BI117" s="247" t="str">
        <f>_xlfn.IFNA(VLOOKUP(Ruimtestaat[[#This Row],[Code Weekend]],Programma!$F$4:$Y$36148,6,0),"_")</f>
        <v>_</v>
      </c>
      <c r="BJ117" s="247" t="str">
        <f>_xlfn.IFNA(VLOOKUP(Ruimtestaat[[#This Row],[Code Weekend]],Programma!$F$4:$Y$36148,7,0),"_")</f>
        <v>_</v>
      </c>
      <c r="BK117" s="247" t="str">
        <f>_xlfn.IFNA(VLOOKUP(Ruimtestaat[[#This Row],[Code Weekend]],Programma!$F$4:$Y$36148,8,0),"_")</f>
        <v>_</v>
      </c>
      <c r="BL117" s="247" t="str">
        <f>_xlfn.IFNA(VLOOKUP(Ruimtestaat[[#This Row],[Code Weekend]],Programma!$F$4:$Y$36148,9,0),"_")</f>
        <v>_</v>
      </c>
      <c r="BM117" s="248" t="str">
        <f>_xlfn.IFNA(VLOOKUP(Ruimtestaat[[#This Row],[Code Weekend]],Programma!$F$4:$Y$36148,10,0),"_")</f>
        <v>_</v>
      </c>
      <c r="BN117" s="248" t="str">
        <f>_xlfn.IFNA(VLOOKUP(Ruimtestaat[[#This Row],[Code Weekend]],Programma!$F$4:$Y$36148,11,0),"_")</f>
        <v>_</v>
      </c>
      <c r="BO117" s="248" t="str">
        <f>_xlfn.IFNA(VLOOKUP(Ruimtestaat[[#This Row],[Code Weekend]],Programma!$F$4:$Y$36148,12,0),"_")</f>
        <v>_</v>
      </c>
      <c r="BP117" s="248" t="str">
        <f>_xlfn.IFNA(VLOOKUP(Ruimtestaat[[#This Row],[Code Weekend]],Programma!$F$4:$Y$36148,13,0),"_")</f>
        <v>_</v>
      </c>
      <c r="BQ117" s="248" t="str">
        <f>_xlfn.IFNA(VLOOKUP(Ruimtestaat[[#This Row],[Code Weekend]],Programma!$F$4:$Y$36148,14,0),"_")</f>
        <v>_</v>
      </c>
      <c r="BR117" s="248" t="str">
        <f>_xlfn.IFNA(VLOOKUP(Ruimtestaat[[#This Row],[Code Weekend]],Programma!$F$4:$Y$36148,15,0),"_")</f>
        <v>_</v>
      </c>
      <c r="BS117" s="248" t="str">
        <f>_xlfn.IFNA(VLOOKUP(Ruimtestaat[[#This Row],[Code Weekend]],Programma!$F$4:$Y$36148,16,0),"_")</f>
        <v>_</v>
      </c>
      <c r="BT117" s="248" t="str">
        <f>_xlfn.IFNA(VLOOKUP(Ruimtestaat[[#This Row],[Code Weekend]],Programma!$F$4:$Y$36148,17,0),"_")</f>
        <v>_</v>
      </c>
      <c r="BU117" s="249" t="str">
        <f>_xlfn.IFNA(VLOOKUP(Ruimtestaat[[#This Row],[Code Weekend]],Programma!$F$4:$Y$36148,18,0),"_")</f>
        <v>_</v>
      </c>
      <c r="BV117" s="249" t="str">
        <f>_xlfn.IFNA(VLOOKUP(Ruimtestaat[[#This Row],[Code Weekend]],Programma!$F$4:$Y$36148,19,0),"_")</f>
        <v>_</v>
      </c>
      <c r="BW117" s="249" t="str">
        <f>_xlfn.IFNA(VLOOKUP(Ruimtestaat[[#This Row],[Code Weekend]],Programma!$F$4:$Y$36148,20,0),"_")</f>
        <v>_</v>
      </c>
      <c r="HK117" s="88"/>
    </row>
    <row r="118" spans="1:219" ht="12.75" customHeight="1">
      <c r="A118" s="130">
        <v>1</v>
      </c>
      <c r="B118" s="22" t="str">
        <f>VLOOKUP(Ruimtestaat[[#This Row],[Code]],Locaties[#All],2,FALSE)</f>
        <v>ESH Secondary School</v>
      </c>
      <c r="C118" s="22" t="str">
        <f>VLOOKUP(Ruimtestaat[[#This Row],[Code]],Locaties[#All],4,FALSE)</f>
        <v>Oostduinlaan 50</v>
      </c>
      <c r="D118" s="334" t="str">
        <f>VLOOKUP(Ruimtestaat[[#This Row],[Code]],Locaties[#All],5,FALSE)</f>
        <v>2596 JP</v>
      </c>
      <c r="E118" s="334" t="str">
        <f>VLOOKUP(Ruimtestaat[[#This Row],[Code]],Locaties[#All],6,FALSE)</f>
        <v>Den Haag</v>
      </c>
      <c r="F118" s="335"/>
      <c r="G118" s="334" t="s">
        <v>1611</v>
      </c>
      <c r="H118" s="334" t="s">
        <v>1562</v>
      </c>
      <c r="I118" s="335" t="s">
        <v>1520</v>
      </c>
      <c r="J118" s="333">
        <v>16</v>
      </c>
      <c r="K118" s="335" t="str">
        <f>VLOOKUP(J118,Ruimtegroepen[],2,FALSE)</f>
        <v>Leslokalen</v>
      </c>
      <c r="L118" s="212" t="s">
        <v>123</v>
      </c>
      <c r="M118" s="334" t="s">
        <v>144</v>
      </c>
      <c r="N118" s="337">
        <v>7</v>
      </c>
      <c r="O118" s="331"/>
      <c r="P118" s="332" t="str">
        <f>VLOOKUP(Ruimtestaat[[#This Row],[Ruimte code]],Ruimtegroepen[],4,FALSE)</f>
        <v>L  (Lesruimte)</v>
      </c>
      <c r="Q118" s="332"/>
      <c r="R118" s="333">
        <v>40</v>
      </c>
      <c r="S118" s="333" t="s">
        <v>2</v>
      </c>
      <c r="T118" s="37"/>
      <c r="U118" s="37">
        <f>IF(R118&gt;0,IF(RIGHT(Ruimtestaat[[#This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18" s="37">
        <f>IF(U118&gt;0,VLOOKUP($J118,Ruimtegroepen[],3,FALSE)*VLOOKUP($L118,Vloersoorten[],3,FALSE)*VLOOKUP($S118,Frequenties[],3,FALSE)*VLOOKUP($A118,Locaties[],3,FALSE),0)</f>
        <v>0</v>
      </c>
      <c r="W118" s="37">
        <f>Ruimtestaat[[#This Row],[Uitvoeringen werkdagen]]*Ruimtestaat[[#This Row],[Oppervlak (netto)]]</f>
        <v>1400</v>
      </c>
      <c r="X118" s="37">
        <f>IF(V118&gt;0,Ruimtestaat[[#This Row],[Prest. (m2 /jaar) werkdagen]]/Ruimtestaat[[#This Row],[Norm (m2/uur) werkdagen]],0)</f>
        <v>0</v>
      </c>
      <c r="Y118" s="37">
        <f>Ruimtestaat[[#This Row],[uren / jaar werkdagen]]*Tariefsopbouw!$D$38</f>
        <v>0</v>
      </c>
      <c r="Z118" s="37">
        <f>IF(Ruimtestaat[[#This Row],[Frequentie weekend]]&gt;0,VALUE(LEFT(T118,1))*R118,0)</f>
        <v>0</v>
      </c>
      <c r="AA118" s="37">
        <f>IF($Z118&gt;0,VLOOKUP($J118,Ruimtegroepen[],3,FALSE)*VLOOKUP($L118,Vloersoorten[],3,FALSE)*VLOOKUP($T118,Frequenties[],3,FALSE)*VLOOKUP($A118,Locaties[],3,FALSE),0)</f>
        <v>0</v>
      </c>
      <c r="AB118" s="37">
        <f>Ruimtestaat[[#This Row],[Uitvoeringen weekend]]*Ruimtestaat[[#This Row],[Oppervlak (netto)]]</f>
        <v>0</v>
      </c>
      <c r="AC118" s="37">
        <f>IF(AA118&gt;0,Ruimtestaat[[#This Row],[Prest. (m2 /jaar) weekend]]/Ruimtestaat[[#This Row],[Norm (m2/uur) weekend]],0)</f>
        <v>0</v>
      </c>
      <c r="AD118" s="37">
        <f>Ruimtestaat[[#This Row],[uren / jaar weekend]]*Tariefsopbouw!$D$40</f>
        <v>0</v>
      </c>
      <c r="AE118" s="89">
        <f>Ruimtestaat[[#This Row],[Prest. (m2 /jaar) weekend]]+Ruimtestaat[[#This Row],[Prest. (m2 /jaar) werkdagen]]</f>
        <v>1400</v>
      </c>
      <c r="AF118" s="89">
        <f>Ruimtestaat[[#This Row],[uren / jaar weekend]]+Ruimtestaat[[#This Row],[uren / jaar werkdagen]]</f>
        <v>0</v>
      </c>
      <c r="AG118" s="90">
        <f>Ruimtestaat[[#This Row],[kosten / jaar weekend]]+Ruimtestaat[[#This Row],[kosten / jaar werkdagen]]</f>
        <v>0</v>
      </c>
      <c r="AH118" s="253"/>
      <c r="AI118" s="252" t="str">
        <f>IF(Ruimtestaat[[#This Row],[Frequentie werkdagen]]="","",_xlfn.CONCAT(Ruimtestaat[[#This Row],[Ruimte code]],"-",Ruimtestaat[[#This Row],[Frequentie werkdagen]]," ",Ruimtestaat[[#This Row],[Vloer code]]))</f>
        <v>16-5w P</v>
      </c>
      <c r="AJ118" s="247" t="str">
        <f>_xlfn.IFNA(VLOOKUP(Ruimtestaat[[#This Row],[Programmacode
Regulier]],Programma!$F$4:$Y$36148,2,0),"_")</f>
        <v>_</v>
      </c>
      <c r="AK118" s="247" t="str">
        <f>_xlfn.IFNA(VLOOKUP(Ruimtestaat[[#This Row],[Programmacode
Regulier]],Programma!$F$4:$Y$36148,3,0),"_")</f>
        <v>_</v>
      </c>
      <c r="AL118" s="247" t="str">
        <f>_xlfn.IFNA(VLOOKUP(Ruimtestaat[[#This Row],[Programmacode
Regulier]],Programma!$F$4:$Y$36148,4,0),"_")</f>
        <v>5w</v>
      </c>
      <c r="AM118" s="247" t="str">
        <f>_xlfn.IFNA(VLOOKUP(Ruimtestaat[[#This Row],[Programmacode
Regulier]],Programma!$F$4:$Y$36148,5,0),"_")</f>
        <v>1w</v>
      </c>
      <c r="AN118" s="247" t="str">
        <f>_xlfn.IFNA(VLOOKUP(Ruimtestaat[[#This Row],[Programmacode
Regulier]],Programma!$F$4:$Y$36148,6,0),"_")</f>
        <v>1m</v>
      </c>
      <c r="AO118" s="247" t="str">
        <f>_xlfn.IFNA(VLOOKUP(Ruimtestaat[[#This Row],[Programmacode
Regulier]],Programma!$F$4:$Y$36148,7,0),"_")</f>
        <v>_</v>
      </c>
      <c r="AP118" s="247" t="str">
        <f>_xlfn.IFNA(VLOOKUP(Ruimtestaat[[#This Row],[Programmacode
Regulier]],Programma!$F$4:$Y$36148,8,0),"_")</f>
        <v>_</v>
      </c>
      <c r="AQ118" s="247" t="str">
        <f>_xlfn.IFNA(VLOOKUP(Ruimtestaat[[#This Row],[Programmacode
Regulier]],Programma!$F$4:$Y$36148,9,0),"_")</f>
        <v>_</v>
      </c>
      <c r="AR118" s="248" t="str">
        <f>_xlfn.IFNA(VLOOKUP(Ruimtestaat[[#This Row],[Programmacode
Regulier]],Programma!$F$4:$Y$36148,10,0),"_")</f>
        <v>5w</v>
      </c>
      <c r="AS118" s="248" t="str">
        <f>_xlfn.IFNA(VLOOKUP(Ruimtestaat[[#This Row],[Programmacode
Regulier]],Programma!$F$4:$Y$36148,11,0),"_")</f>
        <v>5w</v>
      </c>
      <c r="AT118" s="248" t="str">
        <f>_xlfn.IFNA(VLOOKUP(Ruimtestaat[[#This Row],[Programmacode
Regulier]],Programma!$F$4:$Y$36148,12,0),"_")</f>
        <v>1w</v>
      </c>
      <c r="AU118" s="248" t="str">
        <f>_xlfn.IFNA(VLOOKUP(Ruimtestaat[[#This Row],[Programmacode
Regulier]],Programma!$F$4:$Y$36148,13,0),"_")</f>
        <v>1w</v>
      </c>
      <c r="AV118" s="248" t="str">
        <f>_xlfn.IFNA(VLOOKUP(Ruimtestaat[[#This Row],[Programmacode
Regulier]],Programma!$F$4:$Y$36148,14,0),"_")</f>
        <v>1m</v>
      </c>
      <c r="AW118" s="248" t="str">
        <f>_xlfn.IFNA(VLOOKUP(Ruimtestaat[[#This Row],[Programmacode
Regulier]],Programma!$F$4:$Y$36148,15,0),"_")</f>
        <v>2j</v>
      </c>
      <c r="AX118" s="248" t="str">
        <f>_xlfn.IFNA(VLOOKUP(Ruimtestaat[[#This Row],[Programmacode
Regulier]],Programma!$F$4:$Y$36148,16,0),"_")</f>
        <v>1j</v>
      </c>
      <c r="AY118" s="248" t="str">
        <f>_xlfn.IFNA(VLOOKUP(Ruimtestaat[[#This Row],[Programmacode
Regulier]],Programma!$F$4:$Y$36148,17,0),"_")</f>
        <v>_</v>
      </c>
      <c r="AZ118" s="249" t="str">
        <f>_xlfn.IFNA(VLOOKUP(Ruimtestaat[[#This Row],[Programmacode
Regulier]],Programma!$F$4:$Y$36148,18,0),"_")</f>
        <v>_</v>
      </c>
      <c r="BA118" s="249" t="str">
        <f>_xlfn.IFNA(VLOOKUP(Ruimtestaat[[#This Row],[Programmacode
Regulier]],Programma!$F$4:$Y$36148,19,0),"_")</f>
        <v>_</v>
      </c>
      <c r="BB118" s="249" t="str">
        <f>_xlfn.IFNA(VLOOKUP(Ruimtestaat[[#This Row],[Programmacode
Regulier]],Programma!$F$4:$Y$36148,20,0),"_")</f>
        <v>_</v>
      </c>
      <c r="BC118" s="250"/>
      <c r="BD118" s="212" t="str">
        <f>IF(Ruimtestaat[[#This Row],[Frequentie weekend]]="","",_xlfn.CONCAT(Ruimtestaat[[#This Row],[Ruimte code]],"-",Ruimtestaat[[#This Row],[Frequentie weekend]]," ",Ruimtestaat[[#This Row],[Vloer code]]))</f>
        <v/>
      </c>
      <c r="BE118" s="247" t="str">
        <f>_xlfn.IFNA(VLOOKUP(Ruimtestaat[[#This Row],[Code Weekend]],Programma!$F$4:$Y$36148,2,0),"_")</f>
        <v>_</v>
      </c>
      <c r="BF118" s="247" t="str">
        <f>_xlfn.IFNA(VLOOKUP(Ruimtestaat[[#This Row],[Code Weekend]],Programma!$F$4:$Y$36148,3,0),"_")</f>
        <v>_</v>
      </c>
      <c r="BG118" s="247" t="str">
        <f>_xlfn.IFNA(VLOOKUP(Ruimtestaat[[#This Row],[Code Weekend]],Programma!$F$4:$Y$36148,4,0),"_")</f>
        <v>_</v>
      </c>
      <c r="BH118" s="247" t="str">
        <f>_xlfn.IFNA(VLOOKUP(Ruimtestaat[[#This Row],[Code Weekend]],Programma!$F$4:$Y$36148,5,0),"_")</f>
        <v>_</v>
      </c>
      <c r="BI118" s="247" t="str">
        <f>_xlfn.IFNA(VLOOKUP(Ruimtestaat[[#This Row],[Code Weekend]],Programma!$F$4:$Y$36148,6,0),"_")</f>
        <v>_</v>
      </c>
      <c r="BJ118" s="247" t="str">
        <f>_xlfn.IFNA(VLOOKUP(Ruimtestaat[[#This Row],[Code Weekend]],Programma!$F$4:$Y$36148,7,0),"_")</f>
        <v>_</v>
      </c>
      <c r="BK118" s="247" t="str">
        <f>_xlfn.IFNA(VLOOKUP(Ruimtestaat[[#This Row],[Code Weekend]],Programma!$F$4:$Y$36148,8,0),"_")</f>
        <v>_</v>
      </c>
      <c r="BL118" s="247" t="str">
        <f>_xlfn.IFNA(VLOOKUP(Ruimtestaat[[#This Row],[Code Weekend]],Programma!$F$4:$Y$36148,9,0),"_")</f>
        <v>_</v>
      </c>
      <c r="BM118" s="248" t="str">
        <f>_xlfn.IFNA(VLOOKUP(Ruimtestaat[[#This Row],[Code Weekend]],Programma!$F$4:$Y$36148,10,0),"_")</f>
        <v>_</v>
      </c>
      <c r="BN118" s="248" t="str">
        <f>_xlfn.IFNA(VLOOKUP(Ruimtestaat[[#This Row],[Code Weekend]],Programma!$F$4:$Y$36148,11,0),"_")</f>
        <v>_</v>
      </c>
      <c r="BO118" s="248" t="str">
        <f>_xlfn.IFNA(VLOOKUP(Ruimtestaat[[#This Row],[Code Weekend]],Programma!$F$4:$Y$36148,12,0),"_")</f>
        <v>_</v>
      </c>
      <c r="BP118" s="248" t="str">
        <f>_xlfn.IFNA(VLOOKUP(Ruimtestaat[[#This Row],[Code Weekend]],Programma!$F$4:$Y$36148,13,0),"_")</f>
        <v>_</v>
      </c>
      <c r="BQ118" s="248" t="str">
        <f>_xlfn.IFNA(VLOOKUP(Ruimtestaat[[#This Row],[Code Weekend]],Programma!$F$4:$Y$36148,14,0),"_")</f>
        <v>_</v>
      </c>
      <c r="BR118" s="248" t="str">
        <f>_xlfn.IFNA(VLOOKUP(Ruimtestaat[[#This Row],[Code Weekend]],Programma!$F$4:$Y$36148,15,0),"_")</f>
        <v>_</v>
      </c>
      <c r="BS118" s="248" t="str">
        <f>_xlfn.IFNA(VLOOKUP(Ruimtestaat[[#This Row],[Code Weekend]],Programma!$F$4:$Y$36148,16,0),"_")</f>
        <v>_</v>
      </c>
      <c r="BT118" s="248" t="str">
        <f>_xlfn.IFNA(VLOOKUP(Ruimtestaat[[#This Row],[Code Weekend]],Programma!$F$4:$Y$36148,17,0),"_")</f>
        <v>_</v>
      </c>
      <c r="BU118" s="249" t="str">
        <f>_xlfn.IFNA(VLOOKUP(Ruimtestaat[[#This Row],[Code Weekend]],Programma!$F$4:$Y$36148,18,0),"_")</f>
        <v>_</v>
      </c>
      <c r="BV118" s="249" t="str">
        <f>_xlfn.IFNA(VLOOKUP(Ruimtestaat[[#This Row],[Code Weekend]],Programma!$F$4:$Y$36148,19,0),"_")</f>
        <v>_</v>
      </c>
      <c r="BW118" s="249" t="str">
        <f>_xlfn.IFNA(VLOOKUP(Ruimtestaat[[#This Row],[Code Weekend]],Programma!$F$4:$Y$36148,20,0),"_")</f>
        <v>_</v>
      </c>
      <c r="HK118" s="88"/>
    </row>
    <row r="119" spans="1:219" ht="12.75" customHeight="1">
      <c r="A119" s="130">
        <v>1</v>
      </c>
      <c r="B119" s="22" t="str">
        <f>VLOOKUP(Ruimtestaat[[#This Row],[Code]],Locaties[#All],2,FALSE)</f>
        <v>ESH Secondary School</v>
      </c>
      <c r="C119" s="22" t="str">
        <f>VLOOKUP(Ruimtestaat[[#This Row],[Code]],Locaties[#All],4,FALSE)</f>
        <v>Oostduinlaan 50</v>
      </c>
      <c r="D119" s="334" t="str">
        <f>VLOOKUP(Ruimtestaat[[#This Row],[Code]],Locaties[#All],5,FALSE)</f>
        <v>2596 JP</v>
      </c>
      <c r="E119" s="334" t="str">
        <f>VLOOKUP(Ruimtestaat[[#This Row],[Code]],Locaties[#All],6,FALSE)</f>
        <v>Den Haag</v>
      </c>
      <c r="F119" s="335"/>
      <c r="G119" s="334" t="s">
        <v>1611</v>
      </c>
      <c r="H119" s="334" t="s">
        <v>1563</v>
      </c>
      <c r="I119" s="335" t="s">
        <v>1520</v>
      </c>
      <c r="J119" s="333">
        <v>16</v>
      </c>
      <c r="K119" s="335" t="str">
        <f>VLOOKUP(J119,Ruimtegroepen[],2,FALSE)</f>
        <v>Leslokalen</v>
      </c>
      <c r="L119" s="212" t="s">
        <v>123</v>
      </c>
      <c r="M119" s="334" t="s">
        <v>144</v>
      </c>
      <c r="N119" s="337">
        <v>7</v>
      </c>
      <c r="O119" s="331"/>
      <c r="P119" s="332" t="str">
        <f>VLOOKUP(Ruimtestaat[[#This Row],[Ruimte code]],Ruimtegroepen[],4,FALSE)</f>
        <v>L  (Lesruimte)</v>
      </c>
      <c r="Q119" s="332"/>
      <c r="R119" s="333">
        <v>40</v>
      </c>
      <c r="S119" s="333" t="s">
        <v>2</v>
      </c>
      <c r="T119" s="37"/>
      <c r="U119" s="37">
        <f>IF(R119&gt;0,IF(RIGHT(Ruimtestaat[[#This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19" s="37">
        <f>IF(U119&gt;0,VLOOKUP($J119,Ruimtegroepen[],3,FALSE)*VLOOKUP($L119,Vloersoorten[],3,FALSE)*VLOOKUP($S119,Frequenties[],3,FALSE)*VLOOKUP($A119,Locaties[],3,FALSE),0)</f>
        <v>0</v>
      </c>
      <c r="W119" s="37">
        <f>Ruimtestaat[[#This Row],[Uitvoeringen werkdagen]]*Ruimtestaat[[#This Row],[Oppervlak (netto)]]</f>
        <v>1400</v>
      </c>
      <c r="X119" s="37">
        <f>IF(V119&gt;0,Ruimtestaat[[#This Row],[Prest. (m2 /jaar) werkdagen]]/Ruimtestaat[[#This Row],[Norm (m2/uur) werkdagen]],0)</f>
        <v>0</v>
      </c>
      <c r="Y119" s="37">
        <f>Ruimtestaat[[#This Row],[uren / jaar werkdagen]]*Tariefsopbouw!$D$38</f>
        <v>0</v>
      </c>
      <c r="Z119" s="37">
        <f>IF(Ruimtestaat[[#This Row],[Frequentie weekend]]&gt;0,VALUE(LEFT(T119,1))*R119,0)</f>
        <v>0</v>
      </c>
      <c r="AA119" s="37">
        <f>IF($Z119&gt;0,VLOOKUP($J119,Ruimtegroepen[],3,FALSE)*VLOOKUP($L119,Vloersoorten[],3,FALSE)*VLOOKUP($T119,Frequenties[],3,FALSE)*VLOOKUP($A119,Locaties[],3,FALSE),0)</f>
        <v>0</v>
      </c>
      <c r="AB119" s="37">
        <f>Ruimtestaat[[#This Row],[Uitvoeringen weekend]]*Ruimtestaat[[#This Row],[Oppervlak (netto)]]</f>
        <v>0</v>
      </c>
      <c r="AC119" s="37">
        <f>IF(AA119&gt;0,Ruimtestaat[[#This Row],[Prest. (m2 /jaar) weekend]]/Ruimtestaat[[#This Row],[Norm (m2/uur) weekend]],0)</f>
        <v>0</v>
      </c>
      <c r="AD119" s="37">
        <f>Ruimtestaat[[#This Row],[uren / jaar weekend]]*Tariefsopbouw!$D$40</f>
        <v>0</v>
      </c>
      <c r="AE119" s="89">
        <f>Ruimtestaat[[#This Row],[Prest. (m2 /jaar) weekend]]+Ruimtestaat[[#This Row],[Prest. (m2 /jaar) werkdagen]]</f>
        <v>1400</v>
      </c>
      <c r="AF119" s="89">
        <f>Ruimtestaat[[#This Row],[uren / jaar weekend]]+Ruimtestaat[[#This Row],[uren / jaar werkdagen]]</f>
        <v>0</v>
      </c>
      <c r="AG119" s="90">
        <f>Ruimtestaat[[#This Row],[kosten / jaar weekend]]+Ruimtestaat[[#This Row],[kosten / jaar werkdagen]]</f>
        <v>0</v>
      </c>
      <c r="AH119" s="253"/>
      <c r="AI119" s="252" t="str">
        <f>IF(Ruimtestaat[[#This Row],[Frequentie werkdagen]]="","",_xlfn.CONCAT(Ruimtestaat[[#This Row],[Ruimte code]],"-",Ruimtestaat[[#This Row],[Frequentie werkdagen]]," ",Ruimtestaat[[#This Row],[Vloer code]]))</f>
        <v>16-5w P</v>
      </c>
      <c r="AJ119" s="247" t="str">
        <f>_xlfn.IFNA(VLOOKUP(Ruimtestaat[[#This Row],[Programmacode
Regulier]],Programma!$F$4:$Y$36148,2,0),"_")</f>
        <v>_</v>
      </c>
      <c r="AK119" s="247" t="str">
        <f>_xlfn.IFNA(VLOOKUP(Ruimtestaat[[#This Row],[Programmacode
Regulier]],Programma!$F$4:$Y$36148,3,0),"_")</f>
        <v>_</v>
      </c>
      <c r="AL119" s="247" t="str">
        <f>_xlfn.IFNA(VLOOKUP(Ruimtestaat[[#This Row],[Programmacode
Regulier]],Programma!$F$4:$Y$36148,4,0),"_")</f>
        <v>5w</v>
      </c>
      <c r="AM119" s="247" t="str">
        <f>_xlfn.IFNA(VLOOKUP(Ruimtestaat[[#This Row],[Programmacode
Regulier]],Programma!$F$4:$Y$36148,5,0),"_")</f>
        <v>1w</v>
      </c>
      <c r="AN119" s="247" t="str">
        <f>_xlfn.IFNA(VLOOKUP(Ruimtestaat[[#This Row],[Programmacode
Regulier]],Programma!$F$4:$Y$36148,6,0),"_")</f>
        <v>1m</v>
      </c>
      <c r="AO119" s="247" t="str">
        <f>_xlfn.IFNA(VLOOKUP(Ruimtestaat[[#This Row],[Programmacode
Regulier]],Programma!$F$4:$Y$36148,7,0),"_")</f>
        <v>_</v>
      </c>
      <c r="AP119" s="247" t="str">
        <f>_xlfn.IFNA(VLOOKUP(Ruimtestaat[[#This Row],[Programmacode
Regulier]],Programma!$F$4:$Y$36148,8,0),"_")</f>
        <v>_</v>
      </c>
      <c r="AQ119" s="247" t="str">
        <f>_xlfn.IFNA(VLOOKUP(Ruimtestaat[[#This Row],[Programmacode
Regulier]],Programma!$F$4:$Y$36148,9,0),"_")</f>
        <v>_</v>
      </c>
      <c r="AR119" s="248" t="str">
        <f>_xlfn.IFNA(VLOOKUP(Ruimtestaat[[#This Row],[Programmacode
Regulier]],Programma!$F$4:$Y$36148,10,0),"_")</f>
        <v>5w</v>
      </c>
      <c r="AS119" s="248" t="str">
        <f>_xlfn.IFNA(VLOOKUP(Ruimtestaat[[#This Row],[Programmacode
Regulier]],Programma!$F$4:$Y$36148,11,0),"_")</f>
        <v>5w</v>
      </c>
      <c r="AT119" s="248" t="str">
        <f>_xlfn.IFNA(VLOOKUP(Ruimtestaat[[#This Row],[Programmacode
Regulier]],Programma!$F$4:$Y$36148,12,0),"_")</f>
        <v>1w</v>
      </c>
      <c r="AU119" s="248" t="str">
        <f>_xlfn.IFNA(VLOOKUP(Ruimtestaat[[#This Row],[Programmacode
Regulier]],Programma!$F$4:$Y$36148,13,0),"_")</f>
        <v>1w</v>
      </c>
      <c r="AV119" s="248" t="str">
        <f>_xlfn.IFNA(VLOOKUP(Ruimtestaat[[#This Row],[Programmacode
Regulier]],Programma!$F$4:$Y$36148,14,0),"_")</f>
        <v>1m</v>
      </c>
      <c r="AW119" s="248" t="str">
        <f>_xlfn.IFNA(VLOOKUP(Ruimtestaat[[#This Row],[Programmacode
Regulier]],Programma!$F$4:$Y$36148,15,0),"_")</f>
        <v>2j</v>
      </c>
      <c r="AX119" s="248" t="str">
        <f>_xlfn.IFNA(VLOOKUP(Ruimtestaat[[#This Row],[Programmacode
Regulier]],Programma!$F$4:$Y$36148,16,0),"_")</f>
        <v>1j</v>
      </c>
      <c r="AY119" s="248" t="str">
        <f>_xlfn.IFNA(VLOOKUP(Ruimtestaat[[#This Row],[Programmacode
Regulier]],Programma!$F$4:$Y$36148,17,0),"_")</f>
        <v>_</v>
      </c>
      <c r="AZ119" s="249" t="str">
        <f>_xlfn.IFNA(VLOOKUP(Ruimtestaat[[#This Row],[Programmacode
Regulier]],Programma!$F$4:$Y$36148,18,0),"_")</f>
        <v>_</v>
      </c>
      <c r="BA119" s="249" t="str">
        <f>_xlfn.IFNA(VLOOKUP(Ruimtestaat[[#This Row],[Programmacode
Regulier]],Programma!$F$4:$Y$36148,19,0),"_")</f>
        <v>_</v>
      </c>
      <c r="BB119" s="249" t="str">
        <f>_xlfn.IFNA(VLOOKUP(Ruimtestaat[[#This Row],[Programmacode
Regulier]],Programma!$F$4:$Y$36148,20,0),"_")</f>
        <v>_</v>
      </c>
      <c r="BC119" s="250"/>
      <c r="BD119" s="212" t="str">
        <f>IF(Ruimtestaat[[#This Row],[Frequentie weekend]]="","",_xlfn.CONCAT(Ruimtestaat[[#This Row],[Ruimte code]],"-",Ruimtestaat[[#This Row],[Frequentie weekend]]," ",Ruimtestaat[[#This Row],[Vloer code]]))</f>
        <v/>
      </c>
      <c r="BE119" s="247" t="str">
        <f>_xlfn.IFNA(VLOOKUP(Ruimtestaat[[#This Row],[Code Weekend]],Programma!$F$4:$Y$36148,2,0),"_")</f>
        <v>_</v>
      </c>
      <c r="BF119" s="247" t="str">
        <f>_xlfn.IFNA(VLOOKUP(Ruimtestaat[[#This Row],[Code Weekend]],Programma!$F$4:$Y$36148,3,0),"_")</f>
        <v>_</v>
      </c>
      <c r="BG119" s="247" t="str">
        <f>_xlfn.IFNA(VLOOKUP(Ruimtestaat[[#This Row],[Code Weekend]],Programma!$F$4:$Y$36148,4,0),"_")</f>
        <v>_</v>
      </c>
      <c r="BH119" s="247" t="str">
        <f>_xlfn.IFNA(VLOOKUP(Ruimtestaat[[#This Row],[Code Weekend]],Programma!$F$4:$Y$36148,5,0),"_")</f>
        <v>_</v>
      </c>
      <c r="BI119" s="247" t="str">
        <f>_xlfn.IFNA(VLOOKUP(Ruimtestaat[[#This Row],[Code Weekend]],Programma!$F$4:$Y$36148,6,0),"_")</f>
        <v>_</v>
      </c>
      <c r="BJ119" s="247" t="str">
        <f>_xlfn.IFNA(VLOOKUP(Ruimtestaat[[#This Row],[Code Weekend]],Programma!$F$4:$Y$36148,7,0),"_")</f>
        <v>_</v>
      </c>
      <c r="BK119" s="247" t="str">
        <f>_xlfn.IFNA(VLOOKUP(Ruimtestaat[[#This Row],[Code Weekend]],Programma!$F$4:$Y$36148,8,0),"_")</f>
        <v>_</v>
      </c>
      <c r="BL119" s="247" t="str">
        <f>_xlfn.IFNA(VLOOKUP(Ruimtestaat[[#This Row],[Code Weekend]],Programma!$F$4:$Y$36148,9,0),"_")</f>
        <v>_</v>
      </c>
      <c r="BM119" s="248" t="str">
        <f>_xlfn.IFNA(VLOOKUP(Ruimtestaat[[#This Row],[Code Weekend]],Programma!$F$4:$Y$36148,10,0),"_")</f>
        <v>_</v>
      </c>
      <c r="BN119" s="248" t="str">
        <f>_xlfn.IFNA(VLOOKUP(Ruimtestaat[[#This Row],[Code Weekend]],Programma!$F$4:$Y$36148,11,0),"_")</f>
        <v>_</v>
      </c>
      <c r="BO119" s="248" t="str">
        <f>_xlfn.IFNA(VLOOKUP(Ruimtestaat[[#This Row],[Code Weekend]],Programma!$F$4:$Y$36148,12,0),"_")</f>
        <v>_</v>
      </c>
      <c r="BP119" s="248" t="str">
        <f>_xlfn.IFNA(VLOOKUP(Ruimtestaat[[#This Row],[Code Weekend]],Programma!$F$4:$Y$36148,13,0),"_")</f>
        <v>_</v>
      </c>
      <c r="BQ119" s="248" t="str">
        <f>_xlfn.IFNA(VLOOKUP(Ruimtestaat[[#This Row],[Code Weekend]],Programma!$F$4:$Y$36148,14,0),"_")</f>
        <v>_</v>
      </c>
      <c r="BR119" s="248" t="str">
        <f>_xlfn.IFNA(VLOOKUP(Ruimtestaat[[#This Row],[Code Weekend]],Programma!$F$4:$Y$36148,15,0),"_")</f>
        <v>_</v>
      </c>
      <c r="BS119" s="248" t="str">
        <f>_xlfn.IFNA(VLOOKUP(Ruimtestaat[[#This Row],[Code Weekend]],Programma!$F$4:$Y$36148,16,0),"_")</f>
        <v>_</v>
      </c>
      <c r="BT119" s="248" t="str">
        <f>_xlfn.IFNA(VLOOKUP(Ruimtestaat[[#This Row],[Code Weekend]],Programma!$F$4:$Y$36148,17,0),"_")</f>
        <v>_</v>
      </c>
      <c r="BU119" s="249" t="str">
        <f>_xlfn.IFNA(VLOOKUP(Ruimtestaat[[#This Row],[Code Weekend]],Programma!$F$4:$Y$36148,18,0),"_")</f>
        <v>_</v>
      </c>
      <c r="BV119" s="249" t="str">
        <f>_xlfn.IFNA(VLOOKUP(Ruimtestaat[[#This Row],[Code Weekend]],Programma!$F$4:$Y$36148,19,0),"_")</f>
        <v>_</v>
      </c>
      <c r="BW119" s="249" t="str">
        <f>_xlfn.IFNA(VLOOKUP(Ruimtestaat[[#This Row],[Code Weekend]],Programma!$F$4:$Y$36148,20,0),"_")</f>
        <v>_</v>
      </c>
      <c r="HK119" s="88"/>
    </row>
    <row r="120" spans="1:219" ht="12.75" customHeight="1">
      <c r="A120" s="130">
        <v>1</v>
      </c>
      <c r="B120" s="22" t="str">
        <f>VLOOKUP(Ruimtestaat[[#This Row],[Code]],Locaties[#All],2,FALSE)</f>
        <v>ESH Secondary School</v>
      </c>
      <c r="C120" s="22" t="str">
        <f>VLOOKUP(Ruimtestaat[[#This Row],[Code]],Locaties[#All],4,FALSE)</f>
        <v>Oostduinlaan 50</v>
      </c>
      <c r="D120" s="334" t="str">
        <f>VLOOKUP(Ruimtestaat[[#This Row],[Code]],Locaties[#All],5,FALSE)</f>
        <v>2596 JP</v>
      </c>
      <c r="E120" s="334" t="str">
        <f>VLOOKUP(Ruimtestaat[[#This Row],[Code]],Locaties[#All],6,FALSE)</f>
        <v>Den Haag</v>
      </c>
      <c r="F120" s="335"/>
      <c r="G120" s="334" t="s">
        <v>1611</v>
      </c>
      <c r="H120" s="334" t="s">
        <v>1564</v>
      </c>
      <c r="I120" s="335" t="s">
        <v>1520</v>
      </c>
      <c r="J120" s="333">
        <v>16</v>
      </c>
      <c r="K120" s="335" t="str">
        <f>VLOOKUP(J120,Ruimtegroepen[],2,FALSE)</f>
        <v>Leslokalen</v>
      </c>
      <c r="L120" s="212" t="s">
        <v>123</v>
      </c>
      <c r="M120" s="334" t="s">
        <v>144</v>
      </c>
      <c r="N120" s="337">
        <v>7</v>
      </c>
      <c r="O120" s="331"/>
      <c r="P120" s="332" t="str">
        <f>VLOOKUP(Ruimtestaat[[#This Row],[Ruimte code]],Ruimtegroepen[],4,FALSE)</f>
        <v>L  (Lesruimte)</v>
      </c>
      <c r="Q120" s="332"/>
      <c r="R120" s="333">
        <v>40</v>
      </c>
      <c r="S120" s="333" t="s">
        <v>2</v>
      </c>
      <c r="T120" s="37"/>
      <c r="U120" s="37">
        <f>IF(R120&gt;0,IF(RIGHT(Ruimtestaat[[#This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20" s="37">
        <f>IF(U120&gt;0,VLOOKUP($J120,Ruimtegroepen[],3,FALSE)*VLOOKUP($L120,Vloersoorten[],3,FALSE)*VLOOKUP($S120,Frequenties[],3,FALSE)*VLOOKUP($A120,Locaties[],3,FALSE),0)</f>
        <v>0</v>
      </c>
      <c r="W120" s="37">
        <f>Ruimtestaat[[#This Row],[Uitvoeringen werkdagen]]*Ruimtestaat[[#This Row],[Oppervlak (netto)]]</f>
        <v>1400</v>
      </c>
      <c r="X120" s="37">
        <f>IF(V120&gt;0,Ruimtestaat[[#This Row],[Prest. (m2 /jaar) werkdagen]]/Ruimtestaat[[#This Row],[Norm (m2/uur) werkdagen]],0)</f>
        <v>0</v>
      </c>
      <c r="Y120" s="37">
        <f>Ruimtestaat[[#This Row],[uren / jaar werkdagen]]*Tariefsopbouw!$D$38</f>
        <v>0</v>
      </c>
      <c r="Z120" s="37">
        <f>IF(Ruimtestaat[[#This Row],[Frequentie weekend]]&gt;0,VALUE(LEFT(T120,1))*R120,0)</f>
        <v>0</v>
      </c>
      <c r="AA120" s="37">
        <f>IF($Z120&gt;0,VLOOKUP($J120,Ruimtegroepen[],3,FALSE)*VLOOKUP($L120,Vloersoorten[],3,FALSE)*VLOOKUP($T120,Frequenties[],3,FALSE)*VLOOKUP($A120,Locaties[],3,FALSE),0)</f>
        <v>0</v>
      </c>
      <c r="AB120" s="37">
        <f>Ruimtestaat[[#This Row],[Uitvoeringen weekend]]*Ruimtestaat[[#This Row],[Oppervlak (netto)]]</f>
        <v>0</v>
      </c>
      <c r="AC120" s="37">
        <f>IF(AA120&gt;0,Ruimtestaat[[#This Row],[Prest. (m2 /jaar) weekend]]/Ruimtestaat[[#This Row],[Norm (m2/uur) weekend]],0)</f>
        <v>0</v>
      </c>
      <c r="AD120" s="37">
        <f>Ruimtestaat[[#This Row],[uren / jaar weekend]]*Tariefsopbouw!$D$40</f>
        <v>0</v>
      </c>
      <c r="AE120" s="89">
        <f>Ruimtestaat[[#This Row],[Prest. (m2 /jaar) weekend]]+Ruimtestaat[[#This Row],[Prest. (m2 /jaar) werkdagen]]</f>
        <v>1400</v>
      </c>
      <c r="AF120" s="89">
        <f>Ruimtestaat[[#This Row],[uren / jaar weekend]]+Ruimtestaat[[#This Row],[uren / jaar werkdagen]]</f>
        <v>0</v>
      </c>
      <c r="AG120" s="90">
        <f>Ruimtestaat[[#This Row],[kosten / jaar weekend]]+Ruimtestaat[[#This Row],[kosten / jaar werkdagen]]</f>
        <v>0</v>
      </c>
      <c r="AH120" s="253"/>
      <c r="AI120" s="252" t="str">
        <f>IF(Ruimtestaat[[#This Row],[Frequentie werkdagen]]="","",_xlfn.CONCAT(Ruimtestaat[[#This Row],[Ruimte code]],"-",Ruimtestaat[[#This Row],[Frequentie werkdagen]]," ",Ruimtestaat[[#This Row],[Vloer code]]))</f>
        <v>16-5w P</v>
      </c>
      <c r="AJ120" s="247" t="str">
        <f>_xlfn.IFNA(VLOOKUP(Ruimtestaat[[#This Row],[Programmacode
Regulier]],Programma!$F$4:$Y$36148,2,0),"_")</f>
        <v>_</v>
      </c>
      <c r="AK120" s="247" t="str">
        <f>_xlfn.IFNA(VLOOKUP(Ruimtestaat[[#This Row],[Programmacode
Regulier]],Programma!$F$4:$Y$36148,3,0),"_")</f>
        <v>_</v>
      </c>
      <c r="AL120" s="247" t="str">
        <f>_xlfn.IFNA(VLOOKUP(Ruimtestaat[[#This Row],[Programmacode
Regulier]],Programma!$F$4:$Y$36148,4,0),"_")</f>
        <v>5w</v>
      </c>
      <c r="AM120" s="247" t="str">
        <f>_xlfn.IFNA(VLOOKUP(Ruimtestaat[[#This Row],[Programmacode
Regulier]],Programma!$F$4:$Y$36148,5,0),"_")</f>
        <v>1w</v>
      </c>
      <c r="AN120" s="247" t="str">
        <f>_xlfn.IFNA(VLOOKUP(Ruimtestaat[[#This Row],[Programmacode
Regulier]],Programma!$F$4:$Y$36148,6,0),"_")</f>
        <v>1m</v>
      </c>
      <c r="AO120" s="247" t="str">
        <f>_xlfn.IFNA(VLOOKUP(Ruimtestaat[[#This Row],[Programmacode
Regulier]],Programma!$F$4:$Y$36148,7,0),"_")</f>
        <v>_</v>
      </c>
      <c r="AP120" s="247" t="str">
        <f>_xlfn.IFNA(VLOOKUP(Ruimtestaat[[#This Row],[Programmacode
Regulier]],Programma!$F$4:$Y$36148,8,0),"_")</f>
        <v>_</v>
      </c>
      <c r="AQ120" s="247" t="str">
        <f>_xlfn.IFNA(VLOOKUP(Ruimtestaat[[#This Row],[Programmacode
Regulier]],Programma!$F$4:$Y$36148,9,0),"_")</f>
        <v>_</v>
      </c>
      <c r="AR120" s="248" t="str">
        <f>_xlfn.IFNA(VLOOKUP(Ruimtestaat[[#This Row],[Programmacode
Regulier]],Programma!$F$4:$Y$36148,10,0),"_")</f>
        <v>5w</v>
      </c>
      <c r="AS120" s="248" t="str">
        <f>_xlfn.IFNA(VLOOKUP(Ruimtestaat[[#This Row],[Programmacode
Regulier]],Programma!$F$4:$Y$36148,11,0),"_")</f>
        <v>5w</v>
      </c>
      <c r="AT120" s="248" t="str">
        <f>_xlfn.IFNA(VLOOKUP(Ruimtestaat[[#This Row],[Programmacode
Regulier]],Programma!$F$4:$Y$36148,12,0),"_")</f>
        <v>1w</v>
      </c>
      <c r="AU120" s="248" t="str">
        <f>_xlfn.IFNA(VLOOKUP(Ruimtestaat[[#This Row],[Programmacode
Regulier]],Programma!$F$4:$Y$36148,13,0),"_")</f>
        <v>1w</v>
      </c>
      <c r="AV120" s="248" t="str">
        <f>_xlfn.IFNA(VLOOKUP(Ruimtestaat[[#This Row],[Programmacode
Regulier]],Programma!$F$4:$Y$36148,14,0),"_")</f>
        <v>1m</v>
      </c>
      <c r="AW120" s="248" t="str">
        <f>_xlfn.IFNA(VLOOKUP(Ruimtestaat[[#This Row],[Programmacode
Regulier]],Programma!$F$4:$Y$36148,15,0),"_")</f>
        <v>2j</v>
      </c>
      <c r="AX120" s="248" t="str">
        <f>_xlfn.IFNA(VLOOKUP(Ruimtestaat[[#This Row],[Programmacode
Regulier]],Programma!$F$4:$Y$36148,16,0),"_")</f>
        <v>1j</v>
      </c>
      <c r="AY120" s="248" t="str">
        <f>_xlfn.IFNA(VLOOKUP(Ruimtestaat[[#This Row],[Programmacode
Regulier]],Programma!$F$4:$Y$36148,17,0),"_")</f>
        <v>_</v>
      </c>
      <c r="AZ120" s="249" t="str">
        <f>_xlfn.IFNA(VLOOKUP(Ruimtestaat[[#This Row],[Programmacode
Regulier]],Programma!$F$4:$Y$36148,18,0),"_")</f>
        <v>_</v>
      </c>
      <c r="BA120" s="249" t="str">
        <f>_xlfn.IFNA(VLOOKUP(Ruimtestaat[[#This Row],[Programmacode
Regulier]],Programma!$F$4:$Y$36148,19,0),"_")</f>
        <v>_</v>
      </c>
      <c r="BB120" s="249" t="str">
        <f>_xlfn.IFNA(VLOOKUP(Ruimtestaat[[#This Row],[Programmacode
Regulier]],Programma!$F$4:$Y$36148,20,0),"_")</f>
        <v>_</v>
      </c>
      <c r="BC120" s="244"/>
      <c r="BD120" s="212" t="str">
        <f>IF(Ruimtestaat[[#This Row],[Frequentie weekend]]="","",_xlfn.CONCAT(Ruimtestaat[[#This Row],[Ruimte code]],"-",Ruimtestaat[[#This Row],[Frequentie weekend]]," ",Ruimtestaat[[#This Row],[Vloer code]]))</f>
        <v/>
      </c>
      <c r="BE120" s="247" t="str">
        <f>_xlfn.IFNA(VLOOKUP(Ruimtestaat[[#This Row],[Code Weekend]],Programma!$F$4:$Y$36148,2,0),"_")</f>
        <v>_</v>
      </c>
      <c r="BF120" s="247" t="str">
        <f>_xlfn.IFNA(VLOOKUP(Ruimtestaat[[#This Row],[Code Weekend]],Programma!$F$4:$Y$36148,3,0),"_")</f>
        <v>_</v>
      </c>
      <c r="BG120" s="247" t="str">
        <f>_xlfn.IFNA(VLOOKUP(Ruimtestaat[[#This Row],[Code Weekend]],Programma!$F$4:$Y$36148,4,0),"_")</f>
        <v>_</v>
      </c>
      <c r="BH120" s="247" t="str">
        <f>_xlfn.IFNA(VLOOKUP(Ruimtestaat[[#This Row],[Code Weekend]],Programma!$F$4:$Y$36148,5,0),"_")</f>
        <v>_</v>
      </c>
      <c r="BI120" s="247" t="str">
        <f>_xlfn.IFNA(VLOOKUP(Ruimtestaat[[#This Row],[Code Weekend]],Programma!$F$4:$Y$36148,6,0),"_")</f>
        <v>_</v>
      </c>
      <c r="BJ120" s="247" t="str">
        <f>_xlfn.IFNA(VLOOKUP(Ruimtestaat[[#This Row],[Code Weekend]],Programma!$F$4:$Y$36148,7,0),"_")</f>
        <v>_</v>
      </c>
      <c r="BK120" s="247" t="str">
        <f>_xlfn.IFNA(VLOOKUP(Ruimtestaat[[#This Row],[Code Weekend]],Programma!$F$4:$Y$36148,8,0),"_")</f>
        <v>_</v>
      </c>
      <c r="BL120" s="247" t="str">
        <f>_xlfn.IFNA(VLOOKUP(Ruimtestaat[[#This Row],[Code Weekend]],Programma!$F$4:$Y$36148,9,0),"_")</f>
        <v>_</v>
      </c>
      <c r="BM120" s="248" t="str">
        <f>_xlfn.IFNA(VLOOKUP(Ruimtestaat[[#This Row],[Code Weekend]],Programma!$F$4:$Y$36148,10,0),"_")</f>
        <v>_</v>
      </c>
      <c r="BN120" s="248" t="str">
        <f>_xlfn.IFNA(VLOOKUP(Ruimtestaat[[#This Row],[Code Weekend]],Programma!$F$4:$Y$36148,11,0),"_")</f>
        <v>_</v>
      </c>
      <c r="BO120" s="248" t="str">
        <f>_xlfn.IFNA(VLOOKUP(Ruimtestaat[[#This Row],[Code Weekend]],Programma!$F$4:$Y$36148,12,0),"_")</f>
        <v>_</v>
      </c>
      <c r="BP120" s="248" t="str">
        <f>_xlfn.IFNA(VLOOKUP(Ruimtestaat[[#This Row],[Code Weekend]],Programma!$F$4:$Y$36148,13,0),"_")</f>
        <v>_</v>
      </c>
      <c r="BQ120" s="248" t="str">
        <f>_xlfn.IFNA(VLOOKUP(Ruimtestaat[[#This Row],[Code Weekend]],Programma!$F$4:$Y$36148,14,0),"_")</f>
        <v>_</v>
      </c>
      <c r="BR120" s="248" t="str">
        <f>_xlfn.IFNA(VLOOKUP(Ruimtestaat[[#This Row],[Code Weekend]],Programma!$F$4:$Y$36148,15,0),"_")</f>
        <v>_</v>
      </c>
      <c r="BS120" s="248" t="str">
        <f>_xlfn.IFNA(VLOOKUP(Ruimtestaat[[#This Row],[Code Weekend]],Programma!$F$4:$Y$36148,16,0),"_")</f>
        <v>_</v>
      </c>
      <c r="BT120" s="248" t="str">
        <f>_xlfn.IFNA(VLOOKUP(Ruimtestaat[[#This Row],[Code Weekend]],Programma!$F$4:$Y$36148,17,0),"_")</f>
        <v>_</v>
      </c>
      <c r="BU120" s="249" t="str">
        <f>_xlfn.IFNA(VLOOKUP(Ruimtestaat[[#This Row],[Code Weekend]],Programma!$F$4:$Y$36148,18,0),"_")</f>
        <v>_</v>
      </c>
      <c r="BV120" s="249" t="str">
        <f>_xlfn.IFNA(VLOOKUP(Ruimtestaat[[#This Row],[Code Weekend]],Programma!$F$4:$Y$36148,19,0),"_")</f>
        <v>_</v>
      </c>
      <c r="BW120" s="249" t="str">
        <f>_xlfn.IFNA(VLOOKUP(Ruimtestaat[[#This Row],[Code Weekend]],Programma!$F$4:$Y$36148,20,0),"_")</f>
        <v>_</v>
      </c>
      <c r="HK120" s="88"/>
    </row>
    <row r="121" spans="1:219" ht="12.75" customHeight="1">
      <c r="A121" s="130">
        <v>1</v>
      </c>
      <c r="B121" s="22" t="str">
        <f>VLOOKUP(Ruimtestaat[[#This Row],[Code]],Locaties[#All],2,FALSE)</f>
        <v>ESH Secondary School</v>
      </c>
      <c r="C121" s="22" t="str">
        <f>VLOOKUP(Ruimtestaat[[#This Row],[Code]],Locaties[#All],4,FALSE)</f>
        <v>Oostduinlaan 50</v>
      </c>
      <c r="D121" s="334" t="str">
        <f>VLOOKUP(Ruimtestaat[[#This Row],[Code]],Locaties[#All],5,FALSE)</f>
        <v>2596 JP</v>
      </c>
      <c r="E121" s="334" t="str">
        <f>VLOOKUP(Ruimtestaat[[#This Row],[Code]],Locaties[#All],6,FALSE)</f>
        <v>Den Haag</v>
      </c>
      <c r="F121" s="335"/>
      <c r="G121" s="334" t="s">
        <v>1611</v>
      </c>
      <c r="H121" s="334" t="s">
        <v>1565</v>
      </c>
      <c r="I121" s="335" t="s">
        <v>1774</v>
      </c>
      <c r="J121" s="333">
        <v>16</v>
      </c>
      <c r="K121" s="335" t="str">
        <f>VLOOKUP(J121,Ruimtegroepen[],2,FALSE)</f>
        <v>Leslokalen</v>
      </c>
      <c r="L121" s="212" t="s">
        <v>123</v>
      </c>
      <c r="M121" s="334" t="s">
        <v>144</v>
      </c>
      <c r="N121" s="337">
        <v>51</v>
      </c>
      <c r="O121" s="331"/>
      <c r="P121" s="332" t="str">
        <f>VLOOKUP(Ruimtestaat[[#This Row],[Ruimte code]],Ruimtegroepen[],4,FALSE)</f>
        <v>L  (Lesruimte)</v>
      </c>
      <c r="Q121" s="332"/>
      <c r="R121" s="333">
        <v>40</v>
      </c>
      <c r="S121" s="333" t="s">
        <v>2</v>
      </c>
      <c r="T121" s="37"/>
      <c r="U121" s="37">
        <f>IF(R121&gt;0,IF(RIGHT(Ruimtestaat[[#This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21" s="37">
        <f>IF(U121&gt;0,VLOOKUP($J121,Ruimtegroepen[],3,FALSE)*VLOOKUP($L121,Vloersoorten[],3,FALSE)*VLOOKUP($S121,Frequenties[],3,FALSE)*VLOOKUP($A121,Locaties[],3,FALSE),0)</f>
        <v>0</v>
      </c>
      <c r="W121" s="37">
        <f>Ruimtestaat[[#This Row],[Uitvoeringen werkdagen]]*Ruimtestaat[[#This Row],[Oppervlak (netto)]]</f>
        <v>10200</v>
      </c>
      <c r="X121" s="37">
        <f>IF(V121&gt;0,Ruimtestaat[[#This Row],[Prest. (m2 /jaar) werkdagen]]/Ruimtestaat[[#This Row],[Norm (m2/uur) werkdagen]],0)</f>
        <v>0</v>
      </c>
      <c r="Y121" s="37">
        <f>Ruimtestaat[[#This Row],[uren / jaar werkdagen]]*Tariefsopbouw!$D$38</f>
        <v>0</v>
      </c>
      <c r="Z121" s="37">
        <f>IF(Ruimtestaat[[#This Row],[Frequentie weekend]]&gt;0,VALUE(LEFT(T121,1))*R121,0)</f>
        <v>0</v>
      </c>
      <c r="AA121" s="37">
        <f>IF($Z121&gt;0,VLOOKUP($J121,Ruimtegroepen[],3,FALSE)*VLOOKUP($L121,Vloersoorten[],3,FALSE)*VLOOKUP($T121,Frequenties[],3,FALSE)*VLOOKUP($A121,Locaties[],3,FALSE),0)</f>
        <v>0</v>
      </c>
      <c r="AB121" s="37">
        <f>Ruimtestaat[[#This Row],[Uitvoeringen weekend]]*Ruimtestaat[[#This Row],[Oppervlak (netto)]]</f>
        <v>0</v>
      </c>
      <c r="AC121" s="37">
        <f>IF(AA121&gt;0,Ruimtestaat[[#This Row],[Prest. (m2 /jaar) weekend]]/Ruimtestaat[[#This Row],[Norm (m2/uur) weekend]],0)</f>
        <v>0</v>
      </c>
      <c r="AD121" s="37">
        <f>Ruimtestaat[[#This Row],[uren / jaar weekend]]*Tariefsopbouw!$D$40</f>
        <v>0</v>
      </c>
      <c r="AE121" s="89">
        <f>Ruimtestaat[[#This Row],[Prest. (m2 /jaar) weekend]]+Ruimtestaat[[#This Row],[Prest. (m2 /jaar) werkdagen]]</f>
        <v>10200</v>
      </c>
      <c r="AF121" s="89">
        <f>Ruimtestaat[[#This Row],[uren / jaar weekend]]+Ruimtestaat[[#This Row],[uren / jaar werkdagen]]</f>
        <v>0</v>
      </c>
      <c r="AG121" s="90">
        <f>Ruimtestaat[[#This Row],[kosten / jaar weekend]]+Ruimtestaat[[#This Row],[kosten / jaar werkdagen]]</f>
        <v>0</v>
      </c>
      <c r="AH121" s="253"/>
      <c r="AI121" s="252" t="str">
        <f>IF(Ruimtestaat[[#This Row],[Frequentie werkdagen]]="","",_xlfn.CONCAT(Ruimtestaat[[#This Row],[Ruimte code]],"-",Ruimtestaat[[#This Row],[Frequentie werkdagen]]," ",Ruimtestaat[[#This Row],[Vloer code]]))</f>
        <v>16-5w P</v>
      </c>
      <c r="AJ121" s="247" t="str">
        <f>_xlfn.IFNA(VLOOKUP(Ruimtestaat[[#This Row],[Programmacode
Regulier]],Programma!$F$4:$Y$36148,2,0),"_")</f>
        <v>_</v>
      </c>
      <c r="AK121" s="247" t="str">
        <f>_xlfn.IFNA(VLOOKUP(Ruimtestaat[[#This Row],[Programmacode
Regulier]],Programma!$F$4:$Y$36148,3,0),"_")</f>
        <v>_</v>
      </c>
      <c r="AL121" s="247" t="str">
        <f>_xlfn.IFNA(VLOOKUP(Ruimtestaat[[#This Row],[Programmacode
Regulier]],Programma!$F$4:$Y$36148,4,0),"_")</f>
        <v>5w</v>
      </c>
      <c r="AM121" s="247" t="str">
        <f>_xlfn.IFNA(VLOOKUP(Ruimtestaat[[#This Row],[Programmacode
Regulier]],Programma!$F$4:$Y$36148,5,0),"_")</f>
        <v>1w</v>
      </c>
      <c r="AN121" s="247" t="str">
        <f>_xlfn.IFNA(VLOOKUP(Ruimtestaat[[#This Row],[Programmacode
Regulier]],Programma!$F$4:$Y$36148,6,0),"_")</f>
        <v>1m</v>
      </c>
      <c r="AO121" s="247" t="str">
        <f>_xlfn.IFNA(VLOOKUP(Ruimtestaat[[#This Row],[Programmacode
Regulier]],Programma!$F$4:$Y$36148,7,0),"_")</f>
        <v>_</v>
      </c>
      <c r="AP121" s="247" t="str">
        <f>_xlfn.IFNA(VLOOKUP(Ruimtestaat[[#This Row],[Programmacode
Regulier]],Programma!$F$4:$Y$36148,8,0),"_")</f>
        <v>_</v>
      </c>
      <c r="AQ121" s="247" t="str">
        <f>_xlfn.IFNA(VLOOKUP(Ruimtestaat[[#This Row],[Programmacode
Regulier]],Programma!$F$4:$Y$36148,9,0),"_")</f>
        <v>_</v>
      </c>
      <c r="AR121" s="248" t="str">
        <f>_xlfn.IFNA(VLOOKUP(Ruimtestaat[[#This Row],[Programmacode
Regulier]],Programma!$F$4:$Y$36148,10,0),"_")</f>
        <v>5w</v>
      </c>
      <c r="AS121" s="248" t="str">
        <f>_xlfn.IFNA(VLOOKUP(Ruimtestaat[[#This Row],[Programmacode
Regulier]],Programma!$F$4:$Y$36148,11,0),"_")</f>
        <v>5w</v>
      </c>
      <c r="AT121" s="248" t="str">
        <f>_xlfn.IFNA(VLOOKUP(Ruimtestaat[[#This Row],[Programmacode
Regulier]],Programma!$F$4:$Y$36148,12,0),"_")</f>
        <v>1w</v>
      </c>
      <c r="AU121" s="248" t="str">
        <f>_xlfn.IFNA(VLOOKUP(Ruimtestaat[[#This Row],[Programmacode
Regulier]],Programma!$F$4:$Y$36148,13,0),"_")</f>
        <v>1w</v>
      </c>
      <c r="AV121" s="248" t="str">
        <f>_xlfn.IFNA(VLOOKUP(Ruimtestaat[[#This Row],[Programmacode
Regulier]],Programma!$F$4:$Y$36148,14,0),"_")</f>
        <v>1m</v>
      </c>
      <c r="AW121" s="248" t="str">
        <f>_xlfn.IFNA(VLOOKUP(Ruimtestaat[[#This Row],[Programmacode
Regulier]],Programma!$F$4:$Y$36148,15,0),"_")</f>
        <v>2j</v>
      </c>
      <c r="AX121" s="248" t="str">
        <f>_xlfn.IFNA(VLOOKUP(Ruimtestaat[[#This Row],[Programmacode
Regulier]],Programma!$F$4:$Y$36148,16,0),"_")</f>
        <v>1j</v>
      </c>
      <c r="AY121" s="248" t="str">
        <f>_xlfn.IFNA(VLOOKUP(Ruimtestaat[[#This Row],[Programmacode
Regulier]],Programma!$F$4:$Y$36148,17,0),"_")</f>
        <v>_</v>
      </c>
      <c r="AZ121" s="249" t="str">
        <f>_xlfn.IFNA(VLOOKUP(Ruimtestaat[[#This Row],[Programmacode
Regulier]],Programma!$F$4:$Y$36148,18,0),"_")</f>
        <v>_</v>
      </c>
      <c r="BA121" s="249" t="str">
        <f>_xlfn.IFNA(VLOOKUP(Ruimtestaat[[#This Row],[Programmacode
Regulier]],Programma!$F$4:$Y$36148,19,0),"_")</f>
        <v>_</v>
      </c>
      <c r="BB121" s="249" t="str">
        <f>_xlfn.IFNA(VLOOKUP(Ruimtestaat[[#This Row],[Programmacode
Regulier]],Programma!$F$4:$Y$36148,20,0),"_")</f>
        <v>_</v>
      </c>
      <c r="BC121" s="250"/>
      <c r="BD121" s="212" t="str">
        <f>IF(Ruimtestaat[[#This Row],[Frequentie weekend]]="","",_xlfn.CONCAT(Ruimtestaat[[#This Row],[Ruimte code]],"-",Ruimtestaat[[#This Row],[Frequentie weekend]]," ",Ruimtestaat[[#This Row],[Vloer code]]))</f>
        <v/>
      </c>
      <c r="BE121" s="247" t="str">
        <f>_xlfn.IFNA(VLOOKUP(Ruimtestaat[[#This Row],[Code Weekend]],Programma!$F$4:$Y$36148,2,0),"_")</f>
        <v>_</v>
      </c>
      <c r="BF121" s="247" t="str">
        <f>_xlfn.IFNA(VLOOKUP(Ruimtestaat[[#This Row],[Code Weekend]],Programma!$F$4:$Y$36148,3,0),"_")</f>
        <v>_</v>
      </c>
      <c r="BG121" s="247" t="str">
        <f>_xlfn.IFNA(VLOOKUP(Ruimtestaat[[#This Row],[Code Weekend]],Programma!$F$4:$Y$36148,4,0),"_")</f>
        <v>_</v>
      </c>
      <c r="BH121" s="247" t="str">
        <f>_xlfn.IFNA(VLOOKUP(Ruimtestaat[[#This Row],[Code Weekend]],Programma!$F$4:$Y$36148,5,0),"_")</f>
        <v>_</v>
      </c>
      <c r="BI121" s="247" t="str">
        <f>_xlfn.IFNA(VLOOKUP(Ruimtestaat[[#This Row],[Code Weekend]],Programma!$F$4:$Y$36148,6,0),"_")</f>
        <v>_</v>
      </c>
      <c r="BJ121" s="247" t="str">
        <f>_xlfn.IFNA(VLOOKUP(Ruimtestaat[[#This Row],[Code Weekend]],Programma!$F$4:$Y$36148,7,0),"_")</f>
        <v>_</v>
      </c>
      <c r="BK121" s="247" t="str">
        <f>_xlfn.IFNA(VLOOKUP(Ruimtestaat[[#This Row],[Code Weekend]],Programma!$F$4:$Y$36148,8,0),"_")</f>
        <v>_</v>
      </c>
      <c r="BL121" s="247" t="str">
        <f>_xlfn.IFNA(VLOOKUP(Ruimtestaat[[#This Row],[Code Weekend]],Programma!$F$4:$Y$36148,9,0),"_")</f>
        <v>_</v>
      </c>
      <c r="BM121" s="248" t="str">
        <f>_xlfn.IFNA(VLOOKUP(Ruimtestaat[[#This Row],[Code Weekend]],Programma!$F$4:$Y$36148,10,0),"_")</f>
        <v>_</v>
      </c>
      <c r="BN121" s="248" t="str">
        <f>_xlfn.IFNA(VLOOKUP(Ruimtestaat[[#This Row],[Code Weekend]],Programma!$F$4:$Y$36148,11,0),"_")</f>
        <v>_</v>
      </c>
      <c r="BO121" s="248" t="str">
        <f>_xlfn.IFNA(VLOOKUP(Ruimtestaat[[#This Row],[Code Weekend]],Programma!$F$4:$Y$36148,12,0),"_")</f>
        <v>_</v>
      </c>
      <c r="BP121" s="248" t="str">
        <f>_xlfn.IFNA(VLOOKUP(Ruimtestaat[[#This Row],[Code Weekend]],Programma!$F$4:$Y$36148,13,0),"_")</f>
        <v>_</v>
      </c>
      <c r="BQ121" s="248" t="str">
        <f>_xlfn.IFNA(VLOOKUP(Ruimtestaat[[#This Row],[Code Weekend]],Programma!$F$4:$Y$36148,14,0),"_")</f>
        <v>_</v>
      </c>
      <c r="BR121" s="248" t="str">
        <f>_xlfn.IFNA(VLOOKUP(Ruimtestaat[[#This Row],[Code Weekend]],Programma!$F$4:$Y$36148,15,0),"_")</f>
        <v>_</v>
      </c>
      <c r="BS121" s="248" t="str">
        <f>_xlfn.IFNA(VLOOKUP(Ruimtestaat[[#This Row],[Code Weekend]],Programma!$F$4:$Y$36148,16,0),"_")</f>
        <v>_</v>
      </c>
      <c r="BT121" s="248" t="str">
        <f>_xlfn.IFNA(VLOOKUP(Ruimtestaat[[#This Row],[Code Weekend]],Programma!$F$4:$Y$36148,17,0),"_")</f>
        <v>_</v>
      </c>
      <c r="BU121" s="249" t="str">
        <f>_xlfn.IFNA(VLOOKUP(Ruimtestaat[[#This Row],[Code Weekend]],Programma!$F$4:$Y$36148,18,0),"_")</f>
        <v>_</v>
      </c>
      <c r="BV121" s="249" t="str">
        <f>_xlfn.IFNA(VLOOKUP(Ruimtestaat[[#This Row],[Code Weekend]],Programma!$F$4:$Y$36148,19,0),"_")</f>
        <v>_</v>
      </c>
      <c r="BW121" s="249" t="str">
        <f>_xlfn.IFNA(VLOOKUP(Ruimtestaat[[#This Row],[Code Weekend]],Programma!$F$4:$Y$36148,20,0),"_")</f>
        <v>_</v>
      </c>
      <c r="HK121" s="88"/>
    </row>
    <row r="122" spans="1:219" ht="12.75" customHeight="1">
      <c r="A122" s="130">
        <v>1</v>
      </c>
      <c r="B122" s="22" t="str">
        <f>VLOOKUP(Ruimtestaat[[#This Row],[Code]],Locaties[#All],2,FALSE)</f>
        <v>ESH Secondary School</v>
      </c>
      <c r="C122" s="22" t="str">
        <f>VLOOKUP(Ruimtestaat[[#This Row],[Code]],Locaties[#All],4,FALSE)</f>
        <v>Oostduinlaan 50</v>
      </c>
      <c r="D122" s="334" t="str">
        <f>VLOOKUP(Ruimtestaat[[#This Row],[Code]],Locaties[#All],5,FALSE)</f>
        <v>2596 JP</v>
      </c>
      <c r="E122" s="334" t="str">
        <f>VLOOKUP(Ruimtestaat[[#This Row],[Code]],Locaties[#All],6,FALSE)</f>
        <v>Den Haag</v>
      </c>
      <c r="F122" s="335"/>
      <c r="G122" s="334" t="s">
        <v>1611</v>
      </c>
      <c r="H122" s="334" t="s">
        <v>1566</v>
      </c>
      <c r="I122" s="335" t="s">
        <v>1521</v>
      </c>
      <c r="J122" s="333">
        <v>16</v>
      </c>
      <c r="K122" s="335" t="str">
        <f>VLOOKUP(J122,Ruimtegroepen[],2,FALSE)</f>
        <v>Leslokalen</v>
      </c>
      <c r="L122" s="212" t="s">
        <v>123</v>
      </c>
      <c r="M122" s="334" t="s">
        <v>144</v>
      </c>
      <c r="N122" s="337">
        <v>7</v>
      </c>
      <c r="O122" s="331"/>
      <c r="P122" s="332" t="str">
        <f>VLOOKUP(Ruimtestaat[[#This Row],[Ruimte code]],Ruimtegroepen[],4,FALSE)</f>
        <v>L  (Lesruimte)</v>
      </c>
      <c r="Q122" s="332"/>
      <c r="R122" s="333">
        <v>40</v>
      </c>
      <c r="S122" s="333" t="s">
        <v>2</v>
      </c>
      <c r="T122" s="37"/>
      <c r="U122" s="37">
        <f>IF(R122&gt;0,IF(RIGHT(Ruimtestaat[[#This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22" s="37">
        <f>IF(U122&gt;0,VLOOKUP($J122,Ruimtegroepen[],3,FALSE)*VLOOKUP($L122,Vloersoorten[],3,FALSE)*VLOOKUP($S122,Frequenties[],3,FALSE)*VLOOKUP($A122,Locaties[],3,FALSE),0)</f>
        <v>0</v>
      </c>
      <c r="W122" s="37">
        <f>Ruimtestaat[[#This Row],[Uitvoeringen werkdagen]]*Ruimtestaat[[#This Row],[Oppervlak (netto)]]</f>
        <v>1400</v>
      </c>
      <c r="X122" s="37">
        <f>IF(V122&gt;0,Ruimtestaat[[#This Row],[Prest. (m2 /jaar) werkdagen]]/Ruimtestaat[[#This Row],[Norm (m2/uur) werkdagen]],0)</f>
        <v>0</v>
      </c>
      <c r="Y122" s="37">
        <f>Ruimtestaat[[#This Row],[uren / jaar werkdagen]]*Tariefsopbouw!$D$38</f>
        <v>0</v>
      </c>
      <c r="Z122" s="37">
        <f>IF(Ruimtestaat[[#This Row],[Frequentie weekend]]&gt;0,VALUE(LEFT(T122,1))*R122,0)</f>
        <v>0</v>
      </c>
      <c r="AA122" s="37">
        <f>IF($Z122&gt;0,VLOOKUP($J122,Ruimtegroepen[],3,FALSE)*VLOOKUP($L122,Vloersoorten[],3,FALSE)*VLOOKUP($T122,Frequenties[],3,FALSE)*VLOOKUP($A122,Locaties[],3,FALSE),0)</f>
        <v>0</v>
      </c>
      <c r="AB122" s="37">
        <f>Ruimtestaat[[#This Row],[Uitvoeringen weekend]]*Ruimtestaat[[#This Row],[Oppervlak (netto)]]</f>
        <v>0</v>
      </c>
      <c r="AC122" s="37">
        <f>IF(AA122&gt;0,Ruimtestaat[[#This Row],[Prest. (m2 /jaar) weekend]]/Ruimtestaat[[#This Row],[Norm (m2/uur) weekend]],0)</f>
        <v>0</v>
      </c>
      <c r="AD122" s="37">
        <f>Ruimtestaat[[#This Row],[uren / jaar weekend]]*Tariefsopbouw!$D$40</f>
        <v>0</v>
      </c>
      <c r="AE122" s="89">
        <f>Ruimtestaat[[#This Row],[Prest. (m2 /jaar) weekend]]+Ruimtestaat[[#This Row],[Prest. (m2 /jaar) werkdagen]]</f>
        <v>1400</v>
      </c>
      <c r="AF122" s="89">
        <f>Ruimtestaat[[#This Row],[uren / jaar weekend]]+Ruimtestaat[[#This Row],[uren / jaar werkdagen]]</f>
        <v>0</v>
      </c>
      <c r="AG122" s="90">
        <f>Ruimtestaat[[#This Row],[kosten / jaar weekend]]+Ruimtestaat[[#This Row],[kosten / jaar werkdagen]]</f>
        <v>0</v>
      </c>
      <c r="AH122" s="253"/>
      <c r="AI122" s="252" t="str">
        <f>IF(Ruimtestaat[[#This Row],[Frequentie werkdagen]]="","",_xlfn.CONCAT(Ruimtestaat[[#This Row],[Ruimte code]],"-",Ruimtestaat[[#This Row],[Frequentie werkdagen]]," ",Ruimtestaat[[#This Row],[Vloer code]]))</f>
        <v>16-5w P</v>
      </c>
      <c r="AJ122" s="247" t="str">
        <f>_xlfn.IFNA(VLOOKUP(Ruimtestaat[[#This Row],[Programmacode
Regulier]],Programma!$F$4:$Y$36148,2,0),"_")</f>
        <v>_</v>
      </c>
      <c r="AK122" s="247" t="str">
        <f>_xlfn.IFNA(VLOOKUP(Ruimtestaat[[#This Row],[Programmacode
Regulier]],Programma!$F$4:$Y$36148,3,0),"_")</f>
        <v>_</v>
      </c>
      <c r="AL122" s="247" t="str">
        <f>_xlfn.IFNA(VLOOKUP(Ruimtestaat[[#This Row],[Programmacode
Regulier]],Programma!$F$4:$Y$36148,4,0),"_")</f>
        <v>5w</v>
      </c>
      <c r="AM122" s="247" t="str">
        <f>_xlfn.IFNA(VLOOKUP(Ruimtestaat[[#This Row],[Programmacode
Regulier]],Programma!$F$4:$Y$36148,5,0),"_")</f>
        <v>1w</v>
      </c>
      <c r="AN122" s="247" t="str">
        <f>_xlfn.IFNA(VLOOKUP(Ruimtestaat[[#This Row],[Programmacode
Regulier]],Programma!$F$4:$Y$36148,6,0),"_")</f>
        <v>1m</v>
      </c>
      <c r="AO122" s="247" t="str">
        <f>_xlfn.IFNA(VLOOKUP(Ruimtestaat[[#This Row],[Programmacode
Regulier]],Programma!$F$4:$Y$36148,7,0),"_")</f>
        <v>_</v>
      </c>
      <c r="AP122" s="247" t="str">
        <f>_xlfn.IFNA(VLOOKUP(Ruimtestaat[[#This Row],[Programmacode
Regulier]],Programma!$F$4:$Y$36148,8,0),"_")</f>
        <v>_</v>
      </c>
      <c r="AQ122" s="247" t="str">
        <f>_xlfn.IFNA(VLOOKUP(Ruimtestaat[[#This Row],[Programmacode
Regulier]],Programma!$F$4:$Y$36148,9,0),"_")</f>
        <v>_</v>
      </c>
      <c r="AR122" s="248" t="str">
        <f>_xlfn.IFNA(VLOOKUP(Ruimtestaat[[#This Row],[Programmacode
Regulier]],Programma!$F$4:$Y$36148,10,0),"_")</f>
        <v>5w</v>
      </c>
      <c r="AS122" s="248" t="str">
        <f>_xlfn.IFNA(VLOOKUP(Ruimtestaat[[#This Row],[Programmacode
Regulier]],Programma!$F$4:$Y$36148,11,0),"_")</f>
        <v>5w</v>
      </c>
      <c r="AT122" s="248" t="str">
        <f>_xlfn.IFNA(VLOOKUP(Ruimtestaat[[#This Row],[Programmacode
Regulier]],Programma!$F$4:$Y$36148,12,0),"_")</f>
        <v>1w</v>
      </c>
      <c r="AU122" s="248" t="str">
        <f>_xlfn.IFNA(VLOOKUP(Ruimtestaat[[#This Row],[Programmacode
Regulier]],Programma!$F$4:$Y$36148,13,0),"_")</f>
        <v>1w</v>
      </c>
      <c r="AV122" s="248" t="str">
        <f>_xlfn.IFNA(VLOOKUP(Ruimtestaat[[#This Row],[Programmacode
Regulier]],Programma!$F$4:$Y$36148,14,0),"_")</f>
        <v>1m</v>
      </c>
      <c r="AW122" s="248" t="str">
        <f>_xlfn.IFNA(VLOOKUP(Ruimtestaat[[#This Row],[Programmacode
Regulier]],Programma!$F$4:$Y$36148,15,0),"_")</f>
        <v>2j</v>
      </c>
      <c r="AX122" s="248" t="str">
        <f>_xlfn.IFNA(VLOOKUP(Ruimtestaat[[#This Row],[Programmacode
Regulier]],Programma!$F$4:$Y$36148,16,0),"_")</f>
        <v>1j</v>
      </c>
      <c r="AY122" s="248" t="str">
        <f>_xlfn.IFNA(VLOOKUP(Ruimtestaat[[#This Row],[Programmacode
Regulier]],Programma!$F$4:$Y$36148,17,0),"_")</f>
        <v>_</v>
      </c>
      <c r="AZ122" s="249" t="str">
        <f>_xlfn.IFNA(VLOOKUP(Ruimtestaat[[#This Row],[Programmacode
Regulier]],Programma!$F$4:$Y$36148,18,0),"_")</f>
        <v>_</v>
      </c>
      <c r="BA122" s="249" t="str">
        <f>_xlfn.IFNA(VLOOKUP(Ruimtestaat[[#This Row],[Programmacode
Regulier]],Programma!$F$4:$Y$36148,19,0),"_")</f>
        <v>_</v>
      </c>
      <c r="BB122" s="249" t="str">
        <f>_xlfn.IFNA(VLOOKUP(Ruimtestaat[[#This Row],[Programmacode
Regulier]],Programma!$F$4:$Y$36148,20,0),"_")</f>
        <v>_</v>
      </c>
      <c r="BC122" s="250"/>
      <c r="BD122" s="212" t="str">
        <f>IF(Ruimtestaat[[#This Row],[Frequentie weekend]]="","",_xlfn.CONCAT(Ruimtestaat[[#This Row],[Ruimte code]],"-",Ruimtestaat[[#This Row],[Frequentie weekend]]," ",Ruimtestaat[[#This Row],[Vloer code]]))</f>
        <v/>
      </c>
      <c r="BE122" s="247" t="str">
        <f>_xlfn.IFNA(VLOOKUP(Ruimtestaat[[#This Row],[Code Weekend]],Programma!$F$4:$Y$36148,2,0),"_")</f>
        <v>_</v>
      </c>
      <c r="BF122" s="247" t="str">
        <f>_xlfn.IFNA(VLOOKUP(Ruimtestaat[[#This Row],[Code Weekend]],Programma!$F$4:$Y$36148,3,0),"_")</f>
        <v>_</v>
      </c>
      <c r="BG122" s="247" t="str">
        <f>_xlfn.IFNA(VLOOKUP(Ruimtestaat[[#This Row],[Code Weekend]],Programma!$F$4:$Y$36148,4,0),"_")</f>
        <v>_</v>
      </c>
      <c r="BH122" s="247" t="str">
        <f>_xlfn.IFNA(VLOOKUP(Ruimtestaat[[#This Row],[Code Weekend]],Programma!$F$4:$Y$36148,5,0),"_")</f>
        <v>_</v>
      </c>
      <c r="BI122" s="247" t="str">
        <f>_xlfn.IFNA(VLOOKUP(Ruimtestaat[[#This Row],[Code Weekend]],Programma!$F$4:$Y$36148,6,0),"_")</f>
        <v>_</v>
      </c>
      <c r="BJ122" s="247" t="str">
        <f>_xlfn.IFNA(VLOOKUP(Ruimtestaat[[#This Row],[Code Weekend]],Programma!$F$4:$Y$36148,7,0),"_")</f>
        <v>_</v>
      </c>
      <c r="BK122" s="247" t="str">
        <f>_xlfn.IFNA(VLOOKUP(Ruimtestaat[[#This Row],[Code Weekend]],Programma!$F$4:$Y$36148,8,0),"_")</f>
        <v>_</v>
      </c>
      <c r="BL122" s="247" t="str">
        <f>_xlfn.IFNA(VLOOKUP(Ruimtestaat[[#This Row],[Code Weekend]],Programma!$F$4:$Y$36148,9,0),"_")</f>
        <v>_</v>
      </c>
      <c r="BM122" s="248" t="str">
        <f>_xlfn.IFNA(VLOOKUP(Ruimtestaat[[#This Row],[Code Weekend]],Programma!$F$4:$Y$36148,10,0),"_")</f>
        <v>_</v>
      </c>
      <c r="BN122" s="248" t="str">
        <f>_xlfn.IFNA(VLOOKUP(Ruimtestaat[[#This Row],[Code Weekend]],Programma!$F$4:$Y$36148,11,0),"_")</f>
        <v>_</v>
      </c>
      <c r="BO122" s="248" t="str">
        <f>_xlfn.IFNA(VLOOKUP(Ruimtestaat[[#This Row],[Code Weekend]],Programma!$F$4:$Y$36148,12,0),"_")</f>
        <v>_</v>
      </c>
      <c r="BP122" s="248" t="str">
        <f>_xlfn.IFNA(VLOOKUP(Ruimtestaat[[#This Row],[Code Weekend]],Programma!$F$4:$Y$36148,13,0),"_")</f>
        <v>_</v>
      </c>
      <c r="BQ122" s="248" t="str">
        <f>_xlfn.IFNA(VLOOKUP(Ruimtestaat[[#This Row],[Code Weekend]],Programma!$F$4:$Y$36148,14,0),"_")</f>
        <v>_</v>
      </c>
      <c r="BR122" s="248" t="str">
        <f>_xlfn.IFNA(VLOOKUP(Ruimtestaat[[#This Row],[Code Weekend]],Programma!$F$4:$Y$36148,15,0),"_")</f>
        <v>_</v>
      </c>
      <c r="BS122" s="248" t="str">
        <f>_xlfn.IFNA(VLOOKUP(Ruimtestaat[[#This Row],[Code Weekend]],Programma!$F$4:$Y$36148,16,0),"_")</f>
        <v>_</v>
      </c>
      <c r="BT122" s="248" t="str">
        <f>_xlfn.IFNA(VLOOKUP(Ruimtestaat[[#This Row],[Code Weekend]],Programma!$F$4:$Y$36148,17,0),"_")</f>
        <v>_</v>
      </c>
      <c r="BU122" s="249" t="str">
        <f>_xlfn.IFNA(VLOOKUP(Ruimtestaat[[#This Row],[Code Weekend]],Programma!$F$4:$Y$36148,18,0),"_")</f>
        <v>_</v>
      </c>
      <c r="BV122" s="249" t="str">
        <f>_xlfn.IFNA(VLOOKUP(Ruimtestaat[[#This Row],[Code Weekend]],Programma!$F$4:$Y$36148,19,0),"_")</f>
        <v>_</v>
      </c>
      <c r="BW122" s="249" t="str">
        <f>_xlfn.IFNA(VLOOKUP(Ruimtestaat[[#This Row],[Code Weekend]],Programma!$F$4:$Y$36148,20,0),"_")</f>
        <v>_</v>
      </c>
      <c r="HK122" s="88"/>
    </row>
    <row r="123" spans="1:219" ht="12.75" customHeight="1">
      <c r="A123" s="130">
        <v>1</v>
      </c>
      <c r="B123" s="22" t="str">
        <f>VLOOKUP(Ruimtestaat[[#This Row],[Code]],Locaties[#All],2,FALSE)</f>
        <v>ESH Secondary School</v>
      </c>
      <c r="C123" s="22" t="str">
        <f>VLOOKUP(Ruimtestaat[[#This Row],[Code]],Locaties[#All],4,FALSE)</f>
        <v>Oostduinlaan 50</v>
      </c>
      <c r="D123" s="334" t="str">
        <f>VLOOKUP(Ruimtestaat[[#This Row],[Code]],Locaties[#All],5,FALSE)</f>
        <v>2596 JP</v>
      </c>
      <c r="E123" s="334" t="str">
        <f>VLOOKUP(Ruimtestaat[[#This Row],[Code]],Locaties[#All],6,FALSE)</f>
        <v>Den Haag</v>
      </c>
      <c r="F123" s="335"/>
      <c r="G123" s="334" t="s">
        <v>1611</v>
      </c>
      <c r="H123" s="334" t="s">
        <v>1567</v>
      </c>
      <c r="I123" s="335" t="s">
        <v>1395</v>
      </c>
      <c r="J123" s="333">
        <v>6</v>
      </c>
      <c r="K123" s="335" t="str">
        <f>VLOOKUP(J123,Ruimtegroepen[],2,FALSE)</f>
        <v>Gangen/hallen BG</v>
      </c>
      <c r="L123" s="212" t="s">
        <v>123</v>
      </c>
      <c r="M123" s="334" t="s">
        <v>144</v>
      </c>
      <c r="N123" s="337">
        <v>24</v>
      </c>
      <c r="O123" s="331"/>
      <c r="P123" s="332" t="str">
        <f>VLOOKUP(Ruimtestaat[[#This Row],[Ruimte code]],Ruimtegroepen[],4,FALSE)</f>
        <v>V  (Verkeersruimte)</v>
      </c>
      <c r="Q123" s="332"/>
      <c r="R123" s="333">
        <v>40</v>
      </c>
      <c r="S123" s="333" t="s">
        <v>2</v>
      </c>
      <c r="T123" s="37"/>
      <c r="U123" s="37">
        <f>IF(R123&gt;0,IF(RIGHT(Ruimtestaat[[#This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23" s="37">
        <f>IF(U123&gt;0,VLOOKUP($J123,Ruimtegroepen[],3,FALSE)*VLOOKUP($L123,Vloersoorten[],3,FALSE)*VLOOKUP($S123,Frequenties[],3,FALSE)*VLOOKUP($A123,Locaties[],3,FALSE),0)</f>
        <v>0</v>
      </c>
      <c r="W123" s="37">
        <f>Ruimtestaat[[#This Row],[Uitvoeringen werkdagen]]*Ruimtestaat[[#This Row],[Oppervlak (netto)]]</f>
        <v>4800</v>
      </c>
      <c r="X123" s="37">
        <f>IF(V123&gt;0,Ruimtestaat[[#This Row],[Prest. (m2 /jaar) werkdagen]]/Ruimtestaat[[#This Row],[Norm (m2/uur) werkdagen]],0)</f>
        <v>0</v>
      </c>
      <c r="Y123" s="37">
        <f>Ruimtestaat[[#This Row],[uren / jaar werkdagen]]*Tariefsopbouw!$D$38</f>
        <v>0</v>
      </c>
      <c r="Z123" s="37">
        <f>IF(Ruimtestaat[[#This Row],[Frequentie weekend]]&gt;0,VALUE(LEFT(T123,1))*R123,0)</f>
        <v>0</v>
      </c>
      <c r="AA123" s="37">
        <f>IF($Z123&gt;0,VLOOKUP($J123,Ruimtegroepen[],3,FALSE)*VLOOKUP($L123,Vloersoorten[],3,FALSE)*VLOOKUP($T123,Frequenties[],3,FALSE)*VLOOKUP($A123,Locaties[],3,FALSE),0)</f>
        <v>0</v>
      </c>
      <c r="AB123" s="37">
        <f>Ruimtestaat[[#This Row],[Uitvoeringen weekend]]*Ruimtestaat[[#This Row],[Oppervlak (netto)]]</f>
        <v>0</v>
      </c>
      <c r="AC123" s="37">
        <f>IF(AA123&gt;0,Ruimtestaat[[#This Row],[Prest. (m2 /jaar) weekend]]/Ruimtestaat[[#This Row],[Norm (m2/uur) weekend]],0)</f>
        <v>0</v>
      </c>
      <c r="AD123" s="37">
        <f>Ruimtestaat[[#This Row],[uren / jaar weekend]]*Tariefsopbouw!$D$40</f>
        <v>0</v>
      </c>
      <c r="AE123" s="89">
        <f>Ruimtestaat[[#This Row],[Prest. (m2 /jaar) weekend]]+Ruimtestaat[[#This Row],[Prest. (m2 /jaar) werkdagen]]</f>
        <v>4800</v>
      </c>
      <c r="AF123" s="89">
        <f>Ruimtestaat[[#This Row],[uren / jaar weekend]]+Ruimtestaat[[#This Row],[uren / jaar werkdagen]]</f>
        <v>0</v>
      </c>
      <c r="AG123" s="90">
        <f>Ruimtestaat[[#This Row],[kosten / jaar weekend]]+Ruimtestaat[[#This Row],[kosten / jaar werkdagen]]</f>
        <v>0</v>
      </c>
      <c r="AH123" s="253"/>
      <c r="AI123" s="252" t="str">
        <f>IF(Ruimtestaat[[#This Row],[Frequentie werkdagen]]="","",_xlfn.CONCAT(Ruimtestaat[[#This Row],[Ruimte code]],"-",Ruimtestaat[[#This Row],[Frequentie werkdagen]]," ",Ruimtestaat[[#This Row],[Vloer code]]))</f>
        <v>6-5w P</v>
      </c>
      <c r="AJ123" s="247" t="str">
        <f>_xlfn.IFNA(VLOOKUP(Ruimtestaat[[#This Row],[Programmacode
Regulier]],Programma!$F$4:$Y$36148,2,0),"_")</f>
        <v>_</v>
      </c>
      <c r="AK123" s="247" t="str">
        <f>_xlfn.IFNA(VLOOKUP(Ruimtestaat[[#This Row],[Programmacode
Regulier]],Programma!$F$4:$Y$36148,3,0),"_")</f>
        <v>_</v>
      </c>
      <c r="AL123" s="247" t="str">
        <f>_xlfn.IFNA(VLOOKUP(Ruimtestaat[[#This Row],[Programmacode
Regulier]],Programma!$F$4:$Y$36148,4,0),"_")</f>
        <v>5w</v>
      </c>
      <c r="AM123" s="247" t="str">
        <f>_xlfn.IFNA(VLOOKUP(Ruimtestaat[[#This Row],[Programmacode
Regulier]],Programma!$F$4:$Y$36148,5,0),"_")</f>
        <v>_</v>
      </c>
      <c r="AN123" s="247" t="str">
        <f>_xlfn.IFNA(VLOOKUP(Ruimtestaat[[#This Row],[Programmacode
Regulier]],Programma!$F$4:$Y$36148,6,0),"_")</f>
        <v>5w</v>
      </c>
      <c r="AO123" s="247" t="str">
        <f>_xlfn.IFNA(VLOOKUP(Ruimtestaat[[#This Row],[Programmacode
Regulier]],Programma!$F$4:$Y$36148,7,0),"_")</f>
        <v>_</v>
      </c>
      <c r="AP123" s="247" t="str">
        <f>_xlfn.IFNA(VLOOKUP(Ruimtestaat[[#This Row],[Programmacode
Regulier]],Programma!$F$4:$Y$36148,8,0),"_")</f>
        <v>_</v>
      </c>
      <c r="AQ123" s="247" t="str">
        <f>_xlfn.IFNA(VLOOKUP(Ruimtestaat[[#This Row],[Programmacode
Regulier]],Programma!$F$4:$Y$36148,9,0),"_")</f>
        <v>_</v>
      </c>
      <c r="AR123" s="248" t="str">
        <f>_xlfn.IFNA(VLOOKUP(Ruimtestaat[[#This Row],[Programmacode
Regulier]],Programma!$F$4:$Y$36148,10,0),"_")</f>
        <v>5w</v>
      </c>
      <c r="AS123" s="248" t="str">
        <f>_xlfn.IFNA(VLOOKUP(Ruimtestaat[[#This Row],[Programmacode
Regulier]],Programma!$F$4:$Y$36148,11,0),"_")</f>
        <v>5w</v>
      </c>
      <c r="AT123" s="248" t="str">
        <f>_xlfn.IFNA(VLOOKUP(Ruimtestaat[[#This Row],[Programmacode
Regulier]],Programma!$F$4:$Y$36148,12,0),"_")</f>
        <v>1w</v>
      </c>
      <c r="AU123" s="248" t="str">
        <f>_xlfn.IFNA(VLOOKUP(Ruimtestaat[[#This Row],[Programmacode
Regulier]],Programma!$F$4:$Y$36148,13,0),"_")</f>
        <v>1w</v>
      </c>
      <c r="AV123" s="248" t="str">
        <f>_xlfn.IFNA(VLOOKUP(Ruimtestaat[[#This Row],[Programmacode
Regulier]],Programma!$F$4:$Y$36148,14,0),"_")</f>
        <v>1m</v>
      </c>
      <c r="AW123" s="248" t="str">
        <f>_xlfn.IFNA(VLOOKUP(Ruimtestaat[[#This Row],[Programmacode
Regulier]],Programma!$F$4:$Y$36148,15,0),"_")</f>
        <v>2j</v>
      </c>
      <c r="AX123" s="248" t="str">
        <f>_xlfn.IFNA(VLOOKUP(Ruimtestaat[[#This Row],[Programmacode
Regulier]],Programma!$F$4:$Y$36148,16,0),"_")</f>
        <v>1j</v>
      </c>
      <c r="AY123" s="248" t="str">
        <f>_xlfn.IFNA(VLOOKUP(Ruimtestaat[[#This Row],[Programmacode
Regulier]],Programma!$F$4:$Y$36148,17,0),"_")</f>
        <v>_</v>
      </c>
      <c r="AZ123" s="249" t="str">
        <f>_xlfn.IFNA(VLOOKUP(Ruimtestaat[[#This Row],[Programmacode
Regulier]],Programma!$F$4:$Y$36148,18,0),"_")</f>
        <v>_</v>
      </c>
      <c r="BA123" s="249" t="str">
        <f>_xlfn.IFNA(VLOOKUP(Ruimtestaat[[#This Row],[Programmacode
Regulier]],Programma!$F$4:$Y$36148,19,0),"_")</f>
        <v>_</v>
      </c>
      <c r="BB123" s="249" t="str">
        <f>_xlfn.IFNA(VLOOKUP(Ruimtestaat[[#This Row],[Programmacode
Regulier]],Programma!$F$4:$Y$36148,20,0),"_")</f>
        <v>_</v>
      </c>
      <c r="BC123" s="250"/>
      <c r="BD123" s="212" t="str">
        <f>IF(Ruimtestaat[[#This Row],[Frequentie weekend]]="","",_xlfn.CONCAT(Ruimtestaat[[#This Row],[Ruimte code]],"-",Ruimtestaat[[#This Row],[Frequentie weekend]]," ",Ruimtestaat[[#This Row],[Vloer code]]))</f>
        <v/>
      </c>
      <c r="BE123" s="247" t="str">
        <f>_xlfn.IFNA(VLOOKUP(Ruimtestaat[[#This Row],[Code Weekend]],Programma!$F$4:$Y$36148,2,0),"_")</f>
        <v>_</v>
      </c>
      <c r="BF123" s="247" t="str">
        <f>_xlfn.IFNA(VLOOKUP(Ruimtestaat[[#This Row],[Code Weekend]],Programma!$F$4:$Y$36148,3,0),"_")</f>
        <v>_</v>
      </c>
      <c r="BG123" s="247" t="str">
        <f>_xlfn.IFNA(VLOOKUP(Ruimtestaat[[#This Row],[Code Weekend]],Programma!$F$4:$Y$36148,4,0),"_")</f>
        <v>_</v>
      </c>
      <c r="BH123" s="247" t="str">
        <f>_xlfn.IFNA(VLOOKUP(Ruimtestaat[[#This Row],[Code Weekend]],Programma!$F$4:$Y$36148,5,0),"_")</f>
        <v>_</v>
      </c>
      <c r="BI123" s="247" t="str">
        <f>_xlfn.IFNA(VLOOKUP(Ruimtestaat[[#This Row],[Code Weekend]],Programma!$F$4:$Y$36148,6,0),"_")</f>
        <v>_</v>
      </c>
      <c r="BJ123" s="247" t="str">
        <f>_xlfn.IFNA(VLOOKUP(Ruimtestaat[[#This Row],[Code Weekend]],Programma!$F$4:$Y$36148,7,0),"_")</f>
        <v>_</v>
      </c>
      <c r="BK123" s="247" t="str">
        <f>_xlfn.IFNA(VLOOKUP(Ruimtestaat[[#This Row],[Code Weekend]],Programma!$F$4:$Y$36148,8,0),"_")</f>
        <v>_</v>
      </c>
      <c r="BL123" s="247" t="str">
        <f>_xlfn.IFNA(VLOOKUP(Ruimtestaat[[#This Row],[Code Weekend]],Programma!$F$4:$Y$36148,9,0),"_")</f>
        <v>_</v>
      </c>
      <c r="BM123" s="248" t="str">
        <f>_xlfn.IFNA(VLOOKUP(Ruimtestaat[[#This Row],[Code Weekend]],Programma!$F$4:$Y$36148,10,0),"_")</f>
        <v>_</v>
      </c>
      <c r="BN123" s="248" t="str">
        <f>_xlfn.IFNA(VLOOKUP(Ruimtestaat[[#This Row],[Code Weekend]],Programma!$F$4:$Y$36148,11,0),"_")</f>
        <v>_</v>
      </c>
      <c r="BO123" s="248" t="str">
        <f>_xlfn.IFNA(VLOOKUP(Ruimtestaat[[#This Row],[Code Weekend]],Programma!$F$4:$Y$36148,12,0),"_")</f>
        <v>_</v>
      </c>
      <c r="BP123" s="248" t="str">
        <f>_xlfn.IFNA(VLOOKUP(Ruimtestaat[[#This Row],[Code Weekend]],Programma!$F$4:$Y$36148,13,0),"_")</f>
        <v>_</v>
      </c>
      <c r="BQ123" s="248" t="str">
        <f>_xlfn.IFNA(VLOOKUP(Ruimtestaat[[#This Row],[Code Weekend]],Programma!$F$4:$Y$36148,14,0),"_")</f>
        <v>_</v>
      </c>
      <c r="BR123" s="248" t="str">
        <f>_xlfn.IFNA(VLOOKUP(Ruimtestaat[[#This Row],[Code Weekend]],Programma!$F$4:$Y$36148,15,0),"_")</f>
        <v>_</v>
      </c>
      <c r="BS123" s="248" t="str">
        <f>_xlfn.IFNA(VLOOKUP(Ruimtestaat[[#This Row],[Code Weekend]],Programma!$F$4:$Y$36148,16,0),"_")</f>
        <v>_</v>
      </c>
      <c r="BT123" s="248" t="str">
        <f>_xlfn.IFNA(VLOOKUP(Ruimtestaat[[#This Row],[Code Weekend]],Programma!$F$4:$Y$36148,17,0),"_")</f>
        <v>_</v>
      </c>
      <c r="BU123" s="249" t="str">
        <f>_xlfn.IFNA(VLOOKUP(Ruimtestaat[[#This Row],[Code Weekend]],Programma!$F$4:$Y$36148,18,0),"_")</f>
        <v>_</v>
      </c>
      <c r="BV123" s="249" t="str">
        <f>_xlfn.IFNA(VLOOKUP(Ruimtestaat[[#This Row],[Code Weekend]],Programma!$F$4:$Y$36148,19,0),"_")</f>
        <v>_</v>
      </c>
      <c r="BW123" s="249" t="str">
        <f>_xlfn.IFNA(VLOOKUP(Ruimtestaat[[#This Row],[Code Weekend]],Programma!$F$4:$Y$36148,20,0),"_")</f>
        <v>_</v>
      </c>
      <c r="HK123" s="88"/>
    </row>
    <row r="124" spans="1:219" ht="12.75" customHeight="1">
      <c r="A124" s="130">
        <v>1</v>
      </c>
      <c r="B124" s="22" t="str">
        <f>VLOOKUP(Ruimtestaat[[#This Row],[Code]],Locaties[#All],2,FALSE)</f>
        <v>ESH Secondary School</v>
      </c>
      <c r="C124" s="22" t="str">
        <f>VLOOKUP(Ruimtestaat[[#This Row],[Code]],Locaties[#All],4,FALSE)</f>
        <v>Oostduinlaan 50</v>
      </c>
      <c r="D124" s="334" t="str">
        <f>VLOOKUP(Ruimtestaat[[#This Row],[Code]],Locaties[#All],5,FALSE)</f>
        <v>2596 JP</v>
      </c>
      <c r="E124" s="334" t="str">
        <f>VLOOKUP(Ruimtestaat[[#This Row],[Code]],Locaties[#All],6,FALSE)</f>
        <v>Den Haag</v>
      </c>
      <c r="F124" s="335"/>
      <c r="G124" s="334" t="s">
        <v>1611</v>
      </c>
      <c r="H124" s="334" t="s">
        <v>1568</v>
      </c>
      <c r="I124" s="335" t="s">
        <v>1522</v>
      </c>
      <c r="J124" s="334">
        <v>2</v>
      </c>
      <c r="K124" s="335" t="str">
        <f>VLOOKUP(J124,Ruimtegroepen[],2,FALSE)</f>
        <v>Kantoren</v>
      </c>
      <c r="L124" s="334" t="s">
        <v>120</v>
      </c>
      <c r="M124" s="334" t="s">
        <v>43</v>
      </c>
      <c r="N124" s="337">
        <v>53</v>
      </c>
      <c r="O124" s="331"/>
      <c r="P124" s="332" t="str">
        <f>VLOOKUP(Ruimtestaat[[#This Row],[Ruimte code]],Ruimtegroepen[],4,FALSE)</f>
        <v>B  (Bureauruimte)</v>
      </c>
      <c r="Q124" s="332"/>
      <c r="R124" s="333">
        <v>40</v>
      </c>
      <c r="S124" s="333" t="s">
        <v>2</v>
      </c>
      <c r="T124" s="37"/>
      <c r="U124" s="37">
        <f>IF(R124&gt;0,IF(RIGHT(Ruimtestaat[[#This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24" s="37">
        <f>IF(U124&gt;0,VLOOKUP($J124,Ruimtegroepen[],3,FALSE)*VLOOKUP($L124,Vloersoorten[],3,FALSE)*VLOOKUP($S124,Frequenties[],3,FALSE)*VLOOKUP($A124,Locaties[],3,FALSE),0)</f>
        <v>0</v>
      </c>
      <c r="W124" s="37">
        <f>Ruimtestaat[[#This Row],[Uitvoeringen werkdagen]]*Ruimtestaat[[#This Row],[Oppervlak (netto)]]</f>
        <v>10600</v>
      </c>
      <c r="X124" s="37">
        <f>IF(V124&gt;0,Ruimtestaat[[#This Row],[Prest. (m2 /jaar) werkdagen]]/Ruimtestaat[[#This Row],[Norm (m2/uur) werkdagen]],0)</f>
        <v>0</v>
      </c>
      <c r="Y124" s="37">
        <f>Ruimtestaat[[#This Row],[uren / jaar werkdagen]]*Tariefsopbouw!$D$38</f>
        <v>0</v>
      </c>
      <c r="Z124" s="37">
        <f>IF(Ruimtestaat[[#This Row],[Frequentie weekend]]&gt;0,VALUE(LEFT(T124,1))*R124,0)</f>
        <v>0</v>
      </c>
      <c r="AA124" s="37">
        <f>IF($Z124&gt;0,VLOOKUP($J124,Ruimtegroepen[],3,FALSE)*VLOOKUP($L124,Vloersoorten[],3,FALSE)*VLOOKUP($T124,Frequenties[],3,FALSE)*VLOOKUP($A124,Locaties[],3,FALSE),0)</f>
        <v>0</v>
      </c>
      <c r="AB124" s="37">
        <f>Ruimtestaat[[#This Row],[Uitvoeringen weekend]]*Ruimtestaat[[#This Row],[Oppervlak (netto)]]</f>
        <v>0</v>
      </c>
      <c r="AC124" s="37">
        <f>IF(AA124&gt;0,Ruimtestaat[[#This Row],[Prest. (m2 /jaar) weekend]]/Ruimtestaat[[#This Row],[Norm (m2/uur) weekend]],0)</f>
        <v>0</v>
      </c>
      <c r="AD124" s="37">
        <f>Ruimtestaat[[#This Row],[uren / jaar weekend]]*Tariefsopbouw!$D$40</f>
        <v>0</v>
      </c>
      <c r="AE124" s="89">
        <f>Ruimtestaat[[#This Row],[Prest. (m2 /jaar) weekend]]+Ruimtestaat[[#This Row],[Prest. (m2 /jaar) werkdagen]]</f>
        <v>10600</v>
      </c>
      <c r="AF124" s="89">
        <f>Ruimtestaat[[#This Row],[uren / jaar weekend]]+Ruimtestaat[[#This Row],[uren / jaar werkdagen]]</f>
        <v>0</v>
      </c>
      <c r="AG124" s="90">
        <f>Ruimtestaat[[#This Row],[kosten / jaar weekend]]+Ruimtestaat[[#This Row],[kosten / jaar werkdagen]]</f>
        <v>0</v>
      </c>
      <c r="AH124" s="253"/>
      <c r="AI124" s="252" t="str">
        <f>IF(Ruimtestaat[[#This Row],[Frequentie werkdagen]]="","",_xlfn.CONCAT(Ruimtestaat[[#This Row],[Ruimte code]],"-",Ruimtestaat[[#This Row],[Frequentie werkdagen]]," ",Ruimtestaat[[#This Row],[Vloer code]]))</f>
        <v>2-5w T</v>
      </c>
      <c r="AJ124" s="247" t="str">
        <f>_xlfn.IFNA(VLOOKUP(Ruimtestaat[[#This Row],[Programmacode
Regulier]],Programma!$F$4:$Y$36148,2,0),"_")</f>
        <v>4w</v>
      </c>
      <c r="AK124" s="247" t="str">
        <f>_xlfn.IFNA(VLOOKUP(Ruimtestaat[[#This Row],[Programmacode
Regulier]],Programma!$F$4:$Y$36148,3,0),"_")</f>
        <v>1w</v>
      </c>
      <c r="AL124" s="247" t="str">
        <f>_xlfn.IFNA(VLOOKUP(Ruimtestaat[[#This Row],[Programmacode
Regulier]],Programma!$F$4:$Y$36148,4,0),"_")</f>
        <v>_</v>
      </c>
      <c r="AM124" s="247" t="str">
        <f>_xlfn.IFNA(VLOOKUP(Ruimtestaat[[#This Row],[Programmacode
Regulier]],Programma!$F$4:$Y$36148,5,0),"_")</f>
        <v>_</v>
      </c>
      <c r="AN124" s="247" t="str">
        <f>_xlfn.IFNA(VLOOKUP(Ruimtestaat[[#This Row],[Programmacode
Regulier]],Programma!$F$4:$Y$36148,6,0),"_")</f>
        <v>_</v>
      </c>
      <c r="AO124" s="247" t="str">
        <f>_xlfn.IFNA(VLOOKUP(Ruimtestaat[[#This Row],[Programmacode
Regulier]],Programma!$F$4:$Y$36148,7,0),"_")</f>
        <v>_</v>
      </c>
      <c r="AP124" s="247" t="str">
        <f>_xlfn.IFNA(VLOOKUP(Ruimtestaat[[#This Row],[Programmacode
Regulier]],Programma!$F$4:$Y$36148,8,0),"_")</f>
        <v>_</v>
      </c>
      <c r="AQ124" s="247" t="str">
        <f>_xlfn.IFNA(VLOOKUP(Ruimtestaat[[#This Row],[Programmacode
Regulier]],Programma!$F$4:$Y$36148,9,0),"_")</f>
        <v>_</v>
      </c>
      <c r="AR124" s="248" t="str">
        <f>_xlfn.IFNA(VLOOKUP(Ruimtestaat[[#This Row],[Programmacode
Regulier]],Programma!$F$4:$Y$36148,10,0),"_")</f>
        <v>5w</v>
      </c>
      <c r="AS124" s="248" t="str">
        <f>_xlfn.IFNA(VLOOKUP(Ruimtestaat[[#This Row],[Programmacode
Regulier]],Programma!$F$4:$Y$36148,11,0),"_")</f>
        <v>5w</v>
      </c>
      <c r="AT124" s="248" t="str">
        <f>_xlfn.IFNA(VLOOKUP(Ruimtestaat[[#This Row],[Programmacode
Regulier]],Programma!$F$4:$Y$36148,12,0),"_")</f>
        <v>1w</v>
      </c>
      <c r="AU124" s="248" t="str">
        <f>_xlfn.IFNA(VLOOKUP(Ruimtestaat[[#This Row],[Programmacode
Regulier]],Programma!$F$4:$Y$36148,13,0),"_")</f>
        <v>1w</v>
      </c>
      <c r="AV124" s="248" t="str">
        <f>_xlfn.IFNA(VLOOKUP(Ruimtestaat[[#This Row],[Programmacode
Regulier]],Programma!$F$4:$Y$36148,14,0),"_")</f>
        <v>1m</v>
      </c>
      <c r="AW124" s="248" t="str">
        <f>_xlfn.IFNA(VLOOKUP(Ruimtestaat[[#This Row],[Programmacode
Regulier]],Programma!$F$4:$Y$36148,15,0),"_")</f>
        <v>2j</v>
      </c>
      <c r="AX124" s="248" t="str">
        <f>_xlfn.IFNA(VLOOKUP(Ruimtestaat[[#This Row],[Programmacode
Regulier]],Programma!$F$4:$Y$36148,16,0),"_")</f>
        <v>1j</v>
      </c>
      <c r="AY124" s="248" t="str">
        <f>_xlfn.IFNA(VLOOKUP(Ruimtestaat[[#This Row],[Programmacode
Regulier]],Programma!$F$4:$Y$36148,17,0),"_")</f>
        <v>_</v>
      </c>
      <c r="AZ124" s="249" t="str">
        <f>_xlfn.IFNA(VLOOKUP(Ruimtestaat[[#This Row],[Programmacode
Regulier]],Programma!$F$4:$Y$36148,18,0),"_")</f>
        <v>_</v>
      </c>
      <c r="BA124" s="249" t="str">
        <f>_xlfn.IFNA(VLOOKUP(Ruimtestaat[[#This Row],[Programmacode
Regulier]],Programma!$F$4:$Y$36148,19,0),"_")</f>
        <v>_</v>
      </c>
      <c r="BB124" s="249" t="str">
        <f>_xlfn.IFNA(VLOOKUP(Ruimtestaat[[#This Row],[Programmacode
Regulier]],Programma!$F$4:$Y$36148,20,0),"_")</f>
        <v>_</v>
      </c>
      <c r="BC124" s="250"/>
      <c r="BD124" s="212" t="str">
        <f>IF(Ruimtestaat[[#This Row],[Frequentie weekend]]="","",_xlfn.CONCAT(Ruimtestaat[[#This Row],[Ruimte code]],"-",Ruimtestaat[[#This Row],[Frequentie weekend]]," ",Ruimtestaat[[#This Row],[Vloer code]]))</f>
        <v/>
      </c>
      <c r="BE124" s="247" t="str">
        <f>_xlfn.IFNA(VLOOKUP(Ruimtestaat[[#This Row],[Code Weekend]],Programma!$F$4:$Y$36148,2,0),"_")</f>
        <v>_</v>
      </c>
      <c r="BF124" s="247" t="str">
        <f>_xlfn.IFNA(VLOOKUP(Ruimtestaat[[#This Row],[Code Weekend]],Programma!$F$4:$Y$36148,3,0),"_")</f>
        <v>_</v>
      </c>
      <c r="BG124" s="247" t="str">
        <f>_xlfn.IFNA(VLOOKUP(Ruimtestaat[[#This Row],[Code Weekend]],Programma!$F$4:$Y$36148,4,0),"_")</f>
        <v>_</v>
      </c>
      <c r="BH124" s="247" t="str">
        <f>_xlfn.IFNA(VLOOKUP(Ruimtestaat[[#This Row],[Code Weekend]],Programma!$F$4:$Y$36148,5,0),"_")</f>
        <v>_</v>
      </c>
      <c r="BI124" s="247" t="str">
        <f>_xlfn.IFNA(VLOOKUP(Ruimtestaat[[#This Row],[Code Weekend]],Programma!$F$4:$Y$36148,6,0),"_")</f>
        <v>_</v>
      </c>
      <c r="BJ124" s="247" t="str">
        <f>_xlfn.IFNA(VLOOKUP(Ruimtestaat[[#This Row],[Code Weekend]],Programma!$F$4:$Y$36148,7,0),"_")</f>
        <v>_</v>
      </c>
      <c r="BK124" s="247" t="str">
        <f>_xlfn.IFNA(VLOOKUP(Ruimtestaat[[#This Row],[Code Weekend]],Programma!$F$4:$Y$36148,8,0),"_")</f>
        <v>_</v>
      </c>
      <c r="BL124" s="247" t="str">
        <f>_xlfn.IFNA(VLOOKUP(Ruimtestaat[[#This Row],[Code Weekend]],Programma!$F$4:$Y$36148,9,0),"_")</f>
        <v>_</v>
      </c>
      <c r="BM124" s="248" t="str">
        <f>_xlfn.IFNA(VLOOKUP(Ruimtestaat[[#This Row],[Code Weekend]],Programma!$F$4:$Y$36148,10,0),"_")</f>
        <v>_</v>
      </c>
      <c r="BN124" s="248" t="str">
        <f>_xlfn.IFNA(VLOOKUP(Ruimtestaat[[#This Row],[Code Weekend]],Programma!$F$4:$Y$36148,11,0),"_")</f>
        <v>_</v>
      </c>
      <c r="BO124" s="248" t="str">
        <f>_xlfn.IFNA(VLOOKUP(Ruimtestaat[[#This Row],[Code Weekend]],Programma!$F$4:$Y$36148,12,0),"_")</f>
        <v>_</v>
      </c>
      <c r="BP124" s="248" t="str">
        <f>_xlfn.IFNA(VLOOKUP(Ruimtestaat[[#This Row],[Code Weekend]],Programma!$F$4:$Y$36148,13,0),"_")</f>
        <v>_</v>
      </c>
      <c r="BQ124" s="248" t="str">
        <f>_xlfn.IFNA(VLOOKUP(Ruimtestaat[[#This Row],[Code Weekend]],Programma!$F$4:$Y$36148,14,0),"_")</f>
        <v>_</v>
      </c>
      <c r="BR124" s="248" t="str">
        <f>_xlfn.IFNA(VLOOKUP(Ruimtestaat[[#This Row],[Code Weekend]],Programma!$F$4:$Y$36148,15,0),"_")</f>
        <v>_</v>
      </c>
      <c r="BS124" s="248" t="str">
        <f>_xlfn.IFNA(VLOOKUP(Ruimtestaat[[#This Row],[Code Weekend]],Programma!$F$4:$Y$36148,16,0),"_")</f>
        <v>_</v>
      </c>
      <c r="BT124" s="248" t="str">
        <f>_xlfn.IFNA(VLOOKUP(Ruimtestaat[[#This Row],[Code Weekend]],Programma!$F$4:$Y$36148,17,0),"_")</f>
        <v>_</v>
      </c>
      <c r="BU124" s="249" t="str">
        <f>_xlfn.IFNA(VLOOKUP(Ruimtestaat[[#This Row],[Code Weekend]],Programma!$F$4:$Y$36148,18,0),"_")</f>
        <v>_</v>
      </c>
      <c r="BV124" s="249" t="str">
        <f>_xlfn.IFNA(VLOOKUP(Ruimtestaat[[#This Row],[Code Weekend]],Programma!$F$4:$Y$36148,19,0),"_")</f>
        <v>_</v>
      </c>
      <c r="BW124" s="249" t="str">
        <f>_xlfn.IFNA(VLOOKUP(Ruimtestaat[[#This Row],[Code Weekend]],Programma!$F$4:$Y$36148,20,0),"_")</f>
        <v>_</v>
      </c>
      <c r="HK124" s="88"/>
    </row>
    <row r="125" spans="1:219" ht="12.75" customHeight="1">
      <c r="A125" s="130">
        <v>1</v>
      </c>
      <c r="B125" s="22" t="str">
        <f>VLOOKUP(Ruimtestaat[[#This Row],[Code]],Locaties[#All],2,FALSE)</f>
        <v>ESH Secondary School</v>
      </c>
      <c r="C125" s="22" t="str">
        <f>VLOOKUP(Ruimtestaat[[#This Row],[Code]],Locaties[#All],4,FALSE)</f>
        <v>Oostduinlaan 50</v>
      </c>
      <c r="D125" s="334" t="str">
        <f>VLOOKUP(Ruimtestaat[[#This Row],[Code]],Locaties[#All],5,FALSE)</f>
        <v>2596 JP</v>
      </c>
      <c r="E125" s="334" t="str">
        <f>VLOOKUP(Ruimtestaat[[#This Row],[Code]],Locaties[#All],6,FALSE)</f>
        <v>Den Haag</v>
      </c>
      <c r="F125" s="335"/>
      <c r="G125" s="334" t="s">
        <v>1611</v>
      </c>
      <c r="H125" s="334" t="s">
        <v>1569</v>
      </c>
      <c r="I125" s="335" t="s">
        <v>1394</v>
      </c>
      <c r="J125" s="328">
        <v>10</v>
      </c>
      <c r="K125" s="335" t="str">
        <f>VLOOKUP(J125,Ruimtegroepen[],2,FALSE)</f>
        <v>Trappenhuizen/lift</v>
      </c>
      <c r="L125" s="212" t="s">
        <v>123</v>
      </c>
      <c r="M125" s="334" t="s">
        <v>144</v>
      </c>
      <c r="N125" s="337">
        <v>4</v>
      </c>
      <c r="O125" s="331"/>
      <c r="P125" s="332" t="str">
        <f>VLOOKUP(Ruimtestaat[[#This Row],[Ruimte code]],Ruimtegroepen[],4,FALSE)</f>
        <v>V  (Verkeersruimte)</v>
      </c>
      <c r="Q125" s="332"/>
      <c r="R125" s="333">
        <v>40</v>
      </c>
      <c r="S125" s="333" t="s">
        <v>2</v>
      </c>
      <c r="T125" s="37"/>
      <c r="U125" s="37">
        <f>IF(R125&gt;0,IF(RIGHT(Ruimtestaat[[#This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25" s="37">
        <f>IF(U125&gt;0,VLOOKUP($J125,Ruimtegroepen[],3,FALSE)*VLOOKUP($L125,Vloersoorten[],3,FALSE)*VLOOKUP($S125,Frequenties[],3,FALSE)*VLOOKUP($A125,Locaties[],3,FALSE),0)</f>
        <v>0</v>
      </c>
      <c r="W125" s="37">
        <f>Ruimtestaat[[#This Row],[Uitvoeringen werkdagen]]*Ruimtestaat[[#This Row],[Oppervlak (netto)]]</f>
        <v>800</v>
      </c>
      <c r="X125" s="37">
        <f>IF(V125&gt;0,Ruimtestaat[[#This Row],[Prest. (m2 /jaar) werkdagen]]/Ruimtestaat[[#This Row],[Norm (m2/uur) werkdagen]],0)</f>
        <v>0</v>
      </c>
      <c r="Y125" s="37">
        <f>Ruimtestaat[[#This Row],[uren / jaar werkdagen]]*Tariefsopbouw!$D$38</f>
        <v>0</v>
      </c>
      <c r="Z125" s="37">
        <f>IF(Ruimtestaat[[#This Row],[Frequentie weekend]]&gt;0,VALUE(LEFT(T125,1))*R125,0)</f>
        <v>0</v>
      </c>
      <c r="AA125" s="37">
        <f>IF($Z125&gt;0,VLOOKUP($J125,Ruimtegroepen[],3,FALSE)*VLOOKUP($L125,Vloersoorten[],3,FALSE)*VLOOKUP($T125,Frequenties[],3,FALSE)*VLOOKUP($A125,Locaties[],3,FALSE),0)</f>
        <v>0</v>
      </c>
      <c r="AB125" s="37">
        <f>Ruimtestaat[[#This Row],[Uitvoeringen weekend]]*Ruimtestaat[[#This Row],[Oppervlak (netto)]]</f>
        <v>0</v>
      </c>
      <c r="AC125" s="37">
        <f>IF(AA125&gt;0,Ruimtestaat[[#This Row],[Prest. (m2 /jaar) weekend]]/Ruimtestaat[[#This Row],[Norm (m2/uur) weekend]],0)</f>
        <v>0</v>
      </c>
      <c r="AD125" s="37">
        <f>Ruimtestaat[[#This Row],[uren / jaar weekend]]*Tariefsopbouw!$D$40</f>
        <v>0</v>
      </c>
      <c r="AE125" s="89">
        <f>Ruimtestaat[[#This Row],[Prest. (m2 /jaar) weekend]]+Ruimtestaat[[#This Row],[Prest. (m2 /jaar) werkdagen]]</f>
        <v>800</v>
      </c>
      <c r="AF125" s="89">
        <f>Ruimtestaat[[#This Row],[uren / jaar weekend]]+Ruimtestaat[[#This Row],[uren / jaar werkdagen]]</f>
        <v>0</v>
      </c>
      <c r="AG125" s="90">
        <f>Ruimtestaat[[#This Row],[kosten / jaar weekend]]+Ruimtestaat[[#This Row],[kosten / jaar werkdagen]]</f>
        <v>0</v>
      </c>
      <c r="AH125" s="253"/>
      <c r="AI125" s="252" t="str">
        <f>IF(Ruimtestaat[[#This Row],[Frequentie werkdagen]]="","",_xlfn.CONCAT(Ruimtestaat[[#This Row],[Ruimte code]],"-",Ruimtestaat[[#This Row],[Frequentie werkdagen]]," ",Ruimtestaat[[#This Row],[Vloer code]]))</f>
        <v>10-5w P</v>
      </c>
      <c r="AJ125" s="247" t="str">
        <f>_xlfn.IFNA(VLOOKUP(Ruimtestaat[[#This Row],[Programmacode
Regulier]],Programma!$F$4:$Y$36148,2,0),"_")</f>
        <v>_</v>
      </c>
      <c r="AK125" s="247" t="str">
        <f>_xlfn.IFNA(VLOOKUP(Ruimtestaat[[#This Row],[Programmacode
Regulier]],Programma!$F$4:$Y$36148,3,0),"_")</f>
        <v>5w</v>
      </c>
      <c r="AL125" s="247" t="str">
        <f>_xlfn.IFNA(VLOOKUP(Ruimtestaat[[#This Row],[Programmacode
Regulier]],Programma!$F$4:$Y$36148,4,0),"_")</f>
        <v>_</v>
      </c>
      <c r="AM125" s="247" t="str">
        <f>_xlfn.IFNA(VLOOKUP(Ruimtestaat[[#This Row],[Programmacode
Regulier]],Programma!$F$4:$Y$36148,5,0),"_")</f>
        <v>5w</v>
      </c>
      <c r="AN125" s="247" t="str">
        <f>_xlfn.IFNA(VLOOKUP(Ruimtestaat[[#This Row],[Programmacode
Regulier]],Programma!$F$4:$Y$36148,6,0),"_")</f>
        <v>1m</v>
      </c>
      <c r="AO125" s="247" t="str">
        <f>_xlfn.IFNA(VLOOKUP(Ruimtestaat[[#This Row],[Programmacode
Regulier]],Programma!$F$4:$Y$36148,7,0),"_")</f>
        <v>_</v>
      </c>
      <c r="AP125" s="247" t="str">
        <f>_xlfn.IFNA(VLOOKUP(Ruimtestaat[[#This Row],[Programmacode
Regulier]],Programma!$F$4:$Y$36148,8,0),"_")</f>
        <v>_</v>
      </c>
      <c r="AQ125" s="247" t="str">
        <f>_xlfn.IFNA(VLOOKUP(Ruimtestaat[[#This Row],[Programmacode
Regulier]],Programma!$F$4:$Y$36148,9,0),"_")</f>
        <v>_</v>
      </c>
      <c r="AR125" s="248" t="str">
        <f>_xlfn.IFNA(VLOOKUP(Ruimtestaat[[#This Row],[Programmacode
Regulier]],Programma!$F$4:$Y$36148,10,0),"_")</f>
        <v>5w</v>
      </c>
      <c r="AS125" s="248" t="str">
        <f>_xlfn.IFNA(VLOOKUP(Ruimtestaat[[#This Row],[Programmacode
Regulier]],Programma!$F$4:$Y$36148,11,0),"_")</f>
        <v>5w</v>
      </c>
      <c r="AT125" s="248" t="str">
        <f>_xlfn.IFNA(VLOOKUP(Ruimtestaat[[#This Row],[Programmacode
Regulier]],Programma!$F$4:$Y$36148,12,0),"_")</f>
        <v>1w</v>
      </c>
      <c r="AU125" s="248" t="str">
        <f>_xlfn.IFNA(VLOOKUP(Ruimtestaat[[#This Row],[Programmacode
Regulier]],Programma!$F$4:$Y$36148,13,0),"_")</f>
        <v>1w</v>
      </c>
      <c r="AV125" s="248" t="str">
        <f>_xlfn.IFNA(VLOOKUP(Ruimtestaat[[#This Row],[Programmacode
Regulier]],Programma!$F$4:$Y$36148,14,0),"_")</f>
        <v>1m</v>
      </c>
      <c r="AW125" s="248" t="str">
        <f>_xlfn.IFNA(VLOOKUP(Ruimtestaat[[#This Row],[Programmacode
Regulier]],Programma!$F$4:$Y$36148,15,0),"_")</f>
        <v>2j</v>
      </c>
      <c r="AX125" s="248" t="str">
        <f>_xlfn.IFNA(VLOOKUP(Ruimtestaat[[#This Row],[Programmacode
Regulier]],Programma!$F$4:$Y$36148,16,0),"_")</f>
        <v>1j</v>
      </c>
      <c r="AY125" s="248" t="str">
        <f>_xlfn.IFNA(VLOOKUP(Ruimtestaat[[#This Row],[Programmacode
Regulier]],Programma!$F$4:$Y$36148,17,0),"_")</f>
        <v>_</v>
      </c>
      <c r="AZ125" s="249" t="str">
        <f>_xlfn.IFNA(VLOOKUP(Ruimtestaat[[#This Row],[Programmacode
Regulier]],Programma!$F$4:$Y$36148,18,0),"_")</f>
        <v>_</v>
      </c>
      <c r="BA125" s="249" t="str">
        <f>_xlfn.IFNA(VLOOKUP(Ruimtestaat[[#This Row],[Programmacode
Regulier]],Programma!$F$4:$Y$36148,19,0),"_")</f>
        <v>_</v>
      </c>
      <c r="BB125" s="249" t="str">
        <f>_xlfn.IFNA(VLOOKUP(Ruimtestaat[[#This Row],[Programmacode
Regulier]],Programma!$F$4:$Y$36148,20,0),"_")</f>
        <v>_</v>
      </c>
      <c r="BC125" s="250"/>
      <c r="BD125" s="212" t="str">
        <f>IF(Ruimtestaat[[#This Row],[Frequentie weekend]]="","",_xlfn.CONCAT(Ruimtestaat[[#This Row],[Ruimte code]],"-",Ruimtestaat[[#This Row],[Frequentie weekend]]," ",Ruimtestaat[[#This Row],[Vloer code]]))</f>
        <v/>
      </c>
      <c r="BE125" s="247" t="str">
        <f>_xlfn.IFNA(VLOOKUP(Ruimtestaat[[#This Row],[Code Weekend]],Programma!$F$4:$Y$36148,2,0),"_")</f>
        <v>_</v>
      </c>
      <c r="BF125" s="247" t="str">
        <f>_xlfn.IFNA(VLOOKUP(Ruimtestaat[[#This Row],[Code Weekend]],Programma!$F$4:$Y$36148,3,0),"_")</f>
        <v>_</v>
      </c>
      <c r="BG125" s="247" t="str">
        <f>_xlfn.IFNA(VLOOKUP(Ruimtestaat[[#This Row],[Code Weekend]],Programma!$F$4:$Y$36148,4,0),"_")</f>
        <v>_</v>
      </c>
      <c r="BH125" s="247" t="str">
        <f>_xlfn.IFNA(VLOOKUP(Ruimtestaat[[#This Row],[Code Weekend]],Programma!$F$4:$Y$36148,5,0),"_")</f>
        <v>_</v>
      </c>
      <c r="BI125" s="247" t="str">
        <f>_xlfn.IFNA(VLOOKUP(Ruimtestaat[[#This Row],[Code Weekend]],Programma!$F$4:$Y$36148,6,0),"_")</f>
        <v>_</v>
      </c>
      <c r="BJ125" s="247" t="str">
        <f>_xlfn.IFNA(VLOOKUP(Ruimtestaat[[#This Row],[Code Weekend]],Programma!$F$4:$Y$36148,7,0),"_")</f>
        <v>_</v>
      </c>
      <c r="BK125" s="247" t="str">
        <f>_xlfn.IFNA(VLOOKUP(Ruimtestaat[[#This Row],[Code Weekend]],Programma!$F$4:$Y$36148,8,0),"_")</f>
        <v>_</v>
      </c>
      <c r="BL125" s="247" t="str">
        <f>_xlfn.IFNA(VLOOKUP(Ruimtestaat[[#This Row],[Code Weekend]],Programma!$F$4:$Y$36148,9,0),"_")</f>
        <v>_</v>
      </c>
      <c r="BM125" s="248" t="str">
        <f>_xlfn.IFNA(VLOOKUP(Ruimtestaat[[#This Row],[Code Weekend]],Programma!$F$4:$Y$36148,10,0),"_")</f>
        <v>_</v>
      </c>
      <c r="BN125" s="248" t="str">
        <f>_xlfn.IFNA(VLOOKUP(Ruimtestaat[[#This Row],[Code Weekend]],Programma!$F$4:$Y$36148,11,0),"_")</f>
        <v>_</v>
      </c>
      <c r="BO125" s="248" t="str">
        <f>_xlfn.IFNA(VLOOKUP(Ruimtestaat[[#This Row],[Code Weekend]],Programma!$F$4:$Y$36148,12,0),"_")</f>
        <v>_</v>
      </c>
      <c r="BP125" s="248" t="str">
        <f>_xlfn.IFNA(VLOOKUP(Ruimtestaat[[#This Row],[Code Weekend]],Programma!$F$4:$Y$36148,13,0),"_")</f>
        <v>_</v>
      </c>
      <c r="BQ125" s="248" t="str">
        <f>_xlfn.IFNA(VLOOKUP(Ruimtestaat[[#This Row],[Code Weekend]],Programma!$F$4:$Y$36148,14,0),"_")</f>
        <v>_</v>
      </c>
      <c r="BR125" s="248" t="str">
        <f>_xlfn.IFNA(VLOOKUP(Ruimtestaat[[#This Row],[Code Weekend]],Programma!$F$4:$Y$36148,15,0),"_")</f>
        <v>_</v>
      </c>
      <c r="BS125" s="248" t="str">
        <f>_xlfn.IFNA(VLOOKUP(Ruimtestaat[[#This Row],[Code Weekend]],Programma!$F$4:$Y$36148,16,0),"_")</f>
        <v>_</v>
      </c>
      <c r="BT125" s="248" t="str">
        <f>_xlfn.IFNA(VLOOKUP(Ruimtestaat[[#This Row],[Code Weekend]],Programma!$F$4:$Y$36148,17,0),"_")</f>
        <v>_</v>
      </c>
      <c r="BU125" s="249" t="str">
        <f>_xlfn.IFNA(VLOOKUP(Ruimtestaat[[#This Row],[Code Weekend]],Programma!$F$4:$Y$36148,18,0),"_")</f>
        <v>_</v>
      </c>
      <c r="BV125" s="249" t="str">
        <f>_xlfn.IFNA(VLOOKUP(Ruimtestaat[[#This Row],[Code Weekend]],Programma!$F$4:$Y$36148,19,0),"_")</f>
        <v>_</v>
      </c>
      <c r="BW125" s="249" t="str">
        <f>_xlfn.IFNA(VLOOKUP(Ruimtestaat[[#This Row],[Code Weekend]],Programma!$F$4:$Y$36148,20,0),"_")</f>
        <v>_</v>
      </c>
      <c r="HK125" s="88"/>
    </row>
    <row r="126" spans="1:219" ht="12.75" customHeight="1">
      <c r="A126" s="130">
        <v>1</v>
      </c>
      <c r="B126" s="22" t="str">
        <f>VLOOKUP(Ruimtestaat[[#This Row],[Code]],Locaties[#All],2,FALSE)</f>
        <v>ESH Secondary School</v>
      </c>
      <c r="C126" s="22" t="str">
        <f>VLOOKUP(Ruimtestaat[[#This Row],[Code]],Locaties[#All],4,FALSE)</f>
        <v>Oostduinlaan 50</v>
      </c>
      <c r="D126" s="334" t="str">
        <f>VLOOKUP(Ruimtestaat[[#This Row],[Code]],Locaties[#All],5,FALSE)</f>
        <v>2596 JP</v>
      </c>
      <c r="E126" s="334" t="str">
        <f>VLOOKUP(Ruimtestaat[[#This Row],[Code]],Locaties[#All],6,FALSE)</f>
        <v>Den Haag</v>
      </c>
      <c r="F126" s="335"/>
      <c r="G126" s="334" t="s">
        <v>1611</v>
      </c>
      <c r="H126" s="334" t="s">
        <v>1570</v>
      </c>
      <c r="I126" s="335" t="s">
        <v>1775</v>
      </c>
      <c r="J126" s="334">
        <v>21</v>
      </c>
      <c r="K126" s="335" t="str">
        <f>VLOOKUP(J126,Ruimtegroepen[],2,FALSE)</f>
        <v>Niet in onderhoud</v>
      </c>
      <c r="L126" s="212" t="s">
        <v>123</v>
      </c>
      <c r="M126" s="334" t="s">
        <v>144</v>
      </c>
      <c r="N126" s="337">
        <v>50</v>
      </c>
      <c r="O126" s="331"/>
      <c r="P126" s="332" t="str">
        <f>VLOOKUP(Ruimtestaat[[#This Row],[Ruimte code]],Ruimtegroepen[],4,FALSE)</f>
        <v>NIO</v>
      </c>
      <c r="Q126" s="332"/>
      <c r="R126" s="333"/>
      <c r="S126" s="333"/>
      <c r="T126" s="37"/>
      <c r="U126" s="37">
        <f>IF(R126&gt;0,IF(RIGHT(Ruimtestaat[[#This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126" s="37">
        <f>IF(U126&gt;0,VLOOKUP($J126,Ruimtegroepen[],3,FALSE)*VLOOKUP($L126,Vloersoorten[],3,FALSE)*VLOOKUP($S126,Frequenties[],3,FALSE)*VLOOKUP($A126,Locaties[],3,FALSE),0)</f>
        <v>0</v>
      </c>
      <c r="W126" s="37">
        <f>Ruimtestaat[[#This Row],[Uitvoeringen werkdagen]]*Ruimtestaat[[#This Row],[Oppervlak (netto)]]</f>
        <v>0</v>
      </c>
      <c r="X126" s="37">
        <f>IF(V126&gt;0,Ruimtestaat[[#This Row],[Prest. (m2 /jaar) werkdagen]]/Ruimtestaat[[#This Row],[Norm (m2/uur) werkdagen]],0)</f>
        <v>0</v>
      </c>
      <c r="Y126" s="37">
        <f>Ruimtestaat[[#This Row],[uren / jaar werkdagen]]*Tariefsopbouw!$D$38</f>
        <v>0</v>
      </c>
      <c r="Z126" s="37">
        <f>IF(Ruimtestaat[[#This Row],[Frequentie weekend]]&gt;0,VALUE(LEFT(T126,1))*R126,0)</f>
        <v>0</v>
      </c>
      <c r="AA126" s="37">
        <f>IF($Z126&gt;0,VLOOKUP($J126,Ruimtegroepen[],3,FALSE)*VLOOKUP($L126,Vloersoorten[],3,FALSE)*VLOOKUP($T126,Frequenties[],3,FALSE)*VLOOKUP($A126,Locaties[],3,FALSE),0)</f>
        <v>0</v>
      </c>
      <c r="AB126" s="37">
        <f>Ruimtestaat[[#This Row],[Uitvoeringen weekend]]*Ruimtestaat[[#This Row],[Oppervlak (netto)]]</f>
        <v>0</v>
      </c>
      <c r="AC126" s="37">
        <f>IF(AA126&gt;0,Ruimtestaat[[#This Row],[Prest. (m2 /jaar) weekend]]/Ruimtestaat[[#This Row],[Norm (m2/uur) weekend]],0)</f>
        <v>0</v>
      </c>
      <c r="AD126" s="37">
        <f>Ruimtestaat[[#This Row],[uren / jaar weekend]]*Tariefsopbouw!$D$40</f>
        <v>0</v>
      </c>
      <c r="AE126" s="89">
        <f>Ruimtestaat[[#This Row],[Prest. (m2 /jaar) weekend]]+Ruimtestaat[[#This Row],[Prest. (m2 /jaar) werkdagen]]</f>
        <v>0</v>
      </c>
      <c r="AF126" s="89">
        <f>Ruimtestaat[[#This Row],[uren / jaar weekend]]+Ruimtestaat[[#This Row],[uren / jaar werkdagen]]</f>
        <v>0</v>
      </c>
      <c r="AG126" s="90">
        <f>Ruimtestaat[[#This Row],[kosten / jaar weekend]]+Ruimtestaat[[#This Row],[kosten / jaar werkdagen]]</f>
        <v>0</v>
      </c>
      <c r="AH126" s="253"/>
      <c r="AI126" s="252" t="str">
        <f>IF(Ruimtestaat[[#This Row],[Frequentie werkdagen]]="","",_xlfn.CONCAT(Ruimtestaat[[#This Row],[Ruimte code]],"-",Ruimtestaat[[#This Row],[Frequentie werkdagen]]," ",Ruimtestaat[[#This Row],[Vloer code]]))</f>
        <v/>
      </c>
      <c r="AJ126" s="247" t="str">
        <f>_xlfn.IFNA(VLOOKUP(Ruimtestaat[[#This Row],[Programmacode
Regulier]],Programma!$F$4:$Y$36148,2,0),"_")</f>
        <v>_</v>
      </c>
      <c r="AK126" s="247" t="str">
        <f>_xlfn.IFNA(VLOOKUP(Ruimtestaat[[#This Row],[Programmacode
Regulier]],Programma!$F$4:$Y$36148,3,0),"_")</f>
        <v>_</v>
      </c>
      <c r="AL126" s="247" t="str">
        <f>_xlfn.IFNA(VLOOKUP(Ruimtestaat[[#This Row],[Programmacode
Regulier]],Programma!$F$4:$Y$36148,4,0),"_")</f>
        <v>_</v>
      </c>
      <c r="AM126" s="247" t="str">
        <f>_xlfn.IFNA(VLOOKUP(Ruimtestaat[[#This Row],[Programmacode
Regulier]],Programma!$F$4:$Y$36148,5,0),"_")</f>
        <v>_</v>
      </c>
      <c r="AN126" s="247" t="str">
        <f>_xlfn.IFNA(VLOOKUP(Ruimtestaat[[#This Row],[Programmacode
Regulier]],Programma!$F$4:$Y$36148,6,0),"_")</f>
        <v>_</v>
      </c>
      <c r="AO126" s="247" t="str">
        <f>_xlfn.IFNA(VLOOKUP(Ruimtestaat[[#This Row],[Programmacode
Regulier]],Programma!$F$4:$Y$36148,7,0),"_")</f>
        <v>_</v>
      </c>
      <c r="AP126" s="247" t="str">
        <f>_xlfn.IFNA(VLOOKUP(Ruimtestaat[[#This Row],[Programmacode
Regulier]],Programma!$F$4:$Y$36148,8,0),"_")</f>
        <v>_</v>
      </c>
      <c r="AQ126" s="247" t="str">
        <f>_xlfn.IFNA(VLOOKUP(Ruimtestaat[[#This Row],[Programmacode
Regulier]],Programma!$F$4:$Y$36148,9,0),"_")</f>
        <v>_</v>
      </c>
      <c r="AR126" s="248" t="str">
        <f>_xlfn.IFNA(VLOOKUP(Ruimtestaat[[#This Row],[Programmacode
Regulier]],Programma!$F$4:$Y$36148,10,0),"_")</f>
        <v>_</v>
      </c>
      <c r="AS126" s="248" t="str">
        <f>_xlfn.IFNA(VLOOKUP(Ruimtestaat[[#This Row],[Programmacode
Regulier]],Programma!$F$4:$Y$36148,11,0),"_")</f>
        <v>_</v>
      </c>
      <c r="AT126" s="248" t="str">
        <f>_xlfn.IFNA(VLOOKUP(Ruimtestaat[[#This Row],[Programmacode
Regulier]],Programma!$F$4:$Y$36148,12,0),"_")</f>
        <v>_</v>
      </c>
      <c r="AU126" s="248" t="str">
        <f>_xlfn.IFNA(VLOOKUP(Ruimtestaat[[#This Row],[Programmacode
Regulier]],Programma!$F$4:$Y$36148,13,0),"_")</f>
        <v>_</v>
      </c>
      <c r="AV126" s="248" t="str">
        <f>_xlfn.IFNA(VLOOKUP(Ruimtestaat[[#This Row],[Programmacode
Regulier]],Programma!$F$4:$Y$36148,14,0),"_")</f>
        <v>_</v>
      </c>
      <c r="AW126" s="248" t="str">
        <f>_xlfn.IFNA(VLOOKUP(Ruimtestaat[[#This Row],[Programmacode
Regulier]],Programma!$F$4:$Y$36148,15,0),"_")</f>
        <v>_</v>
      </c>
      <c r="AX126" s="248" t="str">
        <f>_xlfn.IFNA(VLOOKUP(Ruimtestaat[[#This Row],[Programmacode
Regulier]],Programma!$F$4:$Y$36148,16,0),"_")</f>
        <v>_</v>
      </c>
      <c r="AY126" s="248" t="str">
        <f>_xlfn.IFNA(VLOOKUP(Ruimtestaat[[#This Row],[Programmacode
Regulier]],Programma!$F$4:$Y$36148,17,0),"_")</f>
        <v>_</v>
      </c>
      <c r="AZ126" s="249" t="str">
        <f>_xlfn.IFNA(VLOOKUP(Ruimtestaat[[#This Row],[Programmacode
Regulier]],Programma!$F$4:$Y$36148,18,0),"_")</f>
        <v>_</v>
      </c>
      <c r="BA126" s="249" t="str">
        <f>_xlfn.IFNA(VLOOKUP(Ruimtestaat[[#This Row],[Programmacode
Regulier]],Programma!$F$4:$Y$36148,19,0),"_")</f>
        <v>_</v>
      </c>
      <c r="BB126" s="249" t="str">
        <f>_xlfn.IFNA(VLOOKUP(Ruimtestaat[[#This Row],[Programmacode
Regulier]],Programma!$F$4:$Y$36148,20,0),"_")</f>
        <v>_</v>
      </c>
      <c r="BC126" s="250"/>
      <c r="BD126" s="212" t="str">
        <f>IF(Ruimtestaat[[#This Row],[Frequentie weekend]]="","",_xlfn.CONCAT(Ruimtestaat[[#This Row],[Ruimte code]],"-",Ruimtestaat[[#This Row],[Frequentie weekend]]," ",Ruimtestaat[[#This Row],[Vloer code]]))</f>
        <v/>
      </c>
      <c r="BE126" s="247" t="str">
        <f>_xlfn.IFNA(VLOOKUP(Ruimtestaat[[#This Row],[Code Weekend]],Programma!$F$4:$Y$36148,2,0),"_")</f>
        <v>_</v>
      </c>
      <c r="BF126" s="247" t="str">
        <f>_xlfn.IFNA(VLOOKUP(Ruimtestaat[[#This Row],[Code Weekend]],Programma!$F$4:$Y$36148,3,0),"_")</f>
        <v>_</v>
      </c>
      <c r="BG126" s="247" t="str">
        <f>_xlfn.IFNA(VLOOKUP(Ruimtestaat[[#This Row],[Code Weekend]],Programma!$F$4:$Y$36148,4,0),"_")</f>
        <v>_</v>
      </c>
      <c r="BH126" s="247" t="str">
        <f>_xlfn.IFNA(VLOOKUP(Ruimtestaat[[#This Row],[Code Weekend]],Programma!$F$4:$Y$36148,5,0),"_")</f>
        <v>_</v>
      </c>
      <c r="BI126" s="247" t="str">
        <f>_xlfn.IFNA(VLOOKUP(Ruimtestaat[[#This Row],[Code Weekend]],Programma!$F$4:$Y$36148,6,0),"_")</f>
        <v>_</v>
      </c>
      <c r="BJ126" s="247" t="str">
        <f>_xlfn.IFNA(VLOOKUP(Ruimtestaat[[#This Row],[Code Weekend]],Programma!$F$4:$Y$36148,7,0),"_")</f>
        <v>_</v>
      </c>
      <c r="BK126" s="247" t="str">
        <f>_xlfn.IFNA(VLOOKUP(Ruimtestaat[[#This Row],[Code Weekend]],Programma!$F$4:$Y$36148,8,0),"_")</f>
        <v>_</v>
      </c>
      <c r="BL126" s="247" t="str">
        <f>_xlfn.IFNA(VLOOKUP(Ruimtestaat[[#This Row],[Code Weekend]],Programma!$F$4:$Y$36148,9,0),"_")</f>
        <v>_</v>
      </c>
      <c r="BM126" s="248" t="str">
        <f>_xlfn.IFNA(VLOOKUP(Ruimtestaat[[#This Row],[Code Weekend]],Programma!$F$4:$Y$36148,10,0),"_")</f>
        <v>_</v>
      </c>
      <c r="BN126" s="248" t="str">
        <f>_xlfn.IFNA(VLOOKUP(Ruimtestaat[[#This Row],[Code Weekend]],Programma!$F$4:$Y$36148,11,0),"_")</f>
        <v>_</v>
      </c>
      <c r="BO126" s="248" t="str">
        <f>_xlfn.IFNA(VLOOKUP(Ruimtestaat[[#This Row],[Code Weekend]],Programma!$F$4:$Y$36148,12,0),"_")</f>
        <v>_</v>
      </c>
      <c r="BP126" s="248" t="str">
        <f>_xlfn.IFNA(VLOOKUP(Ruimtestaat[[#This Row],[Code Weekend]],Programma!$F$4:$Y$36148,13,0),"_")</f>
        <v>_</v>
      </c>
      <c r="BQ126" s="248" t="str">
        <f>_xlfn.IFNA(VLOOKUP(Ruimtestaat[[#This Row],[Code Weekend]],Programma!$F$4:$Y$36148,14,0),"_")</f>
        <v>_</v>
      </c>
      <c r="BR126" s="248" t="str">
        <f>_xlfn.IFNA(VLOOKUP(Ruimtestaat[[#This Row],[Code Weekend]],Programma!$F$4:$Y$36148,15,0),"_")</f>
        <v>_</v>
      </c>
      <c r="BS126" s="248" t="str">
        <f>_xlfn.IFNA(VLOOKUP(Ruimtestaat[[#This Row],[Code Weekend]],Programma!$F$4:$Y$36148,16,0),"_")</f>
        <v>_</v>
      </c>
      <c r="BT126" s="248" t="str">
        <f>_xlfn.IFNA(VLOOKUP(Ruimtestaat[[#This Row],[Code Weekend]],Programma!$F$4:$Y$36148,17,0),"_")</f>
        <v>_</v>
      </c>
      <c r="BU126" s="249" t="str">
        <f>_xlfn.IFNA(VLOOKUP(Ruimtestaat[[#This Row],[Code Weekend]],Programma!$F$4:$Y$36148,18,0),"_")</f>
        <v>_</v>
      </c>
      <c r="BV126" s="249" t="str">
        <f>_xlfn.IFNA(VLOOKUP(Ruimtestaat[[#This Row],[Code Weekend]],Programma!$F$4:$Y$36148,19,0),"_")</f>
        <v>_</v>
      </c>
      <c r="BW126" s="249" t="str">
        <f>_xlfn.IFNA(VLOOKUP(Ruimtestaat[[#This Row],[Code Weekend]],Programma!$F$4:$Y$36148,20,0),"_")</f>
        <v>_</v>
      </c>
      <c r="HK126" s="88"/>
    </row>
    <row r="127" spans="1:219" ht="12.75" customHeight="1">
      <c r="A127" s="334">
        <v>1</v>
      </c>
      <c r="B127" s="334" t="str">
        <f>VLOOKUP(Ruimtestaat[[#This Row],[Code]],Locaties[#All],2,FALSE)</f>
        <v>ESH Secondary School</v>
      </c>
      <c r="C127" s="212" t="str">
        <f>VLOOKUP(Ruimtestaat[[#This Row],[Code]],Locaties[#All],4,FALSE)</f>
        <v>Oostduinlaan 50</v>
      </c>
      <c r="D127" s="212" t="str">
        <f>VLOOKUP(Ruimtestaat[[#This Row],[Code]],Locaties[#All],5,FALSE)</f>
        <v>2596 JP</v>
      </c>
      <c r="E127" s="212" t="str">
        <f>VLOOKUP(Ruimtestaat[[#This Row],[Code]],Locaties[#All],6,FALSE)</f>
        <v>Den Haag</v>
      </c>
      <c r="F127" s="335"/>
      <c r="G127" s="334" t="s">
        <v>1611</v>
      </c>
      <c r="H127" s="334" t="s">
        <v>1571</v>
      </c>
      <c r="I127" s="335" t="s">
        <v>1523</v>
      </c>
      <c r="J127" s="328">
        <v>21</v>
      </c>
      <c r="K127" s="336" t="str">
        <f>VLOOKUP(J127,Ruimtegroepen[],2,FALSE)</f>
        <v>Niet in onderhoud</v>
      </c>
      <c r="L127" s="212"/>
      <c r="M127" s="334"/>
      <c r="N127" s="337"/>
      <c r="O127" s="331">
        <v>23</v>
      </c>
      <c r="P127" s="332" t="str">
        <f>VLOOKUP(Ruimtestaat[[#This Row],[Ruimte code]],Ruimtegroepen[],4,FALSE)</f>
        <v>NIO</v>
      </c>
      <c r="Q127" s="332"/>
      <c r="R127" s="333"/>
      <c r="S127" s="333"/>
      <c r="T127" s="37"/>
      <c r="U127" s="37">
        <f>IF(R127&gt;0,IF(RIGHT(Ruimtestaat[[#This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127" s="37">
        <f>IF(U127&gt;0,VLOOKUP($J127,Ruimtegroepen[],3,FALSE)*VLOOKUP($L127,Vloersoorten[],3,FALSE)*VLOOKUP($S127,Frequenties[],3,FALSE)*VLOOKUP($A127,Locaties[],3,FALSE),0)</f>
        <v>0</v>
      </c>
      <c r="W127" s="37">
        <f>Ruimtestaat[[#This Row],[Uitvoeringen werkdagen]]*Ruimtestaat[[#This Row],[Oppervlak (netto)]]</f>
        <v>0</v>
      </c>
      <c r="X127" s="37">
        <f>IF(V127&gt;0,Ruimtestaat[[#This Row],[Prest. (m2 /jaar) werkdagen]]/Ruimtestaat[[#This Row],[Norm (m2/uur) werkdagen]],0)</f>
        <v>0</v>
      </c>
      <c r="Y127" s="37">
        <f>Ruimtestaat[[#This Row],[uren / jaar werkdagen]]*Tariefsopbouw!$D$38</f>
        <v>0</v>
      </c>
      <c r="Z127" s="37">
        <f>IF(Ruimtestaat[[#This Row],[Frequentie weekend]]&gt;0,VALUE(LEFT(T127,1))*R127,0)</f>
        <v>0</v>
      </c>
      <c r="AA127" s="37">
        <f>IF($Z127&gt;0,VLOOKUP($J127,Ruimtegroepen[],3,FALSE)*VLOOKUP($L127,Vloersoorten[],3,FALSE)*VLOOKUP($T127,Frequenties[],3,FALSE)*VLOOKUP($A127,Locaties[],3,FALSE),0)</f>
        <v>0</v>
      </c>
      <c r="AB127" s="37">
        <f>Ruimtestaat[[#This Row],[Uitvoeringen weekend]]*Ruimtestaat[[#This Row],[Oppervlak (netto)]]</f>
        <v>0</v>
      </c>
      <c r="AC127" s="37">
        <f>IF(AA127&gt;0,Ruimtestaat[[#This Row],[Prest. (m2 /jaar) weekend]]/Ruimtestaat[[#This Row],[Norm (m2/uur) weekend]],0)</f>
        <v>0</v>
      </c>
      <c r="AD127" s="37">
        <f>Ruimtestaat[[#This Row],[uren / jaar weekend]]*Tariefsopbouw!$D$40</f>
        <v>0</v>
      </c>
      <c r="AE127" s="89">
        <f>Ruimtestaat[[#This Row],[Prest. (m2 /jaar) weekend]]+Ruimtestaat[[#This Row],[Prest. (m2 /jaar) werkdagen]]</f>
        <v>0</v>
      </c>
      <c r="AF127" s="89">
        <f>Ruimtestaat[[#This Row],[uren / jaar weekend]]+Ruimtestaat[[#This Row],[uren / jaar werkdagen]]</f>
        <v>0</v>
      </c>
      <c r="AG127" s="90">
        <f>Ruimtestaat[[#This Row],[kosten / jaar weekend]]+Ruimtestaat[[#This Row],[kosten / jaar werkdagen]]</f>
        <v>0</v>
      </c>
      <c r="AH127" s="253"/>
      <c r="AI127" s="252" t="str">
        <f>IF(Ruimtestaat[[#This Row],[Frequentie werkdagen]]="","",_xlfn.CONCAT(Ruimtestaat[[#This Row],[Ruimte code]],"-",Ruimtestaat[[#This Row],[Frequentie werkdagen]]," ",Ruimtestaat[[#This Row],[Vloer code]]))</f>
        <v/>
      </c>
      <c r="AJ127" s="247" t="str">
        <f>_xlfn.IFNA(VLOOKUP(Ruimtestaat[[#This Row],[Programmacode
Regulier]],Programma!$F$4:$Y$36148,2,0),"_")</f>
        <v>_</v>
      </c>
      <c r="AK127" s="247" t="str">
        <f>_xlfn.IFNA(VLOOKUP(Ruimtestaat[[#This Row],[Programmacode
Regulier]],Programma!$F$4:$Y$36148,3,0),"_")</f>
        <v>_</v>
      </c>
      <c r="AL127" s="247" t="str">
        <f>_xlfn.IFNA(VLOOKUP(Ruimtestaat[[#This Row],[Programmacode
Regulier]],Programma!$F$4:$Y$36148,4,0),"_")</f>
        <v>_</v>
      </c>
      <c r="AM127" s="247" t="str">
        <f>_xlfn.IFNA(VLOOKUP(Ruimtestaat[[#This Row],[Programmacode
Regulier]],Programma!$F$4:$Y$36148,5,0),"_")</f>
        <v>_</v>
      </c>
      <c r="AN127" s="247" t="str">
        <f>_xlfn.IFNA(VLOOKUP(Ruimtestaat[[#This Row],[Programmacode
Regulier]],Programma!$F$4:$Y$36148,6,0),"_")</f>
        <v>_</v>
      </c>
      <c r="AO127" s="247" t="str">
        <f>_xlfn.IFNA(VLOOKUP(Ruimtestaat[[#This Row],[Programmacode
Regulier]],Programma!$F$4:$Y$36148,7,0),"_")</f>
        <v>_</v>
      </c>
      <c r="AP127" s="247" t="str">
        <f>_xlfn.IFNA(VLOOKUP(Ruimtestaat[[#This Row],[Programmacode
Regulier]],Programma!$F$4:$Y$36148,8,0),"_")</f>
        <v>_</v>
      </c>
      <c r="AQ127" s="247" t="str">
        <f>_xlfn.IFNA(VLOOKUP(Ruimtestaat[[#This Row],[Programmacode
Regulier]],Programma!$F$4:$Y$36148,9,0),"_")</f>
        <v>_</v>
      </c>
      <c r="AR127" s="248" t="str">
        <f>_xlfn.IFNA(VLOOKUP(Ruimtestaat[[#This Row],[Programmacode
Regulier]],Programma!$F$4:$Y$36148,10,0),"_")</f>
        <v>_</v>
      </c>
      <c r="AS127" s="248" t="str">
        <f>_xlfn.IFNA(VLOOKUP(Ruimtestaat[[#This Row],[Programmacode
Regulier]],Programma!$F$4:$Y$36148,11,0),"_")</f>
        <v>_</v>
      </c>
      <c r="AT127" s="248" t="str">
        <f>_xlfn.IFNA(VLOOKUP(Ruimtestaat[[#This Row],[Programmacode
Regulier]],Programma!$F$4:$Y$36148,12,0),"_")</f>
        <v>_</v>
      </c>
      <c r="AU127" s="248" t="str">
        <f>_xlfn.IFNA(VLOOKUP(Ruimtestaat[[#This Row],[Programmacode
Regulier]],Programma!$F$4:$Y$36148,13,0),"_")</f>
        <v>_</v>
      </c>
      <c r="AV127" s="248" t="str">
        <f>_xlfn.IFNA(VLOOKUP(Ruimtestaat[[#This Row],[Programmacode
Regulier]],Programma!$F$4:$Y$36148,14,0),"_")</f>
        <v>_</v>
      </c>
      <c r="AW127" s="248" t="str">
        <f>_xlfn.IFNA(VLOOKUP(Ruimtestaat[[#This Row],[Programmacode
Regulier]],Programma!$F$4:$Y$36148,15,0),"_")</f>
        <v>_</v>
      </c>
      <c r="AX127" s="248" t="str">
        <f>_xlfn.IFNA(VLOOKUP(Ruimtestaat[[#This Row],[Programmacode
Regulier]],Programma!$F$4:$Y$36148,16,0),"_")</f>
        <v>_</v>
      </c>
      <c r="AY127" s="248" t="str">
        <f>_xlfn.IFNA(VLOOKUP(Ruimtestaat[[#This Row],[Programmacode
Regulier]],Programma!$F$4:$Y$36148,17,0),"_")</f>
        <v>_</v>
      </c>
      <c r="AZ127" s="249" t="str">
        <f>_xlfn.IFNA(VLOOKUP(Ruimtestaat[[#This Row],[Programmacode
Regulier]],Programma!$F$4:$Y$36148,18,0),"_")</f>
        <v>_</v>
      </c>
      <c r="BA127" s="249" t="str">
        <f>_xlfn.IFNA(VLOOKUP(Ruimtestaat[[#This Row],[Programmacode
Regulier]],Programma!$F$4:$Y$36148,19,0),"_")</f>
        <v>_</v>
      </c>
      <c r="BB127" s="249" t="str">
        <f>_xlfn.IFNA(VLOOKUP(Ruimtestaat[[#This Row],[Programmacode
Regulier]],Programma!$F$4:$Y$36148,20,0),"_")</f>
        <v>_</v>
      </c>
      <c r="BC127" s="250"/>
      <c r="BD127" s="212" t="str">
        <f>IF(Ruimtestaat[[#This Row],[Frequentie weekend]]="","",_xlfn.CONCAT(Ruimtestaat[[#This Row],[Ruimte code]],"-",Ruimtestaat[[#This Row],[Frequentie weekend]]," ",Ruimtestaat[[#This Row],[Vloer code]]))</f>
        <v/>
      </c>
      <c r="BE127" s="247" t="str">
        <f>_xlfn.IFNA(VLOOKUP(Ruimtestaat[[#This Row],[Code Weekend]],Programma!$F$4:$Y$36148,2,0),"_")</f>
        <v>_</v>
      </c>
      <c r="BF127" s="247" t="str">
        <f>_xlfn.IFNA(VLOOKUP(Ruimtestaat[[#This Row],[Code Weekend]],Programma!$F$4:$Y$36148,3,0),"_")</f>
        <v>_</v>
      </c>
      <c r="BG127" s="247" t="str">
        <f>_xlfn.IFNA(VLOOKUP(Ruimtestaat[[#This Row],[Code Weekend]],Programma!$F$4:$Y$36148,4,0),"_")</f>
        <v>_</v>
      </c>
      <c r="BH127" s="247" t="str">
        <f>_xlfn.IFNA(VLOOKUP(Ruimtestaat[[#This Row],[Code Weekend]],Programma!$F$4:$Y$36148,5,0),"_")</f>
        <v>_</v>
      </c>
      <c r="BI127" s="247" t="str">
        <f>_xlfn.IFNA(VLOOKUP(Ruimtestaat[[#This Row],[Code Weekend]],Programma!$F$4:$Y$36148,6,0),"_")</f>
        <v>_</v>
      </c>
      <c r="BJ127" s="247" t="str">
        <f>_xlfn.IFNA(VLOOKUP(Ruimtestaat[[#This Row],[Code Weekend]],Programma!$F$4:$Y$36148,7,0),"_")</f>
        <v>_</v>
      </c>
      <c r="BK127" s="247" t="str">
        <f>_xlfn.IFNA(VLOOKUP(Ruimtestaat[[#This Row],[Code Weekend]],Programma!$F$4:$Y$36148,8,0),"_")</f>
        <v>_</v>
      </c>
      <c r="BL127" s="247" t="str">
        <f>_xlfn.IFNA(VLOOKUP(Ruimtestaat[[#This Row],[Code Weekend]],Programma!$F$4:$Y$36148,9,0),"_")</f>
        <v>_</v>
      </c>
      <c r="BM127" s="248" t="str">
        <f>_xlfn.IFNA(VLOOKUP(Ruimtestaat[[#This Row],[Code Weekend]],Programma!$F$4:$Y$36148,10,0),"_")</f>
        <v>_</v>
      </c>
      <c r="BN127" s="248" t="str">
        <f>_xlfn.IFNA(VLOOKUP(Ruimtestaat[[#This Row],[Code Weekend]],Programma!$F$4:$Y$36148,11,0),"_")</f>
        <v>_</v>
      </c>
      <c r="BO127" s="248" t="str">
        <f>_xlfn.IFNA(VLOOKUP(Ruimtestaat[[#This Row],[Code Weekend]],Programma!$F$4:$Y$36148,12,0),"_")</f>
        <v>_</v>
      </c>
      <c r="BP127" s="248" t="str">
        <f>_xlfn.IFNA(VLOOKUP(Ruimtestaat[[#This Row],[Code Weekend]],Programma!$F$4:$Y$36148,13,0),"_")</f>
        <v>_</v>
      </c>
      <c r="BQ127" s="248" t="str">
        <f>_xlfn.IFNA(VLOOKUP(Ruimtestaat[[#This Row],[Code Weekend]],Programma!$F$4:$Y$36148,14,0),"_")</f>
        <v>_</v>
      </c>
      <c r="BR127" s="248" t="str">
        <f>_xlfn.IFNA(VLOOKUP(Ruimtestaat[[#This Row],[Code Weekend]],Programma!$F$4:$Y$36148,15,0),"_")</f>
        <v>_</v>
      </c>
      <c r="BS127" s="248" t="str">
        <f>_xlfn.IFNA(VLOOKUP(Ruimtestaat[[#This Row],[Code Weekend]],Programma!$F$4:$Y$36148,16,0),"_")</f>
        <v>_</v>
      </c>
      <c r="BT127" s="248" t="str">
        <f>_xlfn.IFNA(VLOOKUP(Ruimtestaat[[#This Row],[Code Weekend]],Programma!$F$4:$Y$36148,17,0),"_")</f>
        <v>_</v>
      </c>
      <c r="BU127" s="249" t="str">
        <f>_xlfn.IFNA(VLOOKUP(Ruimtestaat[[#This Row],[Code Weekend]],Programma!$F$4:$Y$36148,18,0),"_")</f>
        <v>_</v>
      </c>
      <c r="BV127" s="249" t="str">
        <f>_xlfn.IFNA(VLOOKUP(Ruimtestaat[[#This Row],[Code Weekend]],Programma!$F$4:$Y$36148,19,0),"_")</f>
        <v>_</v>
      </c>
      <c r="BW127" s="249" t="str">
        <f>_xlfn.IFNA(VLOOKUP(Ruimtestaat[[#This Row],[Code Weekend]],Programma!$F$4:$Y$36148,20,0),"_")</f>
        <v>_</v>
      </c>
      <c r="HK127" s="88"/>
    </row>
    <row r="128" spans="1:219" ht="12.75" customHeight="1">
      <c r="A128" s="334">
        <v>1</v>
      </c>
      <c r="B128" s="334" t="str">
        <f>VLOOKUP(Ruimtestaat[[#This Row],[Code]],Locaties[#All],2,FALSE)</f>
        <v>ESH Secondary School</v>
      </c>
      <c r="C128" s="212" t="str">
        <f>VLOOKUP(Ruimtestaat[[#This Row],[Code]],Locaties[#All],4,FALSE)</f>
        <v>Oostduinlaan 50</v>
      </c>
      <c r="D128" s="212" t="str">
        <f>VLOOKUP(Ruimtestaat[[#This Row],[Code]],Locaties[#All],5,FALSE)</f>
        <v>2596 JP</v>
      </c>
      <c r="E128" s="212" t="str">
        <f>VLOOKUP(Ruimtestaat[[#This Row],[Code]],Locaties[#All],6,FALSE)</f>
        <v>Den Haag</v>
      </c>
      <c r="F128" s="335"/>
      <c r="G128" s="334" t="s">
        <v>1677</v>
      </c>
      <c r="H128" s="334" t="s">
        <v>1622</v>
      </c>
      <c r="I128" s="335" t="s">
        <v>1678</v>
      </c>
      <c r="J128" s="212">
        <v>13</v>
      </c>
      <c r="K128" s="336" t="str">
        <f>VLOOKUP(J128,Ruimtegroepen[],2,FALSE)</f>
        <v>Personeelskamer</v>
      </c>
      <c r="L128" s="212" t="s">
        <v>120</v>
      </c>
      <c r="M128" s="334" t="s">
        <v>43</v>
      </c>
      <c r="N128" s="337">
        <v>133</v>
      </c>
      <c r="O128" s="331"/>
      <c r="P128" s="332" t="str">
        <f>VLOOKUP(Ruimtestaat[[#This Row],[Ruimte code]],Ruimtegroepen[],4,FALSE)</f>
        <v>V  (Verkeersruimte)</v>
      </c>
      <c r="Q128" s="332"/>
      <c r="R128" s="333">
        <v>40</v>
      </c>
      <c r="S128" s="333" t="s">
        <v>19</v>
      </c>
      <c r="T128" s="37"/>
      <c r="U128" s="37">
        <f>IF(R128&gt;0,IF(RIGHT(Ruimtestaat[[#This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128" s="37">
        <f>IF(U128&gt;0,VLOOKUP($J128,Ruimtegroepen[],3,FALSE)*VLOOKUP($L128,Vloersoorten[],3,FALSE)*VLOOKUP($S128,Frequenties[],3,FALSE)*VLOOKUP($A128,Locaties[],3,FALSE),0)</f>
        <v>0</v>
      </c>
      <c r="W128" s="37">
        <f>Ruimtestaat[[#This Row],[Uitvoeringen werkdagen]]*Ruimtestaat[[#This Row],[Oppervlak (netto)]]</f>
        <v>53200</v>
      </c>
      <c r="X128" s="37">
        <f>IF(V128&gt;0,Ruimtestaat[[#This Row],[Prest. (m2 /jaar) werkdagen]]/Ruimtestaat[[#This Row],[Norm (m2/uur) werkdagen]],0)</f>
        <v>0</v>
      </c>
      <c r="Y128" s="37">
        <f>Ruimtestaat[[#This Row],[uren / jaar werkdagen]]*Tariefsopbouw!$D$38</f>
        <v>0</v>
      </c>
      <c r="Z128" s="37">
        <f>IF(Ruimtestaat[[#This Row],[Frequentie weekend]]&gt;0,VALUE(LEFT(T128,1))*R128,0)</f>
        <v>0</v>
      </c>
      <c r="AA128" s="37">
        <f>IF($Z128&gt;0,VLOOKUP($J128,Ruimtegroepen[],3,FALSE)*VLOOKUP($L128,Vloersoorten[],3,FALSE)*VLOOKUP($T128,Frequenties[],3,FALSE)*VLOOKUP($A128,Locaties[],3,FALSE),0)</f>
        <v>0</v>
      </c>
      <c r="AB128" s="37">
        <f>Ruimtestaat[[#This Row],[Uitvoeringen weekend]]*Ruimtestaat[[#This Row],[Oppervlak (netto)]]</f>
        <v>0</v>
      </c>
      <c r="AC128" s="37">
        <f>IF(AA128&gt;0,Ruimtestaat[[#This Row],[Prest. (m2 /jaar) weekend]]/Ruimtestaat[[#This Row],[Norm (m2/uur) weekend]],0)</f>
        <v>0</v>
      </c>
      <c r="AD128" s="37">
        <f>Ruimtestaat[[#This Row],[uren / jaar weekend]]*Tariefsopbouw!$D$40</f>
        <v>0</v>
      </c>
      <c r="AE128" s="89">
        <f>Ruimtestaat[[#This Row],[Prest. (m2 /jaar) weekend]]+Ruimtestaat[[#This Row],[Prest. (m2 /jaar) werkdagen]]</f>
        <v>53200</v>
      </c>
      <c r="AF128" s="89">
        <f>Ruimtestaat[[#This Row],[uren / jaar weekend]]+Ruimtestaat[[#This Row],[uren / jaar werkdagen]]</f>
        <v>0</v>
      </c>
      <c r="AG128" s="90">
        <f>Ruimtestaat[[#This Row],[kosten / jaar weekend]]+Ruimtestaat[[#This Row],[kosten / jaar werkdagen]]</f>
        <v>0</v>
      </c>
      <c r="AH128" s="253"/>
      <c r="AI128" s="252" t="str">
        <f>IF(Ruimtestaat[[#This Row],[Frequentie werkdagen]]="","",_xlfn.CONCAT(Ruimtestaat[[#This Row],[Ruimte code]],"-",Ruimtestaat[[#This Row],[Frequentie werkdagen]]," ",Ruimtestaat[[#This Row],[Vloer code]]))</f>
        <v>13-10w T</v>
      </c>
      <c r="AJ128" s="247" t="str">
        <f>_xlfn.IFNA(VLOOKUP(Ruimtestaat[[#This Row],[Programmacode
Regulier]],Programma!$F$4:$Y$36148,2,0),"_")</f>
        <v>4w</v>
      </c>
      <c r="AK128" s="247" t="str">
        <f>_xlfn.IFNA(VLOOKUP(Ruimtestaat[[#This Row],[Programmacode
Regulier]],Programma!$F$4:$Y$36148,3,0),"_")</f>
        <v>1w</v>
      </c>
      <c r="AL128" s="247" t="str">
        <f>_xlfn.IFNA(VLOOKUP(Ruimtestaat[[#This Row],[Programmacode
Regulier]],Programma!$F$4:$Y$36148,4,0),"_")</f>
        <v>_</v>
      </c>
      <c r="AM128" s="247" t="str">
        <f>_xlfn.IFNA(VLOOKUP(Ruimtestaat[[#This Row],[Programmacode
Regulier]],Programma!$F$4:$Y$36148,5,0),"_")</f>
        <v>_</v>
      </c>
      <c r="AN128" s="247" t="str">
        <f>_xlfn.IFNA(VLOOKUP(Ruimtestaat[[#This Row],[Programmacode
Regulier]],Programma!$F$4:$Y$36148,6,0),"_")</f>
        <v>_</v>
      </c>
      <c r="AO128" s="247" t="str">
        <f>_xlfn.IFNA(VLOOKUP(Ruimtestaat[[#This Row],[Programmacode
Regulier]],Programma!$F$4:$Y$36148,7,0),"_")</f>
        <v>_</v>
      </c>
      <c r="AP128" s="247" t="str">
        <f>_xlfn.IFNA(VLOOKUP(Ruimtestaat[[#This Row],[Programmacode
Regulier]],Programma!$F$4:$Y$36148,8,0),"_")</f>
        <v>_</v>
      </c>
      <c r="AQ128" s="247" t="str">
        <f>_xlfn.IFNA(VLOOKUP(Ruimtestaat[[#This Row],[Programmacode
Regulier]],Programma!$F$4:$Y$36148,9,0),"_")</f>
        <v>5w</v>
      </c>
      <c r="AR128" s="248" t="str">
        <f>_xlfn.IFNA(VLOOKUP(Ruimtestaat[[#This Row],[Programmacode
Regulier]],Programma!$F$4:$Y$36148,10,0),"_")</f>
        <v>5w</v>
      </c>
      <c r="AS128" s="248" t="str">
        <f>_xlfn.IFNA(VLOOKUP(Ruimtestaat[[#This Row],[Programmacode
Regulier]],Programma!$F$4:$Y$36148,11,0),"_")</f>
        <v>5w</v>
      </c>
      <c r="AT128" s="248" t="str">
        <f>_xlfn.IFNA(VLOOKUP(Ruimtestaat[[#This Row],[Programmacode
Regulier]],Programma!$F$4:$Y$36148,12,0),"_")</f>
        <v>1w</v>
      </c>
      <c r="AU128" s="248" t="str">
        <f>_xlfn.IFNA(VLOOKUP(Ruimtestaat[[#This Row],[Programmacode
Regulier]],Programma!$F$4:$Y$36148,13,0),"_")</f>
        <v>1w</v>
      </c>
      <c r="AV128" s="248" t="str">
        <f>_xlfn.IFNA(VLOOKUP(Ruimtestaat[[#This Row],[Programmacode
Regulier]],Programma!$F$4:$Y$36148,14,0),"_")</f>
        <v>1m</v>
      </c>
      <c r="AW128" s="248" t="str">
        <f>_xlfn.IFNA(VLOOKUP(Ruimtestaat[[#This Row],[Programmacode
Regulier]],Programma!$F$4:$Y$36148,15,0),"_")</f>
        <v>2j</v>
      </c>
      <c r="AX128" s="248" t="str">
        <f>_xlfn.IFNA(VLOOKUP(Ruimtestaat[[#This Row],[Programmacode
Regulier]],Programma!$F$4:$Y$36148,16,0),"_")</f>
        <v>1j</v>
      </c>
      <c r="AY128" s="248" t="str">
        <f>_xlfn.IFNA(VLOOKUP(Ruimtestaat[[#This Row],[Programmacode
Regulier]],Programma!$F$4:$Y$36148,17,0),"_")</f>
        <v>5w</v>
      </c>
      <c r="AZ128" s="249" t="str">
        <f>_xlfn.IFNA(VLOOKUP(Ruimtestaat[[#This Row],[Programmacode
Regulier]],Programma!$F$4:$Y$36148,18,0),"_")</f>
        <v>_</v>
      </c>
      <c r="BA128" s="249" t="str">
        <f>_xlfn.IFNA(VLOOKUP(Ruimtestaat[[#This Row],[Programmacode
Regulier]],Programma!$F$4:$Y$36148,19,0),"_")</f>
        <v>_</v>
      </c>
      <c r="BB128" s="249" t="str">
        <f>_xlfn.IFNA(VLOOKUP(Ruimtestaat[[#This Row],[Programmacode
Regulier]],Programma!$F$4:$Y$36148,20,0),"_")</f>
        <v>_</v>
      </c>
      <c r="BC128" s="250"/>
      <c r="BD128" s="212" t="str">
        <f>IF(Ruimtestaat[[#This Row],[Frequentie weekend]]="","",_xlfn.CONCAT(Ruimtestaat[[#This Row],[Ruimte code]],"-",Ruimtestaat[[#This Row],[Frequentie weekend]]," ",Ruimtestaat[[#This Row],[Vloer code]]))</f>
        <v/>
      </c>
      <c r="BE128" s="247" t="str">
        <f>_xlfn.IFNA(VLOOKUP(Ruimtestaat[[#This Row],[Code Weekend]],Programma!$F$4:$Y$36148,2,0),"_")</f>
        <v>_</v>
      </c>
      <c r="BF128" s="247" t="str">
        <f>_xlfn.IFNA(VLOOKUP(Ruimtestaat[[#This Row],[Code Weekend]],Programma!$F$4:$Y$36148,3,0),"_")</f>
        <v>_</v>
      </c>
      <c r="BG128" s="247" t="str">
        <f>_xlfn.IFNA(VLOOKUP(Ruimtestaat[[#This Row],[Code Weekend]],Programma!$F$4:$Y$36148,4,0),"_")</f>
        <v>_</v>
      </c>
      <c r="BH128" s="247" t="str">
        <f>_xlfn.IFNA(VLOOKUP(Ruimtestaat[[#This Row],[Code Weekend]],Programma!$F$4:$Y$36148,5,0),"_")</f>
        <v>_</v>
      </c>
      <c r="BI128" s="247" t="str">
        <f>_xlfn.IFNA(VLOOKUP(Ruimtestaat[[#This Row],[Code Weekend]],Programma!$F$4:$Y$36148,6,0),"_")</f>
        <v>_</v>
      </c>
      <c r="BJ128" s="247" t="str">
        <f>_xlfn.IFNA(VLOOKUP(Ruimtestaat[[#This Row],[Code Weekend]],Programma!$F$4:$Y$36148,7,0),"_")</f>
        <v>_</v>
      </c>
      <c r="BK128" s="247" t="str">
        <f>_xlfn.IFNA(VLOOKUP(Ruimtestaat[[#This Row],[Code Weekend]],Programma!$F$4:$Y$36148,8,0),"_")</f>
        <v>_</v>
      </c>
      <c r="BL128" s="247" t="str">
        <f>_xlfn.IFNA(VLOOKUP(Ruimtestaat[[#This Row],[Code Weekend]],Programma!$F$4:$Y$36148,9,0),"_")</f>
        <v>_</v>
      </c>
      <c r="BM128" s="248" t="str">
        <f>_xlfn.IFNA(VLOOKUP(Ruimtestaat[[#This Row],[Code Weekend]],Programma!$F$4:$Y$36148,10,0),"_")</f>
        <v>_</v>
      </c>
      <c r="BN128" s="248" t="str">
        <f>_xlfn.IFNA(VLOOKUP(Ruimtestaat[[#This Row],[Code Weekend]],Programma!$F$4:$Y$36148,11,0),"_")</f>
        <v>_</v>
      </c>
      <c r="BO128" s="248" t="str">
        <f>_xlfn.IFNA(VLOOKUP(Ruimtestaat[[#This Row],[Code Weekend]],Programma!$F$4:$Y$36148,12,0),"_")</f>
        <v>_</v>
      </c>
      <c r="BP128" s="248" t="str">
        <f>_xlfn.IFNA(VLOOKUP(Ruimtestaat[[#This Row],[Code Weekend]],Programma!$F$4:$Y$36148,13,0),"_")</f>
        <v>_</v>
      </c>
      <c r="BQ128" s="248" t="str">
        <f>_xlfn.IFNA(VLOOKUP(Ruimtestaat[[#This Row],[Code Weekend]],Programma!$F$4:$Y$36148,14,0),"_")</f>
        <v>_</v>
      </c>
      <c r="BR128" s="248" t="str">
        <f>_xlfn.IFNA(VLOOKUP(Ruimtestaat[[#This Row],[Code Weekend]],Programma!$F$4:$Y$36148,15,0),"_")</f>
        <v>_</v>
      </c>
      <c r="BS128" s="248" t="str">
        <f>_xlfn.IFNA(VLOOKUP(Ruimtestaat[[#This Row],[Code Weekend]],Programma!$F$4:$Y$36148,16,0),"_")</f>
        <v>_</v>
      </c>
      <c r="BT128" s="248" t="str">
        <f>_xlfn.IFNA(VLOOKUP(Ruimtestaat[[#This Row],[Code Weekend]],Programma!$F$4:$Y$36148,17,0),"_")</f>
        <v>_</v>
      </c>
      <c r="BU128" s="249" t="str">
        <f>_xlfn.IFNA(VLOOKUP(Ruimtestaat[[#This Row],[Code Weekend]],Programma!$F$4:$Y$36148,18,0),"_")</f>
        <v>_</v>
      </c>
      <c r="BV128" s="249" t="str">
        <f>_xlfn.IFNA(VLOOKUP(Ruimtestaat[[#This Row],[Code Weekend]],Programma!$F$4:$Y$36148,19,0),"_")</f>
        <v>_</v>
      </c>
      <c r="BW128" s="249" t="str">
        <f>_xlfn.IFNA(VLOOKUP(Ruimtestaat[[#This Row],[Code Weekend]],Programma!$F$4:$Y$36148,20,0),"_")</f>
        <v>_</v>
      </c>
    </row>
    <row r="129" spans="1:75" ht="12.75" customHeight="1">
      <c r="A129" s="334">
        <v>1</v>
      </c>
      <c r="B129" s="334" t="str">
        <f>VLOOKUP(Ruimtestaat[[#This Row],[Code]],Locaties[#All],2,FALSE)</f>
        <v>ESH Secondary School</v>
      </c>
      <c r="C129" s="212" t="str">
        <f>VLOOKUP(Ruimtestaat[[#This Row],[Code]],Locaties[#All],4,FALSE)</f>
        <v>Oostduinlaan 50</v>
      </c>
      <c r="D129" s="212" t="str">
        <f>VLOOKUP(Ruimtestaat[[#This Row],[Code]],Locaties[#All],5,FALSE)</f>
        <v>2596 JP</v>
      </c>
      <c r="E129" s="212" t="str">
        <f>VLOOKUP(Ruimtestaat[[#This Row],[Code]],Locaties[#All],6,FALSE)</f>
        <v>Den Haag</v>
      </c>
      <c r="F129" s="335"/>
      <c r="G129" s="334" t="s">
        <v>1677</v>
      </c>
      <c r="H129" s="334" t="s">
        <v>1623</v>
      </c>
      <c r="I129" s="335" t="s">
        <v>1679</v>
      </c>
      <c r="J129" s="328">
        <v>5</v>
      </c>
      <c r="K129" s="336" t="str">
        <f>VLOOKUP(J129,Ruimtegroepen[],2,FALSE)</f>
        <v>Sanitair</v>
      </c>
      <c r="L129" s="212" t="s">
        <v>123</v>
      </c>
      <c r="M129" s="334" t="s">
        <v>144</v>
      </c>
      <c r="N129" s="337">
        <v>5</v>
      </c>
      <c r="O129" s="331"/>
      <c r="P129" s="332" t="str">
        <f>VLOOKUP(Ruimtestaat[[#This Row],[Ruimte code]],Ruimtegroepen[],4,FALSE)</f>
        <v>S  (Sanitair)</v>
      </c>
      <c r="Q129" s="332"/>
      <c r="R129" s="333">
        <v>40</v>
      </c>
      <c r="S129" s="333" t="s">
        <v>19</v>
      </c>
      <c r="T129" s="37"/>
      <c r="U129" s="37">
        <f>IF(R129&gt;0,IF(RIGHT(Ruimtestaat[[#This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129" s="37">
        <f>IF(U129&gt;0,VLOOKUP($J129,Ruimtegroepen[],3,FALSE)*VLOOKUP($L129,Vloersoorten[],3,FALSE)*VLOOKUP($S129,Frequenties[],3,FALSE)*VLOOKUP($A129,Locaties[],3,FALSE),0)</f>
        <v>0</v>
      </c>
      <c r="W129" s="37">
        <f>Ruimtestaat[[#This Row],[Uitvoeringen werkdagen]]*Ruimtestaat[[#This Row],[Oppervlak (netto)]]</f>
        <v>2000</v>
      </c>
      <c r="X129" s="37">
        <f>IF(V129&gt;0,Ruimtestaat[[#This Row],[Prest. (m2 /jaar) werkdagen]]/Ruimtestaat[[#This Row],[Norm (m2/uur) werkdagen]],0)</f>
        <v>0</v>
      </c>
      <c r="Y129" s="37">
        <f>Ruimtestaat[[#This Row],[uren / jaar werkdagen]]*Tariefsopbouw!$D$38</f>
        <v>0</v>
      </c>
      <c r="Z129" s="37">
        <f>IF(Ruimtestaat[[#This Row],[Frequentie weekend]]&gt;0,VALUE(LEFT(T129,1))*R129,0)</f>
        <v>0</v>
      </c>
      <c r="AA129" s="37">
        <f>IF($Z129&gt;0,VLOOKUP($J129,Ruimtegroepen[],3,FALSE)*VLOOKUP($L129,Vloersoorten[],3,FALSE)*VLOOKUP($T129,Frequenties[],3,FALSE)*VLOOKUP($A129,Locaties[],3,FALSE),0)</f>
        <v>0</v>
      </c>
      <c r="AB129" s="37">
        <f>Ruimtestaat[[#This Row],[Uitvoeringen weekend]]*Ruimtestaat[[#This Row],[Oppervlak (netto)]]</f>
        <v>0</v>
      </c>
      <c r="AC129" s="37">
        <f>IF(AA129&gt;0,Ruimtestaat[[#This Row],[Prest. (m2 /jaar) weekend]]/Ruimtestaat[[#This Row],[Norm (m2/uur) weekend]],0)</f>
        <v>0</v>
      </c>
      <c r="AD129" s="37">
        <f>Ruimtestaat[[#This Row],[uren / jaar weekend]]*Tariefsopbouw!$D$40</f>
        <v>0</v>
      </c>
      <c r="AE129" s="89">
        <f>Ruimtestaat[[#This Row],[Prest. (m2 /jaar) weekend]]+Ruimtestaat[[#This Row],[Prest. (m2 /jaar) werkdagen]]</f>
        <v>2000</v>
      </c>
      <c r="AF129" s="89">
        <f>Ruimtestaat[[#This Row],[uren / jaar weekend]]+Ruimtestaat[[#This Row],[uren / jaar werkdagen]]</f>
        <v>0</v>
      </c>
      <c r="AG129" s="90">
        <f>Ruimtestaat[[#This Row],[kosten / jaar weekend]]+Ruimtestaat[[#This Row],[kosten / jaar werkdagen]]</f>
        <v>0</v>
      </c>
      <c r="AH129" s="253"/>
      <c r="AI129" s="252" t="str">
        <f>IF(Ruimtestaat[[#This Row],[Frequentie werkdagen]]="","",_xlfn.CONCAT(Ruimtestaat[[#This Row],[Ruimte code]],"-",Ruimtestaat[[#This Row],[Frequentie werkdagen]]," ",Ruimtestaat[[#This Row],[Vloer code]]))</f>
        <v>5-10w P</v>
      </c>
      <c r="AJ129" s="247" t="str">
        <f>_xlfn.IFNA(VLOOKUP(Ruimtestaat[[#This Row],[Programmacode
Regulier]],Programma!$F$4:$Y$36148,2,0),"_")</f>
        <v>_</v>
      </c>
      <c r="AK129" s="247" t="str">
        <f>_xlfn.IFNA(VLOOKUP(Ruimtestaat[[#This Row],[Programmacode
Regulier]],Programma!$F$4:$Y$36148,3,0),"_")</f>
        <v>_</v>
      </c>
      <c r="AL129" s="247" t="str">
        <f>_xlfn.IFNA(VLOOKUP(Ruimtestaat[[#This Row],[Programmacode
Regulier]],Programma!$F$4:$Y$36148,4,0),"_")</f>
        <v>_</v>
      </c>
      <c r="AM129" s="247" t="str">
        <f>_xlfn.IFNA(VLOOKUP(Ruimtestaat[[#This Row],[Programmacode
Regulier]],Programma!$F$4:$Y$36148,5,0),"_")</f>
        <v>4w</v>
      </c>
      <c r="AN129" s="247" t="str">
        <f>_xlfn.IFNA(VLOOKUP(Ruimtestaat[[#This Row],[Programmacode
Regulier]],Programma!$F$4:$Y$36148,6,0),"_")</f>
        <v>1w</v>
      </c>
      <c r="AO129" s="247" t="str">
        <f>_xlfn.IFNA(VLOOKUP(Ruimtestaat[[#This Row],[Programmacode
Regulier]],Programma!$F$4:$Y$36148,7,0),"_")</f>
        <v>_</v>
      </c>
      <c r="AP129" s="247" t="str">
        <f>_xlfn.IFNA(VLOOKUP(Ruimtestaat[[#This Row],[Programmacode
Regulier]],Programma!$F$4:$Y$36148,8,0),"_")</f>
        <v>_</v>
      </c>
      <c r="AQ129" s="247" t="str">
        <f>_xlfn.IFNA(VLOOKUP(Ruimtestaat[[#This Row],[Programmacode
Regulier]],Programma!$F$4:$Y$36148,9,0),"_")</f>
        <v>5w</v>
      </c>
      <c r="AR129" s="248" t="str">
        <f>_xlfn.IFNA(VLOOKUP(Ruimtestaat[[#This Row],[Programmacode
Regulier]],Programma!$F$4:$Y$36148,10,0),"_")</f>
        <v>_</v>
      </c>
      <c r="AS129" s="248" t="str">
        <f>_xlfn.IFNA(VLOOKUP(Ruimtestaat[[#This Row],[Programmacode
Regulier]],Programma!$F$4:$Y$36148,11,0),"_")</f>
        <v>_</v>
      </c>
      <c r="AT129" s="248" t="str">
        <f>_xlfn.IFNA(VLOOKUP(Ruimtestaat[[#This Row],[Programmacode
Regulier]],Programma!$F$4:$Y$36148,12,0),"_")</f>
        <v>_</v>
      </c>
      <c r="AU129" s="248" t="str">
        <f>_xlfn.IFNA(VLOOKUP(Ruimtestaat[[#This Row],[Programmacode
Regulier]],Programma!$F$4:$Y$36148,13,0),"_")</f>
        <v>_</v>
      </c>
      <c r="AV129" s="248" t="str">
        <f>_xlfn.IFNA(VLOOKUP(Ruimtestaat[[#This Row],[Programmacode
Regulier]],Programma!$F$4:$Y$36148,14,0),"_")</f>
        <v>_</v>
      </c>
      <c r="AW129" s="248" t="str">
        <f>_xlfn.IFNA(VLOOKUP(Ruimtestaat[[#This Row],[Programmacode
Regulier]],Programma!$F$4:$Y$36148,15,0),"_")</f>
        <v>_</v>
      </c>
      <c r="AX129" s="248" t="str">
        <f>_xlfn.IFNA(VLOOKUP(Ruimtestaat[[#This Row],[Programmacode
Regulier]],Programma!$F$4:$Y$36148,16,0),"_")</f>
        <v>_</v>
      </c>
      <c r="AY129" s="248" t="str">
        <f>_xlfn.IFNA(VLOOKUP(Ruimtestaat[[#This Row],[Programmacode
Regulier]],Programma!$F$4:$Y$36148,17,0),"_")</f>
        <v>_</v>
      </c>
      <c r="AZ129" s="249" t="str">
        <f>_xlfn.IFNA(VLOOKUP(Ruimtestaat[[#This Row],[Programmacode
Regulier]],Programma!$F$4:$Y$36148,18,0),"_")</f>
        <v>4w</v>
      </c>
      <c r="BA129" s="249" t="str">
        <f>_xlfn.IFNA(VLOOKUP(Ruimtestaat[[#This Row],[Programmacode
Regulier]],Programma!$F$4:$Y$36148,19,0),"_")</f>
        <v>1w</v>
      </c>
      <c r="BB129" s="249" t="str">
        <f>_xlfn.IFNA(VLOOKUP(Ruimtestaat[[#This Row],[Programmacode
Regulier]],Programma!$F$4:$Y$36148,20,0),"_")</f>
        <v>5w</v>
      </c>
      <c r="BC129" s="250"/>
      <c r="BD129" s="212" t="str">
        <f>IF(Ruimtestaat[[#This Row],[Frequentie weekend]]="","",_xlfn.CONCAT(Ruimtestaat[[#This Row],[Ruimte code]],"-",Ruimtestaat[[#This Row],[Frequentie weekend]]," ",Ruimtestaat[[#This Row],[Vloer code]]))</f>
        <v/>
      </c>
      <c r="BE129" s="247" t="str">
        <f>_xlfn.IFNA(VLOOKUP(Ruimtestaat[[#This Row],[Code Weekend]],Programma!$F$4:$Y$36148,2,0),"_")</f>
        <v>_</v>
      </c>
      <c r="BF129" s="247" t="str">
        <f>_xlfn.IFNA(VLOOKUP(Ruimtestaat[[#This Row],[Code Weekend]],Programma!$F$4:$Y$36148,3,0),"_")</f>
        <v>_</v>
      </c>
      <c r="BG129" s="247" t="str">
        <f>_xlfn.IFNA(VLOOKUP(Ruimtestaat[[#This Row],[Code Weekend]],Programma!$F$4:$Y$36148,4,0),"_")</f>
        <v>_</v>
      </c>
      <c r="BH129" s="247" t="str">
        <f>_xlfn.IFNA(VLOOKUP(Ruimtestaat[[#This Row],[Code Weekend]],Programma!$F$4:$Y$36148,5,0),"_")</f>
        <v>_</v>
      </c>
      <c r="BI129" s="247" t="str">
        <f>_xlfn.IFNA(VLOOKUP(Ruimtestaat[[#This Row],[Code Weekend]],Programma!$F$4:$Y$36148,6,0),"_")</f>
        <v>_</v>
      </c>
      <c r="BJ129" s="247" t="str">
        <f>_xlfn.IFNA(VLOOKUP(Ruimtestaat[[#This Row],[Code Weekend]],Programma!$F$4:$Y$36148,7,0),"_")</f>
        <v>_</v>
      </c>
      <c r="BK129" s="247" t="str">
        <f>_xlfn.IFNA(VLOOKUP(Ruimtestaat[[#This Row],[Code Weekend]],Programma!$F$4:$Y$36148,8,0),"_")</f>
        <v>_</v>
      </c>
      <c r="BL129" s="247" t="str">
        <f>_xlfn.IFNA(VLOOKUP(Ruimtestaat[[#This Row],[Code Weekend]],Programma!$F$4:$Y$36148,9,0),"_")</f>
        <v>_</v>
      </c>
      <c r="BM129" s="248" t="str">
        <f>_xlfn.IFNA(VLOOKUP(Ruimtestaat[[#This Row],[Code Weekend]],Programma!$F$4:$Y$36148,10,0),"_")</f>
        <v>_</v>
      </c>
      <c r="BN129" s="248" t="str">
        <f>_xlfn.IFNA(VLOOKUP(Ruimtestaat[[#This Row],[Code Weekend]],Programma!$F$4:$Y$36148,11,0),"_")</f>
        <v>_</v>
      </c>
      <c r="BO129" s="248" t="str">
        <f>_xlfn.IFNA(VLOOKUP(Ruimtestaat[[#This Row],[Code Weekend]],Programma!$F$4:$Y$36148,12,0),"_")</f>
        <v>_</v>
      </c>
      <c r="BP129" s="248" t="str">
        <f>_xlfn.IFNA(VLOOKUP(Ruimtestaat[[#This Row],[Code Weekend]],Programma!$F$4:$Y$36148,13,0),"_")</f>
        <v>_</v>
      </c>
      <c r="BQ129" s="248" t="str">
        <f>_xlfn.IFNA(VLOOKUP(Ruimtestaat[[#This Row],[Code Weekend]],Programma!$F$4:$Y$36148,14,0),"_")</f>
        <v>_</v>
      </c>
      <c r="BR129" s="248" t="str">
        <f>_xlfn.IFNA(VLOOKUP(Ruimtestaat[[#This Row],[Code Weekend]],Programma!$F$4:$Y$36148,15,0),"_")</f>
        <v>_</v>
      </c>
      <c r="BS129" s="248" t="str">
        <f>_xlfn.IFNA(VLOOKUP(Ruimtestaat[[#This Row],[Code Weekend]],Programma!$F$4:$Y$36148,16,0),"_")</f>
        <v>_</v>
      </c>
      <c r="BT129" s="248" t="str">
        <f>_xlfn.IFNA(VLOOKUP(Ruimtestaat[[#This Row],[Code Weekend]],Programma!$F$4:$Y$36148,17,0),"_")</f>
        <v>_</v>
      </c>
      <c r="BU129" s="249" t="str">
        <f>_xlfn.IFNA(VLOOKUP(Ruimtestaat[[#This Row],[Code Weekend]],Programma!$F$4:$Y$36148,18,0),"_")</f>
        <v>_</v>
      </c>
      <c r="BV129" s="249" t="str">
        <f>_xlfn.IFNA(VLOOKUP(Ruimtestaat[[#This Row],[Code Weekend]],Programma!$F$4:$Y$36148,19,0),"_")</f>
        <v>_</v>
      </c>
      <c r="BW129" s="249" t="str">
        <f>_xlfn.IFNA(VLOOKUP(Ruimtestaat[[#This Row],[Code Weekend]],Programma!$F$4:$Y$36148,20,0),"_")</f>
        <v>_</v>
      </c>
    </row>
    <row r="130" spans="1:75" ht="12.75" customHeight="1">
      <c r="A130" s="334">
        <v>1</v>
      </c>
      <c r="B130" s="334" t="str">
        <f>VLOOKUP(Ruimtestaat[[#This Row],[Code]],Locaties[#All],2,FALSE)</f>
        <v>ESH Secondary School</v>
      </c>
      <c r="C130" s="212" t="str">
        <f>VLOOKUP(Ruimtestaat[[#This Row],[Code]],Locaties[#All],4,FALSE)</f>
        <v>Oostduinlaan 50</v>
      </c>
      <c r="D130" s="212" t="str">
        <f>VLOOKUP(Ruimtestaat[[#This Row],[Code]],Locaties[#All],5,FALSE)</f>
        <v>2596 JP</v>
      </c>
      <c r="E130" s="212" t="str">
        <f>VLOOKUP(Ruimtestaat[[#This Row],[Code]],Locaties[#All],6,FALSE)</f>
        <v>Den Haag</v>
      </c>
      <c r="F130" s="335"/>
      <c r="G130" s="334" t="s">
        <v>1677</v>
      </c>
      <c r="H130" s="334" t="s">
        <v>1624</v>
      </c>
      <c r="I130" s="335" t="s">
        <v>1680</v>
      </c>
      <c r="J130" s="328">
        <v>5</v>
      </c>
      <c r="K130" s="336" t="str">
        <f>VLOOKUP(J130,Ruimtegroepen[],2,FALSE)</f>
        <v>Sanitair</v>
      </c>
      <c r="L130" s="212" t="s">
        <v>123</v>
      </c>
      <c r="M130" s="334" t="s">
        <v>144</v>
      </c>
      <c r="N130" s="337">
        <v>9</v>
      </c>
      <c r="O130" s="331"/>
      <c r="P130" s="332" t="str">
        <f>VLOOKUP(Ruimtestaat[[#This Row],[Ruimte code]],Ruimtegroepen[],4,FALSE)</f>
        <v>S  (Sanitair)</v>
      </c>
      <c r="Q130" s="332"/>
      <c r="R130" s="333">
        <v>40</v>
      </c>
      <c r="S130" s="333" t="s">
        <v>19</v>
      </c>
      <c r="T130" s="37"/>
      <c r="U130" s="37">
        <f>IF(R130&gt;0,IF(RIGHT(Ruimtestaat[[#This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130" s="37">
        <f>IF(U130&gt;0,VLOOKUP($J130,Ruimtegroepen[],3,FALSE)*VLOOKUP($L130,Vloersoorten[],3,FALSE)*VLOOKUP($S130,Frequenties[],3,FALSE)*VLOOKUP($A130,Locaties[],3,FALSE),0)</f>
        <v>0</v>
      </c>
      <c r="W130" s="37">
        <f>Ruimtestaat[[#This Row],[Uitvoeringen werkdagen]]*Ruimtestaat[[#This Row],[Oppervlak (netto)]]</f>
        <v>3600</v>
      </c>
      <c r="X130" s="37">
        <f>IF(V130&gt;0,Ruimtestaat[[#This Row],[Prest. (m2 /jaar) werkdagen]]/Ruimtestaat[[#This Row],[Norm (m2/uur) werkdagen]],0)</f>
        <v>0</v>
      </c>
      <c r="Y130" s="37">
        <f>Ruimtestaat[[#This Row],[uren / jaar werkdagen]]*Tariefsopbouw!$D$38</f>
        <v>0</v>
      </c>
      <c r="Z130" s="37">
        <f>IF(Ruimtestaat[[#This Row],[Frequentie weekend]]&gt;0,VALUE(LEFT(T130,1))*R130,0)</f>
        <v>0</v>
      </c>
      <c r="AA130" s="37">
        <f>IF($Z130&gt;0,VLOOKUP($J130,Ruimtegroepen[],3,FALSE)*VLOOKUP($L130,Vloersoorten[],3,FALSE)*VLOOKUP($T130,Frequenties[],3,FALSE)*VLOOKUP($A130,Locaties[],3,FALSE),0)</f>
        <v>0</v>
      </c>
      <c r="AB130" s="37">
        <f>Ruimtestaat[[#This Row],[Uitvoeringen weekend]]*Ruimtestaat[[#This Row],[Oppervlak (netto)]]</f>
        <v>0</v>
      </c>
      <c r="AC130" s="37">
        <f>IF(AA130&gt;0,Ruimtestaat[[#This Row],[Prest. (m2 /jaar) weekend]]/Ruimtestaat[[#This Row],[Norm (m2/uur) weekend]],0)</f>
        <v>0</v>
      </c>
      <c r="AD130" s="37">
        <f>Ruimtestaat[[#This Row],[uren / jaar weekend]]*Tariefsopbouw!$D$40</f>
        <v>0</v>
      </c>
      <c r="AE130" s="89">
        <f>Ruimtestaat[[#This Row],[Prest. (m2 /jaar) weekend]]+Ruimtestaat[[#This Row],[Prest. (m2 /jaar) werkdagen]]</f>
        <v>3600</v>
      </c>
      <c r="AF130" s="89">
        <f>Ruimtestaat[[#This Row],[uren / jaar weekend]]+Ruimtestaat[[#This Row],[uren / jaar werkdagen]]</f>
        <v>0</v>
      </c>
      <c r="AG130" s="90">
        <f>Ruimtestaat[[#This Row],[kosten / jaar weekend]]+Ruimtestaat[[#This Row],[kosten / jaar werkdagen]]</f>
        <v>0</v>
      </c>
      <c r="AH130" s="253"/>
      <c r="AI130" s="252" t="str">
        <f>IF(Ruimtestaat[[#This Row],[Frequentie werkdagen]]="","",_xlfn.CONCAT(Ruimtestaat[[#This Row],[Ruimte code]],"-",Ruimtestaat[[#This Row],[Frequentie werkdagen]]," ",Ruimtestaat[[#This Row],[Vloer code]]))</f>
        <v>5-10w P</v>
      </c>
      <c r="AJ130" s="247" t="str">
        <f>_xlfn.IFNA(VLOOKUP(Ruimtestaat[[#This Row],[Programmacode
Regulier]],Programma!$F$4:$Y$36148,2,0),"_")</f>
        <v>_</v>
      </c>
      <c r="AK130" s="247" t="str">
        <f>_xlfn.IFNA(VLOOKUP(Ruimtestaat[[#This Row],[Programmacode
Regulier]],Programma!$F$4:$Y$36148,3,0),"_")</f>
        <v>_</v>
      </c>
      <c r="AL130" s="247" t="str">
        <f>_xlfn.IFNA(VLOOKUP(Ruimtestaat[[#This Row],[Programmacode
Regulier]],Programma!$F$4:$Y$36148,4,0),"_")</f>
        <v>_</v>
      </c>
      <c r="AM130" s="247" t="str">
        <f>_xlfn.IFNA(VLOOKUP(Ruimtestaat[[#This Row],[Programmacode
Regulier]],Programma!$F$4:$Y$36148,5,0),"_")</f>
        <v>4w</v>
      </c>
      <c r="AN130" s="247" t="str">
        <f>_xlfn.IFNA(VLOOKUP(Ruimtestaat[[#This Row],[Programmacode
Regulier]],Programma!$F$4:$Y$36148,6,0),"_")</f>
        <v>1w</v>
      </c>
      <c r="AO130" s="247" t="str">
        <f>_xlfn.IFNA(VLOOKUP(Ruimtestaat[[#This Row],[Programmacode
Regulier]],Programma!$F$4:$Y$36148,7,0),"_")</f>
        <v>_</v>
      </c>
      <c r="AP130" s="247" t="str">
        <f>_xlfn.IFNA(VLOOKUP(Ruimtestaat[[#This Row],[Programmacode
Regulier]],Programma!$F$4:$Y$36148,8,0),"_")</f>
        <v>_</v>
      </c>
      <c r="AQ130" s="247" t="str">
        <f>_xlfn.IFNA(VLOOKUP(Ruimtestaat[[#This Row],[Programmacode
Regulier]],Programma!$F$4:$Y$36148,9,0),"_")</f>
        <v>5w</v>
      </c>
      <c r="AR130" s="248" t="str">
        <f>_xlfn.IFNA(VLOOKUP(Ruimtestaat[[#This Row],[Programmacode
Regulier]],Programma!$F$4:$Y$36148,10,0),"_")</f>
        <v>_</v>
      </c>
      <c r="AS130" s="248" t="str">
        <f>_xlfn.IFNA(VLOOKUP(Ruimtestaat[[#This Row],[Programmacode
Regulier]],Programma!$F$4:$Y$36148,11,0),"_")</f>
        <v>_</v>
      </c>
      <c r="AT130" s="248" t="str">
        <f>_xlfn.IFNA(VLOOKUP(Ruimtestaat[[#This Row],[Programmacode
Regulier]],Programma!$F$4:$Y$36148,12,0),"_")</f>
        <v>_</v>
      </c>
      <c r="AU130" s="248" t="str">
        <f>_xlfn.IFNA(VLOOKUP(Ruimtestaat[[#This Row],[Programmacode
Regulier]],Programma!$F$4:$Y$36148,13,0),"_")</f>
        <v>_</v>
      </c>
      <c r="AV130" s="248" t="str">
        <f>_xlfn.IFNA(VLOOKUP(Ruimtestaat[[#This Row],[Programmacode
Regulier]],Programma!$F$4:$Y$36148,14,0),"_")</f>
        <v>_</v>
      </c>
      <c r="AW130" s="248" t="str">
        <f>_xlfn.IFNA(VLOOKUP(Ruimtestaat[[#This Row],[Programmacode
Regulier]],Programma!$F$4:$Y$36148,15,0),"_")</f>
        <v>_</v>
      </c>
      <c r="AX130" s="248" t="str">
        <f>_xlfn.IFNA(VLOOKUP(Ruimtestaat[[#This Row],[Programmacode
Regulier]],Programma!$F$4:$Y$36148,16,0),"_")</f>
        <v>_</v>
      </c>
      <c r="AY130" s="248" t="str">
        <f>_xlfn.IFNA(VLOOKUP(Ruimtestaat[[#This Row],[Programmacode
Regulier]],Programma!$F$4:$Y$36148,17,0),"_")</f>
        <v>_</v>
      </c>
      <c r="AZ130" s="249" t="str">
        <f>_xlfn.IFNA(VLOOKUP(Ruimtestaat[[#This Row],[Programmacode
Regulier]],Programma!$F$4:$Y$36148,18,0),"_")</f>
        <v>4w</v>
      </c>
      <c r="BA130" s="249" t="str">
        <f>_xlfn.IFNA(VLOOKUP(Ruimtestaat[[#This Row],[Programmacode
Regulier]],Programma!$F$4:$Y$36148,19,0),"_")</f>
        <v>1w</v>
      </c>
      <c r="BB130" s="249" t="str">
        <f>_xlfn.IFNA(VLOOKUP(Ruimtestaat[[#This Row],[Programmacode
Regulier]],Programma!$F$4:$Y$36148,20,0),"_")</f>
        <v>5w</v>
      </c>
      <c r="BC130" s="250"/>
      <c r="BD130" s="212" t="str">
        <f>IF(Ruimtestaat[[#This Row],[Frequentie weekend]]="","",_xlfn.CONCAT(Ruimtestaat[[#This Row],[Ruimte code]],"-",Ruimtestaat[[#This Row],[Frequentie weekend]]," ",Ruimtestaat[[#This Row],[Vloer code]]))</f>
        <v/>
      </c>
      <c r="BE130" s="247" t="str">
        <f>_xlfn.IFNA(VLOOKUP(Ruimtestaat[[#This Row],[Code Weekend]],Programma!$F$4:$Y$36148,2,0),"_")</f>
        <v>_</v>
      </c>
      <c r="BF130" s="247" t="str">
        <f>_xlfn.IFNA(VLOOKUP(Ruimtestaat[[#This Row],[Code Weekend]],Programma!$F$4:$Y$36148,3,0),"_")</f>
        <v>_</v>
      </c>
      <c r="BG130" s="247" t="str">
        <f>_xlfn.IFNA(VLOOKUP(Ruimtestaat[[#This Row],[Code Weekend]],Programma!$F$4:$Y$36148,4,0),"_")</f>
        <v>_</v>
      </c>
      <c r="BH130" s="247" t="str">
        <f>_xlfn.IFNA(VLOOKUP(Ruimtestaat[[#This Row],[Code Weekend]],Programma!$F$4:$Y$36148,5,0),"_")</f>
        <v>_</v>
      </c>
      <c r="BI130" s="247" t="str">
        <f>_xlfn.IFNA(VLOOKUP(Ruimtestaat[[#This Row],[Code Weekend]],Programma!$F$4:$Y$36148,6,0),"_")</f>
        <v>_</v>
      </c>
      <c r="BJ130" s="247" t="str">
        <f>_xlfn.IFNA(VLOOKUP(Ruimtestaat[[#This Row],[Code Weekend]],Programma!$F$4:$Y$36148,7,0),"_")</f>
        <v>_</v>
      </c>
      <c r="BK130" s="247" t="str">
        <f>_xlfn.IFNA(VLOOKUP(Ruimtestaat[[#This Row],[Code Weekend]],Programma!$F$4:$Y$36148,8,0),"_")</f>
        <v>_</v>
      </c>
      <c r="BL130" s="247" t="str">
        <f>_xlfn.IFNA(VLOOKUP(Ruimtestaat[[#This Row],[Code Weekend]],Programma!$F$4:$Y$36148,9,0),"_")</f>
        <v>_</v>
      </c>
      <c r="BM130" s="248" t="str">
        <f>_xlfn.IFNA(VLOOKUP(Ruimtestaat[[#This Row],[Code Weekend]],Programma!$F$4:$Y$36148,10,0),"_")</f>
        <v>_</v>
      </c>
      <c r="BN130" s="248" t="str">
        <f>_xlfn.IFNA(VLOOKUP(Ruimtestaat[[#This Row],[Code Weekend]],Programma!$F$4:$Y$36148,11,0),"_")</f>
        <v>_</v>
      </c>
      <c r="BO130" s="248" t="str">
        <f>_xlfn.IFNA(VLOOKUP(Ruimtestaat[[#This Row],[Code Weekend]],Programma!$F$4:$Y$36148,12,0),"_")</f>
        <v>_</v>
      </c>
      <c r="BP130" s="248" t="str">
        <f>_xlfn.IFNA(VLOOKUP(Ruimtestaat[[#This Row],[Code Weekend]],Programma!$F$4:$Y$36148,13,0),"_")</f>
        <v>_</v>
      </c>
      <c r="BQ130" s="248" t="str">
        <f>_xlfn.IFNA(VLOOKUP(Ruimtestaat[[#This Row],[Code Weekend]],Programma!$F$4:$Y$36148,14,0),"_")</f>
        <v>_</v>
      </c>
      <c r="BR130" s="248" t="str">
        <f>_xlfn.IFNA(VLOOKUP(Ruimtestaat[[#This Row],[Code Weekend]],Programma!$F$4:$Y$36148,15,0),"_")</f>
        <v>_</v>
      </c>
      <c r="BS130" s="248" t="str">
        <f>_xlfn.IFNA(VLOOKUP(Ruimtestaat[[#This Row],[Code Weekend]],Programma!$F$4:$Y$36148,16,0),"_")</f>
        <v>_</v>
      </c>
      <c r="BT130" s="248" t="str">
        <f>_xlfn.IFNA(VLOOKUP(Ruimtestaat[[#This Row],[Code Weekend]],Programma!$F$4:$Y$36148,17,0),"_")</f>
        <v>_</v>
      </c>
      <c r="BU130" s="249" t="str">
        <f>_xlfn.IFNA(VLOOKUP(Ruimtestaat[[#This Row],[Code Weekend]],Programma!$F$4:$Y$36148,18,0),"_")</f>
        <v>_</v>
      </c>
      <c r="BV130" s="249" t="str">
        <f>_xlfn.IFNA(VLOOKUP(Ruimtestaat[[#This Row],[Code Weekend]],Programma!$F$4:$Y$36148,19,0),"_")</f>
        <v>_</v>
      </c>
      <c r="BW130" s="249" t="str">
        <f>_xlfn.IFNA(VLOOKUP(Ruimtestaat[[#This Row],[Code Weekend]],Programma!$F$4:$Y$36148,20,0),"_")</f>
        <v>_</v>
      </c>
    </row>
    <row r="131" spans="1:75" ht="12.75" customHeight="1">
      <c r="A131" s="334">
        <v>1</v>
      </c>
      <c r="B131" s="334" t="str">
        <f>VLOOKUP(Ruimtestaat[[#This Row],[Code]],Locaties[#All],2,FALSE)</f>
        <v>ESH Secondary School</v>
      </c>
      <c r="C131" s="212" t="str">
        <f>VLOOKUP(Ruimtestaat[[#This Row],[Code]],Locaties[#All],4,FALSE)</f>
        <v>Oostduinlaan 50</v>
      </c>
      <c r="D131" s="212" t="str">
        <f>VLOOKUP(Ruimtestaat[[#This Row],[Code]],Locaties[#All],5,FALSE)</f>
        <v>2596 JP</v>
      </c>
      <c r="E131" s="212" t="str">
        <f>VLOOKUP(Ruimtestaat[[#This Row],[Code]],Locaties[#All],6,FALSE)</f>
        <v>Den Haag</v>
      </c>
      <c r="F131" s="335"/>
      <c r="G131" s="334" t="s">
        <v>1677</v>
      </c>
      <c r="H131" s="334" t="s">
        <v>1625</v>
      </c>
      <c r="I131" s="335" t="s">
        <v>1681</v>
      </c>
      <c r="J131" s="212">
        <v>11</v>
      </c>
      <c r="K131" s="336" t="str">
        <f>VLOOKUP(J131,Ruimtegroepen[],2,FALSE)</f>
        <v>Garderobes</v>
      </c>
      <c r="L131" s="212" t="s">
        <v>123</v>
      </c>
      <c r="M131" s="334" t="s">
        <v>144</v>
      </c>
      <c r="N131" s="337">
        <v>6</v>
      </c>
      <c r="O131" s="331"/>
      <c r="P131" s="332" t="str">
        <f>VLOOKUP(Ruimtestaat[[#This Row],[Ruimte code]],Ruimtegroepen[],4,FALSE)</f>
        <v>V  (Verkeersruimte)</v>
      </c>
      <c r="Q131" s="332"/>
      <c r="R131" s="333">
        <v>40</v>
      </c>
      <c r="S131" s="333" t="s">
        <v>2</v>
      </c>
      <c r="T131" s="37"/>
      <c r="U131" s="37">
        <f>IF(R131&gt;0,IF(RIGHT(Ruimtestaat[[#This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31" s="37">
        <f>IF(U131&gt;0,VLOOKUP($J131,Ruimtegroepen[],3,FALSE)*VLOOKUP($L131,Vloersoorten[],3,FALSE)*VLOOKUP($S131,Frequenties[],3,FALSE)*VLOOKUP($A131,Locaties[],3,FALSE),0)</f>
        <v>0</v>
      </c>
      <c r="W131" s="37">
        <f>Ruimtestaat[[#This Row],[Uitvoeringen werkdagen]]*Ruimtestaat[[#This Row],[Oppervlak (netto)]]</f>
        <v>1200</v>
      </c>
      <c r="X131" s="37">
        <f>IF(V131&gt;0,Ruimtestaat[[#This Row],[Prest. (m2 /jaar) werkdagen]]/Ruimtestaat[[#This Row],[Norm (m2/uur) werkdagen]],0)</f>
        <v>0</v>
      </c>
      <c r="Y131" s="37">
        <f>Ruimtestaat[[#This Row],[uren / jaar werkdagen]]*Tariefsopbouw!$D$38</f>
        <v>0</v>
      </c>
      <c r="Z131" s="37">
        <f>IF(Ruimtestaat[[#This Row],[Frequentie weekend]]&gt;0,VALUE(LEFT(T131,1))*R131,0)</f>
        <v>0</v>
      </c>
      <c r="AA131" s="37">
        <f>IF($Z131&gt;0,VLOOKUP($J131,Ruimtegroepen[],3,FALSE)*VLOOKUP($L131,Vloersoorten[],3,FALSE)*VLOOKUP($T131,Frequenties[],3,FALSE)*VLOOKUP($A131,Locaties[],3,FALSE),0)</f>
        <v>0</v>
      </c>
      <c r="AB131" s="37">
        <f>Ruimtestaat[[#This Row],[Uitvoeringen weekend]]*Ruimtestaat[[#This Row],[Oppervlak (netto)]]</f>
        <v>0</v>
      </c>
      <c r="AC131" s="37">
        <f>IF(AA131&gt;0,Ruimtestaat[[#This Row],[Prest. (m2 /jaar) weekend]]/Ruimtestaat[[#This Row],[Norm (m2/uur) weekend]],0)</f>
        <v>0</v>
      </c>
      <c r="AD131" s="37">
        <f>Ruimtestaat[[#This Row],[uren / jaar weekend]]*Tariefsopbouw!$D$40</f>
        <v>0</v>
      </c>
      <c r="AE131" s="89">
        <f>Ruimtestaat[[#This Row],[Prest. (m2 /jaar) weekend]]+Ruimtestaat[[#This Row],[Prest. (m2 /jaar) werkdagen]]</f>
        <v>1200</v>
      </c>
      <c r="AF131" s="89">
        <f>Ruimtestaat[[#This Row],[uren / jaar weekend]]+Ruimtestaat[[#This Row],[uren / jaar werkdagen]]</f>
        <v>0</v>
      </c>
      <c r="AG131" s="90">
        <f>Ruimtestaat[[#This Row],[kosten / jaar weekend]]+Ruimtestaat[[#This Row],[kosten / jaar werkdagen]]</f>
        <v>0</v>
      </c>
      <c r="AH131" s="253"/>
      <c r="AI131" s="252" t="str">
        <f>IF(Ruimtestaat[[#This Row],[Frequentie werkdagen]]="","",_xlfn.CONCAT(Ruimtestaat[[#This Row],[Ruimte code]],"-",Ruimtestaat[[#This Row],[Frequentie werkdagen]]," ",Ruimtestaat[[#This Row],[Vloer code]]))</f>
        <v>11-5w P</v>
      </c>
      <c r="AJ131" s="247" t="str">
        <f>_xlfn.IFNA(VLOOKUP(Ruimtestaat[[#This Row],[Programmacode
Regulier]],Programma!$F$4:$Y$36148,2,0),"_")</f>
        <v>_</v>
      </c>
      <c r="AK131" s="247" t="str">
        <f>_xlfn.IFNA(VLOOKUP(Ruimtestaat[[#This Row],[Programmacode
Regulier]],Programma!$F$4:$Y$36148,3,0),"_")</f>
        <v>_</v>
      </c>
      <c r="AL131" s="247" t="str">
        <f>_xlfn.IFNA(VLOOKUP(Ruimtestaat[[#This Row],[Programmacode
Regulier]],Programma!$F$4:$Y$36148,4,0),"_")</f>
        <v>5w</v>
      </c>
      <c r="AM131" s="247" t="str">
        <f>_xlfn.IFNA(VLOOKUP(Ruimtestaat[[#This Row],[Programmacode
Regulier]],Programma!$F$4:$Y$36148,5,0),"_")</f>
        <v>4w</v>
      </c>
      <c r="AN131" s="247" t="str">
        <f>_xlfn.IFNA(VLOOKUP(Ruimtestaat[[#This Row],[Programmacode
Regulier]],Programma!$F$4:$Y$36148,6,0),"_")</f>
        <v>1w</v>
      </c>
      <c r="AO131" s="247" t="str">
        <f>_xlfn.IFNA(VLOOKUP(Ruimtestaat[[#This Row],[Programmacode
Regulier]],Programma!$F$4:$Y$36148,7,0),"_")</f>
        <v>_</v>
      </c>
      <c r="AP131" s="247" t="str">
        <f>_xlfn.IFNA(VLOOKUP(Ruimtestaat[[#This Row],[Programmacode
Regulier]],Programma!$F$4:$Y$36148,8,0),"_")</f>
        <v>_</v>
      </c>
      <c r="AQ131" s="247" t="str">
        <f>_xlfn.IFNA(VLOOKUP(Ruimtestaat[[#This Row],[Programmacode
Regulier]],Programma!$F$4:$Y$36148,9,0),"_")</f>
        <v>_</v>
      </c>
      <c r="AR131" s="248" t="str">
        <f>_xlfn.IFNA(VLOOKUP(Ruimtestaat[[#This Row],[Programmacode
Regulier]],Programma!$F$4:$Y$36148,10,0),"_")</f>
        <v>5w</v>
      </c>
      <c r="AS131" s="248" t="str">
        <f>_xlfn.IFNA(VLOOKUP(Ruimtestaat[[#This Row],[Programmacode
Regulier]],Programma!$F$4:$Y$36148,11,0),"_")</f>
        <v>5w</v>
      </c>
      <c r="AT131" s="248" t="str">
        <f>_xlfn.IFNA(VLOOKUP(Ruimtestaat[[#This Row],[Programmacode
Regulier]],Programma!$F$4:$Y$36148,12,0),"_")</f>
        <v>1w</v>
      </c>
      <c r="AU131" s="248" t="str">
        <f>_xlfn.IFNA(VLOOKUP(Ruimtestaat[[#This Row],[Programmacode
Regulier]],Programma!$F$4:$Y$36148,13,0),"_")</f>
        <v>1w</v>
      </c>
      <c r="AV131" s="248" t="str">
        <f>_xlfn.IFNA(VLOOKUP(Ruimtestaat[[#This Row],[Programmacode
Regulier]],Programma!$F$4:$Y$36148,14,0),"_")</f>
        <v>1m</v>
      </c>
      <c r="AW131" s="248" t="str">
        <f>_xlfn.IFNA(VLOOKUP(Ruimtestaat[[#This Row],[Programmacode
Regulier]],Programma!$F$4:$Y$36148,15,0),"_")</f>
        <v>2j</v>
      </c>
      <c r="AX131" s="248" t="str">
        <f>_xlfn.IFNA(VLOOKUP(Ruimtestaat[[#This Row],[Programmacode
Regulier]],Programma!$F$4:$Y$36148,16,0),"_")</f>
        <v>1j</v>
      </c>
      <c r="AY131" s="248" t="str">
        <f>_xlfn.IFNA(VLOOKUP(Ruimtestaat[[#This Row],[Programmacode
Regulier]],Programma!$F$4:$Y$36148,17,0),"_")</f>
        <v>_</v>
      </c>
      <c r="AZ131" s="249" t="str">
        <f>_xlfn.IFNA(VLOOKUP(Ruimtestaat[[#This Row],[Programmacode
Regulier]],Programma!$F$4:$Y$36148,18,0),"_")</f>
        <v>_</v>
      </c>
      <c r="BA131" s="249" t="str">
        <f>_xlfn.IFNA(VLOOKUP(Ruimtestaat[[#This Row],[Programmacode
Regulier]],Programma!$F$4:$Y$36148,19,0),"_")</f>
        <v>_</v>
      </c>
      <c r="BB131" s="249" t="str">
        <f>_xlfn.IFNA(VLOOKUP(Ruimtestaat[[#This Row],[Programmacode
Regulier]],Programma!$F$4:$Y$36148,20,0),"_")</f>
        <v>_</v>
      </c>
      <c r="BC131" s="250"/>
      <c r="BD131" s="212" t="str">
        <f>IF(Ruimtestaat[[#This Row],[Frequentie weekend]]="","",_xlfn.CONCAT(Ruimtestaat[[#This Row],[Ruimte code]],"-",Ruimtestaat[[#This Row],[Frequentie weekend]]," ",Ruimtestaat[[#This Row],[Vloer code]]))</f>
        <v/>
      </c>
      <c r="BE131" s="247" t="str">
        <f>_xlfn.IFNA(VLOOKUP(Ruimtestaat[[#This Row],[Code Weekend]],Programma!$F$4:$Y$36148,2,0),"_")</f>
        <v>_</v>
      </c>
      <c r="BF131" s="247" t="str">
        <f>_xlfn.IFNA(VLOOKUP(Ruimtestaat[[#This Row],[Code Weekend]],Programma!$F$4:$Y$36148,3,0),"_")</f>
        <v>_</v>
      </c>
      <c r="BG131" s="247" t="str">
        <f>_xlfn.IFNA(VLOOKUP(Ruimtestaat[[#This Row],[Code Weekend]],Programma!$F$4:$Y$36148,4,0),"_")</f>
        <v>_</v>
      </c>
      <c r="BH131" s="247" t="str">
        <f>_xlfn.IFNA(VLOOKUP(Ruimtestaat[[#This Row],[Code Weekend]],Programma!$F$4:$Y$36148,5,0),"_")</f>
        <v>_</v>
      </c>
      <c r="BI131" s="247" t="str">
        <f>_xlfn.IFNA(VLOOKUP(Ruimtestaat[[#This Row],[Code Weekend]],Programma!$F$4:$Y$36148,6,0),"_")</f>
        <v>_</v>
      </c>
      <c r="BJ131" s="247" t="str">
        <f>_xlfn.IFNA(VLOOKUP(Ruimtestaat[[#This Row],[Code Weekend]],Programma!$F$4:$Y$36148,7,0),"_")</f>
        <v>_</v>
      </c>
      <c r="BK131" s="247" t="str">
        <f>_xlfn.IFNA(VLOOKUP(Ruimtestaat[[#This Row],[Code Weekend]],Programma!$F$4:$Y$36148,8,0),"_")</f>
        <v>_</v>
      </c>
      <c r="BL131" s="247" t="str">
        <f>_xlfn.IFNA(VLOOKUP(Ruimtestaat[[#This Row],[Code Weekend]],Programma!$F$4:$Y$36148,9,0),"_")</f>
        <v>_</v>
      </c>
      <c r="BM131" s="248" t="str">
        <f>_xlfn.IFNA(VLOOKUP(Ruimtestaat[[#This Row],[Code Weekend]],Programma!$F$4:$Y$36148,10,0),"_")</f>
        <v>_</v>
      </c>
      <c r="BN131" s="248" t="str">
        <f>_xlfn.IFNA(VLOOKUP(Ruimtestaat[[#This Row],[Code Weekend]],Programma!$F$4:$Y$36148,11,0),"_")</f>
        <v>_</v>
      </c>
      <c r="BO131" s="248" t="str">
        <f>_xlfn.IFNA(VLOOKUP(Ruimtestaat[[#This Row],[Code Weekend]],Programma!$F$4:$Y$36148,12,0),"_")</f>
        <v>_</v>
      </c>
      <c r="BP131" s="248" t="str">
        <f>_xlfn.IFNA(VLOOKUP(Ruimtestaat[[#This Row],[Code Weekend]],Programma!$F$4:$Y$36148,13,0),"_")</f>
        <v>_</v>
      </c>
      <c r="BQ131" s="248" t="str">
        <f>_xlfn.IFNA(VLOOKUP(Ruimtestaat[[#This Row],[Code Weekend]],Programma!$F$4:$Y$36148,14,0),"_")</f>
        <v>_</v>
      </c>
      <c r="BR131" s="248" t="str">
        <f>_xlfn.IFNA(VLOOKUP(Ruimtestaat[[#This Row],[Code Weekend]],Programma!$F$4:$Y$36148,15,0),"_")</f>
        <v>_</v>
      </c>
      <c r="BS131" s="248" t="str">
        <f>_xlfn.IFNA(VLOOKUP(Ruimtestaat[[#This Row],[Code Weekend]],Programma!$F$4:$Y$36148,16,0),"_")</f>
        <v>_</v>
      </c>
      <c r="BT131" s="248" t="str">
        <f>_xlfn.IFNA(VLOOKUP(Ruimtestaat[[#This Row],[Code Weekend]],Programma!$F$4:$Y$36148,17,0),"_")</f>
        <v>_</v>
      </c>
      <c r="BU131" s="249" t="str">
        <f>_xlfn.IFNA(VLOOKUP(Ruimtestaat[[#This Row],[Code Weekend]],Programma!$F$4:$Y$36148,18,0),"_")</f>
        <v>_</v>
      </c>
      <c r="BV131" s="249" t="str">
        <f>_xlfn.IFNA(VLOOKUP(Ruimtestaat[[#This Row],[Code Weekend]],Programma!$F$4:$Y$36148,19,0),"_")</f>
        <v>_</v>
      </c>
      <c r="BW131" s="249" t="str">
        <f>_xlfn.IFNA(VLOOKUP(Ruimtestaat[[#This Row],[Code Weekend]],Programma!$F$4:$Y$36148,20,0),"_")</f>
        <v>_</v>
      </c>
    </row>
    <row r="132" spans="1:75" ht="12.75" customHeight="1">
      <c r="A132" s="334">
        <v>1</v>
      </c>
      <c r="B132" s="334" t="str">
        <f>VLOOKUP(Ruimtestaat[[#This Row],[Code]],Locaties[#All],2,FALSE)</f>
        <v>ESH Secondary School</v>
      </c>
      <c r="C132" s="212" t="str">
        <f>VLOOKUP(Ruimtestaat[[#This Row],[Code]],Locaties[#All],4,FALSE)</f>
        <v>Oostduinlaan 50</v>
      </c>
      <c r="D132" s="212" t="str">
        <f>VLOOKUP(Ruimtestaat[[#This Row],[Code]],Locaties[#All],5,FALSE)</f>
        <v>2596 JP</v>
      </c>
      <c r="E132" s="212" t="str">
        <f>VLOOKUP(Ruimtestaat[[#This Row],[Code]],Locaties[#All],6,FALSE)</f>
        <v>Den Haag</v>
      </c>
      <c r="F132" s="335"/>
      <c r="G132" s="334" t="s">
        <v>1677</v>
      </c>
      <c r="H132" s="334" t="s">
        <v>1626</v>
      </c>
      <c r="I132" s="335" t="s">
        <v>1395</v>
      </c>
      <c r="J132" s="252" t="s">
        <v>1422</v>
      </c>
      <c r="K132" s="336" t="str">
        <f>VLOOKUP(J132,Ruimtegroepen[],2,FALSE)</f>
        <v>Gangen/hallen andere verdiepingen</v>
      </c>
      <c r="L132" s="212" t="s">
        <v>123</v>
      </c>
      <c r="M132" s="334" t="s">
        <v>144</v>
      </c>
      <c r="N132" s="337">
        <v>34</v>
      </c>
      <c r="O132" s="331"/>
      <c r="P132" s="332" t="str">
        <f>VLOOKUP(Ruimtestaat[[#This Row],[Ruimte code]],Ruimtegroepen[],4,FALSE)</f>
        <v>V  (Verkeersruimte)</v>
      </c>
      <c r="Q132" s="332"/>
      <c r="R132" s="333">
        <v>40</v>
      </c>
      <c r="S132" s="333" t="s">
        <v>2</v>
      </c>
      <c r="T132" s="37"/>
      <c r="U132" s="37">
        <f>IF(R132&gt;0,IF(RIGHT(Ruimtestaat[[#This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32" s="37">
        <f>IF(U132&gt;0,VLOOKUP($J132,Ruimtegroepen[],3,FALSE)*VLOOKUP($L132,Vloersoorten[],3,FALSE)*VLOOKUP($S132,Frequenties[],3,FALSE)*VLOOKUP($A132,Locaties[],3,FALSE),0)</f>
        <v>0</v>
      </c>
      <c r="W132" s="37">
        <f>Ruimtestaat[[#This Row],[Uitvoeringen werkdagen]]*Ruimtestaat[[#This Row],[Oppervlak (netto)]]</f>
        <v>6800</v>
      </c>
      <c r="X132" s="37">
        <f>IF(V132&gt;0,Ruimtestaat[[#This Row],[Prest. (m2 /jaar) werkdagen]]/Ruimtestaat[[#This Row],[Norm (m2/uur) werkdagen]],0)</f>
        <v>0</v>
      </c>
      <c r="Y132" s="37">
        <f>Ruimtestaat[[#This Row],[uren / jaar werkdagen]]*Tariefsopbouw!$D$38</f>
        <v>0</v>
      </c>
      <c r="Z132" s="37">
        <f>IF(Ruimtestaat[[#This Row],[Frequentie weekend]]&gt;0,VALUE(LEFT(T132,1))*R132,0)</f>
        <v>0</v>
      </c>
      <c r="AA132" s="37">
        <f>IF($Z132&gt;0,VLOOKUP($J132,Ruimtegroepen[],3,FALSE)*VLOOKUP($L132,Vloersoorten[],3,FALSE)*VLOOKUP($T132,Frequenties[],3,FALSE)*VLOOKUP($A132,Locaties[],3,FALSE),0)</f>
        <v>0</v>
      </c>
      <c r="AB132" s="37">
        <f>Ruimtestaat[[#This Row],[Uitvoeringen weekend]]*Ruimtestaat[[#This Row],[Oppervlak (netto)]]</f>
        <v>0</v>
      </c>
      <c r="AC132" s="37">
        <f>IF(AA132&gt;0,Ruimtestaat[[#This Row],[Prest. (m2 /jaar) weekend]]/Ruimtestaat[[#This Row],[Norm (m2/uur) weekend]],0)</f>
        <v>0</v>
      </c>
      <c r="AD132" s="37">
        <f>Ruimtestaat[[#This Row],[uren / jaar weekend]]*Tariefsopbouw!$D$40</f>
        <v>0</v>
      </c>
      <c r="AE132" s="89">
        <f>Ruimtestaat[[#This Row],[Prest. (m2 /jaar) weekend]]+Ruimtestaat[[#This Row],[Prest. (m2 /jaar) werkdagen]]</f>
        <v>6800</v>
      </c>
      <c r="AF132" s="89">
        <f>Ruimtestaat[[#This Row],[uren / jaar weekend]]+Ruimtestaat[[#This Row],[uren / jaar werkdagen]]</f>
        <v>0</v>
      </c>
      <c r="AG132" s="90">
        <f>Ruimtestaat[[#This Row],[kosten / jaar weekend]]+Ruimtestaat[[#This Row],[kosten / jaar werkdagen]]</f>
        <v>0</v>
      </c>
      <c r="AH132" s="253"/>
      <c r="AI132" s="252" t="str">
        <f>IF(Ruimtestaat[[#This Row],[Frequentie werkdagen]]="","",_xlfn.CONCAT(Ruimtestaat[[#This Row],[Ruimte code]],"-",Ruimtestaat[[#This Row],[Frequentie werkdagen]]," ",Ruimtestaat[[#This Row],[Vloer code]]))</f>
        <v>6a-5w P</v>
      </c>
      <c r="AJ132" s="247" t="str">
        <f>_xlfn.IFNA(VLOOKUP(Ruimtestaat[[#This Row],[Programmacode
Regulier]],Programma!$F$4:$Y$36148,2,0),"_")</f>
        <v>_</v>
      </c>
      <c r="AK132" s="247" t="str">
        <f>_xlfn.IFNA(VLOOKUP(Ruimtestaat[[#This Row],[Programmacode
Regulier]],Programma!$F$4:$Y$36148,3,0),"_")</f>
        <v>_</v>
      </c>
      <c r="AL132" s="247" t="str">
        <f>_xlfn.IFNA(VLOOKUP(Ruimtestaat[[#This Row],[Programmacode
Regulier]],Programma!$F$4:$Y$36148,4,0),"_")</f>
        <v>5w</v>
      </c>
      <c r="AM132" s="247" t="str">
        <f>_xlfn.IFNA(VLOOKUP(Ruimtestaat[[#This Row],[Programmacode
Regulier]],Programma!$F$4:$Y$36148,5,0),"_")</f>
        <v>4w</v>
      </c>
      <c r="AN132" s="247" t="str">
        <f>_xlfn.IFNA(VLOOKUP(Ruimtestaat[[#This Row],[Programmacode
Regulier]],Programma!$F$4:$Y$36148,6,0),"_")</f>
        <v>1w</v>
      </c>
      <c r="AO132" s="247" t="str">
        <f>_xlfn.IFNA(VLOOKUP(Ruimtestaat[[#This Row],[Programmacode
Regulier]],Programma!$F$4:$Y$36148,7,0),"_")</f>
        <v>_</v>
      </c>
      <c r="AP132" s="247" t="str">
        <f>_xlfn.IFNA(VLOOKUP(Ruimtestaat[[#This Row],[Programmacode
Regulier]],Programma!$F$4:$Y$36148,8,0),"_")</f>
        <v>_</v>
      </c>
      <c r="AQ132" s="247" t="str">
        <f>_xlfn.IFNA(VLOOKUP(Ruimtestaat[[#This Row],[Programmacode
Regulier]],Programma!$F$4:$Y$36148,9,0),"_")</f>
        <v>_</v>
      </c>
      <c r="AR132" s="248" t="str">
        <f>_xlfn.IFNA(VLOOKUP(Ruimtestaat[[#This Row],[Programmacode
Regulier]],Programma!$F$4:$Y$36148,10,0),"_")</f>
        <v>5w</v>
      </c>
      <c r="AS132" s="248" t="str">
        <f>_xlfn.IFNA(VLOOKUP(Ruimtestaat[[#This Row],[Programmacode
Regulier]],Programma!$F$4:$Y$36148,11,0),"_")</f>
        <v>5w</v>
      </c>
      <c r="AT132" s="248" t="str">
        <f>_xlfn.IFNA(VLOOKUP(Ruimtestaat[[#This Row],[Programmacode
Regulier]],Programma!$F$4:$Y$36148,12,0),"_")</f>
        <v>1w</v>
      </c>
      <c r="AU132" s="248" t="str">
        <f>_xlfn.IFNA(VLOOKUP(Ruimtestaat[[#This Row],[Programmacode
Regulier]],Programma!$F$4:$Y$36148,13,0),"_")</f>
        <v>1w</v>
      </c>
      <c r="AV132" s="248" t="str">
        <f>_xlfn.IFNA(VLOOKUP(Ruimtestaat[[#This Row],[Programmacode
Regulier]],Programma!$F$4:$Y$36148,14,0),"_")</f>
        <v>1m</v>
      </c>
      <c r="AW132" s="248" t="str">
        <f>_xlfn.IFNA(VLOOKUP(Ruimtestaat[[#This Row],[Programmacode
Regulier]],Programma!$F$4:$Y$36148,15,0),"_")</f>
        <v>2j</v>
      </c>
      <c r="AX132" s="248" t="str">
        <f>_xlfn.IFNA(VLOOKUP(Ruimtestaat[[#This Row],[Programmacode
Regulier]],Programma!$F$4:$Y$36148,16,0),"_")</f>
        <v>1j</v>
      </c>
      <c r="AY132" s="248" t="str">
        <f>_xlfn.IFNA(VLOOKUP(Ruimtestaat[[#This Row],[Programmacode
Regulier]],Programma!$F$4:$Y$36148,17,0),"_")</f>
        <v>_</v>
      </c>
      <c r="AZ132" s="249" t="str">
        <f>_xlfn.IFNA(VLOOKUP(Ruimtestaat[[#This Row],[Programmacode
Regulier]],Programma!$F$4:$Y$36148,18,0),"_")</f>
        <v>_</v>
      </c>
      <c r="BA132" s="249" t="str">
        <f>_xlfn.IFNA(VLOOKUP(Ruimtestaat[[#This Row],[Programmacode
Regulier]],Programma!$F$4:$Y$36148,19,0),"_")</f>
        <v>_</v>
      </c>
      <c r="BB132" s="249" t="str">
        <f>_xlfn.IFNA(VLOOKUP(Ruimtestaat[[#This Row],[Programmacode
Regulier]],Programma!$F$4:$Y$36148,20,0),"_")</f>
        <v>_</v>
      </c>
      <c r="BC132" s="250"/>
      <c r="BD132" s="212" t="str">
        <f>IF(Ruimtestaat[[#This Row],[Frequentie weekend]]="","",_xlfn.CONCAT(Ruimtestaat[[#This Row],[Ruimte code]],"-",Ruimtestaat[[#This Row],[Frequentie weekend]]," ",Ruimtestaat[[#This Row],[Vloer code]]))</f>
        <v/>
      </c>
      <c r="BE132" s="247" t="str">
        <f>_xlfn.IFNA(VLOOKUP(Ruimtestaat[[#This Row],[Code Weekend]],Programma!$F$4:$Y$36148,2,0),"_")</f>
        <v>_</v>
      </c>
      <c r="BF132" s="247" t="str">
        <f>_xlfn.IFNA(VLOOKUP(Ruimtestaat[[#This Row],[Code Weekend]],Programma!$F$4:$Y$36148,3,0),"_")</f>
        <v>_</v>
      </c>
      <c r="BG132" s="247" t="str">
        <f>_xlfn.IFNA(VLOOKUP(Ruimtestaat[[#This Row],[Code Weekend]],Programma!$F$4:$Y$36148,4,0),"_")</f>
        <v>_</v>
      </c>
      <c r="BH132" s="247" t="str">
        <f>_xlfn.IFNA(VLOOKUP(Ruimtestaat[[#This Row],[Code Weekend]],Programma!$F$4:$Y$36148,5,0),"_")</f>
        <v>_</v>
      </c>
      <c r="BI132" s="247" t="str">
        <f>_xlfn.IFNA(VLOOKUP(Ruimtestaat[[#This Row],[Code Weekend]],Programma!$F$4:$Y$36148,6,0),"_")</f>
        <v>_</v>
      </c>
      <c r="BJ132" s="247" t="str">
        <f>_xlfn.IFNA(VLOOKUP(Ruimtestaat[[#This Row],[Code Weekend]],Programma!$F$4:$Y$36148,7,0),"_")</f>
        <v>_</v>
      </c>
      <c r="BK132" s="247" t="str">
        <f>_xlfn.IFNA(VLOOKUP(Ruimtestaat[[#This Row],[Code Weekend]],Programma!$F$4:$Y$36148,8,0),"_")</f>
        <v>_</v>
      </c>
      <c r="BL132" s="247" t="str">
        <f>_xlfn.IFNA(VLOOKUP(Ruimtestaat[[#This Row],[Code Weekend]],Programma!$F$4:$Y$36148,9,0),"_")</f>
        <v>_</v>
      </c>
      <c r="BM132" s="248" t="str">
        <f>_xlfn.IFNA(VLOOKUP(Ruimtestaat[[#This Row],[Code Weekend]],Programma!$F$4:$Y$36148,10,0),"_")</f>
        <v>_</v>
      </c>
      <c r="BN132" s="248" t="str">
        <f>_xlfn.IFNA(VLOOKUP(Ruimtestaat[[#This Row],[Code Weekend]],Programma!$F$4:$Y$36148,11,0),"_")</f>
        <v>_</v>
      </c>
      <c r="BO132" s="248" t="str">
        <f>_xlfn.IFNA(VLOOKUP(Ruimtestaat[[#This Row],[Code Weekend]],Programma!$F$4:$Y$36148,12,0),"_")</f>
        <v>_</v>
      </c>
      <c r="BP132" s="248" t="str">
        <f>_xlfn.IFNA(VLOOKUP(Ruimtestaat[[#This Row],[Code Weekend]],Programma!$F$4:$Y$36148,13,0),"_")</f>
        <v>_</v>
      </c>
      <c r="BQ132" s="248" t="str">
        <f>_xlfn.IFNA(VLOOKUP(Ruimtestaat[[#This Row],[Code Weekend]],Programma!$F$4:$Y$36148,14,0),"_")</f>
        <v>_</v>
      </c>
      <c r="BR132" s="248" t="str">
        <f>_xlfn.IFNA(VLOOKUP(Ruimtestaat[[#This Row],[Code Weekend]],Programma!$F$4:$Y$36148,15,0),"_")</f>
        <v>_</v>
      </c>
      <c r="BS132" s="248" t="str">
        <f>_xlfn.IFNA(VLOOKUP(Ruimtestaat[[#This Row],[Code Weekend]],Programma!$F$4:$Y$36148,16,0),"_")</f>
        <v>_</v>
      </c>
      <c r="BT132" s="248" t="str">
        <f>_xlfn.IFNA(VLOOKUP(Ruimtestaat[[#This Row],[Code Weekend]],Programma!$F$4:$Y$36148,17,0),"_")</f>
        <v>_</v>
      </c>
      <c r="BU132" s="249" t="str">
        <f>_xlfn.IFNA(VLOOKUP(Ruimtestaat[[#This Row],[Code Weekend]],Programma!$F$4:$Y$36148,18,0),"_")</f>
        <v>_</v>
      </c>
      <c r="BV132" s="249" t="str">
        <f>_xlfn.IFNA(VLOOKUP(Ruimtestaat[[#This Row],[Code Weekend]],Programma!$F$4:$Y$36148,19,0),"_")</f>
        <v>_</v>
      </c>
      <c r="BW132" s="249" t="str">
        <f>_xlfn.IFNA(VLOOKUP(Ruimtestaat[[#This Row],[Code Weekend]],Programma!$F$4:$Y$36148,20,0),"_")</f>
        <v>_</v>
      </c>
    </row>
    <row r="133" spans="1:75" ht="12.75" customHeight="1">
      <c r="A133" s="334">
        <v>1</v>
      </c>
      <c r="B133" s="334" t="str">
        <f>VLOOKUP(Ruimtestaat[[#This Row],[Code]],Locaties[#All],2,FALSE)</f>
        <v>ESH Secondary School</v>
      </c>
      <c r="C133" s="212" t="str">
        <f>VLOOKUP(Ruimtestaat[[#This Row],[Code]],Locaties[#All],4,FALSE)</f>
        <v>Oostduinlaan 50</v>
      </c>
      <c r="D133" s="212" t="str">
        <f>VLOOKUP(Ruimtestaat[[#This Row],[Code]],Locaties[#All],5,FALSE)</f>
        <v>2596 JP</v>
      </c>
      <c r="E133" s="212" t="str">
        <f>VLOOKUP(Ruimtestaat[[#This Row],[Code]],Locaties[#All],6,FALSE)</f>
        <v>Den Haag</v>
      </c>
      <c r="F133" s="335"/>
      <c r="G133" s="334" t="s">
        <v>1677</v>
      </c>
      <c r="H133" s="334" t="s">
        <v>1627</v>
      </c>
      <c r="I133" s="335" t="s">
        <v>1504</v>
      </c>
      <c r="J133" s="328">
        <v>10</v>
      </c>
      <c r="K133" s="336" t="str">
        <f>VLOOKUP(J133,Ruimtegroepen[],2,FALSE)</f>
        <v>Trappenhuizen/lift</v>
      </c>
      <c r="L133" s="212" t="s">
        <v>122</v>
      </c>
      <c r="M133" s="334" t="s">
        <v>143</v>
      </c>
      <c r="N133" s="337">
        <v>43</v>
      </c>
      <c r="O133" s="331"/>
      <c r="P133" s="332" t="str">
        <f>VLOOKUP(Ruimtestaat[[#This Row],[Ruimte code]],Ruimtegroepen[],4,FALSE)</f>
        <v>V  (Verkeersruimte)</v>
      </c>
      <c r="Q133" s="332"/>
      <c r="R133" s="333">
        <v>40</v>
      </c>
      <c r="S133" s="333" t="s">
        <v>2</v>
      </c>
      <c r="T133" s="37"/>
      <c r="U133" s="37">
        <f>IF(R133&gt;0,IF(RIGHT(Ruimtestaat[[#This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33" s="37">
        <f>IF(U133&gt;0,VLOOKUP($J133,Ruimtegroepen[],3,FALSE)*VLOOKUP($L133,Vloersoorten[],3,FALSE)*VLOOKUP($S133,Frequenties[],3,FALSE)*VLOOKUP($A133,Locaties[],3,FALSE),0)</f>
        <v>0</v>
      </c>
      <c r="W133" s="37">
        <f>Ruimtestaat[[#This Row],[Uitvoeringen werkdagen]]*Ruimtestaat[[#This Row],[Oppervlak (netto)]]</f>
        <v>8600</v>
      </c>
      <c r="X133" s="37">
        <f>IF(V133&gt;0,Ruimtestaat[[#This Row],[Prest. (m2 /jaar) werkdagen]]/Ruimtestaat[[#This Row],[Norm (m2/uur) werkdagen]],0)</f>
        <v>0</v>
      </c>
      <c r="Y133" s="37">
        <f>Ruimtestaat[[#This Row],[uren / jaar werkdagen]]*Tariefsopbouw!$D$38</f>
        <v>0</v>
      </c>
      <c r="Z133" s="37">
        <f>IF(Ruimtestaat[[#This Row],[Frequentie weekend]]&gt;0,VALUE(LEFT(T133,1))*R133,0)</f>
        <v>0</v>
      </c>
      <c r="AA133" s="37">
        <f>IF($Z133&gt;0,VLOOKUP($J133,Ruimtegroepen[],3,FALSE)*VLOOKUP($L133,Vloersoorten[],3,FALSE)*VLOOKUP($T133,Frequenties[],3,FALSE)*VLOOKUP($A133,Locaties[],3,FALSE),0)</f>
        <v>0</v>
      </c>
      <c r="AB133" s="37">
        <f>Ruimtestaat[[#This Row],[Uitvoeringen weekend]]*Ruimtestaat[[#This Row],[Oppervlak (netto)]]</f>
        <v>0</v>
      </c>
      <c r="AC133" s="37">
        <f>IF(AA133&gt;0,Ruimtestaat[[#This Row],[Prest. (m2 /jaar) weekend]]/Ruimtestaat[[#This Row],[Norm (m2/uur) weekend]],0)</f>
        <v>0</v>
      </c>
      <c r="AD133" s="37">
        <f>Ruimtestaat[[#This Row],[uren / jaar weekend]]*Tariefsopbouw!$D$40</f>
        <v>0</v>
      </c>
      <c r="AE133" s="89">
        <f>Ruimtestaat[[#This Row],[Prest. (m2 /jaar) weekend]]+Ruimtestaat[[#This Row],[Prest. (m2 /jaar) werkdagen]]</f>
        <v>8600</v>
      </c>
      <c r="AF133" s="89">
        <f>Ruimtestaat[[#This Row],[uren / jaar weekend]]+Ruimtestaat[[#This Row],[uren / jaar werkdagen]]</f>
        <v>0</v>
      </c>
      <c r="AG133" s="90">
        <f>Ruimtestaat[[#This Row],[kosten / jaar weekend]]+Ruimtestaat[[#This Row],[kosten / jaar werkdagen]]</f>
        <v>0</v>
      </c>
      <c r="AH133" s="253"/>
      <c r="AI133" s="252" t="str">
        <f>IF(Ruimtestaat[[#This Row],[Frequentie werkdagen]]="","",_xlfn.CONCAT(Ruimtestaat[[#This Row],[Ruimte code]],"-",Ruimtestaat[[#This Row],[Frequentie werkdagen]]," ",Ruimtestaat[[#This Row],[Vloer code]]))</f>
        <v>10-5w S</v>
      </c>
      <c r="AJ133" s="247" t="str">
        <f>_xlfn.IFNA(VLOOKUP(Ruimtestaat[[#This Row],[Programmacode
Regulier]],Programma!$F$4:$Y$36148,2,0),"_")</f>
        <v>_</v>
      </c>
      <c r="AK133" s="247" t="str">
        <f>_xlfn.IFNA(VLOOKUP(Ruimtestaat[[#This Row],[Programmacode
Regulier]],Programma!$F$4:$Y$36148,3,0),"_")</f>
        <v>5w</v>
      </c>
      <c r="AL133" s="247" t="str">
        <f>_xlfn.IFNA(VLOOKUP(Ruimtestaat[[#This Row],[Programmacode
Regulier]],Programma!$F$4:$Y$36148,4,0),"_")</f>
        <v>_</v>
      </c>
      <c r="AM133" s="247" t="str">
        <f>_xlfn.IFNA(VLOOKUP(Ruimtestaat[[#This Row],[Programmacode
Regulier]],Programma!$F$4:$Y$36148,5,0),"_")</f>
        <v>5w</v>
      </c>
      <c r="AN133" s="247" t="str">
        <f>_xlfn.IFNA(VLOOKUP(Ruimtestaat[[#This Row],[Programmacode
Regulier]],Programma!$F$4:$Y$36148,6,0),"_")</f>
        <v>1m</v>
      </c>
      <c r="AO133" s="247" t="str">
        <f>_xlfn.IFNA(VLOOKUP(Ruimtestaat[[#This Row],[Programmacode
Regulier]],Programma!$F$4:$Y$36148,7,0),"_")</f>
        <v>_</v>
      </c>
      <c r="AP133" s="247" t="str">
        <f>_xlfn.IFNA(VLOOKUP(Ruimtestaat[[#This Row],[Programmacode
Regulier]],Programma!$F$4:$Y$36148,8,0),"_")</f>
        <v>_</v>
      </c>
      <c r="AQ133" s="247" t="str">
        <f>_xlfn.IFNA(VLOOKUP(Ruimtestaat[[#This Row],[Programmacode
Regulier]],Programma!$F$4:$Y$36148,9,0),"_")</f>
        <v>_</v>
      </c>
      <c r="AR133" s="248" t="str">
        <f>_xlfn.IFNA(VLOOKUP(Ruimtestaat[[#This Row],[Programmacode
Regulier]],Programma!$F$4:$Y$36148,10,0),"_")</f>
        <v>5w</v>
      </c>
      <c r="AS133" s="248" t="str">
        <f>_xlfn.IFNA(VLOOKUP(Ruimtestaat[[#This Row],[Programmacode
Regulier]],Programma!$F$4:$Y$36148,11,0),"_")</f>
        <v>5w</v>
      </c>
      <c r="AT133" s="248" t="str">
        <f>_xlfn.IFNA(VLOOKUP(Ruimtestaat[[#This Row],[Programmacode
Regulier]],Programma!$F$4:$Y$36148,12,0),"_")</f>
        <v>1w</v>
      </c>
      <c r="AU133" s="248" t="str">
        <f>_xlfn.IFNA(VLOOKUP(Ruimtestaat[[#This Row],[Programmacode
Regulier]],Programma!$F$4:$Y$36148,13,0),"_")</f>
        <v>1w</v>
      </c>
      <c r="AV133" s="248" t="str">
        <f>_xlfn.IFNA(VLOOKUP(Ruimtestaat[[#This Row],[Programmacode
Regulier]],Programma!$F$4:$Y$36148,14,0),"_")</f>
        <v>1m</v>
      </c>
      <c r="AW133" s="248" t="str">
        <f>_xlfn.IFNA(VLOOKUP(Ruimtestaat[[#This Row],[Programmacode
Regulier]],Programma!$F$4:$Y$36148,15,0),"_")</f>
        <v>2j</v>
      </c>
      <c r="AX133" s="248" t="str">
        <f>_xlfn.IFNA(VLOOKUP(Ruimtestaat[[#This Row],[Programmacode
Regulier]],Programma!$F$4:$Y$36148,16,0),"_")</f>
        <v>1j</v>
      </c>
      <c r="AY133" s="248" t="str">
        <f>_xlfn.IFNA(VLOOKUP(Ruimtestaat[[#This Row],[Programmacode
Regulier]],Programma!$F$4:$Y$36148,17,0),"_")</f>
        <v>_</v>
      </c>
      <c r="AZ133" s="249" t="str">
        <f>_xlfn.IFNA(VLOOKUP(Ruimtestaat[[#This Row],[Programmacode
Regulier]],Programma!$F$4:$Y$36148,18,0),"_")</f>
        <v>_</v>
      </c>
      <c r="BA133" s="249" t="str">
        <f>_xlfn.IFNA(VLOOKUP(Ruimtestaat[[#This Row],[Programmacode
Regulier]],Programma!$F$4:$Y$36148,19,0),"_")</f>
        <v>_</v>
      </c>
      <c r="BB133" s="249" t="str">
        <f>_xlfn.IFNA(VLOOKUP(Ruimtestaat[[#This Row],[Programmacode
Regulier]],Programma!$F$4:$Y$36148,20,0),"_")</f>
        <v>_</v>
      </c>
      <c r="BC133" s="250"/>
      <c r="BD133" s="212" t="str">
        <f>IF(Ruimtestaat[[#This Row],[Frequentie weekend]]="","",_xlfn.CONCAT(Ruimtestaat[[#This Row],[Ruimte code]],"-",Ruimtestaat[[#This Row],[Frequentie weekend]]," ",Ruimtestaat[[#This Row],[Vloer code]]))</f>
        <v/>
      </c>
      <c r="BE133" s="247" t="str">
        <f>_xlfn.IFNA(VLOOKUP(Ruimtestaat[[#This Row],[Code Weekend]],Programma!$F$4:$Y$36148,2,0),"_")</f>
        <v>_</v>
      </c>
      <c r="BF133" s="247" t="str">
        <f>_xlfn.IFNA(VLOOKUP(Ruimtestaat[[#This Row],[Code Weekend]],Programma!$F$4:$Y$36148,3,0),"_")</f>
        <v>_</v>
      </c>
      <c r="BG133" s="247" t="str">
        <f>_xlfn.IFNA(VLOOKUP(Ruimtestaat[[#This Row],[Code Weekend]],Programma!$F$4:$Y$36148,4,0),"_")</f>
        <v>_</v>
      </c>
      <c r="BH133" s="247" t="str">
        <f>_xlfn.IFNA(VLOOKUP(Ruimtestaat[[#This Row],[Code Weekend]],Programma!$F$4:$Y$36148,5,0),"_")</f>
        <v>_</v>
      </c>
      <c r="BI133" s="247" t="str">
        <f>_xlfn.IFNA(VLOOKUP(Ruimtestaat[[#This Row],[Code Weekend]],Programma!$F$4:$Y$36148,6,0),"_")</f>
        <v>_</v>
      </c>
      <c r="BJ133" s="247" t="str">
        <f>_xlfn.IFNA(VLOOKUP(Ruimtestaat[[#This Row],[Code Weekend]],Programma!$F$4:$Y$36148,7,0),"_")</f>
        <v>_</v>
      </c>
      <c r="BK133" s="247" t="str">
        <f>_xlfn.IFNA(VLOOKUP(Ruimtestaat[[#This Row],[Code Weekend]],Programma!$F$4:$Y$36148,8,0),"_")</f>
        <v>_</v>
      </c>
      <c r="BL133" s="247" t="str">
        <f>_xlfn.IFNA(VLOOKUP(Ruimtestaat[[#This Row],[Code Weekend]],Programma!$F$4:$Y$36148,9,0),"_")</f>
        <v>_</v>
      </c>
      <c r="BM133" s="248" t="str">
        <f>_xlfn.IFNA(VLOOKUP(Ruimtestaat[[#This Row],[Code Weekend]],Programma!$F$4:$Y$36148,10,0),"_")</f>
        <v>_</v>
      </c>
      <c r="BN133" s="248" t="str">
        <f>_xlfn.IFNA(VLOOKUP(Ruimtestaat[[#This Row],[Code Weekend]],Programma!$F$4:$Y$36148,11,0),"_")</f>
        <v>_</v>
      </c>
      <c r="BO133" s="248" t="str">
        <f>_xlfn.IFNA(VLOOKUP(Ruimtestaat[[#This Row],[Code Weekend]],Programma!$F$4:$Y$36148,12,0),"_")</f>
        <v>_</v>
      </c>
      <c r="BP133" s="248" t="str">
        <f>_xlfn.IFNA(VLOOKUP(Ruimtestaat[[#This Row],[Code Weekend]],Programma!$F$4:$Y$36148,13,0),"_")</f>
        <v>_</v>
      </c>
      <c r="BQ133" s="248" t="str">
        <f>_xlfn.IFNA(VLOOKUP(Ruimtestaat[[#This Row],[Code Weekend]],Programma!$F$4:$Y$36148,14,0),"_")</f>
        <v>_</v>
      </c>
      <c r="BR133" s="248" t="str">
        <f>_xlfn.IFNA(VLOOKUP(Ruimtestaat[[#This Row],[Code Weekend]],Programma!$F$4:$Y$36148,15,0),"_")</f>
        <v>_</v>
      </c>
      <c r="BS133" s="248" t="str">
        <f>_xlfn.IFNA(VLOOKUP(Ruimtestaat[[#This Row],[Code Weekend]],Programma!$F$4:$Y$36148,16,0),"_")</f>
        <v>_</v>
      </c>
      <c r="BT133" s="248" t="str">
        <f>_xlfn.IFNA(VLOOKUP(Ruimtestaat[[#This Row],[Code Weekend]],Programma!$F$4:$Y$36148,17,0),"_")</f>
        <v>_</v>
      </c>
      <c r="BU133" s="249" t="str">
        <f>_xlfn.IFNA(VLOOKUP(Ruimtestaat[[#This Row],[Code Weekend]],Programma!$F$4:$Y$36148,18,0),"_")</f>
        <v>_</v>
      </c>
      <c r="BV133" s="249" t="str">
        <f>_xlfn.IFNA(VLOOKUP(Ruimtestaat[[#This Row],[Code Weekend]],Programma!$F$4:$Y$36148,19,0),"_")</f>
        <v>_</v>
      </c>
      <c r="BW133" s="249" t="str">
        <f>_xlfn.IFNA(VLOOKUP(Ruimtestaat[[#This Row],[Code Weekend]],Programma!$F$4:$Y$36148,20,0),"_")</f>
        <v>_</v>
      </c>
    </row>
    <row r="134" spans="1:75" ht="12.75" customHeight="1">
      <c r="A134" s="334">
        <v>1</v>
      </c>
      <c r="B134" s="334" t="str">
        <f>VLOOKUP(Ruimtestaat[[#This Row],[Code]],Locaties[#All],2,FALSE)</f>
        <v>ESH Secondary School</v>
      </c>
      <c r="C134" s="212" t="str">
        <f>VLOOKUP(Ruimtestaat[[#This Row],[Code]],Locaties[#All],4,FALSE)</f>
        <v>Oostduinlaan 50</v>
      </c>
      <c r="D134" s="212" t="str">
        <f>VLOOKUP(Ruimtestaat[[#This Row],[Code]],Locaties[#All],5,FALSE)</f>
        <v>2596 JP</v>
      </c>
      <c r="E134" s="212" t="str">
        <f>VLOOKUP(Ruimtestaat[[#This Row],[Code]],Locaties[#All],6,FALSE)</f>
        <v>Den Haag</v>
      </c>
      <c r="F134" s="335"/>
      <c r="G134" s="334" t="s">
        <v>1677</v>
      </c>
      <c r="H134" s="334" t="s">
        <v>1628</v>
      </c>
      <c r="I134" s="335" t="s">
        <v>1682</v>
      </c>
      <c r="J134" s="212">
        <v>9</v>
      </c>
      <c r="K134" s="336" t="str">
        <f>VLOOKUP(J134,Ruimtegroepen[],2,FALSE)</f>
        <v>Bibliotheek / OLC</v>
      </c>
      <c r="L134" s="212" t="s">
        <v>122</v>
      </c>
      <c r="M134" s="334" t="s">
        <v>143</v>
      </c>
      <c r="N134" s="337">
        <v>49</v>
      </c>
      <c r="O134" s="331"/>
      <c r="P134" s="332" t="str">
        <f>VLOOKUP(Ruimtestaat[[#This Row],[Ruimte code]],Ruimtegroepen[],4,FALSE)</f>
        <v>L  (Lesruimte)</v>
      </c>
      <c r="Q134" s="332"/>
      <c r="R134" s="333">
        <v>40</v>
      </c>
      <c r="S134" s="333" t="s">
        <v>2</v>
      </c>
      <c r="T134" s="37"/>
      <c r="U134" s="37">
        <f>IF(R134&gt;0,IF(RIGHT(Ruimtestaat[[#This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34" s="37">
        <f>IF(U134&gt;0,VLOOKUP($J134,Ruimtegroepen[],3,FALSE)*VLOOKUP($L134,Vloersoorten[],3,FALSE)*VLOOKUP($S134,Frequenties[],3,FALSE)*VLOOKUP($A134,Locaties[],3,FALSE),0)</f>
        <v>0</v>
      </c>
      <c r="W134" s="37">
        <f>Ruimtestaat[[#This Row],[Uitvoeringen werkdagen]]*Ruimtestaat[[#This Row],[Oppervlak (netto)]]</f>
        <v>9800</v>
      </c>
      <c r="X134" s="37">
        <f>IF(V134&gt;0,Ruimtestaat[[#This Row],[Prest. (m2 /jaar) werkdagen]]/Ruimtestaat[[#This Row],[Norm (m2/uur) werkdagen]],0)</f>
        <v>0</v>
      </c>
      <c r="Y134" s="37">
        <f>Ruimtestaat[[#This Row],[uren / jaar werkdagen]]*Tariefsopbouw!$D$38</f>
        <v>0</v>
      </c>
      <c r="Z134" s="37">
        <f>IF(Ruimtestaat[[#This Row],[Frequentie weekend]]&gt;0,VALUE(LEFT(T134,1))*R134,0)</f>
        <v>0</v>
      </c>
      <c r="AA134" s="37">
        <f>IF($Z134&gt;0,VLOOKUP($J134,Ruimtegroepen[],3,FALSE)*VLOOKUP($L134,Vloersoorten[],3,FALSE)*VLOOKUP($T134,Frequenties[],3,FALSE)*VLOOKUP($A134,Locaties[],3,FALSE),0)</f>
        <v>0</v>
      </c>
      <c r="AB134" s="37">
        <f>Ruimtestaat[[#This Row],[Uitvoeringen weekend]]*Ruimtestaat[[#This Row],[Oppervlak (netto)]]</f>
        <v>0</v>
      </c>
      <c r="AC134" s="37">
        <f>IF(AA134&gt;0,Ruimtestaat[[#This Row],[Prest. (m2 /jaar) weekend]]/Ruimtestaat[[#This Row],[Norm (m2/uur) weekend]],0)</f>
        <v>0</v>
      </c>
      <c r="AD134" s="37">
        <f>Ruimtestaat[[#This Row],[uren / jaar weekend]]*Tariefsopbouw!$D$40</f>
        <v>0</v>
      </c>
      <c r="AE134" s="89">
        <f>Ruimtestaat[[#This Row],[Prest. (m2 /jaar) weekend]]+Ruimtestaat[[#This Row],[Prest. (m2 /jaar) werkdagen]]</f>
        <v>9800</v>
      </c>
      <c r="AF134" s="89">
        <f>Ruimtestaat[[#This Row],[uren / jaar weekend]]+Ruimtestaat[[#This Row],[uren / jaar werkdagen]]</f>
        <v>0</v>
      </c>
      <c r="AG134" s="90">
        <f>Ruimtestaat[[#This Row],[kosten / jaar weekend]]+Ruimtestaat[[#This Row],[kosten / jaar werkdagen]]</f>
        <v>0</v>
      </c>
      <c r="AH134" s="253"/>
      <c r="AI134" s="252" t="str">
        <f>IF(Ruimtestaat[[#This Row],[Frequentie werkdagen]]="","",_xlfn.CONCAT(Ruimtestaat[[#This Row],[Ruimte code]],"-",Ruimtestaat[[#This Row],[Frequentie werkdagen]]," ",Ruimtestaat[[#This Row],[Vloer code]]))</f>
        <v>9-5w S</v>
      </c>
      <c r="AJ134" s="247" t="str">
        <f>_xlfn.IFNA(VLOOKUP(Ruimtestaat[[#This Row],[Programmacode
Regulier]],Programma!$F$4:$Y$36148,2,0),"_")</f>
        <v>_</v>
      </c>
      <c r="AK134" s="247" t="str">
        <f>_xlfn.IFNA(VLOOKUP(Ruimtestaat[[#This Row],[Programmacode
Regulier]],Programma!$F$4:$Y$36148,3,0),"_")</f>
        <v>_</v>
      </c>
      <c r="AL134" s="247" t="str">
        <f>_xlfn.IFNA(VLOOKUP(Ruimtestaat[[#This Row],[Programmacode
Regulier]],Programma!$F$4:$Y$36148,4,0),"_")</f>
        <v>5w</v>
      </c>
      <c r="AM134" s="247" t="str">
        <f>_xlfn.IFNA(VLOOKUP(Ruimtestaat[[#This Row],[Programmacode
Regulier]],Programma!$F$4:$Y$36148,5,0),"_")</f>
        <v>1w</v>
      </c>
      <c r="AN134" s="247" t="str">
        <f>_xlfn.IFNA(VLOOKUP(Ruimtestaat[[#This Row],[Programmacode
Regulier]],Programma!$F$4:$Y$36148,6,0),"_")</f>
        <v>1m</v>
      </c>
      <c r="AO134" s="247" t="str">
        <f>_xlfn.IFNA(VLOOKUP(Ruimtestaat[[#This Row],[Programmacode
Regulier]],Programma!$F$4:$Y$36148,7,0),"_")</f>
        <v>_</v>
      </c>
      <c r="AP134" s="247" t="str">
        <f>_xlfn.IFNA(VLOOKUP(Ruimtestaat[[#This Row],[Programmacode
Regulier]],Programma!$F$4:$Y$36148,8,0),"_")</f>
        <v>_</v>
      </c>
      <c r="AQ134" s="247" t="str">
        <f>_xlfn.IFNA(VLOOKUP(Ruimtestaat[[#This Row],[Programmacode
Regulier]],Programma!$F$4:$Y$36148,9,0),"_")</f>
        <v>_</v>
      </c>
      <c r="AR134" s="248" t="str">
        <f>_xlfn.IFNA(VLOOKUP(Ruimtestaat[[#This Row],[Programmacode
Regulier]],Programma!$F$4:$Y$36148,10,0),"_")</f>
        <v>5w</v>
      </c>
      <c r="AS134" s="248" t="str">
        <f>_xlfn.IFNA(VLOOKUP(Ruimtestaat[[#This Row],[Programmacode
Regulier]],Programma!$F$4:$Y$36148,11,0),"_")</f>
        <v>5w</v>
      </c>
      <c r="AT134" s="248" t="str">
        <f>_xlfn.IFNA(VLOOKUP(Ruimtestaat[[#This Row],[Programmacode
Regulier]],Programma!$F$4:$Y$36148,12,0),"_")</f>
        <v>1w</v>
      </c>
      <c r="AU134" s="248" t="str">
        <f>_xlfn.IFNA(VLOOKUP(Ruimtestaat[[#This Row],[Programmacode
Regulier]],Programma!$F$4:$Y$36148,13,0),"_")</f>
        <v>1w</v>
      </c>
      <c r="AV134" s="248" t="str">
        <f>_xlfn.IFNA(VLOOKUP(Ruimtestaat[[#This Row],[Programmacode
Regulier]],Programma!$F$4:$Y$36148,14,0),"_")</f>
        <v>1m</v>
      </c>
      <c r="AW134" s="248" t="str">
        <f>_xlfn.IFNA(VLOOKUP(Ruimtestaat[[#This Row],[Programmacode
Regulier]],Programma!$F$4:$Y$36148,15,0),"_")</f>
        <v>2j</v>
      </c>
      <c r="AX134" s="248" t="str">
        <f>_xlfn.IFNA(VLOOKUP(Ruimtestaat[[#This Row],[Programmacode
Regulier]],Programma!$F$4:$Y$36148,16,0),"_")</f>
        <v>1j</v>
      </c>
      <c r="AY134" s="248" t="str">
        <f>_xlfn.IFNA(VLOOKUP(Ruimtestaat[[#This Row],[Programmacode
Regulier]],Programma!$F$4:$Y$36148,17,0),"_")</f>
        <v>_</v>
      </c>
      <c r="AZ134" s="249" t="str">
        <f>_xlfn.IFNA(VLOOKUP(Ruimtestaat[[#This Row],[Programmacode
Regulier]],Programma!$F$4:$Y$36148,18,0),"_")</f>
        <v>_</v>
      </c>
      <c r="BA134" s="249" t="str">
        <f>_xlfn.IFNA(VLOOKUP(Ruimtestaat[[#This Row],[Programmacode
Regulier]],Programma!$F$4:$Y$36148,19,0),"_")</f>
        <v>_</v>
      </c>
      <c r="BB134" s="249" t="str">
        <f>_xlfn.IFNA(VLOOKUP(Ruimtestaat[[#This Row],[Programmacode
Regulier]],Programma!$F$4:$Y$36148,20,0),"_")</f>
        <v>_</v>
      </c>
      <c r="BC134" s="250"/>
      <c r="BD134" s="212" t="str">
        <f>IF(Ruimtestaat[[#This Row],[Frequentie weekend]]="","",_xlfn.CONCAT(Ruimtestaat[[#This Row],[Ruimte code]],"-",Ruimtestaat[[#This Row],[Frequentie weekend]]," ",Ruimtestaat[[#This Row],[Vloer code]]))</f>
        <v/>
      </c>
      <c r="BE134" s="247" t="str">
        <f>_xlfn.IFNA(VLOOKUP(Ruimtestaat[[#This Row],[Code Weekend]],Programma!$F$4:$Y$36148,2,0),"_")</f>
        <v>_</v>
      </c>
      <c r="BF134" s="247" t="str">
        <f>_xlfn.IFNA(VLOOKUP(Ruimtestaat[[#This Row],[Code Weekend]],Programma!$F$4:$Y$36148,3,0),"_")</f>
        <v>_</v>
      </c>
      <c r="BG134" s="247" t="str">
        <f>_xlfn.IFNA(VLOOKUP(Ruimtestaat[[#This Row],[Code Weekend]],Programma!$F$4:$Y$36148,4,0),"_")</f>
        <v>_</v>
      </c>
      <c r="BH134" s="247" t="str">
        <f>_xlfn.IFNA(VLOOKUP(Ruimtestaat[[#This Row],[Code Weekend]],Programma!$F$4:$Y$36148,5,0),"_")</f>
        <v>_</v>
      </c>
      <c r="BI134" s="247" t="str">
        <f>_xlfn.IFNA(VLOOKUP(Ruimtestaat[[#This Row],[Code Weekend]],Programma!$F$4:$Y$36148,6,0),"_")</f>
        <v>_</v>
      </c>
      <c r="BJ134" s="247" t="str">
        <f>_xlfn.IFNA(VLOOKUP(Ruimtestaat[[#This Row],[Code Weekend]],Programma!$F$4:$Y$36148,7,0),"_")</f>
        <v>_</v>
      </c>
      <c r="BK134" s="247" t="str">
        <f>_xlfn.IFNA(VLOOKUP(Ruimtestaat[[#This Row],[Code Weekend]],Programma!$F$4:$Y$36148,8,0),"_")</f>
        <v>_</v>
      </c>
      <c r="BL134" s="247" t="str">
        <f>_xlfn.IFNA(VLOOKUP(Ruimtestaat[[#This Row],[Code Weekend]],Programma!$F$4:$Y$36148,9,0),"_")</f>
        <v>_</v>
      </c>
      <c r="BM134" s="248" t="str">
        <f>_xlfn.IFNA(VLOOKUP(Ruimtestaat[[#This Row],[Code Weekend]],Programma!$F$4:$Y$36148,10,0),"_")</f>
        <v>_</v>
      </c>
      <c r="BN134" s="248" t="str">
        <f>_xlfn.IFNA(VLOOKUP(Ruimtestaat[[#This Row],[Code Weekend]],Programma!$F$4:$Y$36148,11,0),"_")</f>
        <v>_</v>
      </c>
      <c r="BO134" s="248" t="str">
        <f>_xlfn.IFNA(VLOOKUP(Ruimtestaat[[#This Row],[Code Weekend]],Programma!$F$4:$Y$36148,12,0),"_")</f>
        <v>_</v>
      </c>
      <c r="BP134" s="248" t="str">
        <f>_xlfn.IFNA(VLOOKUP(Ruimtestaat[[#This Row],[Code Weekend]],Programma!$F$4:$Y$36148,13,0),"_")</f>
        <v>_</v>
      </c>
      <c r="BQ134" s="248" t="str">
        <f>_xlfn.IFNA(VLOOKUP(Ruimtestaat[[#This Row],[Code Weekend]],Programma!$F$4:$Y$36148,14,0),"_")</f>
        <v>_</v>
      </c>
      <c r="BR134" s="248" t="str">
        <f>_xlfn.IFNA(VLOOKUP(Ruimtestaat[[#This Row],[Code Weekend]],Programma!$F$4:$Y$36148,15,0),"_")</f>
        <v>_</v>
      </c>
      <c r="BS134" s="248" t="str">
        <f>_xlfn.IFNA(VLOOKUP(Ruimtestaat[[#This Row],[Code Weekend]],Programma!$F$4:$Y$36148,16,0),"_")</f>
        <v>_</v>
      </c>
      <c r="BT134" s="248" t="str">
        <f>_xlfn.IFNA(VLOOKUP(Ruimtestaat[[#This Row],[Code Weekend]],Programma!$F$4:$Y$36148,17,0),"_")</f>
        <v>_</v>
      </c>
      <c r="BU134" s="249" t="str">
        <f>_xlfn.IFNA(VLOOKUP(Ruimtestaat[[#This Row],[Code Weekend]],Programma!$F$4:$Y$36148,18,0),"_")</f>
        <v>_</v>
      </c>
      <c r="BV134" s="249" t="str">
        <f>_xlfn.IFNA(VLOOKUP(Ruimtestaat[[#This Row],[Code Weekend]],Programma!$F$4:$Y$36148,19,0),"_")</f>
        <v>_</v>
      </c>
      <c r="BW134" s="249" t="str">
        <f>_xlfn.IFNA(VLOOKUP(Ruimtestaat[[#This Row],[Code Weekend]],Programma!$F$4:$Y$36148,20,0),"_")</f>
        <v>_</v>
      </c>
    </row>
    <row r="135" spans="1:75" ht="12.75" customHeight="1">
      <c r="A135" s="334">
        <v>1</v>
      </c>
      <c r="B135" s="334" t="str">
        <f>VLOOKUP(Ruimtestaat[[#This Row],[Code]],Locaties[#All],2,FALSE)</f>
        <v>ESH Secondary School</v>
      </c>
      <c r="C135" s="212" t="str">
        <f>VLOOKUP(Ruimtestaat[[#This Row],[Code]],Locaties[#All],4,FALSE)</f>
        <v>Oostduinlaan 50</v>
      </c>
      <c r="D135" s="212" t="str">
        <f>VLOOKUP(Ruimtestaat[[#This Row],[Code]],Locaties[#All],5,FALSE)</f>
        <v>2596 JP</v>
      </c>
      <c r="E135" s="212" t="str">
        <f>VLOOKUP(Ruimtestaat[[#This Row],[Code]],Locaties[#All],6,FALSE)</f>
        <v>Den Haag</v>
      </c>
      <c r="F135" s="335"/>
      <c r="G135" s="334" t="s">
        <v>1677</v>
      </c>
      <c r="H135" s="334" t="s">
        <v>1629</v>
      </c>
      <c r="I135" s="335" t="s">
        <v>1683</v>
      </c>
      <c r="J135" s="212">
        <v>9</v>
      </c>
      <c r="K135" s="336" t="str">
        <f>VLOOKUP(J135,Ruimtegroepen[],2,FALSE)</f>
        <v>Bibliotheek / OLC</v>
      </c>
      <c r="L135" s="212" t="s">
        <v>1793</v>
      </c>
      <c r="M135" s="334" t="s">
        <v>1765</v>
      </c>
      <c r="N135" s="337">
        <v>318</v>
      </c>
      <c r="O135" s="331"/>
      <c r="P135" s="332" t="str">
        <f>VLOOKUP(Ruimtestaat[[#This Row],[Ruimte code]],Ruimtegroepen[],4,FALSE)</f>
        <v>L  (Lesruimte)</v>
      </c>
      <c r="Q135" s="332"/>
      <c r="R135" s="333">
        <v>40</v>
      </c>
      <c r="S135" s="333" t="s">
        <v>2</v>
      </c>
      <c r="T135" s="37"/>
      <c r="U135" s="37">
        <f>IF(R135&gt;0,IF(RIGHT(Ruimtestaat[[#This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35" s="37">
        <f>IF(U135&gt;0,VLOOKUP($J135,Ruimtegroepen[],3,FALSE)*VLOOKUP($L135,Vloersoorten[],3,FALSE)*VLOOKUP($S135,Frequenties[],3,FALSE)*VLOOKUP($A135,Locaties[],3,FALSE),0)</f>
        <v>0</v>
      </c>
      <c r="W135" s="37">
        <f>Ruimtestaat[[#This Row],[Uitvoeringen werkdagen]]*Ruimtestaat[[#This Row],[Oppervlak (netto)]]</f>
        <v>63600</v>
      </c>
      <c r="X135" s="37">
        <f>IF(V135&gt;0,Ruimtestaat[[#This Row],[Prest. (m2 /jaar) werkdagen]]/Ruimtestaat[[#This Row],[Norm (m2/uur) werkdagen]],0)</f>
        <v>0</v>
      </c>
      <c r="Y135" s="37">
        <f>Ruimtestaat[[#This Row],[uren / jaar werkdagen]]*Tariefsopbouw!$D$38</f>
        <v>0</v>
      </c>
      <c r="Z135" s="37">
        <f>IF(Ruimtestaat[[#This Row],[Frequentie weekend]]&gt;0,VALUE(LEFT(T135,1))*R135,0)</f>
        <v>0</v>
      </c>
      <c r="AA135" s="37">
        <f>IF($Z135&gt;0,VLOOKUP($J135,Ruimtegroepen[],3,FALSE)*VLOOKUP($L135,Vloersoorten[],3,FALSE)*VLOOKUP($T135,Frequenties[],3,FALSE)*VLOOKUP($A135,Locaties[],3,FALSE),0)</f>
        <v>0</v>
      </c>
      <c r="AB135" s="37">
        <f>Ruimtestaat[[#This Row],[Uitvoeringen weekend]]*Ruimtestaat[[#This Row],[Oppervlak (netto)]]</f>
        <v>0</v>
      </c>
      <c r="AC135" s="37">
        <f>IF(AA135&gt;0,Ruimtestaat[[#This Row],[Prest. (m2 /jaar) weekend]]/Ruimtestaat[[#This Row],[Norm (m2/uur) weekend]],0)</f>
        <v>0</v>
      </c>
      <c r="AD135" s="37">
        <f>Ruimtestaat[[#This Row],[uren / jaar weekend]]*Tariefsopbouw!$D$40</f>
        <v>0</v>
      </c>
      <c r="AE135" s="89">
        <f>Ruimtestaat[[#This Row],[Prest. (m2 /jaar) weekend]]+Ruimtestaat[[#This Row],[Prest. (m2 /jaar) werkdagen]]</f>
        <v>63600</v>
      </c>
      <c r="AF135" s="89">
        <f>Ruimtestaat[[#This Row],[uren / jaar weekend]]+Ruimtestaat[[#This Row],[uren / jaar werkdagen]]</f>
        <v>0</v>
      </c>
      <c r="AG135" s="90">
        <f>Ruimtestaat[[#This Row],[kosten / jaar weekend]]+Ruimtestaat[[#This Row],[kosten / jaar werkdagen]]</f>
        <v>0</v>
      </c>
      <c r="AH135" s="253"/>
      <c r="AI135" s="252" t="str">
        <f>IF(Ruimtestaat[[#This Row],[Frequentie werkdagen]]="","",_xlfn.CONCAT(Ruimtestaat[[#This Row],[Ruimte code]],"-",Ruimtestaat[[#This Row],[Frequentie werkdagen]]," ",Ruimtestaat[[#This Row],[Vloer code]]))</f>
        <v>9-5w H</v>
      </c>
      <c r="AJ135" s="247" t="str">
        <f>_xlfn.IFNA(VLOOKUP(Ruimtestaat[[#This Row],[Programmacode
Regulier]],Programma!$F$4:$Y$36148,2,0),"_")</f>
        <v>_</v>
      </c>
      <c r="AK135" s="247" t="str">
        <f>_xlfn.IFNA(VLOOKUP(Ruimtestaat[[#This Row],[Programmacode
Regulier]],Programma!$F$4:$Y$36148,3,0),"_")</f>
        <v>_</v>
      </c>
      <c r="AL135" s="247" t="str">
        <f>_xlfn.IFNA(VLOOKUP(Ruimtestaat[[#This Row],[Programmacode
Regulier]],Programma!$F$4:$Y$36148,4,0),"_")</f>
        <v>_</v>
      </c>
      <c r="AM135" s="247" t="str">
        <f>_xlfn.IFNA(VLOOKUP(Ruimtestaat[[#This Row],[Programmacode
Regulier]],Programma!$F$4:$Y$36148,5,0),"_")</f>
        <v>_</v>
      </c>
      <c r="AN135" s="247" t="str">
        <f>_xlfn.IFNA(VLOOKUP(Ruimtestaat[[#This Row],[Programmacode
Regulier]],Programma!$F$4:$Y$36148,6,0),"_")</f>
        <v>_</v>
      </c>
      <c r="AO135" s="247" t="str">
        <f>_xlfn.IFNA(VLOOKUP(Ruimtestaat[[#This Row],[Programmacode
Regulier]],Programma!$F$4:$Y$36148,7,0),"_")</f>
        <v>_</v>
      </c>
      <c r="AP135" s="247" t="str">
        <f>_xlfn.IFNA(VLOOKUP(Ruimtestaat[[#This Row],[Programmacode
Regulier]],Programma!$F$4:$Y$36148,8,0),"_")</f>
        <v>_</v>
      </c>
      <c r="AQ135" s="247" t="str">
        <f>_xlfn.IFNA(VLOOKUP(Ruimtestaat[[#This Row],[Programmacode
Regulier]],Programma!$F$4:$Y$36148,9,0),"_")</f>
        <v>_</v>
      </c>
      <c r="AR135" s="248" t="str">
        <f>_xlfn.IFNA(VLOOKUP(Ruimtestaat[[#This Row],[Programmacode
Regulier]],Programma!$F$4:$Y$36148,10,0),"_")</f>
        <v>_</v>
      </c>
      <c r="AS135" s="248" t="str">
        <f>_xlfn.IFNA(VLOOKUP(Ruimtestaat[[#This Row],[Programmacode
Regulier]],Programma!$F$4:$Y$36148,11,0),"_")</f>
        <v>_</v>
      </c>
      <c r="AT135" s="248" t="str">
        <f>_xlfn.IFNA(VLOOKUP(Ruimtestaat[[#This Row],[Programmacode
Regulier]],Programma!$F$4:$Y$36148,12,0),"_")</f>
        <v>_</v>
      </c>
      <c r="AU135" s="248" t="str">
        <f>_xlfn.IFNA(VLOOKUP(Ruimtestaat[[#This Row],[Programmacode
Regulier]],Programma!$F$4:$Y$36148,13,0),"_")</f>
        <v>_</v>
      </c>
      <c r="AV135" s="248" t="str">
        <f>_xlfn.IFNA(VLOOKUP(Ruimtestaat[[#This Row],[Programmacode
Regulier]],Programma!$F$4:$Y$36148,14,0),"_")</f>
        <v>_</v>
      </c>
      <c r="AW135" s="248" t="str">
        <f>_xlfn.IFNA(VLOOKUP(Ruimtestaat[[#This Row],[Programmacode
Regulier]],Programma!$F$4:$Y$36148,15,0),"_")</f>
        <v>_</v>
      </c>
      <c r="AX135" s="248" t="str">
        <f>_xlfn.IFNA(VLOOKUP(Ruimtestaat[[#This Row],[Programmacode
Regulier]],Programma!$F$4:$Y$36148,16,0),"_")</f>
        <v>_</v>
      </c>
      <c r="AY135" s="248" t="str">
        <f>_xlfn.IFNA(VLOOKUP(Ruimtestaat[[#This Row],[Programmacode
Regulier]],Programma!$F$4:$Y$36148,17,0),"_")</f>
        <v>_</v>
      </c>
      <c r="AZ135" s="249" t="str">
        <f>_xlfn.IFNA(VLOOKUP(Ruimtestaat[[#This Row],[Programmacode
Regulier]],Programma!$F$4:$Y$36148,18,0),"_")</f>
        <v>_</v>
      </c>
      <c r="BA135" s="249" t="str">
        <f>_xlfn.IFNA(VLOOKUP(Ruimtestaat[[#This Row],[Programmacode
Regulier]],Programma!$F$4:$Y$36148,19,0),"_")</f>
        <v>_</v>
      </c>
      <c r="BB135" s="249" t="str">
        <f>_xlfn.IFNA(VLOOKUP(Ruimtestaat[[#This Row],[Programmacode
Regulier]],Programma!$F$4:$Y$36148,20,0),"_")</f>
        <v>_</v>
      </c>
      <c r="BC135" s="250"/>
      <c r="BD135" s="212" t="str">
        <f>IF(Ruimtestaat[[#This Row],[Frequentie weekend]]="","",_xlfn.CONCAT(Ruimtestaat[[#This Row],[Ruimte code]],"-",Ruimtestaat[[#This Row],[Frequentie weekend]]," ",Ruimtestaat[[#This Row],[Vloer code]]))</f>
        <v/>
      </c>
      <c r="BE135" s="247" t="str">
        <f>_xlfn.IFNA(VLOOKUP(Ruimtestaat[[#This Row],[Code Weekend]],Programma!$F$4:$Y$36148,2,0),"_")</f>
        <v>_</v>
      </c>
      <c r="BF135" s="247" t="str">
        <f>_xlfn.IFNA(VLOOKUP(Ruimtestaat[[#This Row],[Code Weekend]],Programma!$F$4:$Y$36148,3,0),"_")</f>
        <v>_</v>
      </c>
      <c r="BG135" s="247" t="str">
        <f>_xlfn.IFNA(VLOOKUP(Ruimtestaat[[#This Row],[Code Weekend]],Programma!$F$4:$Y$36148,4,0),"_")</f>
        <v>_</v>
      </c>
      <c r="BH135" s="247" t="str">
        <f>_xlfn.IFNA(VLOOKUP(Ruimtestaat[[#This Row],[Code Weekend]],Programma!$F$4:$Y$36148,5,0),"_")</f>
        <v>_</v>
      </c>
      <c r="BI135" s="247" t="str">
        <f>_xlfn.IFNA(VLOOKUP(Ruimtestaat[[#This Row],[Code Weekend]],Programma!$F$4:$Y$36148,6,0),"_")</f>
        <v>_</v>
      </c>
      <c r="BJ135" s="247" t="str">
        <f>_xlfn.IFNA(VLOOKUP(Ruimtestaat[[#This Row],[Code Weekend]],Programma!$F$4:$Y$36148,7,0),"_")</f>
        <v>_</v>
      </c>
      <c r="BK135" s="247" t="str">
        <f>_xlfn.IFNA(VLOOKUP(Ruimtestaat[[#This Row],[Code Weekend]],Programma!$F$4:$Y$36148,8,0),"_")</f>
        <v>_</v>
      </c>
      <c r="BL135" s="247" t="str">
        <f>_xlfn.IFNA(VLOOKUP(Ruimtestaat[[#This Row],[Code Weekend]],Programma!$F$4:$Y$36148,9,0),"_")</f>
        <v>_</v>
      </c>
      <c r="BM135" s="248" t="str">
        <f>_xlfn.IFNA(VLOOKUP(Ruimtestaat[[#This Row],[Code Weekend]],Programma!$F$4:$Y$36148,10,0),"_")</f>
        <v>_</v>
      </c>
      <c r="BN135" s="248" t="str">
        <f>_xlfn.IFNA(VLOOKUP(Ruimtestaat[[#This Row],[Code Weekend]],Programma!$F$4:$Y$36148,11,0),"_")</f>
        <v>_</v>
      </c>
      <c r="BO135" s="248" t="str">
        <f>_xlfn.IFNA(VLOOKUP(Ruimtestaat[[#This Row],[Code Weekend]],Programma!$F$4:$Y$36148,12,0),"_")</f>
        <v>_</v>
      </c>
      <c r="BP135" s="248" t="str">
        <f>_xlfn.IFNA(VLOOKUP(Ruimtestaat[[#This Row],[Code Weekend]],Programma!$F$4:$Y$36148,13,0),"_")</f>
        <v>_</v>
      </c>
      <c r="BQ135" s="248" t="str">
        <f>_xlfn.IFNA(VLOOKUP(Ruimtestaat[[#This Row],[Code Weekend]],Programma!$F$4:$Y$36148,14,0),"_")</f>
        <v>_</v>
      </c>
      <c r="BR135" s="248" t="str">
        <f>_xlfn.IFNA(VLOOKUP(Ruimtestaat[[#This Row],[Code Weekend]],Programma!$F$4:$Y$36148,15,0),"_")</f>
        <v>_</v>
      </c>
      <c r="BS135" s="248" t="str">
        <f>_xlfn.IFNA(VLOOKUP(Ruimtestaat[[#This Row],[Code Weekend]],Programma!$F$4:$Y$36148,16,0),"_")</f>
        <v>_</v>
      </c>
      <c r="BT135" s="248" t="str">
        <f>_xlfn.IFNA(VLOOKUP(Ruimtestaat[[#This Row],[Code Weekend]],Programma!$F$4:$Y$36148,17,0),"_")</f>
        <v>_</v>
      </c>
      <c r="BU135" s="249" t="str">
        <f>_xlfn.IFNA(VLOOKUP(Ruimtestaat[[#This Row],[Code Weekend]],Programma!$F$4:$Y$36148,18,0),"_")</f>
        <v>_</v>
      </c>
      <c r="BV135" s="249" t="str">
        <f>_xlfn.IFNA(VLOOKUP(Ruimtestaat[[#This Row],[Code Weekend]],Programma!$F$4:$Y$36148,19,0),"_")</f>
        <v>_</v>
      </c>
      <c r="BW135" s="249" t="str">
        <f>_xlfn.IFNA(VLOOKUP(Ruimtestaat[[#This Row],[Code Weekend]],Programma!$F$4:$Y$36148,20,0),"_")</f>
        <v>_</v>
      </c>
    </row>
    <row r="136" spans="1:75" ht="12.75" customHeight="1">
      <c r="A136" s="334">
        <v>1</v>
      </c>
      <c r="B136" s="334" t="str">
        <f>VLOOKUP(Ruimtestaat[[#This Row],[Code]],Locaties[#All],2,FALSE)</f>
        <v>ESH Secondary School</v>
      </c>
      <c r="C136" s="212" t="str">
        <f>VLOOKUP(Ruimtestaat[[#This Row],[Code]],Locaties[#All],4,FALSE)</f>
        <v>Oostduinlaan 50</v>
      </c>
      <c r="D136" s="212" t="str">
        <f>VLOOKUP(Ruimtestaat[[#This Row],[Code]],Locaties[#All],5,FALSE)</f>
        <v>2596 JP</v>
      </c>
      <c r="E136" s="212" t="str">
        <f>VLOOKUP(Ruimtestaat[[#This Row],[Code]],Locaties[#All],6,FALSE)</f>
        <v>Den Haag</v>
      </c>
      <c r="F136" s="335"/>
      <c r="G136" s="334" t="s">
        <v>1677</v>
      </c>
      <c r="H136" s="334" t="s">
        <v>1630</v>
      </c>
      <c r="I136" s="335" t="s">
        <v>1776</v>
      </c>
      <c r="J136" s="212">
        <v>16</v>
      </c>
      <c r="K136" s="336" t="str">
        <f>VLOOKUP(J136,Ruimtegroepen[],2,FALSE)</f>
        <v>Leslokalen</v>
      </c>
      <c r="L136" s="212" t="s">
        <v>1793</v>
      </c>
      <c r="M136" s="334" t="s">
        <v>1765</v>
      </c>
      <c r="N136" s="337">
        <v>49</v>
      </c>
      <c r="O136" s="331"/>
      <c r="P136" s="332" t="str">
        <f>VLOOKUP(Ruimtestaat[[#This Row],[Ruimte code]],Ruimtegroepen[],4,FALSE)</f>
        <v>L  (Lesruimte)</v>
      </c>
      <c r="Q136" s="332"/>
      <c r="R136" s="333">
        <v>40</v>
      </c>
      <c r="S136" s="333" t="s">
        <v>2</v>
      </c>
      <c r="T136" s="37"/>
      <c r="U136" s="37">
        <f>IF(R136&gt;0,IF(RIGHT(Ruimtestaat[[#This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36" s="37">
        <f>IF(U136&gt;0,VLOOKUP($J136,Ruimtegroepen[],3,FALSE)*VLOOKUP($L136,Vloersoorten[],3,FALSE)*VLOOKUP($S136,Frequenties[],3,FALSE)*VLOOKUP($A136,Locaties[],3,FALSE),0)</f>
        <v>0</v>
      </c>
      <c r="W136" s="37">
        <f>Ruimtestaat[[#This Row],[Uitvoeringen werkdagen]]*Ruimtestaat[[#This Row],[Oppervlak (netto)]]</f>
        <v>9800</v>
      </c>
      <c r="X136" s="37">
        <f>IF(V136&gt;0,Ruimtestaat[[#This Row],[Prest. (m2 /jaar) werkdagen]]/Ruimtestaat[[#This Row],[Norm (m2/uur) werkdagen]],0)</f>
        <v>0</v>
      </c>
      <c r="Y136" s="37">
        <f>Ruimtestaat[[#This Row],[uren / jaar werkdagen]]*Tariefsopbouw!$D$38</f>
        <v>0</v>
      </c>
      <c r="Z136" s="37">
        <f>IF(Ruimtestaat[[#This Row],[Frequentie weekend]]&gt;0,VALUE(LEFT(T136,1))*R136,0)</f>
        <v>0</v>
      </c>
      <c r="AA136" s="37">
        <f>IF($Z136&gt;0,VLOOKUP($J136,Ruimtegroepen[],3,FALSE)*VLOOKUP($L136,Vloersoorten[],3,FALSE)*VLOOKUP($T136,Frequenties[],3,FALSE)*VLOOKUP($A136,Locaties[],3,FALSE),0)</f>
        <v>0</v>
      </c>
      <c r="AB136" s="37">
        <f>Ruimtestaat[[#This Row],[Uitvoeringen weekend]]*Ruimtestaat[[#This Row],[Oppervlak (netto)]]</f>
        <v>0</v>
      </c>
      <c r="AC136" s="37">
        <f>IF(AA136&gt;0,Ruimtestaat[[#This Row],[Prest. (m2 /jaar) weekend]]/Ruimtestaat[[#This Row],[Norm (m2/uur) weekend]],0)</f>
        <v>0</v>
      </c>
      <c r="AD136" s="37">
        <f>Ruimtestaat[[#This Row],[uren / jaar weekend]]*Tariefsopbouw!$D$40</f>
        <v>0</v>
      </c>
      <c r="AE136" s="89">
        <f>Ruimtestaat[[#This Row],[Prest. (m2 /jaar) weekend]]+Ruimtestaat[[#This Row],[Prest. (m2 /jaar) werkdagen]]</f>
        <v>9800</v>
      </c>
      <c r="AF136" s="89">
        <f>Ruimtestaat[[#This Row],[uren / jaar weekend]]+Ruimtestaat[[#This Row],[uren / jaar werkdagen]]</f>
        <v>0</v>
      </c>
      <c r="AG136" s="90">
        <f>Ruimtestaat[[#This Row],[kosten / jaar weekend]]+Ruimtestaat[[#This Row],[kosten / jaar werkdagen]]</f>
        <v>0</v>
      </c>
      <c r="AH136" s="253"/>
      <c r="AI136" s="252" t="str">
        <f>IF(Ruimtestaat[[#This Row],[Frequentie werkdagen]]="","",_xlfn.CONCAT(Ruimtestaat[[#This Row],[Ruimte code]],"-",Ruimtestaat[[#This Row],[Frequentie werkdagen]]," ",Ruimtestaat[[#This Row],[Vloer code]]))</f>
        <v>16-5w H</v>
      </c>
      <c r="AJ136" s="247" t="str">
        <f>_xlfn.IFNA(VLOOKUP(Ruimtestaat[[#This Row],[Programmacode
Regulier]],Programma!$F$4:$Y$36148,2,0),"_")</f>
        <v>_</v>
      </c>
      <c r="AK136" s="247" t="str">
        <f>_xlfn.IFNA(VLOOKUP(Ruimtestaat[[#This Row],[Programmacode
Regulier]],Programma!$F$4:$Y$36148,3,0),"_")</f>
        <v>_</v>
      </c>
      <c r="AL136" s="247" t="str">
        <f>_xlfn.IFNA(VLOOKUP(Ruimtestaat[[#This Row],[Programmacode
Regulier]],Programma!$F$4:$Y$36148,4,0),"_")</f>
        <v>_</v>
      </c>
      <c r="AM136" s="247" t="str">
        <f>_xlfn.IFNA(VLOOKUP(Ruimtestaat[[#This Row],[Programmacode
Regulier]],Programma!$F$4:$Y$36148,5,0),"_")</f>
        <v>_</v>
      </c>
      <c r="AN136" s="247" t="str">
        <f>_xlfn.IFNA(VLOOKUP(Ruimtestaat[[#This Row],[Programmacode
Regulier]],Programma!$F$4:$Y$36148,6,0),"_")</f>
        <v>_</v>
      </c>
      <c r="AO136" s="247" t="str">
        <f>_xlfn.IFNA(VLOOKUP(Ruimtestaat[[#This Row],[Programmacode
Regulier]],Programma!$F$4:$Y$36148,7,0),"_")</f>
        <v>_</v>
      </c>
      <c r="AP136" s="247" t="str">
        <f>_xlfn.IFNA(VLOOKUP(Ruimtestaat[[#This Row],[Programmacode
Regulier]],Programma!$F$4:$Y$36148,8,0),"_")</f>
        <v>_</v>
      </c>
      <c r="AQ136" s="247" t="str">
        <f>_xlfn.IFNA(VLOOKUP(Ruimtestaat[[#This Row],[Programmacode
Regulier]],Programma!$F$4:$Y$36148,9,0),"_")</f>
        <v>_</v>
      </c>
      <c r="AR136" s="248" t="str">
        <f>_xlfn.IFNA(VLOOKUP(Ruimtestaat[[#This Row],[Programmacode
Regulier]],Programma!$F$4:$Y$36148,10,0),"_")</f>
        <v>_</v>
      </c>
      <c r="AS136" s="248" t="str">
        <f>_xlfn.IFNA(VLOOKUP(Ruimtestaat[[#This Row],[Programmacode
Regulier]],Programma!$F$4:$Y$36148,11,0),"_")</f>
        <v>_</v>
      </c>
      <c r="AT136" s="248" t="str">
        <f>_xlfn.IFNA(VLOOKUP(Ruimtestaat[[#This Row],[Programmacode
Regulier]],Programma!$F$4:$Y$36148,12,0),"_")</f>
        <v>_</v>
      </c>
      <c r="AU136" s="248" t="str">
        <f>_xlfn.IFNA(VLOOKUP(Ruimtestaat[[#This Row],[Programmacode
Regulier]],Programma!$F$4:$Y$36148,13,0),"_")</f>
        <v>_</v>
      </c>
      <c r="AV136" s="248" t="str">
        <f>_xlfn.IFNA(VLOOKUP(Ruimtestaat[[#This Row],[Programmacode
Regulier]],Programma!$F$4:$Y$36148,14,0),"_")</f>
        <v>_</v>
      </c>
      <c r="AW136" s="248" t="str">
        <f>_xlfn.IFNA(VLOOKUP(Ruimtestaat[[#This Row],[Programmacode
Regulier]],Programma!$F$4:$Y$36148,15,0),"_")</f>
        <v>_</v>
      </c>
      <c r="AX136" s="248" t="str">
        <f>_xlfn.IFNA(VLOOKUP(Ruimtestaat[[#This Row],[Programmacode
Regulier]],Programma!$F$4:$Y$36148,16,0),"_")</f>
        <v>_</v>
      </c>
      <c r="AY136" s="248" t="str">
        <f>_xlfn.IFNA(VLOOKUP(Ruimtestaat[[#This Row],[Programmacode
Regulier]],Programma!$F$4:$Y$36148,17,0),"_")</f>
        <v>_</v>
      </c>
      <c r="AZ136" s="249" t="str">
        <f>_xlfn.IFNA(VLOOKUP(Ruimtestaat[[#This Row],[Programmacode
Regulier]],Programma!$F$4:$Y$36148,18,0),"_")</f>
        <v>_</v>
      </c>
      <c r="BA136" s="249" t="str">
        <f>_xlfn.IFNA(VLOOKUP(Ruimtestaat[[#This Row],[Programmacode
Regulier]],Programma!$F$4:$Y$36148,19,0),"_")</f>
        <v>_</v>
      </c>
      <c r="BB136" s="249" t="str">
        <f>_xlfn.IFNA(VLOOKUP(Ruimtestaat[[#This Row],[Programmacode
Regulier]],Programma!$F$4:$Y$36148,20,0),"_")</f>
        <v>_</v>
      </c>
      <c r="BC136" s="250"/>
      <c r="BD136" s="212" t="str">
        <f>IF(Ruimtestaat[[#This Row],[Frequentie weekend]]="","",_xlfn.CONCAT(Ruimtestaat[[#This Row],[Ruimte code]],"-",Ruimtestaat[[#This Row],[Frequentie weekend]]," ",Ruimtestaat[[#This Row],[Vloer code]]))</f>
        <v/>
      </c>
      <c r="BE136" s="247" t="str">
        <f>_xlfn.IFNA(VLOOKUP(Ruimtestaat[[#This Row],[Code Weekend]],Programma!$F$4:$Y$36148,2,0),"_")</f>
        <v>_</v>
      </c>
      <c r="BF136" s="247" t="str">
        <f>_xlfn.IFNA(VLOOKUP(Ruimtestaat[[#This Row],[Code Weekend]],Programma!$F$4:$Y$36148,3,0),"_")</f>
        <v>_</v>
      </c>
      <c r="BG136" s="247" t="str">
        <f>_xlfn.IFNA(VLOOKUP(Ruimtestaat[[#This Row],[Code Weekend]],Programma!$F$4:$Y$36148,4,0),"_")</f>
        <v>_</v>
      </c>
      <c r="BH136" s="247" t="str">
        <f>_xlfn.IFNA(VLOOKUP(Ruimtestaat[[#This Row],[Code Weekend]],Programma!$F$4:$Y$36148,5,0),"_")</f>
        <v>_</v>
      </c>
      <c r="BI136" s="247" t="str">
        <f>_xlfn.IFNA(VLOOKUP(Ruimtestaat[[#This Row],[Code Weekend]],Programma!$F$4:$Y$36148,6,0),"_")</f>
        <v>_</v>
      </c>
      <c r="BJ136" s="247" t="str">
        <f>_xlfn.IFNA(VLOOKUP(Ruimtestaat[[#This Row],[Code Weekend]],Programma!$F$4:$Y$36148,7,0),"_")</f>
        <v>_</v>
      </c>
      <c r="BK136" s="247" t="str">
        <f>_xlfn.IFNA(VLOOKUP(Ruimtestaat[[#This Row],[Code Weekend]],Programma!$F$4:$Y$36148,8,0),"_")</f>
        <v>_</v>
      </c>
      <c r="BL136" s="247" t="str">
        <f>_xlfn.IFNA(VLOOKUP(Ruimtestaat[[#This Row],[Code Weekend]],Programma!$F$4:$Y$36148,9,0),"_")</f>
        <v>_</v>
      </c>
      <c r="BM136" s="248" t="str">
        <f>_xlfn.IFNA(VLOOKUP(Ruimtestaat[[#This Row],[Code Weekend]],Programma!$F$4:$Y$36148,10,0),"_")</f>
        <v>_</v>
      </c>
      <c r="BN136" s="248" t="str">
        <f>_xlfn.IFNA(VLOOKUP(Ruimtestaat[[#This Row],[Code Weekend]],Programma!$F$4:$Y$36148,11,0),"_")</f>
        <v>_</v>
      </c>
      <c r="BO136" s="248" t="str">
        <f>_xlfn.IFNA(VLOOKUP(Ruimtestaat[[#This Row],[Code Weekend]],Programma!$F$4:$Y$36148,12,0),"_")</f>
        <v>_</v>
      </c>
      <c r="BP136" s="248" t="str">
        <f>_xlfn.IFNA(VLOOKUP(Ruimtestaat[[#This Row],[Code Weekend]],Programma!$F$4:$Y$36148,13,0),"_")</f>
        <v>_</v>
      </c>
      <c r="BQ136" s="248" t="str">
        <f>_xlfn.IFNA(VLOOKUP(Ruimtestaat[[#This Row],[Code Weekend]],Programma!$F$4:$Y$36148,14,0),"_")</f>
        <v>_</v>
      </c>
      <c r="BR136" s="248" t="str">
        <f>_xlfn.IFNA(VLOOKUP(Ruimtestaat[[#This Row],[Code Weekend]],Programma!$F$4:$Y$36148,15,0),"_")</f>
        <v>_</v>
      </c>
      <c r="BS136" s="248" t="str">
        <f>_xlfn.IFNA(VLOOKUP(Ruimtestaat[[#This Row],[Code Weekend]],Programma!$F$4:$Y$36148,16,0),"_")</f>
        <v>_</v>
      </c>
      <c r="BT136" s="248" t="str">
        <f>_xlfn.IFNA(VLOOKUP(Ruimtestaat[[#This Row],[Code Weekend]],Programma!$F$4:$Y$36148,17,0),"_")</f>
        <v>_</v>
      </c>
      <c r="BU136" s="249" t="str">
        <f>_xlfn.IFNA(VLOOKUP(Ruimtestaat[[#This Row],[Code Weekend]],Programma!$F$4:$Y$36148,18,0),"_")</f>
        <v>_</v>
      </c>
      <c r="BV136" s="249" t="str">
        <f>_xlfn.IFNA(VLOOKUP(Ruimtestaat[[#This Row],[Code Weekend]],Programma!$F$4:$Y$36148,19,0),"_")</f>
        <v>_</v>
      </c>
      <c r="BW136" s="249" t="str">
        <f>_xlfn.IFNA(VLOOKUP(Ruimtestaat[[#This Row],[Code Weekend]],Programma!$F$4:$Y$36148,20,0),"_")</f>
        <v>_</v>
      </c>
    </row>
    <row r="137" spans="1:75" ht="12.75" customHeight="1">
      <c r="A137" s="334">
        <v>1</v>
      </c>
      <c r="B137" s="334" t="str">
        <f>VLOOKUP(Ruimtestaat[[#This Row],[Code]],Locaties[#All],2,FALSE)</f>
        <v>ESH Secondary School</v>
      </c>
      <c r="C137" s="212" t="str">
        <f>VLOOKUP(Ruimtestaat[[#This Row],[Code]],Locaties[#All],4,FALSE)</f>
        <v>Oostduinlaan 50</v>
      </c>
      <c r="D137" s="212" t="str">
        <f>VLOOKUP(Ruimtestaat[[#This Row],[Code]],Locaties[#All],5,FALSE)</f>
        <v>2596 JP</v>
      </c>
      <c r="E137" s="212" t="str">
        <f>VLOOKUP(Ruimtestaat[[#This Row],[Code]],Locaties[#All],6,FALSE)</f>
        <v>Den Haag</v>
      </c>
      <c r="F137" s="335"/>
      <c r="G137" s="334" t="s">
        <v>1677</v>
      </c>
      <c r="H137" s="334" t="s">
        <v>1631</v>
      </c>
      <c r="I137" s="335" t="s">
        <v>1777</v>
      </c>
      <c r="J137" s="212">
        <v>16</v>
      </c>
      <c r="K137" s="336" t="str">
        <f>VLOOKUP(J137,Ruimtegroepen[],2,FALSE)</f>
        <v>Leslokalen</v>
      </c>
      <c r="L137" s="212" t="s">
        <v>123</v>
      </c>
      <c r="M137" s="334" t="s">
        <v>144</v>
      </c>
      <c r="N137" s="337">
        <v>51</v>
      </c>
      <c r="O137" s="331"/>
      <c r="P137" s="332" t="str">
        <f>VLOOKUP(Ruimtestaat[[#This Row],[Ruimte code]],Ruimtegroepen[],4,FALSE)</f>
        <v>L  (Lesruimte)</v>
      </c>
      <c r="Q137" s="332"/>
      <c r="R137" s="333">
        <v>40</v>
      </c>
      <c r="S137" s="333" t="s">
        <v>2</v>
      </c>
      <c r="T137" s="37"/>
      <c r="U137" s="37">
        <f>IF(R137&gt;0,IF(RIGHT(Ruimtestaat[[#This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37" s="37">
        <f>IF(U137&gt;0,VLOOKUP($J137,Ruimtegroepen[],3,FALSE)*VLOOKUP($L137,Vloersoorten[],3,FALSE)*VLOOKUP($S137,Frequenties[],3,FALSE)*VLOOKUP($A137,Locaties[],3,FALSE),0)</f>
        <v>0</v>
      </c>
      <c r="W137" s="37">
        <f>Ruimtestaat[[#This Row],[Uitvoeringen werkdagen]]*Ruimtestaat[[#This Row],[Oppervlak (netto)]]</f>
        <v>10200</v>
      </c>
      <c r="X137" s="37">
        <f>IF(V137&gt;0,Ruimtestaat[[#This Row],[Prest. (m2 /jaar) werkdagen]]/Ruimtestaat[[#This Row],[Norm (m2/uur) werkdagen]],0)</f>
        <v>0</v>
      </c>
      <c r="Y137" s="37">
        <f>Ruimtestaat[[#This Row],[uren / jaar werkdagen]]*Tariefsopbouw!$D$38</f>
        <v>0</v>
      </c>
      <c r="Z137" s="37">
        <f>IF(Ruimtestaat[[#This Row],[Frequentie weekend]]&gt;0,VALUE(LEFT(T137,1))*R137,0)</f>
        <v>0</v>
      </c>
      <c r="AA137" s="37">
        <f>IF($Z137&gt;0,VLOOKUP($J137,Ruimtegroepen[],3,FALSE)*VLOOKUP($L137,Vloersoorten[],3,FALSE)*VLOOKUP($T137,Frequenties[],3,FALSE)*VLOOKUP($A137,Locaties[],3,FALSE),0)</f>
        <v>0</v>
      </c>
      <c r="AB137" s="37">
        <f>Ruimtestaat[[#This Row],[Uitvoeringen weekend]]*Ruimtestaat[[#This Row],[Oppervlak (netto)]]</f>
        <v>0</v>
      </c>
      <c r="AC137" s="37">
        <f>IF(AA137&gt;0,Ruimtestaat[[#This Row],[Prest. (m2 /jaar) weekend]]/Ruimtestaat[[#This Row],[Norm (m2/uur) weekend]],0)</f>
        <v>0</v>
      </c>
      <c r="AD137" s="37">
        <f>Ruimtestaat[[#This Row],[uren / jaar weekend]]*Tariefsopbouw!$D$40</f>
        <v>0</v>
      </c>
      <c r="AE137" s="89">
        <f>Ruimtestaat[[#This Row],[Prest. (m2 /jaar) weekend]]+Ruimtestaat[[#This Row],[Prest. (m2 /jaar) werkdagen]]</f>
        <v>10200</v>
      </c>
      <c r="AF137" s="89">
        <f>Ruimtestaat[[#This Row],[uren / jaar weekend]]+Ruimtestaat[[#This Row],[uren / jaar werkdagen]]</f>
        <v>0</v>
      </c>
      <c r="AG137" s="90">
        <f>Ruimtestaat[[#This Row],[kosten / jaar weekend]]+Ruimtestaat[[#This Row],[kosten / jaar werkdagen]]</f>
        <v>0</v>
      </c>
      <c r="AH137" s="253"/>
      <c r="AI137" s="252" t="str">
        <f>IF(Ruimtestaat[[#This Row],[Frequentie werkdagen]]="","",_xlfn.CONCAT(Ruimtestaat[[#This Row],[Ruimte code]],"-",Ruimtestaat[[#This Row],[Frequentie werkdagen]]," ",Ruimtestaat[[#This Row],[Vloer code]]))</f>
        <v>16-5w P</v>
      </c>
      <c r="AJ137" s="247" t="str">
        <f>_xlfn.IFNA(VLOOKUP(Ruimtestaat[[#This Row],[Programmacode
Regulier]],Programma!$F$4:$Y$36148,2,0),"_")</f>
        <v>_</v>
      </c>
      <c r="AK137" s="247" t="str">
        <f>_xlfn.IFNA(VLOOKUP(Ruimtestaat[[#This Row],[Programmacode
Regulier]],Programma!$F$4:$Y$36148,3,0),"_")</f>
        <v>_</v>
      </c>
      <c r="AL137" s="247" t="str">
        <f>_xlfn.IFNA(VLOOKUP(Ruimtestaat[[#This Row],[Programmacode
Regulier]],Programma!$F$4:$Y$36148,4,0),"_")</f>
        <v>5w</v>
      </c>
      <c r="AM137" s="247" t="str">
        <f>_xlfn.IFNA(VLOOKUP(Ruimtestaat[[#This Row],[Programmacode
Regulier]],Programma!$F$4:$Y$36148,5,0),"_")</f>
        <v>1w</v>
      </c>
      <c r="AN137" s="247" t="str">
        <f>_xlfn.IFNA(VLOOKUP(Ruimtestaat[[#This Row],[Programmacode
Regulier]],Programma!$F$4:$Y$36148,6,0),"_")</f>
        <v>1m</v>
      </c>
      <c r="AO137" s="247" t="str">
        <f>_xlfn.IFNA(VLOOKUP(Ruimtestaat[[#This Row],[Programmacode
Regulier]],Programma!$F$4:$Y$36148,7,0),"_")</f>
        <v>_</v>
      </c>
      <c r="AP137" s="247" t="str">
        <f>_xlfn.IFNA(VLOOKUP(Ruimtestaat[[#This Row],[Programmacode
Regulier]],Programma!$F$4:$Y$36148,8,0),"_")</f>
        <v>_</v>
      </c>
      <c r="AQ137" s="247" t="str">
        <f>_xlfn.IFNA(VLOOKUP(Ruimtestaat[[#This Row],[Programmacode
Regulier]],Programma!$F$4:$Y$36148,9,0),"_")</f>
        <v>_</v>
      </c>
      <c r="AR137" s="248" t="str">
        <f>_xlfn.IFNA(VLOOKUP(Ruimtestaat[[#This Row],[Programmacode
Regulier]],Programma!$F$4:$Y$36148,10,0),"_")</f>
        <v>5w</v>
      </c>
      <c r="AS137" s="248" t="str">
        <f>_xlfn.IFNA(VLOOKUP(Ruimtestaat[[#This Row],[Programmacode
Regulier]],Programma!$F$4:$Y$36148,11,0),"_")</f>
        <v>5w</v>
      </c>
      <c r="AT137" s="248" t="str">
        <f>_xlfn.IFNA(VLOOKUP(Ruimtestaat[[#This Row],[Programmacode
Regulier]],Programma!$F$4:$Y$36148,12,0),"_")</f>
        <v>1w</v>
      </c>
      <c r="AU137" s="248" t="str">
        <f>_xlfn.IFNA(VLOOKUP(Ruimtestaat[[#This Row],[Programmacode
Regulier]],Programma!$F$4:$Y$36148,13,0),"_")</f>
        <v>1w</v>
      </c>
      <c r="AV137" s="248" t="str">
        <f>_xlfn.IFNA(VLOOKUP(Ruimtestaat[[#This Row],[Programmacode
Regulier]],Programma!$F$4:$Y$36148,14,0),"_")</f>
        <v>1m</v>
      </c>
      <c r="AW137" s="248" t="str">
        <f>_xlfn.IFNA(VLOOKUP(Ruimtestaat[[#This Row],[Programmacode
Regulier]],Programma!$F$4:$Y$36148,15,0),"_")</f>
        <v>2j</v>
      </c>
      <c r="AX137" s="248" t="str">
        <f>_xlfn.IFNA(VLOOKUP(Ruimtestaat[[#This Row],[Programmacode
Regulier]],Programma!$F$4:$Y$36148,16,0),"_")</f>
        <v>1j</v>
      </c>
      <c r="AY137" s="248" t="str">
        <f>_xlfn.IFNA(VLOOKUP(Ruimtestaat[[#This Row],[Programmacode
Regulier]],Programma!$F$4:$Y$36148,17,0),"_")</f>
        <v>_</v>
      </c>
      <c r="AZ137" s="249" t="str">
        <f>_xlfn.IFNA(VLOOKUP(Ruimtestaat[[#This Row],[Programmacode
Regulier]],Programma!$F$4:$Y$36148,18,0),"_")</f>
        <v>_</v>
      </c>
      <c r="BA137" s="249" t="str">
        <f>_xlfn.IFNA(VLOOKUP(Ruimtestaat[[#This Row],[Programmacode
Regulier]],Programma!$F$4:$Y$36148,19,0),"_")</f>
        <v>_</v>
      </c>
      <c r="BB137" s="249" t="str">
        <f>_xlfn.IFNA(VLOOKUP(Ruimtestaat[[#This Row],[Programmacode
Regulier]],Programma!$F$4:$Y$36148,20,0),"_")</f>
        <v>_</v>
      </c>
      <c r="BC137" s="250"/>
      <c r="BD137" s="212" t="str">
        <f>IF(Ruimtestaat[[#This Row],[Frequentie weekend]]="","",_xlfn.CONCAT(Ruimtestaat[[#This Row],[Ruimte code]],"-",Ruimtestaat[[#This Row],[Frequentie weekend]]," ",Ruimtestaat[[#This Row],[Vloer code]]))</f>
        <v/>
      </c>
      <c r="BE137" s="247" t="str">
        <f>_xlfn.IFNA(VLOOKUP(Ruimtestaat[[#This Row],[Code Weekend]],Programma!$F$4:$Y$36148,2,0),"_")</f>
        <v>_</v>
      </c>
      <c r="BF137" s="247" t="str">
        <f>_xlfn.IFNA(VLOOKUP(Ruimtestaat[[#This Row],[Code Weekend]],Programma!$F$4:$Y$36148,3,0),"_")</f>
        <v>_</v>
      </c>
      <c r="BG137" s="247" t="str">
        <f>_xlfn.IFNA(VLOOKUP(Ruimtestaat[[#This Row],[Code Weekend]],Programma!$F$4:$Y$36148,4,0),"_")</f>
        <v>_</v>
      </c>
      <c r="BH137" s="247" t="str">
        <f>_xlfn.IFNA(VLOOKUP(Ruimtestaat[[#This Row],[Code Weekend]],Programma!$F$4:$Y$36148,5,0),"_")</f>
        <v>_</v>
      </c>
      <c r="BI137" s="247" t="str">
        <f>_xlfn.IFNA(VLOOKUP(Ruimtestaat[[#This Row],[Code Weekend]],Programma!$F$4:$Y$36148,6,0),"_")</f>
        <v>_</v>
      </c>
      <c r="BJ137" s="247" t="str">
        <f>_xlfn.IFNA(VLOOKUP(Ruimtestaat[[#This Row],[Code Weekend]],Programma!$F$4:$Y$36148,7,0),"_")</f>
        <v>_</v>
      </c>
      <c r="BK137" s="247" t="str">
        <f>_xlfn.IFNA(VLOOKUP(Ruimtestaat[[#This Row],[Code Weekend]],Programma!$F$4:$Y$36148,8,0),"_")</f>
        <v>_</v>
      </c>
      <c r="BL137" s="247" t="str">
        <f>_xlfn.IFNA(VLOOKUP(Ruimtestaat[[#This Row],[Code Weekend]],Programma!$F$4:$Y$36148,9,0),"_")</f>
        <v>_</v>
      </c>
      <c r="BM137" s="248" t="str">
        <f>_xlfn.IFNA(VLOOKUP(Ruimtestaat[[#This Row],[Code Weekend]],Programma!$F$4:$Y$36148,10,0),"_")</f>
        <v>_</v>
      </c>
      <c r="BN137" s="248" t="str">
        <f>_xlfn.IFNA(VLOOKUP(Ruimtestaat[[#This Row],[Code Weekend]],Programma!$F$4:$Y$36148,11,0),"_")</f>
        <v>_</v>
      </c>
      <c r="BO137" s="248" t="str">
        <f>_xlfn.IFNA(VLOOKUP(Ruimtestaat[[#This Row],[Code Weekend]],Programma!$F$4:$Y$36148,12,0),"_")</f>
        <v>_</v>
      </c>
      <c r="BP137" s="248" t="str">
        <f>_xlfn.IFNA(VLOOKUP(Ruimtestaat[[#This Row],[Code Weekend]],Programma!$F$4:$Y$36148,13,0),"_")</f>
        <v>_</v>
      </c>
      <c r="BQ137" s="248" t="str">
        <f>_xlfn.IFNA(VLOOKUP(Ruimtestaat[[#This Row],[Code Weekend]],Programma!$F$4:$Y$36148,14,0),"_")</f>
        <v>_</v>
      </c>
      <c r="BR137" s="248" t="str">
        <f>_xlfn.IFNA(VLOOKUP(Ruimtestaat[[#This Row],[Code Weekend]],Programma!$F$4:$Y$36148,15,0),"_")</f>
        <v>_</v>
      </c>
      <c r="BS137" s="248" t="str">
        <f>_xlfn.IFNA(VLOOKUP(Ruimtestaat[[#This Row],[Code Weekend]],Programma!$F$4:$Y$36148,16,0),"_")</f>
        <v>_</v>
      </c>
      <c r="BT137" s="248" t="str">
        <f>_xlfn.IFNA(VLOOKUP(Ruimtestaat[[#This Row],[Code Weekend]],Programma!$F$4:$Y$36148,17,0),"_")</f>
        <v>_</v>
      </c>
      <c r="BU137" s="249" t="str">
        <f>_xlfn.IFNA(VLOOKUP(Ruimtestaat[[#This Row],[Code Weekend]],Programma!$F$4:$Y$36148,18,0),"_")</f>
        <v>_</v>
      </c>
      <c r="BV137" s="249" t="str">
        <f>_xlfn.IFNA(VLOOKUP(Ruimtestaat[[#This Row],[Code Weekend]],Programma!$F$4:$Y$36148,19,0),"_")</f>
        <v>_</v>
      </c>
      <c r="BW137" s="249" t="str">
        <f>_xlfn.IFNA(VLOOKUP(Ruimtestaat[[#This Row],[Code Weekend]],Programma!$F$4:$Y$36148,20,0),"_")</f>
        <v>_</v>
      </c>
    </row>
    <row r="138" spans="1:75" ht="12.75" customHeight="1">
      <c r="A138" s="334">
        <v>1</v>
      </c>
      <c r="B138" s="334" t="str">
        <f>VLOOKUP(Ruimtestaat[[#This Row],[Code]],Locaties[#All],2,FALSE)</f>
        <v>ESH Secondary School</v>
      </c>
      <c r="C138" s="212" t="str">
        <f>VLOOKUP(Ruimtestaat[[#This Row],[Code]],Locaties[#All],4,FALSE)</f>
        <v>Oostduinlaan 50</v>
      </c>
      <c r="D138" s="212" t="str">
        <f>VLOOKUP(Ruimtestaat[[#This Row],[Code]],Locaties[#All],5,FALSE)</f>
        <v>2596 JP</v>
      </c>
      <c r="E138" s="212" t="str">
        <f>VLOOKUP(Ruimtestaat[[#This Row],[Code]],Locaties[#All],6,FALSE)</f>
        <v>Den Haag</v>
      </c>
      <c r="F138" s="335"/>
      <c r="G138" s="334" t="s">
        <v>1677</v>
      </c>
      <c r="H138" s="334" t="s">
        <v>1632</v>
      </c>
      <c r="I138" s="335" t="s">
        <v>1729</v>
      </c>
      <c r="J138" s="328">
        <v>2</v>
      </c>
      <c r="K138" s="336" t="str">
        <f>VLOOKUP(J138,Ruimtegroepen[],2,FALSE)</f>
        <v>Kantoren</v>
      </c>
      <c r="L138" s="212" t="s">
        <v>123</v>
      </c>
      <c r="M138" s="334" t="s">
        <v>144</v>
      </c>
      <c r="N138" s="337">
        <v>13</v>
      </c>
      <c r="O138" s="331"/>
      <c r="P138" s="332" t="str">
        <f>VLOOKUP(Ruimtestaat[[#This Row],[Ruimte code]],Ruimtegroepen[],4,FALSE)</f>
        <v>B  (Bureauruimte)</v>
      </c>
      <c r="Q138" s="332"/>
      <c r="R138" s="333">
        <v>40</v>
      </c>
      <c r="S138" s="333" t="s">
        <v>2</v>
      </c>
      <c r="T138" s="37"/>
      <c r="U138" s="37">
        <f>IF(R138&gt;0,IF(RIGHT(Ruimtestaat[[#This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38" s="37">
        <f>IF(U138&gt;0,VLOOKUP($J138,Ruimtegroepen[],3,FALSE)*VLOOKUP($L138,Vloersoorten[],3,FALSE)*VLOOKUP($S138,Frequenties[],3,FALSE)*VLOOKUP($A138,Locaties[],3,FALSE),0)</f>
        <v>0</v>
      </c>
      <c r="W138" s="37">
        <f>Ruimtestaat[[#This Row],[Uitvoeringen werkdagen]]*Ruimtestaat[[#This Row],[Oppervlak (netto)]]</f>
        <v>2600</v>
      </c>
      <c r="X138" s="37">
        <f>IF(V138&gt;0,Ruimtestaat[[#This Row],[Prest. (m2 /jaar) werkdagen]]/Ruimtestaat[[#This Row],[Norm (m2/uur) werkdagen]],0)</f>
        <v>0</v>
      </c>
      <c r="Y138" s="37">
        <f>Ruimtestaat[[#This Row],[uren / jaar werkdagen]]*Tariefsopbouw!$D$38</f>
        <v>0</v>
      </c>
      <c r="Z138" s="37">
        <f>IF(Ruimtestaat[[#This Row],[Frequentie weekend]]&gt;0,VALUE(LEFT(T138,1))*R138,0)</f>
        <v>0</v>
      </c>
      <c r="AA138" s="37">
        <f>IF($Z138&gt;0,VLOOKUP($J138,Ruimtegroepen[],3,FALSE)*VLOOKUP($L138,Vloersoorten[],3,FALSE)*VLOOKUP($T138,Frequenties[],3,FALSE)*VLOOKUP($A138,Locaties[],3,FALSE),0)</f>
        <v>0</v>
      </c>
      <c r="AB138" s="37">
        <f>Ruimtestaat[[#This Row],[Uitvoeringen weekend]]*Ruimtestaat[[#This Row],[Oppervlak (netto)]]</f>
        <v>0</v>
      </c>
      <c r="AC138" s="37">
        <f>IF(AA138&gt;0,Ruimtestaat[[#This Row],[Prest. (m2 /jaar) weekend]]/Ruimtestaat[[#This Row],[Norm (m2/uur) weekend]],0)</f>
        <v>0</v>
      </c>
      <c r="AD138" s="37">
        <f>Ruimtestaat[[#This Row],[uren / jaar weekend]]*Tariefsopbouw!$D$40</f>
        <v>0</v>
      </c>
      <c r="AE138" s="89">
        <f>Ruimtestaat[[#This Row],[Prest. (m2 /jaar) weekend]]+Ruimtestaat[[#This Row],[Prest. (m2 /jaar) werkdagen]]</f>
        <v>2600</v>
      </c>
      <c r="AF138" s="89">
        <f>Ruimtestaat[[#This Row],[uren / jaar weekend]]+Ruimtestaat[[#This Row],[uren / jaar werkdagen]]</f>
        <v>0</v>
      </c>
      <c r="AG138" s="90">
        <f>Ruimtestaat[[#This Row],[kosten / jaar weekend]]+Ruimtestaat[[#This Row],[kosten / jaar werkdagen]]</f>
        <v>0</v>
      </c>
      <c r="AH138" s="253"/>
      <c r="AI138" s="252" t="str">
        <f>IF(Ruimtestaat[[#This Row],[Frequentie werkdagen]]="","",_xlfn.CONCAT(Ruimtestaat[[#This Row],[Ruimte code]],"-",Ruimtestaat[[#This Row],[Frequentie werkdagen]]," ",Ruimtestaat[[#This Row],[Vloer code]]))</f>
        <v>2-5w P</v>
      </c>
      <c r="AJ138" s="247" t="str">
        <f>_xlfn.IFNA(VLOOKUP(Ruimtestaat[[#This Row],[Programmacode
Regulier]],Programma!$F$4:$Y$36148,2,0),"_")</f>
        <v>_</v>
      </c>
      <c r="AK138" s="247" t="str">
        <f>_xlfn.IFNA(VLOOKUP(Ruimtestaat[[#This Row],[Programmacode
Regulier]],Programma!$F$4:$Y$36148,3,0),"_")</f>
        <v>_</v>
      </c>
      <c r="AL138" s="247" t="str">
        <f>_xlfn.IFNA(VLOOKUP(Ruimtestaat[[#This Row],[Programmacode
Regulier]],Programma!$F$4:$Y$36148,4,0),"_")</f>
        <v>5w</v>
      </c>
      <c r="AM138" s="247" t="str">
        <f>_xlfn.IFNA(VLOOKUP(Ruimtestaat[[#This Row],[Programmacode
Regulier]],Programma!$F$4:$Y$36148,5,0),"_")</f>
        <v>1w</v>
      </c>
      <c r="AN138" s="247" t="str">
        <f>_xlfn.IFNA(VLOOKUP(Ruimtestaat[[#This Row],[Programmacode
Regulier]],Programma!$F$4:$Y$36148,6,0),"_")</f>
        <v>1m</v>
      </c>
      <c r="AO138" s="247" t="str">
        <f>_xlfn.IFNA(VLOOKUP(Ruimtestaat[[#This Row],[Programmacode
Regulier]],Programma!$F$4:$Y$36148,7,0),"_")</f>
        <v>_</v>
      </c>
      <c r="AP138" s="247" t="str">
        <f>_xlfn.IFNA(VLOOKUP(Ruimtestaat[[#This Row],[Programmacode
Regulier]],Programma!$F$4:$Y$36148,8,0),"_")</f>
        <v>_</v>
      </c>
      <c r="AQ138" s="247" t="str">
        <f>_xlfn.IFNA(VLOOKUP(Ruimtestaat[[#This Row],[Programmacode
Regulier]],Programma!$F$4:$Y$36148,9,0),"_")</f>
        <v>_</v>
      </c>
      <c r="AR138" s="248" t="str">
        <f>_xlfn.IFNA(VLOOKUP(Ruimtestaat[[#This Row],[Programmacode
Regulier]],Programma!$F$4:$Y$36148,10,0),"_")</f>
        <v>5w</v>
      </c>
      <c r="AS138" s="248" t="str">
        <f>_xlfn.IFNA(VLOOKUP(Ruimtestaat[[#This Row],[Programmacode
Regulier]],Programma!$F$4:$Y$36148,11,0),"_")</f>
        <v>5w</v>
      </c>
      <c r="AT138" s="248" t="str">
        <f>_xlfn.IFNA(VLOOKUP(Ruimtestaat[[#This Row],[Programmacode
Regulier]],Programma!$F$4:$Y$36148,12,0),"_")</f>
        <v>1w</v>
      </c>
      <c r="AU138" s="248" t="str">
        <f>_xlfn.IFNA(VLOOKUP(Ruimtestaat[[#This Row],[Programmacode
Regulier]],Programma!$F$4:$Y$36148,13,0),"_")</f>
        <v>1w</v>
      </c>
      <c r="AV138" s="248" t="str">
        <f>_xlfn.IFNA(VLOOKUP(Ruimtestaat[[#This Row],[Programmacode
Regulier]],Programma!$F$4:$Y$36148,14,0),"_")</f>
        <v>1m</v>
      </c>
      <c r="AW138" s="248" t="str">
        <f>_xlfn.IFNA(VLOOKUP(Ruimtestaat[[#This Row],[Programmacode
Regulier]],Programma!$F$4:$Y$36148,15,0),"_")</f>
        <v>2j</v>
      </c>
      <c r="AX138" s="248" t="str">
        <f>_xlfn.IFNA(VLOOKUP(Ruimtestaat[[#This Row],[Programmacode
Regulier]],Programma!$F$4:$Y$36148,16,0),"_")</f>
        <v>1j</v>
      </c>
      <c r="AY138" s="248" t="str">
        <f>_xlfn.IFNA(VLOOKUP(Ruimtestaat[[#This Row],[Programmacode
Regulier]],Programma!$F$4:$Y$36148,17,0),"_")</f>
        <v>_</v>
      </c>
      <c r="AZ138" s="249" t="str">
        <f>_xlfn.IFNA(VLOOKUP(Ruimtestaat[[#This Row],[Programmacode
Regulier]],Programma!$F$4:$Y$36148,18,0),"_")</f>
        <v>_</v>
      </c>
      <c r="BA138" s="249" t="str">
        <f>_xlfn.IFNA(VLOOKUP(Ruimtestaat[[#This Row],[Programmacode
Regulier]],Programma!$F$4:$Y$36148,19,0),"_")</f>
        <v>_</v>
      </c>
      <c r="BB138" s="249" t="str">
        <f>_xlfn.IFNA(VLOOKUP(Ruimtestaat[[#This Row],[Programmacode
Regulier]],Programma!$F$4:$Y$36148,20,0),"_")</f>
        <v>_</v>
      </c>
      <c r="BC138" s="250"/>
      <c r="BD138" s="212" t="str">
        <f>IF(Ruimtestaat[[#This Row],[Frequentie weekend]]="","",_xlfn.CONCAT(Ruimtestaat[[#This Row],[Ruimte code]],"-",Ruimtestaat[[#This Row],[Frequentie weekend]]," ",Ruimtestaat[[#This Row],[Vloer code]]))</f>
        <v/>
      </c>
      <c r="BE138" s="247" t="str">
        <f>_xlfn.IFNA(VLOOKUP(Ruimtestaat[[#This Row],[Code Weekend]],Programma!$F$4:$Y$36148,2,0),"_")</f>
        <v>_</v>
      </c>
      <c r="BF138" s="247" t="str">
        <f>_xlfn.IFNA(VLOOKUP(Ruimtestaat[[#This Row],[Code Weekend]],Programma!$F$4:$Y$36148,3,0),"_")</f>
        <v>_</v>
      </c>
      <c r="BG138" s="247" t="str">
        <f>_xlfn.IFNA(VLOOKUP(Ruimtestaat[[#This Row],[Code Weekend]],Programma!$F$4:$Y$36148,4,0),"_")</f>
        <v>_</v>
      </c>
      <c r="BH138" s="247" t="str">
        <f>_xlfn.IFNA(VLOOKUP(Ruimtestaat[[#This Row],[Code Weekend]],Programma!$F$4:$Y$36148,5,0),"_")</f>
        <v>_</v>
      </c>
      <c r="BI138" s="247" t="str">
        <f>_xlfn.IFNA(VLOOKUP(Ruimtestaat[[#This Row],[Code Weekend]],Programma!$F$4:$Y$36148,6,0),"_")</f>
        <v>_</v>
      </c>
      <c r="BJ138" s="247" t="str">
        <f>_xlfn.IFNA(VLOOKUP(Ruimtestaat[[#This Row],[Code Weekend]],Programma!$F$4:$Y$36148,7,0),"_")</f>
        <v>_</v>
      </c>
      <c r="BK138" s="247" t="str">
        <f>_xlfn.IFNA(VLOOKUP(Ruimtestaat[[#This Row],[Code Weekend]],Programma!$F$4:$Y$36148,8,0),"_")</f>
        <v>_</v>
      </c>
      <c r="BL138" s="247" t="str">
        <f>_xlfn.IFNA(VLOOKUP(Ruimtestaat[[#This Row],[Code Weekend]],Programma!$F$4:$Y$36148,9,0),"_")</f>
        <v>_</v>
      </c>
      <c r="BM138" s="248" t="str">
        <f>_xlfn.IFNA(VLOOKUP(Ruimtestaat[[#This Row],[Code Weekend]],Programma!$F$4:$Y$36148,10,0),"_")</f>
        <v>_</v>
      </c>
      <c r="BN138" s="248" t="str">
        <f>_xlfn.IFNA(VLOOKUP(Ruimtestaat[[#This Row],[Code Weekend]],Programma!$F$4:$Y$36148,11,0),"_")</f>
        <v>_</v>
      </c>
      <c r="BO138" s="248" t="str">
        <f>_xlfn.IFNA(VLOOKUP(Ruimtestaat[[#This Row],[Code Weekend]],Programma!$F$4:$Y$36148,12,0),"_")</f>
        <v>_</v>
      </c>
      <c r="BP138" s="248" t="str">
        <f>_xlfn.IFNA(VLOOKUP(Ruimtestaat[[#This Row],[Code Weekend]],Programma!$F$4:$Y$36148,13,0),"_")</f>
        <v>_</v>
      </c>
      <c r="BQ138" s="248" t="str">
        <f>_xlfn.IFNA(VLOOKUP(Ruimtestaat[[#This Row],[Code Weekend]],Programma!$F$4:$Y$36148,14,0),"_")</f>
        <v>_</v>
      </c>
      <c r="BR138" s="248" t="str">
        <f>_xlfn.IFNA(VLOOKUP(Ruimtestaat[[#This Row],[Code Weekend]],Programma!$F$4:$Y$36148,15,0),"_")</f>
        <v>_</v>
      </c>
      <c r="BS138" s="248" t="str">
        <f>_xlfn.IFNA(VLOOKUP(Ruimtestaat[[#This Row],[Code Weekend]],Programma!$F$4:$Y$36148,16,0),"_")</f>
        <v>_</v>
      </c>
      <c r="BT138" s="248" t="str">
        <f>_xlfn.IFNA(VLOOKUP(Ruimtestaat[[#This Row],[Code Weekend]],Programma!$F$4:$Y$36148,17,0),"_")</f>
        <v>_</v>
      </c>
      <c r="BU138" s="249" t="str">
        <f>_xlfn.IFNA(VLOOKUP(Ruimtestaat[[#This Row],[Code Weekend]],Programma!$F$4:$Y$36148,18,0),"_")</f>
        <v>_</v>
      </c>
      <c r="BV138" s="249" t="str">
        <f>_xlfn.IFNA(VLOOKUP(Ruimtestaat[[#This Row],[Code Weekend]],Programma!$F$4:$Y$36148,19,0),"_")</f>
        <v>_</v>
      </c>
      <c r="BW138" s="249" t="str">
        <f>_xlfn.IFNA(VLOOKUP(Ruimtestaat[[#This Row],[Code Weekend]],Programma!$F$4:$Y$36148,20,0),"_")</f>
        <v>_</v>
      </c>
    </row>
    <row r="139" spans="1:75" ht="12.75" customHeight="1">
      <c r="A139" s="334">
        <v>1</v>
      </c>
      <c r="B139" s="334" t="str">
        <f>VLOOKUP(Ruimtestaat[[#This Row],[Code]],Locaties[#All],2,FALSE)</f>
        <v>ESH Secondary School</v>
      </c>
      <c r="C139" s="212" t="str">
        <f>VLOOKUP(Ruimtestaat[[#This Row],[Code]],Locaties[#All],4,FALSE)</f>
        <v>Oostduinlaan 50</v>
      </c>
      <c r="D139" s="212" t="str">
        <f>VLOOKUP(Ruimtestaat[[#This Row],[Code]],Locaties[#All],5,FALSE)</f>
        <v>2596 JP</v>
      </c>
      <c r="E139" s="212" t="str">
        <f>VLOOKUP(Ruimtestaat[[#This Row],[Code]],Locaties[#All],6,FALSE)</f>
        <v>Den Haag</v>
      </c>
      <c r="F139" s="335"/>
      <c r="G139" s="334" t="s">
        <v>1677</v>
      </c>
      <c r="H139" s="334" t="s">
        <v>1633</v>
      </c>
      <c r="I139" s="335" t="s">
        <v>1396</v>
      </c>
      <c r="J139" s="328">
        <v>21</v>
      </c>
      <c r="K139" s="336" t="str">
        <f>VLOOKUP(J139,Ruimtegroepen[],2,FALSE)</f>
        <v>Niet in onderhoud</v>
      </c>
      <c r="L139" s="212"/>
      <c r="M139" s="334"/>
      <c r="N139" s="337"/>
      <c r="O139" s="331">
        <v>1</v>
      </c>
      <c r="P139" s="332" t="str">
        <f>VLOOKUP(Ruimtestaat[[#This Row],[Ruimte code]],Ruimtegroepen[],4,FALSE)</f>
        <v>NIO</v>
      </c>
      <c r="Q139" s="332"/>
      <c r="R139" s="333"/>
      <c r="S139" s="333"/>
      <c r="T139" s="37"/>
      <c r="U139" s="37">
        <f>IF(R139&gt;0,IF(RIGHT(Ruimtestaat[[#This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139" s="37">
        <f>IF(U139&gt;0,VLOOKUP($J139,Ruimtegroepen[],3,FALSE)*VLOOKUP($L139,Vloersoorten[],3,FALSE)*VLOOKUP($S139,Frequenties[],3,FALSE)*VLOOKUP($A139,Locaties[],3,FALSE),0)</f>
        <v>0</v>
      </c>
      <c r="W139" s="37">
        <f>Ruimtestaat[[#This Row],[Uitvoeringen werkdagen]]*Ruimtestaat[[#This Row],[Oppervlak (netto)]]</f>
        <v>0</v>
      </c>
      <c r="X139" s="37">
        <f>IF(V139&gt;0,Ruimtestaat[[#This Row],[Prest. (m2 /jaar) werkdagen]]/Ruimtestaat[[#This Row],[Norm (m2/uur) werkdagen]],0)</f>
        <v>0</v>
      </c>
      <c r="Y139" s="37">
        <f>Ruimtestaat[[#This Row],[uren / jaar werkdagen]]*Tariefsopbouw!$D$38</f>
        <v>0</v>
      </c>
      <c r="Z139" s="37">
        <f>IF(Ruimtestaat[[#This Row],[Frequentie weekend]]&gt;0,VALUE(LEFT(T139,1))*R139,0)</f>
        <v>0</v>
      </c>
      <c r="AA139" s="37">
        <f>IF($Z139&gt;0,VLOOKUP($J139,Ruimtegroepen[],3,FALSE)*VLOOKUP($L139,Vloersoorten[],3,FALSE)*VLOOKUP($T139,Frequenties[],3,FALSE)*VLOOKUP($A139,Locaties[],3,FALSE),0)</f>
        <v>0</v>
      </c>
      <c r="AB139" s="37">
        <f>Ruimtestaat[[#This Row],[Uitvoeringen weekend]]*Ruimtestaat[[#This Row],[Oppervlak (netto)]]</f>
        <v>0</v>
      </c>
      <c r="AC139" s="37">
        <f>IF(AA139&gt;0,Ruimtestaat[[#This Row],[Prest. (m2 /jaar) weekend]]/Ruimtestaat[[#This Row],[Norm (m2/uur) weekend]],0)</f>
        <v>0</v>
      </c>
      <c r="AD139" s="37">
        <f>Ruimtestaat[[#This Row],[uren / jaar weekend]]*Tariefsopbouw!$D$40</f>
        <v>0</v>
      </c>
      <c r="AE139" s="89">
        <f>Ruimtestaat[[#This Row],[Prest. (m2 /jaar) weekend]]+Ruimtestaat[[#This Row],[Prest. (m2 /jaar) werkdagen]]</f>
        <v>0</v>
      </c>
      <c r="AF139" s="89">
        <f>Ruimtestaat[[#This Row],[uren / jaar weekend]]+Ruimtestaat[[#This Row],[uren / jaar werkdagen]]</f>
        <v>0</v>
      </c>
      <c r="AG139" s="90">
        <f>Ruimtestaat[[#This Row],[kosten / jaar weekend]]+Ruimtestaat[[#This Row],[kosten / jaar werkdagen]]</f>
        <v>0</v>
      </c>
      <c r="AH139" s="253"/>
      <c r="AI139" s="252" t="str">
        <f>IF(Ruimtestaat[[#This Row],[Frequentie werkdagen]]="","",_xlfn.CONCAT(Ruimtestaat[[#This Row],[Ruimte code]],"-",Ruimtestaat[[#This Row],[Frequentie werkdagen]]," ",Ruimtestaat[[#This Row],[Vloer code]]))</f>
        <v/>
      </c>
      <c r="AJ139" s="247" t="str">
        <f>_xlfn.IFNA(VLOOKUP(Ruimtestaat[[#This Row],[Programmacode
Regulier]],Programma!$F$4:$Y$36148,2,0),"_")</f>
        <v>_</v>
      </c>
      <c r="AK139" s="247" t="str">
        <f>_xlfn.IFNA(VLOOKUP(Ruimtestaat[[#This Row],[Programmacode
Regulier]],Programma!$F$4:$Y$36148,3,0),"_")</f>
        <v>_</v>
      </c>
      <c r="AL139" s="247" t="str">
        <f>_xlfn.IFNA(VLOOKUP(Ruimtestaat[[#This Row],[Programmacode
Regulier]],Programma!$F$4:$Y$36148,4,0),"_")</f>
        <v>_</v>
      </c>
      <c r="AM139" s="247" t="str">
        <f>_xlfn.IFNA(VLOOKUP(Ruimtestaat[[#This Row],[Programmacode
Regulier]],Programma!$F$4:$Y$36148,5,0),"_")</f>
        <v>_</v>
      </c>
      <c r="AN139" s="247" t="str">
        <f>_xlfn.IFNA(VLOOKUP(Ruimtestaat[[#This Row],[Programmacode
Regulier]],Programma!$F$4:$Y$36148,6,0),"_")</f>
        <v>_</v>
      </c>
      <c r="AO139" s="247" t="str">
        <f>_xlfn.IFNA(VLOOKUP(Ruimtestaat[[#This Row],[Programmacode
Regulier]],Programma!$F$4:$Y$36148,7,0),"_")</f>
        <v>_</v>
      </c>
      <c r="AP139" s="247" t="str">
        <f>_xlfn.IFNA(VLOOKUP(Ruimtestaat[[#This Row],[Programmacode
Regulier]],Programma!$F$4:$Y$36148,8,0),"_")</f>
        <v>_</v>
      </c>
      <c r="AQ139" s="247" t="str">
        <f>_xlfn.IFNA(VLOOKUP(Ruimtestaat[[#This Row],[Programmacode
Regulier]],Programma!$F$4:$Y$36148,9,0),"_")</f>
        <v>_</v>
      </c>
      <c r="AR139" s="248" t="str">
        <f>_xlfn.IFNA(VLOOKUP(Ruimtestaat[[#This Row],[Programmacode
Regulier]],Programma!$F$4:$Y$36148,10,0),"_")</f>
        <v>_</v>
      </c>
      <c r="AS139" s="248" t="str">
        <f>_xlfn.IFNA(VLOOKUP(Ruimtestaat[[#This Row],[Programmacode
Regulier]],Programma!$F$4:$Y$36148,11,0),"_")</f>
        <v>_</v>
      </c>
      <c r="AT139" s="248" t="str">
        <f>_xlfn.IFNA(VLOOKUP(Ruimtestaat[[#This Row],[Programmacode
Regulier]],Programma!$F$4:$Y$36148,12,0),"_")</f>
        <v>_</v>
      </c>
      <c r="AU139" s="248" t="str">
        <f>_xlfn.IFNA(VLOOKUP(Ruimtestaat[[#This Row],[Programmacode
Regulier]],Programma!$F$4:$Y$36148,13,0),"_")</f>
        <v>_</v>
      </c>
      <c r="AV139" s="248" t="str">
        <f>_xlfn.IFNA(VLOOKUP(Ruimtestaat[[#This Row],[Programmacode
Regulier]],Programma!$F$4:$Y$36148,14,0),"_")</f>
        <v>_</v>
      </c>
      <c r="AW139" s="248" t="str">
        <f>_xlfn.IFNA(VLOOKUP(Ruimtestaat[[#This Row],[Programmacode
Regulier]],Programma!$F$4:$Y$36148,15,0),"_")</f>
        <v>_</v>
      </c>
      <c r="AX139" s="248" t="str">
        <f>_xlfn.IFNA(VLOOKUP(Ruimtestaat[[#This Row],[Programmacode
Regulier]],Programma!$F$4:$Y$36148,16,0),"_")</f>
        <v>_</v>
      </c>
      <c r="AY139" s="248" t="str">
        <f>_xlfn.IFNA(VLOOKUP(Ruimtestaat[[#This Row],[Programmacode
Regulier]],Programma!$F$4:$Y$36148,17,0),"_")</f>
        <v>_</v>
      </c>
      <c r="AZ139" s="249" t="str">
        <f>_xlfn.IFNA(VLOOKUP(Ruimtestaat[[#This Row],[Programmacode
Regulier]],Programma!$F$4:$Y$36148,18,0),"_")</f>
        <v>_</v>
      </c>
      <c r="BA139" s="249" t="str">
        <f>_xlfn.IFNA(VLOOKUP(Ruimtestaat[[#This Row],[Programmacode
Regulier]],Programma!$F$4:$Y$36148,19,0),"_")</f>
        <v>_</v>
      </c>
      <c r="BB139" s="249" t="str">
        <f>_xlfn.IFNA(VLOOKUP(Ruimtestaat[[#This Row],[Programmacode
Regulier]],Programma!$F$4:$Y$36148,20,0),"_")</f>
        <v>_</v>
      </c>
      <c r="BC139" s="250"/>
      <c r="BD139" s="212" t="str">
        <f>IF(Ruimtestaat[[#This Row],[Frequentie weekend]]="","",_xlfn.CONCAT(Ruimtestaat[[#This Row],[Ruimte code]],"-",Ruimtestaat[[#This Row],[Frequentie weekend]]," ",Ruimtestaat[[#This Row],[Vloer code]]))</f>
        <v/>
      </c>
      <c r="BE139" s="247" t="str">
        <f>_xlfn.IFNA(VLOOKUP(Ruimtestaat[[#This Row],[Code Weekend]],Programma!$F$4:$Y$36148,2,0),"_")</f>
        <v>_</v>
      </c>
      <c r="BF139" s="247" t="str">
        <f>_xlfn.IFNA(VLOOKUP(Ruimtestaat[[#This Row],[Code Weekend]],Programma!$F$4:$Y$36148,3,0),"_")</f>
        <v>_</v>
      </c>
      <c r="BG139" s="247" t="str">
        <f>_xlfn.IFNA(VLOOKUP(Ruimtestaat[[#This Row],[Code Weekend]],Programma!$F$4:$Y$36148,4,0),"_")</f>
        <v>_</v>
      </c>
      <c r="BH139" s="247" t="str">
        <f>_xlfn.IFNA(VLOOKUP(Ruimtestaat[[#This Row],[Code Weekend]],Programma!$F$4:$Y$36148,5,0),"_")</f>
        <v>_</v>
      </c>
      <c r="BI139" s="247" t="str">
        <f>_xlfn.IFNA(VLOOKUP(Ruimtestaat[[#This Row],[Code Weekend]],Programma!$F$4:$Y$36148,6,0),"_")</f>
        <v>_</v>
      </c>
      <c r="BJ139" s="247" t="str">
        <f>_xlfn.IFNA(VLOOKUP(Ruimtestaat[[#This Row],[Code Weekend]],Programma!$F$4:$Y$36148,7,0),"_")</f>
        <v>_</v>
      </c>
      <c r="BK139" s="247" t="str">
        <f>_xlfn.IFNA(VLOOKUP(Ruimtestaat[[#This Row],[Code Weekend]],Programma!$F$4:$Y$36148,8,0),"_")</f>
        <v>_</v>
      </c>
      <c r="BL139" s="247" t="str">
        <f>_xlfn.IFNA(VLOOKUP(Ruimtestaat[[#This Row],[Code Weekend]],Programma!$F$4:$Y$36148,9,0),"_")</f>
        <v>_</v>
      </c>
      <c r="BM139" s="248" t="str">
        <f>_xlfn.IFNA(VLOOKUP(Ruimtestaat[[#This Row],[Code Weekend]],Programma!$F$4:$Y$36148,10,0),"_")</f>
        <v>_</v>
      </c>
      <c r="BN139" s="248" t="str">
        <f>_xlfn.IFNA(VLOOKUP(Ruimtestaat[[#This Row],[Code Weekend]],Programma!$F$4:$Y$36148,11,0),"_")</f>
        <v>_</v>
      </c>
      <c r="BO139" s="248" t="str">
        <f>_xlfn.IFNA(VLOOKUP(Ruimtestaat[[#This Row],[Code Weekend]],Programma!$F$4:$Y$36148,12,0),"_")</f>
        <v>_</v>
      </c>
      <c r="BP139" s="248" t="str">
        <f>_xlfn.IFNA(VLOOKUP(Ruimtestaat[[#This Row],[Code Weekend]],Programma!$F$4:$Y$36148,13,0),"_")</f>
        <v>_</v>
      </c>
      <c r="BQ139" s="248" t="str">
        <f>_xlfn.IFNA(VLOOKUP(Ruimtestaat[[#This Row],[Code Weekend]],Programma!$F$4:$Y$36148,14,0),"_")</f>
        <v>_</v>
      </c>
      <c r="BR139" s="248" t="str">
        <f>_xlfn.IFNA(VLOOKUP(Ruimtestaat[[#This Row],[Code Weekend]],Programma!$F$4:$Y$36148,15,0),"_")</f>
        <v>_</v>
      </c>
      <c r="BS139" s="248" t="str">
        <f>_xlfn.IFNA(VLOOKUP(Ruimtestaat[[#This Row],[Code Weekend]],Programma!$F$4:$Y$36148,16,0),"_")</f>
        <v>_</v>
      </c>
      <c r="BT139" s="248" t="str">
        <f>_xlfn.IFNA(VLOOKUP(Ruimtestaat[[#This Row],[Code Weekend]],Programma!$F$4:$Y$36148,17,0),"_")</f>
        <v>_</v>
      </c>
      <c r="BU139" s="249" t="str">
        <f>_xlfn.IFNA(VLOOKUP(Ruimtestaat[[#This Row],[Code Weekend]],Programma!$F$4:$Y$36148,18,0),"_")</f>
        <v>_</v>
      </c>
      <c r="BV139" s="249" t="str">
        <f>_xlfn.IFNA(VLOOKUP(Ruimtestaat[[#This Row],[Code Weekend]],Programma!$F$4:$Y$36148,19,0),"_")</f>
        <v>_</v>
      </c>
      <c r="BW139" s="249" t="str">
        <f>_xlfn.IFNA(VLOOKUP(Ruimtestaat[[#This Row],[Code Weekend]],Programma!$F$4:$Y$36148,20,0),"_")</f>
        <v>_</v>
      </c>
    </row>
    <row r="140" spans="1:75" ht="12.75" customHeight="1">
      <c r="A140" s="334">
        <v>1</v>
      </c>
      <c r="B140" s="334" t="str">
        <f>VLOOKUP(Ruimtestaat[[#This Row],[Code]],Locaties[#All],2,FALSE)</f>
        <v>ESH Secondary School</v>
      </c>
      <c r="C140" s="212" t="str">
        <f>VLOOKUP(Ruimtestaat[[#This Row],[Code]],Locaties[#All],4,FALSE)</f>
        <v>Oostduinlaan 50</v>
      </c>
      <c r="D140" s="212" t="str">
        <f>VLOOKUP(Ruimtestaat[[#This Row],[Code]],Locaties[#All],5,FALSE)</f>
        <v>2596 JP</v>
      </c>
      <c r="E140" s="212" t="str">
        <f>VLOOKUP(Ruimtestaat[[#This Row],[Code]],Locaties[#All],6,FALSE)</f>
        <v>Den Haag</v>
      </c>
      <c r="F140" s="335"/>
      <c r="G140" s="334" t="s">
        <v>1677</v>
      </c>
      <c r="H140" s="334" t="s">
        <v>1634</v>
      </c>
      <c r="I140" s="335" t="s">
        <v>1518</v>
      </c>
      <c r="J140" s="328">
        <v>1</v>
      </c>
      <c r="K140" s="336" t="s">
        <v>69</v>
      </c>
      <c r="L140" s="212" t="s">
        <v>123</v>
      </c>
      <c r="M140" s="334" t="s">
        <v>144</v>
      </c>
      <c r="N140" s="337">
        <v>90</v>
      </c>
      <c r="O140" s="331"/>
      <c r="P140" s="332" t="str">
        <f>VLOOKUP(Ruimtestaat[[#This Row],[Ruimte code]],Ruimtegroepen[],4,FALSE)</f>
        <v>V  (Verkeersruimte)</v>
      </c>
      <c r="Q140" s="332"/>
      <c r="R140" s="333">
        <v>40</v>
      </c>
      <c r="S140" s="333" t="s">
        <v>16</v>
      </c>
      <c r="T140" s="37"/>
      <c r="U140" s="37">
        <f>IF(R140&gt;0,IF(RIGHT(Ruimtestaat[[#This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140" s="37">
        <f>IF(U140&gt;0,VLOOKUP($J140,Ruimtegroepen[],3,FALSE)*VLOOKUP($L140,Vloersoorten[],3,FALSE)*VLOOKUP($S140,Frequenties[],3,FALSE)*VLOOKUP($A140,Locaties[],3,FALSE),0)</f>
        <v>0</v>
      </c>
      <c r="W140" s="37">
        <f>Ruimtestaat[[#This Row],[Uitvoeringen werkdagen]]*Ruimtestaat[[#This Row],[Oppervlak (netto)]]</f>
        <v>1080</v>
      </c>
      <c r="X140" s="37">
        <f>IF(V140&gt;0,Ruimtestaat[[#This Row],[Prest. (m2 /jaar) werkdagen]]/Ruimtestaat[[#This Row],[Norm (m2/uur) werkdagen]],0)</f>
        <v>0</v>
      </c>
      <c r="Y140" s="37">
        <f>Ruimtestaat[[#This Row],[uren / jaar werkdagen]]*Tariefsopbouw!$D$38</f>
        <v>0</v>
      </c>
      <c r="Z140" s="37">
        <f>IF(Ruimtestaat[[#This Row],[Frequentie weekend]]&gt;0,VALUE(LEFT(T140,1))*R140,0)</f>
        <v>0</v>
      </c>
      <c r="AA140" s="37">
        <f>IF($Z140&gt;0,VLOOKUP($J140,Ruimtegroepen[],3,FALSE)*VLOOKUP($L140,Vloersoorten[],3,FALSE)*VLOOKUP($T140,Frequenties[],3,FALSE)*VLOOKUP($A140,Locaties[],3,FALSE),0)</f>
        <v>0</v>
      </c>
      <c r="AB140" s="37">
        <f>Ruimtestaat[[#This Row],[Uitvoeringen weekend]]*Ruimtestaat[[#This Row],[Oppervlak (netto)]]</f>
        <v>0</v>
      </c>
      <c r="AC140" s="37">
        <f>IF(AA140&gt;0,Ruimtestaat[[#This Row],[Prest. (m2 /jaar) weekend]]/Ruimtestaat[[#This Row],[Norm (m2/uur) weekend]],0)</f>
        <v>0</v>
      </c>
      <c r="AD140" s="37">
        <f>Ruimtestaat[[#This Row],[uren / jaar weekend]]*Tariefsopbouw!$D$40</f>
        <v>0</v>
      </c>
      <c r="AE140" s="89">
        <f>Ruimtestaat[[#This Row],[Prest. (m2 /jaar) weekend]]+Ruimtestaat[[#This Row],[Prest. (m2 /jaar) werkdagen]]</f>
        <v>1080</v>
      </c>
      <c r="AF140" s="89">
        <f>Ruimtestaat[[#This Row],[uren / jaar weekend]]+Ruimtestaat[[#This Row],[uren / jaar werkdagen]]</f>
        <v>0</v>
      </c>
      <c r="AG140" s="90">
        <f>Ruimtestaat[[#This Row],[kosten / jaar weekend]]+Ruimtestaat[[#This Row],[kosten / jaar werkdagen]]</f>
        <v>0</v>
      </c>
      <c r="AH140" s="253"/>
      <c r="AI140" s="252" t="str">
        <f>IF(Ruimtestaat[[#This Row],[Frequentie werkdagen]]="","",_xlfn.CONCAT(Ruimtestaat[[#This Row],[Ruimte code]],"-",Ruimtestaat[[#This Row],[Frequentie werkdagen]]," ",Ruimtestaat[[#This Row],[Vloer code]]))</f>
        <v>1-1m P</v>
      </c>
      <c r="AJ140" s="247" t="str">
        <f>_xlfn.IFNA(VLOOKUP(Ruimtestaat[[#This Row],[Programmacode
Regulier]],Programma!$F$4:$Y$36148,2,0),"_")</f>
        <v>_</v>
      </c>
      <c r="AK140" s="247" t="str">
        <f>_xlfn.IFNA(VLOOKUP(Ruimtestaat[[#This Row],[Programmacode
Regulier]],Programma!$F$4:$Y$36148,3,0),"_")</f>
        <v>_</v>
      </c>
      <c r="AL140" s="247" t="str">
        <f>_xlfn.IFNA(VLOOKUP(Ruimtestaat[[#This Row],[Programmacode
Regulier]],Programma!$F$4:$Y$36148,4,0),"_")</f>
        <v>1m</v>
      </c>
      <c r="AM140" s="247" t="str">
        <f>_xlfn.IFNA(VLOOKUP(Ruimtestaat[[#This Row],[Programmacode
Regulier]],Programma!$F$4:$Y$36148,5,0),"_")</f>
        <v>1m</v>
      </c>
      <c r="AN140" s="247" t="str">
        <f>_xlfn.IFNA(VLOOKUP(Ruimtestaat[[#This Row],[Programmacode
Regulier]],Programma!$F$4:$Y$36148,6,0),"_")</f>
        <v>_</v>
      </c>
      <c r="AO140" s="247" t="str">
        <f>_xlfn.IFNA(VLOOKUP(Ruimtestaat[[#This Row],[Programmacode
Regulier]],Programma!$F$4:$Y$36148,7,0),"_")</f>
        <v>_</v>
      </c>
      <c r="AP140" s="247" t="str">
        <f>_xlfn.IFNA(VLOOKUP(Ruimtestaat[[#This Row],[Programmacode
Regulier]],Programma!$F$4:$Y$36148,8,0),"_")</f>
        <v>_</v>
      </c>
      <c r="AQ140" s="247" t="str">
        <f>_xlfn.IFNA(VLOOKUP(Ruimtestaat[[#This Row],[Programmacode
Regulier]],Programma!$F$4:$Y$36148,9,0),"_")</f>
        <v>_</v>
      </c>
      <c r="AR140" s="248" t="str">
        <f>_xlfn.IFNA(VLOOKUP(Ruimtestaat[[#This Row],[Programmacode
Regulier]],Programma!$F$4:$Y$36148,10,0),"_")</f>
        <v>_</v>
      </c>
      <c r="AS140" s="248" t="str">
        <f>_xlfn.IFNA(VLOOKUP(Ruimtestaat[[#This Row],[Programmacode
Regulier]],Programma!$F$4:$Y$36148,11,0),"_")</f>
        <v>_</v>
      </c>
      <c r="AT140" s="248" t="str">
        <f>_xlfn.IFNA(VLOOKUP(Ruimtestaat[[#This Row],[Programmacode
Regulier]],Programma!$F$4:$Y$36148,12,0),"_")</f>
        <v>_</v>
      </c>
      <c r="AU140" s="248" t="str">
        <f>_xlfn.IFNA(VLOOKUP(Ruimtestaat[[#This Row],[Programmacode
Regulier]],Programma!$F$4:$Y$36148,13,0),"_")</f>
        <v>_</v>
      </c>
      <c r="AV140" s="248" t="str">
        <f>_xlfn.IFNA(VLOOKUP(Ruimtestaat[[#This Row],[Programmacode
Regulier]],Programma!$F$4:$Y$36148,14,0),"_")</f>
        <v>1j</v>
      </c>
      <c r="AW140" s="248" t="str">
        <f>_xlfn.IFNA(VLOOKUP(Ruimtestaat[[#This Row],[Programmacode
Regulier]],Programma!$F$4:$Y$36148,15,0),"_")</f>
        <v>1j</v>
      </c>
      <c r="AX140" s="248" t="str">
        <f>_xlfn.IFNA(VLOOKUP(Ruimtestaat[[#This Row],[Programmacode
Regulier]],Programma!$F$4:$Y$36148,16,0),"_")</f>
        <v>1j</v>
      </c>
      <c r="AY140" s="248" t="str">
        <f>_xlfn.IFNA(VLOOKUP(Ruimtestaat[[#This Row],[Programmacode
Regulier]],Programma!$F$4:$Y$36148,17,0),"_")</f>
        <v>_</v>
      </c>
      <c r="AZ140" s="249" t="str">
        <f>_xlfn.IFNA(VLOOKUP(Ruimtestaat[[#This Row],[Programmacode
Regulier]],Programma!$F$4:$Y$36148,18,0),"_")</f>
        <v>_</v>
      </c>
      <c r="BA140" s="249" t="str">
        <f>_xlfn.IFNA(VLOOKUP(Ruimtestaat[[#This Row],[Programmacode
Regulier]],Programma!$F$4:$Y$36148,19,0),"_")</f>
        <v>_</v>
      </c>
      <c r="BB140" s="249" t="str">
        <f>_xlfn.IFNA(VLOOKUP(Ruimtestaat[[#This Row],[Programmacode
Regulier]],Programma!$F$4:$Y$36148,20,0),"_")</f>
        <v>_</v>
      </c>
      <c r="BC140" s="250"/>
      <c r="BD140" s="212" t="str">
        <f>IF(Ruimtestaat[[#This Row],[Frequentie weekend]]="","",_xlfn.CONCAT(Ruimtestaat[[#This Row],[Ruimte code]],"-",Ruimtestaat[[#This Row],[Frequentie weekend]]," ",Ruimtestaat[[#This Row],[Vloer code]]))</f>
        <v/>
      </c>
      <c r="BE140" s="247" t="str">
        <f>_xlfn.IFNA(VLOOKUP(Ruimtestaat[[#This Row],[Code Weekend]],Programma!$F$4:$Y$36148,2,0),"_")</f>
        <v>_</v>
      </c>
      <c r="BF140" s="247" t="str">
        <f>_xlfn.IFNA(VLOOKUP(Ruimtestaat[[#This Row],[Code Weekend]],Programma!$F$4:$Y$36148,3,0),"_")</f>
        <v>_</v>
      </c>
      <c r="BG140" s="247" t="str">
        <f>_xlfn.IFNA(VLOOKUP(Ruimtestaat[[#This Row],[Code Weekend]],Programma!$F$4:$Y$36148,4,0),"_")</f>
        <v>_</v>
      </c>
      <c r="BH140" s="247" t="str">
        <f>_xlfn.IFNA(VLOOKUP(Ruimtestaat[[#This Row],[Code Weekend]],Programma!$F$4:$Y$36148,5,0),"_")</f>
        <v>_</v>
      </c>
      <c r="BI140" s="247" t="str">
        <f>_xlfn.IFNA(VLOOKUP(Ruimtestaat[[#This Row],[Code Weekend]],Programma!$F$4:$Y$36148,6,0),"_")</f>
        <v>_</v>
      </c>
      <c r="BJ140" s="247" t="str">
        <f>_xlfn.IFNA(VLOOKUP(Ruimtestaat[[#This Row],[Code Weekend]],Programma!$F$4:$Y$36148,7,0),"_")</f>
        <v>_</v>
      </c>
      <c r="BK140" s="247" t="str">
        <f>_xlfn.IFNA(VLOOKUP(Ruimtestaat[[#This Row],[Code Weekend]],Programma!$F$4:$Y$36148,8,0),"_")</f>
        <v>_</v>
      </c>
      <c r="BL140" s="247" t="str">
        <f>_xlfn.IFNA(VLOOKUP(Ruimtestaat[[#This Row],[Code Weekend]],Programma!$F$4:$Y$36148,9,0),"_")</f>
        <v>_</v>
      </c>
      <c r="BM140" s="248" t="str">
        <f>_xlfn.IFNA(VLOOKUP(Ruimtestaat[[#This Row],[Code Weekend]],Programma!$F$4:$Y$36148,10,0),"_")</f>
        <v>_</v>
      </c>
      <c r="BN140" s="248" t="str">
        <f>_xlfn.IFNA(VLOOKUP(Ruimtestaat[[#This Row],[Code Weekend]],Programma!$F$4:$Y$36148,11,0),"_")</f>
        <v>_</v>
      </c>
      <c r="BO140" s="248" t="str">
        <f>_xlfn.IFNA(VLOOKUP(Ruimtestaat[[#This Row],[Code Weekend]],Programma!$F$4:$Y$36148,12,0),"_")</f>
        <v>_</v>
      </c>
      <c r="BP140" s="248" t="str">
        <f>_xlfn.IFNA(VLOOKUP(Ruimtestaat[[#This Row],[Code Weekend]],Programma!$F$4:$Y$36148,13,0),"_")</f>
        <v>_</v>
      </c>
      <c r="BQ140" s="248" t="str">
        <f>_xlfn.IFNA(VLOOKUP(Ruimtestaat[[#This Row],[Code Weekend]],Programma!$F$4:$Y$36148,14,0),"_")</f>
        <v>_</v>
      </c>
      <c r="BR140" s="248" t="str">
        <f>_xlfn.IFNA(VLOOKUP(Ruimtestaat[[#This Row],[Code Weekend]],Programma!$F$4:$Y$36148,15,0),"_")</f>
        <v>_</v>
      </c>
      <c r="BS140" s="248" t="str">
        <f>_xlfn.IFNA(VLOOKUP(Ruimtestaat[[#This Row],[Code Weekend]],Programma!$F$4:$Y$36148,16,0),"_")</f>
        <v>_</v>
      </c>
      <c r="BT140" s="248" t="str">
        <f>_xlfn.IFNA(VLOOKUP(Ruimtestaat[[#This Row],[Code Weekend]],Programma!$F$4:$Y$36148,17,0),"_")</f>
        <v>_</v>
      </c>
      <c r="BU140" s="249" t="str">
        <f>_xlfn.IFNA(VLOOKUP(Ruimtestaat[[#This Row],[Code Weekend]],Programma!$F$4:$Y$36148,18,0),"_")</f>
        <v>_</v>
      </c>
      <c r="BV140" s="249" t="str">
        <f>_xlfn.IFNA(VLOOKUP(Ruimtestaat[[#This Row],[Code Weekend]],Programma!$F$4:$Y$36148,19,0),"_")</f>
        <v>_</v>
      </c>
      <c r="BW140" s="249" t="str">
        <f>_xlfn.IFNA(VLOOKUP(Ruimtestaat[[#This Row],[Code Weekend]],Programma!$F$4:$Y$36148,20,0),"_")</f>
        <v>_</v>
      </c>
    </row>
    <row r="141" spans="1:75" ht="12.75" customHeight="1">
      <c r="A141" s="334">
        <v>1</v>
      </c>
      <c r="B141" s="334" t="str">
        <f>VLOOKUP(Ruimtestaat[[#This Row],[Code]],Locaties[#All],2,FALSE)</f>
        <v>ESH Secondary School</v>
      </c>
      <c r="C141" s="212" t="str">
        <f>VLOOKUP(Ruimtestaat[[#This Row],[Code]],Locaties[#All],4,FALSE)</f>
        <v>Oostduinlaan 50</v>
      </c>
      <c r="D141" s="212" t="str">
        <f>VLOOKUP(Ruimtestaat[[#This Row],[Code]],Locaties[#All],5,FALSE)</f>
        <v>2596 JP</v>
      </c>
      <c r="E141" s="212" t="str">
        <f>VLOOKUP(Ruimtestaat[[#This Row],[Code]],Locaties[#All],6,FALSE)</f>
        <v>Den Haag</v>
      </c>
      <c r="F141" s="335"/>
      <c r="G141" s="334" t="s">
        <v>1677</v>
      </c>
      <c r="H141" s="334" t="s">
        <v>1635</v>
      </c>
      <c r="I141" s="335" t="s">
        <v>1769</v>
      </c>
      <c r="J141" s="252" t="s">
        <v>1422</v>
      </c>
      <c r="K141" s="335" t="str">
        <f>VLOOKUP(J141,Ruimtegroepen[],2,FALSE)</f>
        <v>Gangen/hallen andere verdiepingen</v>
      </c>
      <c r="L141" s="212" t="s">
        <v>122</v>
      </c>
      <c r="M141" s="334" t="s">
        <v>143</v>
      </c>
      <c r="N141" s="337">
        <v>1</v>
      </c>
      <c r="O141" s="331"/>
      <c r="P141" s="332" t="str">
        <f>VLOOKUP(Ruimtestaat[[#This Row],[Ruimte code]],Ruimtegroepen[],4,FALSE)</f>
        <v>V  (Verkeersruimte)</v>
      </c>
      <c r="Q141" s="332"/>
      <c r="R141" s="333">
        <v>40</v>
      </c>
      <c r="S141" s="333" t="s">
        <v>2</v>
      </c>
      <c r="T141" s="37"/>
      <c r="U141" s="37">
        <f>IF(R141&gt;0,IF(RIGHT(Ruimtestaat[[#This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41" s="37">
        <f>IF(U141&gt;0,VLOOKUP($J141,Ruimtegroepen[],3,FALSE)*VLOOKUP($L141,Vloersoorten[],3,FALSE)*VLOOKUP($S141,Frequenties[],3,FALSE)*VLOOKUP($A141,Locaties[],3,FALSE),0)</f>
        <v>0</v>
      </c>
      <c r="W141" s="37">
        <f>Ruimtestaat[[#This Row],[Uitvoeringen werkdagen]]*Ruimtestaat[[#This Row],[Oppervlak (netto)]]</f>
        <v>200</v>
      </c>
      <c r="X141" s="37">
        <f>IF(V141&gt;0,Ruimtestaat[[#This Row],[Prest. (m2 /jaar) werkdagen]]/Ruimtestaat[[#This Row],[Norm (m2/uur) werkdagen]],0)</f>
        <v>0</v>
      </c>
      <c r="Y141" s="37">
        <f>Ruimtestaat[[#This Row],[uren / jaar werkdagen]]*Tariefsopbouw!$D$38</f>
        <v>0</v>
      </c>
      <c r="Z141" s="37">
        <f>IF(Ruimtestaat[[#This Row],[Frequentie weekend]]&gt;0,VALUE(LEFT(T141,1))*R141,0)</f>
        <v>0</v>
      </c>
      <c r="AA141" s="37">
        <f>IF($Z141&gt;0,VLOOKUP($J141,Ruimtegroepen[],3,FALSE)*VLOOKUP($L141,Vloersoorten[],3,FALSE)*VLOOKUP($T141,Frequenties[],3,FALSE)*VLOOKUP($A141,Locaties[],3,FALSE),0)</f>
        <v>0</v>
      </c>
      <c r="AB141" s="37">
        <f>Ruimtestaat[[#This Row],[Uitvoeringen weekend]]*Ruimtestaat[[#This Row],[Oppervlak (netto)]]</f>
        <v>0</v>
      </c>
      <c r="AC141" s="37">
        <f>IF(AA141&gt;0,Ruimtestaat[[#This Row],[Prest. (m2 /jaar) weekend]]/Ruimtestaat[[#This Row],[Norm (m2/uur) weekend]],0)</f>
        <v>0</v>
      </c>
      <c r="AD141" s="37">
        <f>Ruimtestaat[[#This Row],[uren / jaar weekend]]*Tariefsopbouw!$D$40</f>
        <v>0</v>
      </c>
      <c r="AE141" s="89">
        <f>Ruimtestaat[[#This Row],[Prest. (m2 /jaar) weekend]]+Ruimtestaat[[#This Row],[Prest. (m2 /jaar) werkdagen]]</f>
        <v>200</v>
      </c>
      <c r="AF141" s="89">
        <f>Ruimtestaat[[#This Row],[uren / jaar weekend]]+Ruimtestaat[[#This Row],[uren / jaar werkdagen]]</f>
        <v>0</v>
      </c>
      <c r="AG141" s="90">
        <f>Ruimtestaat[[#This Row],[kosten / jaar weekend]]+Ruimtestaat[[#This Row],[kosten / jaar werkdagen]]</f>
        <v>0</v>
      </c>
      <c r="AH141" s="253"/>
      <c r="AI141" s="252" t="str">
        <f>IF(Ruimtestaat[[#This Row],[Frequentie werkdagen]]="","",_xlfn.CONCAT(Ruimtestaat[[#This Row],[Ruimte code]],"-",Ruimtestaat[[#This Row],[Frequentie werkdagen]]," ",Ruimtestaat[[#This Row],[Vloer code]]))</f>
        <v>6a-5w S</v>
      </c>
      <c r="AJ141" s="247" t="str">
        <f>_xlfn.IFNA(VLOOKUP(Ruimtestaat[[#This Row],[Programmacode
Regulier]],Programma!$F$4:$Y$36148,2,0),"_")</f>
        <v>_</v>
      </c>
      <c r="AK141" s="247" t="str">
        <f>_xlfn.IFNA(VLOOKUP(Ruimtestaat[[#This Row],[Programmacode
Regulier]],Programma!$F$4:$Y$36148,3,0),"_")</f>
        <v>_</v>
      </c>
      <c r="AL141" s="247" t="str">
        <f>_xlfn.IFNA(VLOOKUP(Ruimtestaat[[#This Row],[Programmacode
Regulier]],Programma!$F$4:$Y$36148,4,0),"_")</f>
        <v>5w</v>
      </c>
      <c r="AM141" s="247" t="str">
        <f>_xlfn.IFNA(VLOOKUP(Ruimtestaat[[#This Row],[Programmacode
Regulier]],Programma!$F$4:$Y$36148,5,0),"_")</f>
        <v>4w</v>
      </c>
      <c r="AN141" s="247" t="str">
        <f>_xlfn.IFNA(VLOOKUP(Ruimtestaat[[#This Row],[Programmacode
Regulier]],Programma!$F$4:$Y$36148,6,0),"_")</f>
        <v>1w</v>
      </c>
      <c r="AO141" s="247" t="str">
        <f>_xlfn.IFNA(VLOOKUP(Ruimtestaat[[#This Row],[Programmacode
Regulier]],Programma!$F$4:$Y$36148,7,0),"_")</f>
        <v>_</v>
      </c>
      <c r="AP141" s="247" t="str">
        <f>_xlfn.IFNA(VLOOKUP(Ruimtestaat[[#This Row],[Programmacode
Regulier]],Programma!$F$4:$Y$36148,8,0),"_")</f>
        <v>_</v>
      </c>
      <c r="AQ141" s="247" t="str">
        <f>_xlfn.IFNA(VLOOKUP(Ruimtestaat[[#This Row],[Programmacode
Regulier]],Programma!$F$4:$Y$36148,9,0),"_")</f>
        <v>_</v>
      </c>
      <c r="AR141" s="248" t="str">
        <f>_xlfn.IFNA(VLOOKUP(Ruimtestaat[[#This Row],[Programmacode
Regulier]],Programma!$F$4:$Y$36148,10,0),"_")</f>
        <v>5w</v>
      </c>
      <c r="AS141" s="248" t="str">
        <f>_xlfn.IFNA(VLOOKUP(Ruimtestaat[[#This Row],[Programmacode
Regulier]],Programma!$F$4:$Y$36148,11,0),"_")</f>
        <v>5w</v>
      </c>
      <c r="AT141" s="248" t="str">
        <f>_xlfn.IFNA(VLOOKUP(Ruimtestaat[[#This Row],[Programmacode
Regulier]],Programma!$F$4:$Y$36148,12,0),"_")</f>
        <v>1w</v>
      </c>
      <c r="AU141" s="248" t="str">
        <f>_xlfn.IFNA(VLOOKUP(Ruimtestaat[[#This Row],[Programmacode
Regulier]],Programma!$F$4:$Y$36148,13,0),"_")</f>
        <v>1w</v>
      </c>
      <c r="AV141" s="248" t="str">
        <f>_xlfn.IFNA(VLOOKUP(Ruimtestaat[[#This Row],[Programmacode
Regulier]],Programma!$F$4:$Y$36148,14,0),"_")</f>
        <v>1m</v>
      </c>
      <c r="AW141" s="248" t="str">
        <f>_xlfn.IFNA(VLOOKUP(Ruimtestaat[[#This Row],[Programmacode
Regulier]],Programma!$F$4:$Y$36148,15,0),"_")</f>
        <v>2j</v>
      </c>
      <c r="AX141" s="248" t="str">
        <f>_xlfn.IFNA(VLOOKUP(Ruimtestaat[[#This Row],[Programmacode
Regulier]],Programma!$F$4:$Y$36148,16,0),"_")</f>
        <v>1j</v>
      </c>
      <c r="AY141" s="248" t="str">
        <f>_xlfn.IFNA(VLOOKUP(Ruimtestaat[[#This Row],[Programmacode
Regulier]],Programma!$F$4:$Y$36148,17,0),"_")</f>
        <v>_</v>
      </c>
      <c r="AZ141" s="249" t="str">
        <f>_xlfn.IFNA(VLOOKUP(Ruimtestaat[[#This Row],[Programmacode
Regulier]],Programma!$F$4:$Y$36148,18,0),"_")</f>
        <v>_</v>
      </c>
      <c r="BA141" s="249" t="str">
        <f>_xlfn.IFNA(VLOOKUP(Ruimtestaat[[#This Row],[Programmacode
Regulier]],Programma!$F$4:$Y$36148,19,0),"_")</f>
        <v>_</v>
      </c>
      <c r="BB141" s="249" t="str">
        <f>_xlfn.IFNA(VLOOKUP(Ruimtestaat[[#This Row],[Programmacode
Regulier]],Programma!$F$4:$Y$36148,20,0),"_")</f>
        <v>_</v>
      </c>
      <c r="BC141" s="250"/>
      <c r="BD141" s="212" t="str">
        <f>IF(Ruimtestaat[[#This Row],[Frequentie weekend]]="","",_xlfn.CONCAT(Ruimtestaat[[#This Row],[Ruimte code]],"-",Ruimtestaat[[#This Row],[Frequentie weekend]]," ",Ruimtestaat[[#This Row],[Vloer code]]))</f>
        <v/>
      </c>
      <c r="BE141" s="247" t="str">
        <f>_xlfn.IFNA(VLOOKUP(Ruimtestaat[[#This Row],[Code Weekend]],Programma!$F$4:$Y$36148,2,0),"_")</f>
        <v>_</v>
      </c>
      <c r="BF141" s="247" t="str">
        <f>_xlfn.IFNA(VLOOKUP(Ruimtestaat[[#This Row],[Code Weekend]],Programma!$F$4:$Y$36148,3,0),"_")</f>
        <v>_</v>
      </c>
      <c r="BG141" s="247" t="str">
        <f>_xlfn.IFNA(VLOOKUP(Ruimtestaat[[#This Row],[Code Weekend]],Programma!$F$4:$Y$36148,4,0),"_")</f>
        <v>_</v>
      </c>
      <c r="BH141" s="247" t="str">
        <f>_xlfn.IFNA(VLOOKUP(Ruimtestaat[[#This Row],[Code Weekend]],Programma!$F$4:$Y$36148,5,0),"_")</f>
        <v>_</v>
      </c>
      <c r="BI141" s="247" t="str">
        <f>_xlfn.IFNA(VLOOKUP(Ruimtestaat[[#This Row],[Code Weekend]],Programma!$F$4:$Y$36148,6,0),"_")</f>
        <v>_</v>
      </c>
      <c r="BJ141" s="247" t="str">
        <f>_xlfn.IFNA(VLOOKUP(Ruimtestaat[[#This Row],[Code Weekend]],Programma!$F$4:$Y$36148,7,0),"_")</f>
        <v>_</v>
      </c>
      <c r="BK141" s="247" t="str">
        <f>_xlfn.IFNA(VLOOKUP(Ruimtestaat[[#This Row],[Code Weekend]],Programma!$F$4:$Y$36148,8,0),"_")</f>
        <v>_</v>
      </c>
      <c r="BL141" s="247" t="str">
        <f>_xlfn.IFNA(VLOOKUP(Ruimtestaat[[#This Row],[Code Weekend]],Programma!$F$4:$Y$36148,9,0),"_")</f>
        <v>_</v>
      </c>
      <c r="BM141" s="248" t="str">
        <f>_xlfn.IFNA(VLOOKUP(Ruimtestaat[[#This Row],[Code Weekend]],Programma!$F$4:$Y$36148,10,0),"_")</f>
        <v>_</v>
      </c>
      <c r="BN141" s="248" t="str">
        <f>_xlfn.IFNA(VLOOKUP(Ruimtestaat[[#This Row],[Code Weekend]],Programma!$F$4:$Y$36148,11,0),"_")</f>
        <v>_</v>
      </c>
      <c r="BO141" s="248" t="str">
        <f>_xlfn.IFNA(VLOOKUP(Ruimtestaat[[#This Row],[Code Weekend]],Programma!$F$4:$Y$36148,12,0),"_")</f>
        <v>_</v>
      </c>
      <c r="BP141" s="248" t="str">
        <f>_xlfn.IFNA(VLOOKUP(Ruimtestaat[[#This Row],[Code Weekend]],Programma!$F$4:$Y$36148,13,0),"_")</f>
        <v>_</v>
      </c>
      <c r="BQ141" s="248" t="str">
        <f>_xlfn.IFNA(VLOOKUP(Ruimtestaat[[#This Row],[Code Weekend]],Programma!$F$4:$Y$36148,14,0),"_")</f>
        <v>_</v>
      </c>
      <c r="BR141" s="248" t="str">
        <f>_xlfn.IFNA(VLOOKUP(Ruimtestaat[[#This Row],[Code Weekend]],Programma!$F$4:$Y$36148,15,0),"_")</f>
        <v>_</v>
      </c>
      <c r="BS141" s="248" t="str">
        <f>_xlfn.IFNA(VLOOKUP(Ruimtestaat[[#This Row],[Code Weekend]],Programma!$F$4:$Y$36148,16,0),"_")</f>
        <v>_</v>
      </c>
      <c r="BT141" s="248" t="str">
        <f>_xlfn.IFNA(VLOOKUP(Ruimtestaat[[#This Row],[Code Weekend]],Programma!$F$4:$Y$36148,17,0),"_")</f>
        <v>_</v>
      </c>
      <c r="BU141" s="249" t="str">
        <f>_xlfn.IFNA(VLOOKUP(Ruimtestaat[[#This Row],[Code Weekend]],Programma!$F$4:$Y$36148,18,0),"_")</f>
        <v>_</v>
      </c>
      <c r="BV141" s="249" t="str">
        <f>_xlfn.IFNA(VLOOKUP(Ruimtestaat[[#This Row],[Code Weekend]],Programma!$F$4:$Y$36148,19,0),"_")</f>
        <v>_</v>
      </c>
      <c r="BW141" s="249" t="str">
        <f>_xlfn.IFNA(VLOOKUP(Ruimtestaat[[#This Row],[Code Weekend]],Programma!$F$4:$Y$36148,20,0),"_")</f>
        <v>_</v>
      </c>
    </row>
    <row r="142" spans="1:75" ht="12.75" customHeight="1">
      <c r="A142" s="334">
        <v>1</v>
      </c>
      <c r="B142" s="334" t="str">
        <f>VLOOKUP(Ruimtestaat[[#This Row],[Code]],Locaties[#All],2,FALSE)</f>
        <v>ESH Secondary School</v>
      </c>
      <c r="C142" s="212" t="str">
        <f>VLOOKUP(Ruimtestaat[[#This Row],[Code]],Locaties[#All],4,FALSE)</f>
        <v>Oostduinlaan 50</v>
      </c>
      <c r="D142" s="212" t="str">
        <f>VLOOKUP(Ruimtestaat[[#This Row],[Code]],Locaties[#All],5,FALSE)</f>
        <v>2596 JP</v>
      </c>
      <c r="E142" s="212" t="str">
        <f>VLOOKUP(Ruimtestaat[[#This Row],[Code]],Locaties[#All],6,FALSE)</f>
        <v>Den Haag</v>
      </c>
      <c r="F142" s="335"/>
      <c r="G142" s="334" t="s">
        <v>1677</v>
      </c>
      <c r="H142" s="334" t="s">
        <v>1636</v>
      </c>
      <c r="I142" s="335" t="s">
        <v>1518</v>
      </c>
      <c r="J142" s="328">
        <v>1</v>
      </c>
      <c r="K142" s="336" t="str">
        <f>VLOOKUP(J142,Ruimtegroepen[],2,FALSE)</f>
        <v>Magazijnen/bergingen</v>
      </c>
      <c r="L142" s="212" t="s">
        <v>123</v>
      </c>
      <c r="M142" s="334" t="s">
        <v>144</v>
      </c>
      <c r="N142" s="337">
        <v>1</v>
      </c>
      <c r="O142" s="331"/>
      <c r="P142" s="332" t="str">
        <f>VLOOKUP(Ruimtestaat[[#This Row],[Ruimte code]],Ruimtegroepen[],4,FALSE)</f>
        <v>V  (Verkeersruimte)</v>
      </c>
      <c r="Q142" s="332"/>
      <c r="R142" s="333">
        <v>40</v>
      </c>
      <c r="S142" s="333" t="s">
        <v>16</v>
      </c>
      <c r="T142" s="37"/>
      <c r="U142" s="37">
        <f>IF(R142&gt;0,IF(RIGHT(Ruimtestaat[[#This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142" s="37">
        <f>IF(U142&gt;0,VLOOKUP($J142,Ruimtegroepen[],3,FALSE)*VLOOKUP($L142,Vloersoorten[],3,FALSE)*VLOOKUP($S142,Frequenties[],3,FALSE)*VLOOKUP($A142,Locaties[],3,FALSE),0)</f>
        <v>0</v>
      </c>
      <c r="W142" s="37">
        <f>Ruimtestaat[[#This Row],[Uitvoeringen werkdagen]]*Ruimtestaat[[#This Row],[Oppervlak (netto)]]</f>
        <v>12</v>
      </c>
      <c r="X142" s="37">
        <f>IF(V142&gt;0,Ruimtestaat[[#This Row],[Prest. (m2 /jaar) werkdagen]]/Ruimtestaat[[#This Row],[Norm (m2/uur) werkdagen]],0)</f>
        <v>0</v>
      </c>
      <c r="Y142" s="37">
        <f>Ruimtestaat[[#This Row],[uren / jaar werkdagen]]*Tariefsopbouw!$D$38</f>
        <v>0</v>
      </c>
      <c r="Z142" s="37">
        <f>IF(Ruimtestaat[[#This Row],[Frequentie weekend]]&gt;0,VALUE(LEFT(T142,1))*R142,0)</f>
        <v>0</v>
      </c>
      <c r="AA142" s="37">
        <f>IF($Z142&gt;0,VLOOKUP($J142,Ruimtegroepen[],3,FALSE)*VLOOKUP($L142,Vloersoorten[],3,FALSE)*VLOOKUP($T142,Frequenties[],3,FALSE)*VLOOKUP($A142,Locaties[],3,FALSE),0)</f>
        <v>0</v>
      </c>
      <c r="AB142" s="37">
        <f>Ruimtestaat[[#This Row],[Uitvoeringen weekend]]*Ruimtestaat[[#This Row],[Oppervlak (netto)]]</f>
        <v>0</v>
      </c>
      <c r="AC142" s="37">
        <f>IF(AA142&gt;0,Ruimtestaat[[#This Row],[Prest. (m2 /jaar) weekend]]/Ruimtestaat[[#This Row],[Norm (m2/uur) weekend]],0)</f>
        <v>0</v>
      </c>
      <c r="AD142" s="37">
        <f>Ruimtestaat[[#This Row],[uren / jaar weekend]]*Tariefsopbouw!$D$40</f>
        <v>0</v>
      </c>
      <c r="AE142" s="89">
        <f>Ruimtestaat[[#This Row],[Prest. (m2 /jaar) weekend]]+Ruimtestaat[[#This Row],[Prest. (m2 /jaar) werkdagen]]</f>
        <v>12</v>
      </c>
      <c r="AF142" s="89">
        <f>Ruimtestaat[[#This Row],[uren / jaar weekend]]+Ruimtestaat[[#This Row],[uren / jaar werkdagen]]</f>
        <v>0</v>
      </c>
      <c r="AG142" s="90">
        <f>Ruimtestaat[[#This Row],[kosten / jaar weekend]]+Ruimtestaat[[#This Row],[kosten / jaar werkdagen]]</f>
        <v>0</v>
      </c>
      <c r="AH142" s="253"/>
      <c r="AI142" s="252" t="str">
        <f>IF(Ruimtestaat[[#This Row],[Frequentie werkdagen]]="","",_xlfn.CONCAT(Ruimtestaat[[#This Row],[Ruimte code]],"-",Ruimtestaat[[#This Row],[Frequentie werkdagen]]," ",Ruimtestaat[[#This Row],[Vloer code]]))</f>
        <v>1-1m P</v>
      </c>
      <c r="AJ142" s="247" t="str">
        <f>_xlfn.IFNA(VLOOKUP(Ruimtestaat[[#This Row],[Programmacode
Regulier]],Programma!$F$4:$Y$36148,2,0),"_")</f>
        <v>_</v>
      </c>
      <c r="AK142" s="247" t="str">
        <f>_xlfn.IFNA(VLOOKUP(Ruimtestaat[[#This Row],[Programmacode
Regulier]],Programma!$F$4:$Y$36148,3,0),"_")</f>
        <v>_</v>
      </c>
      <c r="AL142" s="247" t="str">
        <f>_xlfn.IFNA(VLOOKUP(Ruimtestaat[[#This Row],[Programmacode
Regulier]],Programma!$F$4:$Y$36148,4,0),"_")</f>
        <v>1m</v>
      </c>
      <c r="AM142" s="247" t="str">
        <f>_xlfn.IFNA(VLOOKUP(Ruimtestaat[[#This Row],[Programmacode
Regulier]],Programma!$F$4:$Y$36148,5,0),"_")</f>
        <v>1m</v>
      </c>
      <c r="AN142" s="247" t="str">
        <f>_xlfn.IFNA(VLOOKUP(Ruimtestaat[[#This Row],[Programmacode
Regulier]],Programma!$F$4:$Y$36148,6,0),"_")</f>
        <v>_</v>
      </c>
      <c r="AO142" s="247" t="str">
        <f>_xlfn.IFNA(VLOOKUP(Ruimtestaat[[#This Row],[Programmacode
Regulier]],Programma!$F$4:$Y$36148,7,0),"_")</f>
        <v>_</v>
      </c>
      <c r="AP142" s="247" t="str">
        <f>_xlfn.IFNA(VLOOKUP(Ruimtestaat[[#This Row],[Programmacode
Regulier]],Programma!$F$4:$Y$36148,8,0),"_")</f>
        <v>_</v>
      </c>
      <c r="AQ142" s="247" t="str">
        <f>_xlfn.IFNA(VLOOKUP(Ruimtestaat[[#This Row],[Programmacode
Regulier]],Programma!$F$4:$Y$36148,9,0),"_")</f>
        <v>_</v>
      </c>
      <c r="AR142" s="248" t="str">
        <f>_xlfn.IFNA(VLOOKUP(Ruimtestaat[[#This Row],[Programmacode
Regulier]],Programma!$F$4:$Y$36148,10,0),"_")</f>
        <v>_</v>
      </c>
      <c r="AS142" s="248" t="str">
        <f>_xlfn.IFNA(VLOOKUP(Ruimtestaat[[#This Row],[Programmacode
Regulier]],Programma!$F$4:$Y$36148,11,0),"_")</f>
        <v>_</v>
      </c>
      <c r="AT142" s="248" t="str">
        <f>_xlfn.IFNA(VLOOKUP(Ruimtestaat[[#This Row],[Programmacode
Regulier]],Programma!$F$4:$Y$36148,12,0),"_")</f>
        <v>_</v>
      </c>
      <c r="AU142" s="248" t="str">
        <f>_xlfn.IFNA(VLOOKUP(Ruimtestaat[[#This Row],[Programmacode
Regulier]],Programma!$F$4:$Y$36148,13,0),"_")</f>
        <v>_</v>
      </c>
      <c r="AV142" s="248" t="str">
        <f>_xlfn.IFNA(VLOOKUP(Ruimtestaat[[#This Row],[Programmacode
Regulier]],Programma!$F$4:$Y$36148,14,0),"_")</f>
        <v>1j</v>
      </c>
      <c r="AW142" s="248" t="str">
        <f>_xlfn.IFNA(VLOOKUP(Ruimtestaat[[#This Row],[Programmacode
Regulier]],Programma!$F$4:$Y$36148,15,0),"_")</f>
        <v>1j</v>
      </c>
      <c r="AX142" s="248" t="str">
        <f>_xlfn.IFNA(VLOOKUP(Ruimtestaat[[#This Row],[Programmacode
Regulier]],Programma!$F$4:$Y$36148,16,0),"_")</f>
        <v>1j</v>
      </c>
      <c r="AY142" s="248" t="str">
        <f>_xlfn.IFNA(VLOOKUP(Ruimtestaat[[#This Row],[Programmacode
Regulier]],Programma!$F$4:$Y$36148,17,0),"_")</f>
        <v>_</v>
      </c>
      <c r="AZ142" s="249" t="str">
        <f>_xlfn.IFNA(VLOOKUP(Ruimtestaat[[#This Row],[Programmacode
Regulier]],Programma!$F$4:$Y$36148,18,0),"_")</f>
        <v>_</v>
      </c>
      <c r="BA142" s="249" t="str">
        <f>_xlfn.IFNA(VLOOKUP(Ruimtestaat[[#This Row],[Programmacode
Regulier]],Programma!$F$4:$Y$36148,19,0),"_")</f>
        <v>_</v>
      </c>
      <c r="BB142" s="249" t="str">
        <f>_xlfn.IFNA(VLOOKUP(Ruimtestaat[[#This Row],[Programmacode
Regulier]],Programma!$F$4:$Y$36148,20,0),"_")</f>
        <v>_</v>
      </c>
      <c r="BC142" s="250"/>
      <c r="BD142" s="212" t="str">
        <f>IF(Ruimtestaat[[#This Row],[Frequentie weekend]]="","",_xlfn.CONCAT(Ruimtestaat[[#This Row],[Ruimte code]],"-",Ruimtestaat[[#This Row],[Frequentie weekend]]," ",Ruimtestaat[[#This Row],[Vloer code]]))</f>
        <v/>
      </c>
      <c r="BE142" s="247" t="str">
        <f>_xlfn.IFNA(VLOOKUP(Ruimtestaat[[#This Row],[Code Weekend]],Programma!$F$4:$Y$36148,2,0),"_")</f>
        <v>_</v>
      </c>
      <c r="BF142" s="247" t="str">
        <f>_xlfn.IFNA(VLOOKUP(Ruimtestaat[[#This Row],[Code Weekend]],Programma!$F$4:$Y$36148,3,0),"_")</f>
        <v>_</v>
      </c>
      <c r="BG142" s="247" t="str">
        <f>_xlfn.IFNA(VLOOKUP(Ruimtestaat[[#This Row],[Code Weekend]],Programma!$F$4:$Y$36148,4,0),"_")</f>
        <v>_</v>
      </c>
      <c r="BH142" s="247" t="str">
        <f>_xlfn.IFNA(VLOOKUP(Ruimtestaat[[#This Row],[Code Weekend]],Programma!$F$4:$Y$36148,5,0),"_")</f>
        <v>_</v>
      </c>
      <c r="BI142" s="247" t="str">
        <f>_xlfn.IFNA(VLOOKUP(Ruimtestaat[[#This Row],[Code Weekend]],Programma!$F$4:$Y$36148,6,0),"_")</f>
        <v>_</v>
      </c>
      <c r="BJ142" s="247" t="str">
        <f>_xlfn.IFNA(VLOOKUP(Ruimtestaat[[#This Row],[Code Weekend]],Programma!$F$4:$Y$36148,7,0),"_")</f>
        <v>_</v>
      </c>
      <c r="BK142" s="247" t="str">
        <f>_xlfn.IFNA(VLOOKUP(Ruimtestaat[[#This Row],[Code Weekend]],Programma!$F$4:$Y$36148,8,0),"_")</f>
        <v>_</v>
      </c>
      <c r="BL142" s="247" t="str">
        <f>_xlfn.IFNA(VLOOKUP(Ruimtestaat[[#This Row],[Code Weekend]],Programma!$F$4:$Y$36148,9,0),"_")</f>
        <v>_</v>
      </c>
      <c r="BM142" s="248" t="str">
        <f>_xlfn.IFNA(VLOOKUP(Ruimtestaat[[#This Row],[Code Weekend]],Programma!$F$4:$Y$36148,10,0),"_")</f>
        <v>_</v>
      </c>
      <c r="BN142" s="248" t="str">
        <f>_xlfn.IFNA(VLOOKUP(Ruimtestaat[[#This Row],[Code Weekend]],Programma!$F$4:$Y$36148,11,0),"_")</f>
        <v>_</v>
      </c>
      <c r="BO142" s="248" t="str">
        <f>_xlfn.IFNA(VLOOKUP(Ruimtestaat[[#This Row],[Code Weekend]],Programma!$F$4:$Y$36148,12,0),"_")</f>
        <v>_</v>
      </c>
      <c r="BP142" s="248" t="str">
        <f>_xlfn.IFNA(VLOOKUP(Ruimtestaat[[#This Row],[Code Weekend]],Programma!$F$4:$Y$36148,13,0),"_")</f>
        <v>_</v>
      </c>
      <c r="BQ142" s="248" t="str">
        <f>_xlfn.IFNA(VLOOKUP(Ruimtestaat[[#This Row],[Code Weekend]],Programma!$F$4:$Y$36148,14,0),"_")</f>
        <v>_</v>
      </c>
      <c r="BR142" s="248" t="str">
        <f>_xlfn.IFNA(VLOOKUP(Ruimtestaat[[#This Row],[Code Weekend]],Programma!$F$4:$Y$36148,15,0),"_")</f>
        <v>_</v>
      </c>
      <c r="BS142" s="248" t="str">
        <f>_xlfn.IFNA(VLOOKUP(Ruimtestaat[[#This Row],[Code Weekend]],Programma!$F$4:$Y$36148,16,0),"_")</f>
        <v>_</v>
      </c>
      <c r="BT142" s="248" t="str">
        <f>_xlfn.IFNA(VLOOKUP(Ruimtestaat[[#This Row],[Code Weekend]],Programma!$F$4:$Y$36148,17,0),"_")</f>
        <v>_</v>
      </c>
      <c r="BU142" s="249" t="str">
        <f>_xlfn.IFNA(VLOOKUP(Ruimtestaat[[#This Row],[Code Weekend]],Programma!$F$4:$Y$36148,18,0),"_")</f>
        <v>_</v>
      </c>
      <c r="BV142" s="249" t="str">
        <f>_xlfn.IFNA(VLOOKUP(Ruimtestaat[[#This Row],[Code Weekend]],Programma!$F$4:$Y$36148,19,0),"_")</f>
        <v>_</v>
      </c>
      <c r="BW142" s="249" t="str">
        <f>_xlfn.IFNA(VLOOKUP(Ruimtestaat[[#This Row],[Code Weekend]],Programma!$F$4:$Y$36148,20,0),"_")</f>
        <v>_</v>
      </c>
    </row>
    <row r="143" spans="1:75" ht="12.75" customHeight="1">
      <c r="A143" s="334">
        <v>1</v>
      </c>
      <c r="B143" s="334" t="str">
        <f>VLOOKUP(Ruimtestaat[[#This Row],[Code]],Locaties[#All],2,FALSE)</f>
        <v>ESH Secondary School</v>
      </c>
      <c r="C143" s="212" t="str">
        <f>VLOOKUP(Ruimtestaat[[#This Row],[Code]],Locaties[#All],4,FALSE)</f>
        <v>Oostduinlaan 50</v>
      </c>
      <c r="D143" s="212" t="str">
        <f>VLOOKUP(Ruimtestaat[[#This Row],[Code]],Locaties[#All],5,FALSE)</f>
        <v>2596 JP</v>
      </c>
      <c r="E143" s="212" t="str">
        <f>VLOOKUP(Ruimtestaat[[#This Row],[Code]],Locaties[#All],6,FALSE)</f>
        <v>Den Haag</v>
      </c>
      <c r="F143" s="335"/>
      <c r="G143" s="334" t="s">
        <v>1677</v>
      </c>
      <c r="H143" s="334" t="s">
        <v>1637</v>
      </c>
      <c r="I143" s="335" t="s">
        <v>1612</v>
      </c>
      <c r="J143" s="328">
        <v>1</v>
      </c>
      <c r="K143" s="336" t="str">
        <f>VLOOKUP(J143,Ruimtegroepen[],2,FALSE)</f>
        <v>Magazijnen/bergingen</v>
      </c>
      <c r="L143" s="212" t="s">
        <v>123</v>
      </c>
      <c r="M143" s="334" t="s">
        <v>144</v>
      </c>
      <c r="N143" s="337">
        <v>2</v>
      </c>
      <c r="O143" s="331"/>
      <c r="P143" s="332" t="str">
        <f>VLOOKUP(Ruimtestaat[[#This Row],[Ruimte code]],Ruimtegroepen[],4,FALSE)</f>
        <v>V  (Verkeersruimte)</v>
      </c>
      <c r="Q143" s="332"/>
      <c r="R143" s="333">
        <v>40</v>
      </c>
      <c r="S143" s="333" t="s">
        <v>16</v>
      </c>
      <c r="T143" s="37"/>
      <c r="U143" s="37">
        <f>IF(R143&gt;0,IF(RIGHT(Ruimtestaat[[#This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143" s="37">
        <f>IF(U143&gt;0,VLOOKUP($J143,Ruimtegroepen[],3,FALSE)*VLOOKUP($L143,Vloersoorten[],3,FALSE)*VLOOKUP($S143,Frequenties[],3,FALSE)*VLOOKUP($A143,Locaties[],3,FALSE),0)</f>
        <v>0</v>
      </c>
      <c r="W143" s="37">
        <f>Ruimtestaat[[#This Row],[Uitvoeringen werkdagen]]*Ruimtestaat[[#This Row],[Oppervlak (netto)]]</f>
        <v>24</v>
      </c>
      <c r="X143" s="37">
        <f>IF(V143&gt;0,Ruimtestaat[[#This Row],[Prest. (m2 /jaar) werkdagen]]/Ruimtestaat[[#This Row],[Norm (m2/uur) werkdagen]],0)</f>
        <v>0</v>
      </c>
      <c r="Y143" s="37">
        <f>Ruimtestaat[[#This Row],[uren / jaar werkdagen]]*Tariefsopbouw!$D$38</f>
        <v>0</v>
      </c>
      <c r="Z143" s="37">
        <f>IF(Ruimtestaat[[#This Row],[Frequentie weekend]]&gt;0,VALUE(LEFT(T143,1))*R143,0)</f>
        <v>0</v>
      </c>
      <c r="AA143" s="37">
        <f>IF($Z143&gt;0,VLOOKUP($J143,Ruimtegroepen[],3,FALSE)*VLOOKUP($L143,Vloersoorten[],3,FALSE)*VLOOKUP($T143,Frequenties[],3,FALSE)*VLOOKUP($A143,Locaties[],3,FALSE),0)</f>
        <v>0</v>
      </c>
      <c r="AB143" s="37">
        <f>Ruimtestaat[[#This Row],[Uitvoeringen weekend]]*Ruimtestaat[[#This Row],[Oppervlak (netto)]]</f>
        <v>0</v>
      </c>
      <c r="AC143" s="37">
        <f>IF(AA143&gt;0,Ruimtestaat[[#This Row],[Prest. (m2 /jaar) weekend]]/Ruimtestaat[[#This Row],[Norm (m2/uur) weekend]],0)</f>
        <v>0</v>
      </c>
      <c r="AD143" s="37">
        <f>Ruimtestaat[[#This Row],[uren / jaar weekend]]*Tariefsopbouw!$D$40</f>
        <v>0</v>
      </c>
      <c r="AE143" s="89">
        <f>Ruimtestaat[[#This Row],[Prest. (m2 /jaar) weekend]]+Ruimtestaat[[#This Row],[Prest. (m2 /jaar) werkdagen]]</f>
        <v>24</v>
      </c>
      <c r="AF143" s="89">
        <f>Ruimtestaat[[#This Row],[uren / jaar weekend]]+Ruimtestaat[[#This Row],[uren / jaar werkdagen]]</f>
        <v>0</v>
      </c>
      <c r="AG143" s="90">
        <f>Ruimtestaat[[#This Row],[kosten / jaar weekend]]+Ruimtestaat[[#This Row],[kosten / jaar werkdagen]]</f>
        <v>0</v>
      </c>
      <c r="AH143" s="253"/>
      <c r="AI143" s="252" t="str">
        <f>IF(Ruimtestaat[[#This Row],[Frequentie werkdagen]]="","",_xlfn.CONCAT(Ruimtestaat[[#This Row],[Ruimte code]],"-",Ruimtestaat[[#This Row],[Frequentie werkdagen]]," ",Ruimtestaat[[#This Row],[Vloer code]]))</f>
        <v>1-1m P</v>
      </c>
      <c r="AJ143" s="247" t="str">
        <f>_xlfn.IFNA(VLOOKUP(Ruimtestaat[[#This Row],[Programmacode
Regulier]],Programma!$F$4:$Y$36148,2,0),"_")</f>
        <v>_</v>
      </c>
      <c r="AK143" s="247" t="str">
        <f>_xlfn.IFNA(VLOOKUP(Ruimtestaat[[#This Row],[Programmacode
Regulier]],Programma!$F$4:$Y$36148,3,0),"_")</f>
        <v>_</v>
      </c>
      <c r="AL143" s="247" t="str">
        <f>_xlfn.IFNA(VLOOKUP(Ruimtestaat[[#This Row],[Programmacode
Regulier]],Programma!$F$4:$Y$36148,4,0),"_")</f>
        <v>1m</v>
      </c>
      <c r="AM143" s="247" t="str">
        <f>_xlfn.IFNA(VLOOKUP(Ruimtestaat[[#This Row],[Programmacode
Regulier]],Programma!$F$4:$Y$36148,5,0),"_")</f>
        <v>1m</v>
      </c>
      <c r="AN143" s="247" t="str">
        <f>_xlfn.IFNA(VLOOKUP(Ruimtestaat[[#This Row],[Programmacode
Regulier]],Programma!$F$4:$Y$36148,6,0),"_")</f>
        <v>_</v>
      </c>
      <c r="AO143" s="247" t="str">
        <f>_xlfn.IFNA(VLOOKUP(Ruimtestaat[[#This Row],[Programmacode
Regulier]],Programma!$F$4:$Y$36148,7,0),"_")</f>
        <v>_</v>
      </c>
      <c r="AP143" s="247" t="str">
        <f>_xlfn.IFNA(VLOOKUP(Ruimtestaat[[#This Row],[Programmacode
Regulier]],Programma!$F$4:$Y$36148,8,0),"_")</f>
        <v>_</v>
      </c>
      <c r="AQ143" s="247" t="str">
        <f>_xlfn.IFNA(VLOOKUP(Ruimtestaat[[#This Row],[Programmacode
Regulier]],Programma!$F$4:$Y$36148,9,0),"_")</f>
        <v>_</v>
      </c>
      <c r="AR143" s="248" t="str">
        <f>_xlfn.IFNA(VLOOKUP(Ruimtestaat[[#This Row],[Programmacode
Regulier]],Programma!$F$4:$Y$36148,10,0),"_")</f>
        <v>_</v>
      </c>
      <c r="AS143" s="248" t="str">
        <f>_xlfn.IFNA(VLOOKUP(Ruimtestaat[[#This Row],[Programmacode
Regulier]],Programma!$F$4:$Y$36148,11,0),"_")</f>
        <v>_</v>
      </c>
      <c r="AT143" s="248" t="str">
        <f>_xlfn.IFNA(VLOOKUP(Ruimtestaat[[#This Row],[Programmacode
Regulier]],Programma!$F$4:$Y$36148,12,0),"_")</f>
        <v>_</v>
      </c>
      <c r="AU143" s="248" t="str">
        <f>_xlfn.IFNA(VLOOKUP(Ruimtestaat[[#This Row],[Programmacode
Regulier]],Programma!$F$4:$Y$36148,13,0),"_")</f>
        <v>_</v>
      </c>
      <c r="AV143" s="248" t="str">
        <f>_xlfn.IFNA(VLOOKUP(Ruimtestaat[[#This Row],[Programmacode
Regulier]],Programma!$F$4:$Y$36148,14,0),"_")</f>
        <v>1j</v>
      </c>
      <c r="AW143" s="248" t="str">
        <f>_xlfn.IFNA(VLOOKUP(Ruimtestaat[[#This Row],[Programmacode
Regulier]],Programma!$F$4:$Y$36148,15,0),"_")</f>
        <v>1j</v>
      </c>
      <c r="AX143" s="248" t="str">
        <f>_xlfn.IFNA(VLOOKUP(Ruimtestaat[[#This Row],[Programmacode
Regulier]],Programma!$F$4:$Y$36148,16,0),"_")</f>
        <v>1j</v>
      </c>
      <c r="AY143" s="248" t="str">
        <f>_xlfn.IFNA(VLOOKUP(Ruimtestaat[[#This Row],[Programmacode
Regulier]],Programma!$F$4:$Y$36148,17,0),"_")</f>
        <v>_</v>
      </c>
      <c r="AZ143" s="249" t="str">
        <f>_xlfn.IFNA(VLOOKUP(Ruimtestaat[[#This Row],[Programmacode
Regulier]],Programma!$F$4:$Y$36148,18,0),"_")</f>
        <v>_</v>
      </c>
      <c r="BA143" s="249" t="str">
        <f>_xlfn.IFNA(VLOOKUP(Ruimtestaat[[#This Row],[Programmacode
Regulier]],Programma!$F$4:$Y$36148,19,0),"_")</f>
        <v>_</v>
      </c>
      <c r="BB143" s="249" t="str">
        <f>_xlfn.IFNA(VLOOKUP(Ruimtestaat[[#This Row],[Programmacode
Regulier]],Programma!$F$4:$Y$36148,20,0),"_")</f>
        <v>_</v>
      </c>
      <c r="BC143" s="250"/>
      <c r="BD143" s="212" t="str">
        <f>IF(Ruimtestaat[[#This Row],[Frequentie weekend]]="","",_xlfn.CONCAT(Ruimtestaat[[#This Row],[Ruimte code]],"-",Ruimtestaat[[#This Row],[Frequentie weekend]]," ",Ruimtestaat[[#This Row],[Vloer code]]))</f>
        <v/>
      </c>
      <c r="BE143" s="247" t="str">
        <f>_xlfn.IFNA(VLOOKUP(Ruimtestaat[[#This Row],[Code Weekend]],Programma!$F$4:$Y$36148,2,0),"_")</f>
        <v>_</v>
      </c>
      <c r="BF143" s="247" t="str">
        <f>_xlfn.IFNA(VLOOKUP(Ruimtestaat[[#This Row],[Code Weekend]],Programma!$F$4:$Y$36148,3,0),"_")</f>
        <v>_</v>
      </c>
      <c r="BG143" s="247" t="str">
        <f>_xlfn.IFNA(VLOOKUP(Ruimtestaat[[#This Row],[Code Weekend]],Programma!$F$4:$Y$36148,4,0),"_")</f>
        <v>_</v>
      </c>
      <c r="BH143" s="247" t="str">
        <f>_xlfn.IFNA(VLOOKUP(Ruimtestaat[[#This Row],[Code Weekend]],Programma!$F$4:$Y$36148,5,0),"_")</f>
        <v>_</v>
      </c>
      <c r="BI143" s="247" t="str">
        <f>_xlfn.IFNA(VLOOKUP(Ruimtestaat[[#This Row],[Code Weekend]],Programma!$F$4:$Y$36148,6,0),"_")</f>
        <v>_</v>
      </c>
      <c r="BJ143" s="247" t="str">
        <f>_xlfn.IFNA(VLOOKUP(Ruimtestaat[[#This Row],[Code Weekend]],Programma!$F$4:$Y$36148,7,0),"_")</f>
        <v>_</v>
      </c>
      <c r="BK143" s="247" t="str">
        <f>_xlfn.IFNA(VLOOKUP(Ruimtestaat[[#This Row],[Code Weekend]],Programma!$F$4:$Y$36148,8,0),"_")</f>
        <v>_</v>
      </c>
      <c r="BL143" s="247" t="str">
        <f>_xlfn.IFNA(VLOOKUP(Ruimtestaat[[#This Row],[Code Weekend]],Programma!$F$4:$Y$36148,9,0),"_")</f>
        <v>_</v>
      </c>
      <c r="BM143" s="248" t="str">
        <f>_xlfn.IFNA(VLOOKUP(Ruimtestaat[[#This Row],[Code Weekend]],Programma!$F$4:$Y$36148,10,0),"_")</f>
        <v>_</v>
      </c>
      <c r="BN143" s="248" t="str">
        <f>_xlfn.IFNA(VLOOKUP(Ruimtestaat[[#This Row],[Code Weekend]],Programma!$F$4:$Y$36148,11,0),"_")</f>
        <v>_</v>
      </c>
      <c r="BO143" s="248" t="str">
        <f>_xlfn.IFNA(VLOOKUP(Ruimtestaat[[#This Row],[Code Weekend]],Programma!$F$4:$Y$36148,12,0),"_")</f>
        <v>_</v>
      </c>
      <c r="BP143" s="248" t="str">
        <f>_xlfn.IFNA(VLOOKUP(Ruimtestaat[[#This Row],[Code Weekend]],Programma!$F$4:$Y$36148,13,0),"_")</f>
        <v>_</v>
      </c>
      <c r="BQ143" s="248" t="str">
        <f>_xlfn.IFNA(VLOOKUP(Ruimtestaat[[#This Row],[Code Weekend]],Programma!$F$4:$Y$36148,14,0),"_")</f>
        <v>_</v>
      </c>
      <c r="BR143" s="248" t="str">
        <f>_xlfn.IFNA(VLOOKUP(Ruimtestaat[[#This Row],[Code Weekend]],Programma!$F$4:$Y$36148,15,0),"_")</f>
        <v>_</v>
      </c>
      <c r="BS143" s="248" t="str">
        <f>_xlfn.IFNA(VLOOKUP(Ruimtestaat[[#This Row],[Code Weekend]],Programma!$F$4:$Y$36148,16,0),"_")</f>
        <v>_</v>
      </c>
      <c r="BT143" s="248" t="str">
        <f>_xlfn.IFNA(VLOOKUP(Ruimtestaat[[#This Row],[Code Weekend]],Programma!$F$4:$Y$36148,17,0),"_")</f>
        <v>_</v>
      </c>
      <c r="BU143" s="249" t="str">
        <f>_xlfn.IFNA(VLOOKUP(Ruimtestaat[[#This Row],[Code Weekend]],Programma!$F$4:$Y$36148,18,0),"_")</f>
        <v>_</v>
      </c>
      <c r="BV143" s="249" t="str">
        <f>_xlfn.IFNA(VLOOKUP(Ruimtestaat[[#This Row],[Code Weekend]],Programma!$F$4:$Y$36148,19,0),"_")</f>
        <v>_</v>
      </c>
      <c r="BW143" s="249" t="str">
        <f>_xlfn.IFNA(VLOOKUP(Ruimtestaat[[#This Row],[Code Weekend]],Programma!$F$4:$Y$36148,20,0),"_")</f>
        <v>_</v>
      </c>
    </row>
    <row r="144" spans="1:75" ht="12.75" customHeight="1">
      <c r="A144" s="334">
        <v>1</v>
      </c>
      <c r="B144" s="334" t="str">
        <f>VLOOKUP(Ruimtestaat[[#This Row],[Code]],Locaties[#All],2,FALSE)</f>
        <v>ESH Secondary School</v>
      </c>
      <c r="C144" s="212" t="str">
        <f>VLOOKUP(Ruimtestaat[[#This Row],[Code]],Locaties[#All],4,FALSE)</f>
        <v>Oostduinlaan 50</v>
      </c>
      <c r="D144" s="212" t="str">
        <f>VLOOKUP(Ruimtestaat[[#This Row],[Code]],Locaties[#All],5,FALSE)</f>
        <v>2596 JP</v>
      </c>
      <c r="E144" s="212" t="str">
        <f>VLOOKUP(Ruimtestaat[[#This Row],[Code]],Locaties[#All],6,FALSE)</f>
        <v>Den Haag</v>
      </c>
      <c r="F144" s="335"/>
      <c r="G144" s="334" t="s">
        <v>1677</v>
      </c>
      <c r="H144" s="334" t="s">
        <v>1638</v>
      </c>
      <c r="I144" s="335" t="s">
        <v>1396</v>
      </c>
      <c r="J144" s="333">
        <v>21</v>
      </c>
      <c r="K144" s="336" t="str">
        <f>VLOOKUP(J144,Ruimtegroepen[],2,FALSE)</f>
        <v>Niet in onderhoud</v>
      </c>
      <c r="L144" s="212"/>
      <c r="M144" s="334"/>
      <c r="N144" s="337"/>
      <c r="O144" s="331">
        <v>2</v>
      </c>
      <c r="P144" s="332" t="str">
        <f>VLOOKUP(Ruimtestaat[[#This Row],[Ruimte code]],Ruimtegroepen[],4,FALSE)</f>
        <v>NIO</v>
      </c>
      <c r="Q144" s="332"/>
      <c r="R144" s="333"/>
      <c r="S144" s="333"/>
      <c r="T144" s="37"/>
      <c r="U144" s="37">
        <f>IF(R144&gt;0,IF(RIGHT(Ruimtestaat[[#This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144" s="37">
        <f>IF(U144&gt;0,VLOOKUP($J144,Ruimtegroepen[],3,FALSE)*VLOOKUP($L144,Vloersoorten[],3,FALSE)*VLOOKUP($S144,Frequenties[],3,FALSE)*VLOOKUP($A144,Locaties[],3,FALSE),0)</f>
        <v>0</v>
      </c>
      <c r="W144" s="37">
        <f>Ruimtestaat[[#This Row],[Uitvoeringen werkdagen]]*Ruimtestaat[[#This Row],[Oppervlak (netto)]]</f>
        <v>0</v>
      </c>
      <c r="X144" s="37">
        <f>IF(V144&gt;0,Ruimtestaat[[#This Row],[Prest. (m2 /jaar) werkdagen]]/Ruimtestaat[[#This Row],[Norm (m2/uur) werkdagen]],0)</f>
        <v>0</v>
      </c>
      <c r="Y144" s="37">
        <f>Ruimtestaat[[#This Row],[uren / jaar werkdagen]]*Tariefsopbouw!$D$38</f>
        <v>0</v>
      </c>
      <c r="Z144" s="37">
        <f>IF(Ruimtestaat[[#This Row],[Frequentie weekend]]&gt;0,VALUE(LEFT(T144,1))*R144,0)</f>
        <v>0</v>
      </c>
      <c r="AA144" s="37">
        <f>IF($Z144&gt;0,VLOOKUP($J144,Ruimtegroepen[],3,FALSE)*VLOOKUP($L144,Vloersoorten[],3,FALSE)*VLOOKUP($T144,Frequenties[],3,FALSE)*VLOOKUP($A144,Locaties[],3,FALSE),0)</f>
        <v>0</v>
      </c>
      <c r="AB144" s="37">
        <f>Ruimtestaat[[#This Row],[Uitvoeringen weekend]]*Ruimtestaat[[#This Row],[Oppervlak (netto)]]</f>
        <v>0</v>
      </c>
      <c r="AC144" s="37">
        <f>IF(AA144&gt;0,Ruimtestaat[[#This Row],[Prest. (m2 /jaar) weekend]]/Ruimtestaat[[#This Row],[Norm (m2/uur) weekend]],0)</f>
        <v>0</v>
      </c>
      <c r="AD144" s="37">
        <f>Ruimtestaat[[#This Row],[uren / jaar weekend]]*Tariefsopbouw!$D$40</f>
        <v>0</v>
      </c>
      <c r="AE144" s="89">
        <f>Ruimtestaat[[#This Row],[Prest. (m2 /jaar) weekend]]+Ruimtestaat[[#This Row],[Prest. (m2 /jaar) werkdagen]]</f>
        <v>0</v>
      </c>
      <c r="AF144" s="89">
        <f>Ruimtestaat[[#This Row],[uren / jaar weekend]]+Ruimtestaat[[#This Row],[uren / jaar werkdagen]]</f>
        <v>0</v>
      </c>
      <c r="AG144" s="90">
        <f>Ruimtestaat[[#This Row],[kosten / jaar weekend]]+Ruimtestaat[[#This Row],[kosten / jaar werkdagen]]</f>
        <v>0</v>
      </c>
      <c r="AH144" s="253"/>
      <c r="AI144" s="252" t="str">
        <f>IF(Ruimtestaat[[#This Row],[Frequentie werkdagen]]="","",_xlfn.CONCAT(Ruimtestaat[[#This Row],[Ruimte code]],"-",Ruimtestaat[[#This Row],[Frequentie werkdagen]]," ",Ruimtestaat[[#This Row],[Vloer code]]))</f>
        <v/>
      </c>
      <c r="AJ144" s="247" t="str">
        <f>_xlfn.IFNA(VLOOKUP(Ruimtestaat[[#This Row],[Programmacode
Regulier]],Programma!$F$4:$Y$36148,2,0),"_")</f>
        <v>_</v>
      </c>
      <c r="AK144" s="247" t="str">
        <f>_xlfn.IFNA(VLOOKUP(Ruimtestaat[[#This Row],[Programmacode
Regulier]],Programma!$F$4:$Y$36148,3,0),"_")</f>
        <v>_</v>
      </c>
      <c r="AL144" s="247" t="str">
        <f>_xlfn.IFNA(VLOOKUP(Ruimtestaat[[#This Row],[Programmacode
Regulier]],Programma!$F$4:$Y$36148,4,0),"_")</f>
        <v>_</v>
      </c>
      <c r="AM144" s="247" t="str">
        <f>_xlfn.IFNA(VLOOKUP(Ruimtestaat[[#This Row],[Programmacode
Regulier]],Programma!$F$4:$Y$36148,5,0),"_")</f>
        <v>_</v>
      </c>
      <c r="AN144" s="247" t="str">
        <f>_xlfn.IFNA(VLOOKUP(Ruimtestaat[[#This Row],[Programmacode
Regulier]],Programma!$F$4:$Y$36148,6,0),"_")</f>
        <v>_</v>
      </c>
      <c r="AO144" s="247" t="str">
        <f>_xlfn.IFNA(VLOOKUP(Ruimtestaat[[#This Row],[Programmacode
Regulier]],Programma!$F$4:$Y$36148,7,0),"_")</f>
        <v>_</v>
      </c>
      <c r="AP144" s="247" t="str">
        <f>_xlfn.IFNA(VLOOKUP(Ruimtestaat[[#This Row],[Programmacode
Regulier]],Programma!$F$4:$Y$36148,8,0),"_")</f>
        <v>_</v>
      </c>
      <c r="AQ144" s="247" t="str">
        <f>_xlfn.IFNA(VLOOKUP(Ruimtestaat[[#This Row],[Programmacode
Regulier]],Programma!$F$4:$Y$36148,9,0),"_")</f>
        <v>_</v>
      </c>
      <c r="AR144" s="248" t="str">
        <f>_xlfn.IFNA(VLOOKUP(Ruimtestaat[[#This Row],[Programmacode
Regulier]],Programma!$F$4:$Y$36148,10,0),"_")</f>
        <v>_</v>
      </c>
      <c r="AS144" s="248" t="str">
        <f>_xlfn.IFNA(VLOOKUP(Ruimtestaat[[#This Row],[Programmacode
Regulier]],Programma!$F$4:$Y$36148,11,0),"_")</f>
        <v>_</v>
      </c>
      <c r="AT144" s="248" t="str">
        <f>_xlfn.IFNA(VLOOKUP(Ruimtestaat[[#This Row],[Programmacode
Regulier]],Programma!$F$4:$Y$36148,12,0),"_")</f>
        <v>_</v>
      </c>
      <c r="AU144" s="248" t="str">
        <f>_xlfn.IFNA(VLOOKUP(Ruimtestaat[[#This Row],[Programmacode
Regulier]],Programma!$F$4:$Y$36148,13,0),"_")</f>
        <v>_</v>
      </c>
      <c r="AV144" s="248" t="str">
        <f>_xlfn.IFNA(VLOOKUP(Ruimtestaat[[#This Row],[Programmacode
Regulier]],Programma!$F$4:$Y$36148,14,0),"_")</f>
        <v>_</v>
      </c>
      <c r="AW144" s="248" t="str">
        <f>_xlfn.IFNA(VLOOKUP(Ruimtestaat[[#This Row],[Programmacode
Regulier]],Programma!$F$4:$Y$36148,15,0),"_")</f>
        <v>_</v>
      </c>
      <c r="AX144" s="248" t="str">
        <f>_xlfn.IFNA(VLOOKUP(Ruimtestaat[[#This Row],[Programmacode
Regulier]],Programma!$F$4:$Y$36148,16,0),"_")</f>
        <v>_</v>
      </c>
      <c r="AY144" s="248" t="str">
        <f>_xlfn.IFNA(VLOOKUP(Ruimtestaat[[#This Row],[Programmacode
Regulier]],Programma!$F$4:$Y$36148,17,0),"_")</f>
        <v>_</v>
      </c>
      <c r="AZ144" s="249" t="str">
        <f>_xlfn.IFNA(VLOOKUP(Ruimtestaat[[#This Row],[Programmacode
Regulier]],Programma!$F$4:$Y$36148,18,0),"_")</f>
        <v>_</v>
      </c>
      <c r="BA144" s="249" t="str">
        <f>_xlfn.IFNA(VLOOKUP(Ruimtestaat[[#This Row],[Programmacode
Regulier]],Programma!$F$4:$Y$36148,19,0),"_")</f>
        <v>_</v>
      </c>
      <c r="BB144" s="249" t="str">
        <f>_xlfn.IFNA(VLOOKUP(Ruimtestaat[[#This Row],[Programmacode
Regulier]],Programma!$F$4:$Y$36148,20,0),"_")</f>
        <v>_</v>
      </c>
      <c r="BC144" s="250"/>
      <c r="BD144" s="212" t="str">
        <f>IF(Ruimtestaat[[#This Row],[Frequentie weekend]]="","",_xlfn.CONCAT(Ruimtestaat[[#This Row],[Ruimte code]],"-",Ruimtestaat[[#This Row],[Frequentie weekend]]," ",Ruimtestaat[[#This Row],[Vloer code]]))</f>
        <v/>
      </c>
      <c r="BE144" s="247" t="str">
        <f>_xlfn.IFNA(VLOOKUP(Ruimtestaat[[#This Row],[Code Weekend]],Programma!$F$4:$Y$36148,2,0),"_")</f>
        <v>_</v>
      </c>
      <c r="BF144" s="247" t="str">
        <f>_xlfn.IFNA(VLOOKUP(Ruimtestaat[[#This Row],[Code Weekend]],Programma!$F$4:$Y$36148,3,0),"_")</f>
        <v>_</v>
      </c>
      <c r="BG144" s="247" t="str">
        <f>_xlfn.IFNA(VLOOKUP(Ruimtestaat[[#This Row],[Code Weekend]],Programma!$F$4:$Y$36148,4,0),"_")</f>
        <v>_</v>
      </c>
      <c r="BH144" s="247" t="str">
        <f>_xlfn.IFNA(VLOOKUP(Ruimtestaat[[#This Row],[Code Weekend]],Programma!$F$4:$Y$36148,5,0),"_")</f>
        <v>_</v>
      </c>
      <c r="BI144" s="247" t="str">
        <f>_xlfn.IFNA(VLOOKUP(Ruimtestaat[[#This Row],[Code Weekend]],Programma!$F$4:$Y$36148,6,0),"_")</f>
        <v>_</v>
      </c>
      <c r="BJ144" s="247" t="str">
        <f>_xlfn.IFNA(VLOOKUP(Ruimtestaat[[#This Row],[Code Weekend]],Programma!$F$4:$Y$36148,7,0),"_")</f>
        <v>_</v>
      </c>
      <c r="BK144" s="247" t="str">
        <f>_xlfn.IFNA(VLOOKUP(Ruimtestaat[[#This Row],[Code Weekend]],Programma!$F$4:$Y$36148,8,0),"_")</f>
        <v>_</v>
      </c>
      <c r="BL144" s="247" t="str">
        <f>_xlfn.IFNA(VLOOKUP(Ruimtestaat[[#This Row],[Code Weekend]],Programma!$F$4:$Y$36148,9,0),"_")</f>
        <v>_</v>
      </c>
      <c r="BM144" s="248" t="str">
        <f>_xlfn.IFNA(VLOOKUP(Ruimtestaat[[#This Row],[Code Weekend]],Programma!$F$4:$Y$36148,10,0),"_")</f>
        <v>_</v>
      </c>
      <c r="BN144" s="248" t="str">
        <f>_xlfn.IFNA(VLOOKUP(Ruimtestaat[[#This Row],[Code Weekend]],Programma!$F$4:$Y$36148,11,0),"_")</f>
        <v>_</v>
      </c>
      <c r="BO144" s="248" t="str">
        <f>_xlfn.IFNA(VLOOKUP(Ruimtestaat[[#This Row],[Code Weekend]],Programma!$F$4:$Y$36148,12,0),"_")</f>
        <v>_</v>
      </c>
      <c r="BP144" s="248" t="str">
        <f>_xlfn.IFNA(VLOOKUP(Ruimtestaat[[#This Row],[Code Weekend]],Programma!$F$4:$Y$36148,13,0),"_")</f>
        <v>_</v>
      </c>
      <c r="BQ144" s="248" t="str">
        <f>_xlfn.IFNA(VLOOKUP(Ruimtestaat[[#This Row],[Code Weekend]],Programma!$F$4:$Y$36148,14,0),"_")</f>
        <v>_</v>
      </c>
      <c r="BR144" s="248" t="str">
        <f>_xlfn.IFNA(VLOOKUP(Ruimtestaat[[#This Row],[Code Weekend]],Programma!$F$4:$Y$36148,15,0),"_")</f>
        <v>_</v>
      </c>
      <c r="BS144" s="248" t="str">
        <f>_xlfn.IFNA(VLOOKUP(Ruimtestaat[[#This Row],[Code Weekend]],Programma!$F$4:$Y$36148,16,0),"_")</f>
        <v>_</v>
      </c>
      <c r="BT144" s="248" t="str">
        <f>_xlfn.IFNA(VLOOKUP(Ruimtestaat[[#This Row],[Code Weekend]],Programma!$F$4:$Y$36148,17,0),"_")</f>
        <v>_</v>
      </c>
      <c r="BU144" s="249" t="str">
        <f>_xlfn.IFNA(VLOOKUP(Ruimtestaat[[#This Row],[Code Weekend]],Programma!$F$4:$Y$36148,18,0),"_")</f>
        <v>_</v>
      </c>
      <c r="BV144" s="249" t="str">
        <f>_xlfn.IFNA(VLOOKUP(Ruimtestaat[[#This Row],[Code Weekend]],Programma!$F$4:$Y$36148,19,0),"_")</f>
        <v>_</v>
      </c>
      <c r="BW144" s="249" t="str">
        <f>_xlfn.IFNA(VLOOKUP(Ruimtestaat[[#This Row],[Code Weekend]],Programma!$F$4:$Y$36148,20,0),"_")</f>
        <v>_</v>
      </c>
    </row>
    <row r="145" spans="1:75" ht="12.75" customHeight="1">
      <c r="A145" s="334">
        <v>1</v>
      </c>
      <c r="B145" s="334" t="str">
        <f>VLOOKUP(Ruimtestaat[[#This Row],[Code]],Locaties[#All],2,FALSE)</f>
        <v>ESH Secondary School</v>
      </c>
      <c r="C145" s="212" t="str">
        <f>VLOOKUP(Ruimtestaat[[#This Row],[Code]],Locaties[#All],4,FALSE)</f>
        <v>Oostduinlaan 50</v>
      </c>
      <c r="D145" s="212" t="str">
        <f>VLOOKUP(Ruimtestaat[[#This Row],[Code]],Locaties[#All],5,FALSE)</f>
        <v>2596 JP</v>
      </c>
      <c r="E145" s="212" t="str">
        <f>VLOOKUP(Ruimtestaat[[#This Row],[Code]],Locaties[#All],6,FALSE)</f>
        <v>Den Haag</v>
      </c>
      <c r="F145" s="335"/>
      <c r="G145" s="334" t="s">
        <v>1677</v>
      </c>
      <c r="H145" s="334" t="s">
        <v>1639</v>
      </c>
      <c r="I145" s="335" t="s">
        <v>1684</v>
      </c>
      <c r="J145" s="333">
        <v>16</v>
      </c>
      <c r="K145" s="336" t="str">
        <f>VLOOKUP(J145,Ruimtegroepen[],2,FALSE)</f>
        <v>Leslokalen</v>
      </c>
      <c r="L145" s="212" t="s">
        <v>123</v>
      </c>
      <c r="M145" s="334" t="s">
        <v>144</v>
      </c>
      <c r="N145" s="337">
        <v>31</v>
      </c>
      <c r="O145" s="331"/>
      <c r="P145" s="332" t="str">
        <f>VLOOKUP(Ruimtestaat[[#This Row],[Ruimte code]],Ruimtegroepen[],4,FALSE)</f>
        <v>L  (Lesruimte)</v>
      </c>
      <c r="Q145" s="332"/>
      <c r="R145" s="333">
        <v>40</v>
      </c>
      <c r="S145" s="333" t="s">
        <v>2</v>
      </c>
      <c r="T145" s="37"/>
      <c r="U145" s="37">
        <f>IF(R145&gt;0,IF(RIGHT(Ruimtestaat[[#This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45" s="37">
        <f>IF(U145&gt;0,VLOOKUP($J145,Ruimtegroepen[],3,FALSE)*VLOOKUP($L145,Vloersoorten[],3,FALSE)*VLOOKUP($S145,Frequenties[],3,FALSE)*VLOOKUP($A145,Locaties[],3,FALSE),0)</f>
        <v>0</v>
      </c>
      <c r="W145" s="37">
        <f>Ruimtestaat[[#This Row],[Uitvoeringen werkdagen]]*Ruimtestaat[[#This Row],[Oppervlak (netto)]]</f>
        <v>6200</v>
      </c>
      <c r="X145" s="37">
        <f>IF(V145&gt;0,Ruimtestaat[[#This Row],[Prest. (m2 /jaar) werkdagen]]/Ruimtestaat[[#This Row],[Norm (m2/uur) werkdagen]],0)</f>
        <v>0</v>
      </c>
      <c r="Y145" s="37">
        <f>Ruimtestaat[[#This Row],[uren / jaar werkdagen]]*Tariefsopbouw!$D$38</f>
        <v>0</v>
      </c>
      <c r="Z145" s="37">
        <f>IF(Ruimtestaat[[#This Row],[Frequentie weekend]]&gt;0,VALUE(LEFT(T145,1))*R145,0)</f>
        <v>0</v>
      </c>
      <c r="AA145" s="37">
        <f>IF($Z145&gt;0,VLOOKUP($J145,Ruimtegroepen[],3,FALSE)*VLOOKUP($L145,Vloersoorten[],3,FALSE)*VLOOKUP($T145,Frequenties[],3,FALSE)*VLOOKUP($A145,Locaties[],3,FALSE),0)</f>
        <v>0</v>
      </c>
      <c r="AB145" s="37">
        <f>Ruimtestaat[[#This Row],[Uitvoeringen weekend]]*Ruimtestaat[[#This Row],[Oppervlak (netto)]]</f>
        <v>0</v>
      </c>
      <c r="AC145" s="37">
        <f>IF(AA145&gt;0,Ruimtestaat[[#This Row],[Prest. (m2 /jaar) weekend]]/Ruimtestaat[[#This Row],[Norm (m2/uur) weekend]],0)</f>
        <v>0</v>
      </c>
      <c r="AD145" s="37">
        <f>Ruimtestaat[[#This Row],[uren / jaar weekend]]*Tariefsopbouw!$D$40</f>
        <v>0</v>
      </c>
      <c r="AE145" s="89">
        <f>Ruimtestaat[[#This Row],[Prest. (m2 /jaar) weekend]]+Ruimtestaat[[#This Row],[Prest. (m2 /jaar) werkdagen]]</f>
        <v>6200</v>
      </c>
      <c r="AF145" s="89">
        <f>Ruimtestaat[[#This Row],[uren / jaar weekend]]+Ruimtestaat[[#This Row],[uren / jaar werkdagen]]</f>
        <v>0</v>
      </c>
      <c r="AG145" s="90">
        <f>Ruimtestaat[[#This Row],[kosten / jaar weekend]]+Ruimtestaat[[#This Row],[kosten / jaar werkdagen]]</f>
        <v>0</v>
      </c>
      <c r="AH145" s="253"/>
      <c r="AI145" s="252" t="str">
        <f>IF(Ruimtestaat[[#This Row],[Frequentie werkdagen]]="","",_xlfn.CONCAT(Ruimtestaat[[#This Row],[Ruimte code]],"-",Ruimtestaat[[#This Row],[Frequentie werkdagen]]," ",Ruimtestaat[[#This Row],[Vloer code]]))</f>
        <v>16-5w P</v>
      </c>
      <c r="AJ145" s="247" t="str">
        <f>_xlfn.IFNA(VLOOKUP(Ruimtestaat[[#This Row],[Programmacode
Regulier]],Programma!$F$4:$Y$36148,2,0),"_")</f>
        <v>_</v>
      </c>
      <c r="AK145" s="247" t="str">
        <f>_xlfn.IFNA(VLOOKUP(Ruimtestaat[[#This Row],[Programmacode
Regulier]],Programma!$F$4:$Y$36148,3,0),"_")</f>
        <v>_</v>
      </c>
      <c r="AL145" s="247" t="str">
        <f>_xlfn.IFNA(VLOOKUP(Ruimtestaat[[#This Row],[Programmacode
Regulier]],Programma!$F$4:$Y$36148,4,0),"_")</f>
        <v>5w</v>
      </c>
      <c r="AM145" s="247" t="str">
        <f>_xlfn.IFNA(VLOOKUP(Ruimtestaat[[#This Row],[Programmacode
Regulier]],Programma!$F$4:$Y$36148,5,0),"_")</f>
        <v>1w</v>
      </c>
      <c r="AN145" s="247" t="str">
        <f>_xlfn.IFNA(VLOOKUP(Ruimtestaat[[#This Row],[Programmacode
Regulier]],Programma!$F$4:$Y$36148,6,0),"_")</f>
        <v>1m</v>
      </c>
      <c r="AO145" s="247" t="str">
        <f>_xlfn.IFNA(VLOOKUP(Ruimtestaat[[#This Row],[Programmacode
Regulier]],Programma!$F$4:$Y$36148,7,0),"_")</f>
        <v>_</v>
      </c>
      <c r="AP145" s="247" t="str">
        <f>_xlfn.IFNA(VLOOKUP(Ruimtestaat[[#This Row],[Programmacode
Regulier]],Programma!$F$4:$Y$36148,8,0),"_")</f>
        <v>_</v>
      </c>
      <c r="AQ145" s="247" t="str">
        <f>_xlfn.IFNA(VLOOKUP(Ruimtestaat[[#This Row],[Programmacode
Regulier]],Programma!$F$4:$Y$36148,9,0),"_")</f>
        <v>_</v>
      </c>
      <c r="AR145" s="248" t="str">
        <f>_xlfn.IFNA(VLOOKUP(Ruimtestaat[[#This Row],[Programmacode
Regulier]],Programma!$F$4:$Y$36148,10,0),"_")</f>
        <v>5w</v>
      </c>
      <c r="AS145" s="248" t="str">
        <f>_xlfn.IFNA(VLOOKUP(Ruimtestaat[[#This Row],[Programmacode
Regulier]],Programma!$F$4:$Y$36148,11,0),"_")</f>
        <v>5w</v>
      </c>
      <c r="AT145" s="248" t="str">
        <f>_xlfn.IFNA(VLOOKUP(Ruimtestaat[[#This Row],[Programmacode
Regulier]],Programma!$F$4:$Y$36148,12,0),"_")</f>
        <v>1w</v>
      </c>
      <c r="AU145" s="248" t="str">
        <f>_xlfn.IFNA(VLOOKUP(Ruimtestaat[[#This Row],[Programmacode
Regulier]],Programma!$F$4:$Y$36148,13,0),"_")</f>
        <v>1w</v>
      </c>
      <c r="AV145" s="248" t="str">
        <f>_xlfn.IFNA(VLOOKUP(Ruimtestaat[[#This Row],[Programmacode
Regulier]],Programma!$F$4:$Y$36148,14,0),"_")</f>
        <v>1m</v>
      </c>
      <c r="AW145" s="248" t="str">
        <f>_xlfn.IFNA(VLOOKUP(Ruimtestaat[[#This Row],[Programmacode
Regulier]],Programma!$F$4:$Y$36148,15,0),"_")</f>
        <v>2j</v>
      </c>
      <c r="AX145" s="248" t="str">
        <f>_xlfn.IFNA(VLOOKUP(Ruimtestaat[[#This Row],[Programmacode
Regulier]],Programma!$F$4:$Y$36148,16,0),"_")</f>
        <v>1j</v>
      </c>
      <c r="AY145" s="248" t="str">
        <f>_xlfn.IFNA(VLOOKUP(Ruimtestaat[[#This Row],[Programmacode
Regulier]],Programma!$F$4:$Y$36148,17,0),"_")</f>
        <v>_</v>
      </c>
      <c r="AZ145" s="249" t="str">
        <f>_xlfn.IFNA(VLOOKUP(Ruimtestaat[[#This Row],[Programmacode
Regulier]],Programma!$F$4:$Y$36148,18,0),"_")</f>
        <v>_</v>
      </c>
      <c r="BA145" s="249" t="str">
        <f>_xlfn.IFNA(VLOOKUP(Ruimtestaat[[#This Row],[Programmacode
Regulier]],Programma!$F$4:$Y$36148,19,0),"_")</f>
        <v>_</v>
      </c>
      <c r="BB145" s="249" t="str">
        <f>_xlfn.IFNA(VLOOKUP(Ruimtestaat[[#This Row],[Programmacode
Regulier]],Programma!$F$4:$Y$36148,20,0),"_")</f>
        <v>_</v>
      </c>
      <c r="BC145" s="250"/>
      <c r="BD145" s="212" t="str">
        <f>IF(Ruimtestaat[[#This Row],[Frequentie weekend]]="","",_xlfn.CONCAT(Ruimtestaat[[#This Row],[Ruimte code]],"-",Ruimtestaat[[#This Row],[Frequentie weekend]]," ",Ruimtestaat[[#This Row],[Vloer code]]))</f>
        <v/>
      </c>
      <c r="BE145" s="247" t="str">
        <f>_xlfn.IFNA(VLOOKUP(Ruimtestaat[[#This Row],[Code Weekend]],Programma!$F$4:$Y$36148,2,0),"_")</f>
        <v>_</v>
      </c>
      <c r="BF145" s="247" t="str">
        <f>_xlfn.IFNA(VLOOKUP(Ruimtestaat[[#This Row],[Code Weekend]],Programma!$F$4:$Y$36148,3,0),"_")</f>
        <v>_</v>
      </c>
      <c r="BG145" s="247" t="str">
        <f>_xlfn.IFNA(VLOOKUP(Ruimtestaat[[#This Row],[Code Weekend]],Programma!$F$4:$Y$36148,4,0),"_")</f>
        <v>_</v>
      </c>
      <c r="BH145" s="247" t="str">
        <f>_xlfn.IFNA(VLOOKUP(Ruimtestaat[[#This Row],[Code Weekend]],Programma!$F$4:$Y$36148,5,0),"_")</f>
        <v>_</v>
      </c>
      <c r="BI145" s="247" t="str">
        <f>_xlfn.IFNA(VLOOKUP(Ruimtestaat[[#This Row],[Code Weekend]],Programma!$F$4:$Y$36148,6,0),"_")</f>
        <v>_</v>
      </c>
      <c r="BJ145" s="247" t="str">
        <f>_xlfn.IFNA(VLOOKUP(Ruimtestaat[[#This Row],[Code Weekend]],Programma!$F$4:$Y$36148,7,0),"_")</f>
        <v>_</v>
      </c>
      <c r="BK145" s="247" t="str">
        <f>_xlfn.IFNA(VLOOKUP(Ruimtestaat[[#This Row],[Code Weekend]],Programma!$F$4:$Y$36148,8,0),"_")</f>
        <v>_</v>
      </c>
      <c r="BL145" s="247" t="str">
        <f>_xlfn.IFNA(VLOOKUP(Ruimtestaat[[#This Row],[Code Weekend]],Programma!$F$4:$Y$36148,9,0),"_")</f>
        <v>_</v>
      </c>
      <c r="BM145" s="248" t="str">
        <f>_xlfn.IFNA(VLOOKUP(Ruimtestaat[[#This Row],[Code Weekend]],Programma!$F$4:$Y$36148,10,0),"_")</f>
        <v>_</v>
      </c>
      <c r="BN145" s="248" t="str">
        <f>_xlfn.IFNA(VLOOKUP(Ruimtestaat[[#This Row],[Code Weekend]],Programma!$F$4:$Y$36148,11,0),"_")</f>
        <v>_</v>
      </c>
      <c r="BO145" s="248" t="str">
        <f>_xlfn.IFNA(VLOOKUP(Ruimtestaat[[#This Row],[Code Weekend]],Programma!$F$4:$Y$36148,12,0),"_")</f>
        <v>_</v>
      </c>
      <c r="BP145" s="248" t="str">
        <f>_xlfn.IFNA(VLOOKUP(Ruimtestaat[[#This Row],[Code Weekend]],Programma!$F$4:$Y$36148,13,0),"_")</f>
        <v>_</v>
      </c>
      <c r="BQ145" s="248" t="str">
        <f>_xlfn.IFNA(VLOOKUP(Ruimtestaat[[#This Row],[Code Weekend]],Programma!$F$4:$Y$36148,14,0),"_")</f>
        <v>_</v>
      </c>
      <c r="BR145" s="248" t="str">
        <f>_xlfn.IFNA(VLOOKUP(Ruimtestaat[[#This Row],[Code Weekend]],Programma!$F$4:$Y$36148,15,0),"_")</f>
        <v>_</v>
      </c>
      <c r="BS145" s="248" t="str">
        <f>_xlfn.IFNA(VLOOKUP(Ruimtestaat[[#This Row],[Code Weekend]],Programma!$F$4:$Y$36148,16,0),"_")</f>
        <v>_</v>
      </c>
      <c r="BT145" s="248" t="str">
        <f>_xlfn.IFNA(VLOOKUP(Ruimtestaat[[#This Row],[Code Weekend]],Programma!$F$4:$Y$36148,17,0),"_")</f>
        <v>_</v>
      </c>
      <c r="BU145" s="249" t="str">
        <f>_xlfn.IFNA(VLOOKUP(Ruimtestaat[[#This Row],[Code Weekend]],Programma!$F$4:$Y$36148,18,0),"_")</f>
        <v>_</v>
      </c>
      <c r="BV145" s="249" t="str">
        <f>_xlfn.IFNA(VLOOKUP(Ruimtestaat[[#This Row],[Code Weekend]],Programma!$F$4:$Y$36148,19,0),"_")</f>
        <v>_</v>
      </c>
      <c r="BW145" s="249" t="str">
        <f>_xlfn.IFNA(VLOOKUP(Ruimtestaat[[#This Row],[Code Weekend]],Programma!$F$4:$Y$36148,20,0),"_")</f>
        <v>_</v>
      </c>
    </row>
    <row r="146" spans="1:75" ht="12.75" customHeight="1">
      <c r="A146" s="334">
        <v>1</v>
      </c>
      <c r="B146" s="334" t="str">
        <f>VLOOKUP(Ruimtestaat[[#This Row],[Code]],Locaties[#All],2,FALSE)</f>
        <v>ESH Secondary School</v>
      </c>
      <c r="C146" s="212" t="str">
        <f>VLOOKUP(Ruimtestaat[[#This Row],[Code]],Locaties[#All],4,FALSE)</f>
        <v>Oostduinlaan 50</v>
      </c>
      <c r="D146" s="212" t="str">
        <f>VLOOKUP(Ruimtestaat[[#This Row],[Code]],Locaties[#All],5,FALSE)</f>
        <v>2596 JP</v>
      </c>
      <c r="E146" s="212" t="str">
        <f>VLOOKUP(Ruimtestaat[[#This Row],[Code]],Locaties[#All],6,FALSE)</f>
        <v>Den Haag</v>
      </c>
      <c r="F146" s="335"/>
      <c r="G146" s="334" t="s">
        <v>1677</v>
      </c>
      <c r="H146" s="334" t="s">
        <v>1640</v>
      </c>
      <c r="I146" s="335" t="s">
        <v>1684</v>
      </c>
      <c r="J146" s="212">
        <v>16</v>
      </c>
      <c r="K146" s="336" t="str">
        <f>VLOOKUP(J146,Ruimtegroepen[],2,FALSE)</f>
        <v>Leslokalen</v>
      </c>
      <c r="L146" s="212" t="s">
        <v>123</v>
      </c>
      <c r="M146" s="334" t="s">
        <v>144</v>
      </c>
      <c r="N146" s="337">
        <v>31</v>
      </c>
      <c r="O146" s="331"/>
      <c r="P146" s="332" t="str">
        <f>VLOOKUP(Ruimtestaat[[#This Row],[Ruimte code]],Ruimtegroepen[],4,FALSE)</f>
        <v>L  (Lesruimte)</v>
      </c>
      <c r="Q146" s="332"/>
      <c r="R146" s="333">
        <v>40</v>
      </c>
      <c r="S146" s="333" t="s">
        <v>2</v>
      </c>
      <c r="T146" s="37"/>
      <c r="U146" s="37">
        <f>IF(R146&gt;0,IF(RIGHT(Ruimtestaat[[#This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46" s="37">
        <f>IF(U146&gt;0,VLOOKUP($J146,Ruimtegroepen[],3,FALSE)*VLOOKUP($L146,Vloersoorten[],3,FALSE)*VLOOKUP($S146,Frequenties[],3,FALSE)*VLOOKUP($A146,Locaties[],3,FALSE),0)</f>
        <v>0</v>
      </c>
      <c r="W146" s="37">
        <f>Ruimtestaat[[#This Row],[Uitvoeringen werkdagen]]*Ruimtestaat[[#This Row],[Oppervlak (netto)]]</f>
        <v>6200</v>
      </c>
      <c r="X146" s="37">
        <f>IF(V146&gt;0,Ruimtestaat[[#This Row],[Prest. (m2 /jaar) werkdagen]]/Ruimtestaat[[#This Row],[Norm (m2/uur) werkdagen]],0)</f>
        <v>0</v>
      </c>
      <c r="Y146" s="37">
        <f>Ruimtestaat[[#This Row],[uren / jaar werkdagen]]*Tariefsopbouw!$D$38</f>
        <v>0</v>
      </c>
      <c r="Z146" s="37">
        <f>IF(Ruimtestaat[[#This Row],[Frequentie weekend]]&gt;0,VALUE(LEFT(T146,1))*R146,0)</f>
        <v>0</v>
      </c>
      <c r="AA146" s="37">
        <f>IF($Z146&gt;0,VLOOKUP($J146,Ruimtegroepen[],3,FALSE)*VLOOKUP($L146,Vloersoorten[],3,FALSE)*VLOOKUP($T146,Frequenties[],3,FALSE)*VLOOKUP($A146,Locaties[],3,FALSE),0)</f>
        <v>0</v>
      </c>
      <c r="AB146" s="37">
        <f>Ruimtestaat[[#This Row],[Uitvoeringen weekend]]*Ruimtestaat[[#This Row],[Oppervlak (netto)]]</f>
        <v>0</v>
      </c>
      <c r="AC146" s="37">
        <f>IF(AA146&gt;0,Ruimtestaat[[#This Row],[Prest. (m2 /jaar) weekend]]/Ruimtestaat[[#This Row],[Norm (m2/uur) weekend]],0)</f>
        <v>0</v>
      </c>
      <c r="AD146" s="37">
        <f>Ruimtestaat[[#This Row],[uren / jaar weekend]]*Tariefsopbouw!$D$40</f>
        <v>0</v>
      </c>
      <c r="AE146" s="89">
        <f>Ruimtestaat[[#This Row],[Prest. (m2 /jaar) weekend]]+Ruimtestaat[[#This Row],[Prest. (m2 /jaar) werkdagen]]</f>
        <v>6200</v>
      </c>
      <c r="AF146" s="89">
        <f>Ruimtestaat[[#This Row],[uren / jaar weekend]]+Ruimtestaat[[#This Row],[uren / jaar werkdagen]]</f>
        <v>0</v>
      </c>
      <c r="AG146" s="90">
        <f>Ruimtestaat[[#This Row],[kosten / jaar weekend]]+Ruimtestaat[[#This Row],[kosten / jaar werkdagen]]</f>
        <v>0</v>
      </c>
      <c r="AH146" s="253"/>
      <c r="AI146" s="252" t="str">
        <f>IF(Ruimtestaat[[#This Row],[Frequentie werkdagen]]="","",_xlfn.CONCAT(Ruimtestaat[[#This Row],[Ruimte code]],"-",Ruimtestaat[[#This Row],[Frequentie werkdagen]]," ",Ruimtestaat[[#This Row],[Vloer code]]))</f>
        <v>16-5w P</v>
      </c>
      <c r="AJ146" s="247" t="str">
        <f>_xlfn.IFNA(VLOOKUP(Ruimtestaat[[#This Row],[Programmacode
Regulier]],Programma!$F$4:$Y$36148,2,0),"_")</f>
        <v>_</v>
      </c>
      <c r="AK146" s="247" t="str">
        <f>_xlfn.IFNA(VLOOKUP(Ruimtestaat[[#This Row],[Programmacode
Regulier]],Programma!$F$4:$Y$36148,3,0),"_")</f>
        <v>_</v>
      </c>
      <c r="AL146" s="247" t="str">
        <f>_xlfn.IFNA(VLOOKUP(Ruimtestaat[[#This Row],[Programmacode
Regulier]],Programma!$F$4:$Y$36148,4,0),"_")</f>
        <v>5w</v>
      </c>
      <c r="AM146" s="247" t="str">
        <f>_xlfn.IFNA(VLOOKUP(Ruimtestaat[[#This Row],[Programmacode
Regulier]],Programma!$F$4:$Y$36148,5,0),"_")</f>
        <v>1w</v>
      </c>
      <c r="AN146" s="247" t="str">
        <f>_xlfn.IFNA(VLOOKUP(Ruimtestaat[[#This Row],[Programmacode
Regulier]],Programma!$F$4:$Y$36148,6,0),"_")</f>
        <v>1m</v>
      </c>
      <c r="AO146" s="247" t="str">
        <f>_xlfn.IFNA(VLOOKUP(Ruimtestaat[[#This Row],[Programmacode
Regulier]],Programma!$F$4:$Y$36148,7,0),"_")</f>
        <v>_</v>
      </c>
      <c r="AP146" s="247" t="str">
        <f>_xlfn.IFNA(VLOOKUP(Ruimtestaat[[#This Row],[Programmacode
Regulier]],Programma!$F$4:$Y$36148,8,0),"_")</f>
        <v>_</v>
      </c>
      <c r="AQ146" s="247" t="str">
        <f>_xlfn.IFNA(VLOOKUP(Ruimtestaat[[#This Row],[Programmacode
Regulier]],Programma!$F$4:$Y$36148,9,0),"_")</f>
        <v>_</v>
      </c>
      <c r="AR146" s="248" t="str">
        <f>_xlfn.IFNA(VLOOKUP(Ruimtestaat[[#This Row],[Programmacode
Regulier]],Programma!$F$4:$Y$36148,10,0),"_")</f>
        <v>5w</v>
      </c>
      <c r="AS146" s="248" t="str">
        <f>_xlfn.IFNA(VLOOKUP(Ruimtestaat[[#This Row],[Programmacode
Regulier]],Programma!$F$4:$Y$36148,11,0),"_")</f>
        <v>5w</v>
      </c>
      <c r="AT146" s="248" t="str">
        <f>_xlfn.IFNA(VLOOKUP(Ruimtestaat[[#This Row],[Programmacode
Regulier]],Programma!$F$4:$Y$36148,12,0),"_")</f>
        <v>1w</v>
      </c>
      <c r="AU146" s="248" t="str">
        <f>_xlfn.IFNA(VLOOKUP(Ruimtestaat[[#This Row],[Programmacode
Regulier]],Programma!$F$4:$Y$36148,13,0),"_")</f>
        <v>1w</v>
      </c>
      <c r="AV146" s="248" t="str">
        <f>_xlfn.IFNA(VLOOKUP(Ruimtestaat[[#This Row],[Programmacode
Regulier]],Programma!$F$4:$Y$36148,14,0),"_")</f>
        <v>1m</v>
      </c>
      <c r="AW146" s="248" t="str">
        <f>_xlfn.IFNA(VLOOKUP(Ruimtestaat[[#This Row],[Programmacode
Regulier]],Programma!$F$4:$Y$36148,15,0),"_")</f>
        <v>2j</v>
      </c>
      <c r="AX146" s="248" t="str">
        <f>_xlfn.IFNA(VLOOKUP(Ruimtestaat[[#This Row],[Programmacode
Regulier]],Programma!$F$4:$Y$36148,16,0),"_")</f>
        <v>1j</v>
      </c>
      <c r="AY146" s="248" t="str">
        <f>_xlfn.IFNA(VLOOKUP(Ruimtestaat[[#This Row],[Programmacode
Regulier]],Programma!$F$4:$Y$36148,17,0),"_")</f>
        <v>_</v>
      </c>
      <c r="AZ146" s="249" t="str">
        <f>_xlfn.IFNA(VLOOKUP(Ruimtestaat[[#This Row],[Programmacode
Regulier]],Programma!$F$4:$Y$36148,18,0),"_")</f>
        <v>_</v>
      </c>
      <c r="BA146" s="249" t="str">
        <f>_xlfn.IFNA(VLOOKUP(Ruimtestaat[[#This Row],[Programmacode
Regulier]],Programma!$F$4:$Y$36148,19,0),"_")</f>
        <v>_</v>
      </c>
      <c r="BB146" s="249" t="str">
        <f>_xlfn.IFNA(VLOOKUP(Ruimtestaat[[#This Row],[Programmacode
Regulier]],Programma!$F$4:$Y$36148,20,0),"_")</f>
        <v>_</v>
      </c>
      <c r="BC146" s="250"/>
      <c r="BD146" s="212" t="str">
        <f>IF(Ruimtestaat[[#This Row],[Frequentie weekend]]="","",_xlfn.CONCAT(Ruimtestaat[[#This Row],[Ruimte code]],"-",Ruimtestaat[[#This Row],[Frequentie weekend]]," ",Ruimtestaat[[#This Row],[Vloer code]]))</f>
        <v/>
      </c>
      <c r="BE146" s="247" t="str">
        <f>_xlfn.IFNA(VLOOKUP(Ruimtestaat[[#This Row],[Code Weekend]],Programma!$F$4:$Y$36148,2,0),"_")</f>
        <v>_</v>
      </c>
      <c r="BF146" s="247" t="str">
        <f>_xlfn.IFNA(VLOOKUP(Ruimtestaat[[#This Row],[Code Weekend]],Programma!$F$4:$Y$36148,3,0),"_")</f>
        <v>_</v>
      </c>
      <c r="BG146" s="247" t="str">
        <f>_xlfn.IFNA(VLOOKUP(Ruimtestaat[[#This Row],[Code Weekend]],Programma!$F$4:$Y$36148,4,0),"_")</f>
        <v>_</v>
      </c>
      <c r="BH146" s="247" t="str">
        <f>_xlfn.IFNA(VLOOKUP(Ruimtestaat[[#This Row],[Code Weekend]],Programma!$F$4:$Y$36148,5,0),"_")</f>
        <v>_</v>
      </c>
      <c r="BI146" s="247" t="str">
        <f>_xlfn.IFNA(VLOOKUP(Ruimtestaat[[#This Row],[Code Weekend]],Programma!$F$4:$Y$36148,6,0),"_")</f>
        <v>_</v>
      </c>
      <c r="BJ146" s="247" t="str">
        <f>_xlfn.IFNA(VLOOKUP(Ruimtestaat[[#This Row],[Code Weekend]],Programma!$F$4:$Y$36148,7,0),"_")</f>
        <v>_</v>
      </c>
      <c r="BK146" s="247" t="str">
        <f>_xlfn.IFNA(VLOOKUP(Ruimtestaat[[#This Row],[Code Weekend]],Programma!$F$4:$Y$36148,8,0),"_")</f>
        <v>_</v>
      </c>
      <c r="BL146" s="247" t="str">
        <f>_xlfn.IFNA(VLOOKUP(Ruimtestaat[[#This Row],[Code Weekend]],Programma!$F$4:$Y$36148,9,0),"_")</f>
        <v>_</v>
      </c>
      <c r="BM146" s="248" t="str">
        <f>_xlfn.IFNA(VLOOKUP(Ruimtestaat[[#This Row],[Code Weekend]],Programma!$F$4:$Y$36148,10,0),"_")</f>
        <v>_</v>
      </c>
      <c r="BN146" s="248" t="str">
        <f>_xlfn.IFNA(VLOOKUP(Ruimtestaat[[#This Row],[Code Weekend]],Programma!$F$4:$Y$36148,11,0),"_")</f>
        <v>_</v>
      </c>
      <c r="BO146" s="248" t="str">
        <f>_xlfn.IFNA(VLOOKUP(Ruimtestaat[[#This Row],[Code Weekend]],Programma!$F$4:$Y$36148,12,0),"_")</f>
        <v>_</v>
      </c>
      <c r="BP146" s="248" t="str">
        <f>_xlfn.IFNA(VLOOKUP(Ruimtestaat[[#This Row],[Code Weekend]],Programma!$F$4:$Y$36148,13,0),"_")</f>
        <v>_</v>
      </c>
      <c r="BQ146" s="248" t="str">
        <f>_xlfn.IFNA(VLOOKUP(Ruimtestaat[[#This Row],[Code Weekend]],Programma!$F$4:$Y$36148,14,0),"_")</f>
        <v>_</v>
      </c>
      <c r="BR146" s="248" t="str">
        <f>_xlfn.IFNA(VLOOKUP(Ruimtestaat[[#This Row],[Code Weekend]],Programma!$F$4:$Y$36148,15,0),"_")</f>
        <v>_</v>
      </c>
      <c r="BS146" s="248" t="str">
        <f>_xlfn.IFNA(VLOOKUP(Ruimtestaat[[#This Row],[Code Weekend]],Programma!$F$4:$Y$36148,16,0),"_")</f>
        <v>_</v>
      </c>
      <c r="BT146" s="248" t="str">
        <f>_xlfn.IFNA(VLOOKUP(Ruimtestaat[[#This Row],[Code Weekend]],Programma!$F$4:$Y$36148,17,0),"_")</f>
        <v>_</v>
      </c>
      <c r="BU146" s="249" t="str">
        <f>_xlfn.IFNA(VLOOKUP(Ruimtestaat[[#This Row],[Code Weekend]],Programma!$F$4:$Y$36148,18,0),"_")</f>
        <v>_</v>
      </c>
      <c r="BV146" s="249" t="str">
        <f>_xlfn.IFNA(VLOOKUP(Ruimtestaat[[#This Row],[Code Weekend]],Programma!$F$4:$Y$36148,19,0),"_")</f>
        <v>_</v>
      </c>
      <c r="BW146" s="249" t="str">
        <f>_xlfn.IFNA(VLOOKUP(Ruimtestaat[[#This Row],[Code Weekend]],Programma!$F$4:$Y$36148,20,0),"_")</f>
        <v>_</v>
      </c>
    </row>
    <row r="147" spans="1:75" ht="12.75" customHeight="1">
      <c r="A147" s="334">
        <v>1</v>
      </c>
      <c r="B147" s="334" t="str">
        <f>VLOOKUP(Ruimtestaat[[#This Row],[Code]],Locaties[#All],2,FALSE)</f>
        <v>ESH Secondary School</v>
      </c>
      <c r="C147" s="212" t="str">
        <f>VLOOKUP(Ruimtestaat[[#This Row],[Code]],Locaties[#All],4,FALSE)</f>
        <v>Oostduinlaan 50</v>
      </c>
      <c r="D147" s="212" t="str">
        <f>VLOOKUP(Ruimtestaat[[#This Row],[Code]],Locaties[#All],5,FALSE)</f>
        <v>2596 JP</v>
      </c>
      <c r="E147" s="212" t="str">
        <f>VLOOKUP(Ruimtestaat[[#This Row],[Code]],Locaties[#All],6,FALSE)</f>
        <v>Den Haag</v>
      </c>
      <c r="F147" s="335"/>
      <c r="G147" s="334" t="s">
        <v>1677</v>
      </c>
      <c r="H147" s="334" t="s">
        <v>1641</v>
      </c>
      <c r="I147" s="335" t="s">
        <v>1685</v>
      </c>
      <c r="J147" s="334" t="s">
        <v>1760</v>
      </c>
      <c r="K147" s="336" t="str">
        <f>VLOOKUP(J147,Ruimtegroepen[],2,FALSE)</f>
        <v>Praktijklokalen</v>
      </c>
      <c r="L147" s="212" t="s">
        <v>123</v>
      </c>
      <c r="M147" s="334" t="s">
        <v>144</v>
      </c>
      <c r="N147" s="337">
        <v>63</v>
      </c>
      <c r="O147" s="331"/>
      <c r="P147" s="332" t="str">
        <f>VLOOKUP(Ruimtestaat[[#This Row],[Ruimte code]],Ruimtegroepen[],4,FALSE)</f>
        <v>L  (Lesruimte)</v>
      </c>
      <c r="Q147" s="332"/>
      <c r="R147" s="333">
        <v>40</v>
      </c>
      <c r="S147" s="333" t="s">
        <v>2</v>
      </c>
      <c r="T147" s="37"/>
      <c r="U147" s="37">
        <f>IF(R147&gt;0,IF(RIGHT(Ruimtestaat[[#This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47" s="37">
        <f>IF(U147&gt;0,VLOOKUP($J147,Ruimtegroepen[],3,FALSE)*VLOOKUP($L147,Vloersoorten[],3,FALSE)*VLOOKUP($S147,Frequenties[],3,FALSE)*VLOOKUP($A147,Locaties[],3,FALSE),0)</f>
        <v>0</v>
      </c>
      <c r="W147" s="37">
        <f>Ruimtestaat[[#This Row],[Uitvoeringen werkdagen]]*Ruimtestaat[[#This Row],[Oppervlak (netto)]]</f>
        <v>12600</v>
      </c>
      <c r="X147" s="37">
        <f>IF(V147&gt;0,Ruimtestaat[[#This Row],[Prest. (m2 /jaar) werkdagen]]/Ruimtestaat[[#This Row],[Norm (m2/uur) werkdagen]],0)</f>
        <v>0</v>
      </c>
      <c r="Y147" s="37">
        <f>Ruimtestaat[[#This Row],[uren / jaar werkdagen]]*Tariefsopbouw!$D$38</f>
        <v>0</v>
      </c>
      <c r="Z147" s="37">
        <f>IF(Ruimtestaat[[#This Row],[Frequentie weekend]]&gt;0,VALUE(LEFT(T147,1))*R147,0)</f>
        <v>0</v>
      </c>
      <c r="AA147" s="37">
        <f>IF($Z147&gt;0,VLOOKUP($J147,Ruimtegroepen[],3,FALSE)*VLOOKUP($L147,Vloersoorten[],3,FALSE)*VLOOKUP($T147,Frequenties[],3,FALSE)*VLOOKUP($A147,Locaties[],3,FALSE),0)</f>
        <v>0</v>
      </c>
      <c r="AB147" s="37">
        <f>Ruimtestaat[[#This Row],[Uitvoeringen weekend]]*Ruimtestaat[[#This Row],[Oppervlak (netto)]]</f>
        <v>0</v>
      </c>
      <c r="AC147" s="37">
        <f>IF(AA147&gt;0,Ruimtestaat[[#This Row],[Prest. (m2 /jaar) weekend]]/Ruimtestaat[[#This Row],[Norm (m2/uur) weekend]],0)</f>
        <v>0</v>
      </c>
      <c r="AD147" s="37">
        <f>Ruimtestaat[[#This Row],[uren / jaar weekend]]*Tariefsopbouw!$D$40</f>
        <v>0</v>
      </c>
      <c r="AE147" s="89">
        <f>Ruimtestaat[[#This Row],[Prest. (m2 /jaar) weekend]]+Ruimtestaat[[#This Row],[Prest. (m2 /jaar) werkdagen]]</f>
        <v>12600</v>
      </c>
      <c r="AF147" s="89">
        <f>Ruimtestaat[[#This Row],[uren / jaar weekend]]+Ruimtestaat[[#This Row],[uren / jaar werkdagen]]</f>
        <v>0</v>
      </c>
      <c r="AG147" s="90">
        <f>Ruimtestaat[[#This Row],[kosten / jaar weekend]]+Ruimtestaat[[#This Row],[kosten / jaar werkdagen]]</f>
        <v>0</v>
      </c>
      <c r="AH147" s="253"/>
      <c r="AI147" s="252" t="str">
        <f>IF(Ruimtestaat[[#This Row],[Frequentie werkdagen]]="","",_xlfn.CONCAT(Ruimtestaat[[#This Row],[Ruimte code]],"-",Ruimtestaat[[#This Row],[Frequentie werkdagen]]," ",Ruimtestaat[[#This Row],[Vloer code]]))</f>
        <v>14A-5w P</v>
      </c>
      <c r="AJ147" s="247" t="str">
        <f>_xlfn.IFNA(VLOOKUP(Ruimtestaat[[#This Row],[Programmacode
Regulier]],Programma!$F$4:$Y$36148,2,0),"_")</f>
        <v>_</v>
      </c>
      <c r="AK147" s="247" t="str">
        <f>_xlfn.IFNA(VLOOKUP(Ruimtestaat[[#This Row],[Programmacode
Regulier]],Programma!$F$4:$Y$36148,3,0),"_")</f>
        <v>_</v>
      </c>
      <c r="AL147" s="247" t="str">
        <f>_xlfn.IFNA(VLOOKUP(Ruimtestaat[[#This Row],[Programmacode
Regulier]],Programma!$F$4:$Y$36148,4,0),"_")</f>
        <v>_</v>
      </c>
      <c r="AM147" s="247" t="str">
        <f>_xlfn.IFNA(VLOOKUP(Ruimtestaat[[#This Row],[Programmacode
Regulier]],Programma!$F$4:$Y$36148,5,0),"_")</f>
        <v>_</v>
      </c>
      <c r="AN147" s="247" t="str">
        <f>_xlfn.IFNA(VLOOKUP(Ruimtestaat[[#This Row],[Programmacode
Regulier]],Programma!$F$4:$Y$36148,6,0),"_")</f>
        <v>_</v>
      </c>
      <c r="AO147" s="247" t="str">
        <f>_xlfn.IFNA(VLOOKUP(Ruimtestaat[[#This Row],[Programmacode
Regulier]],Programma!$F$4:$Y$36148,7,0),"_")</f>
        <v>_</v>
      </c>
      <c r="AP147" s="247" t="str">
        <f>_xlfn.IFNA(VLOOKUP(Ruimtestaat[[#This Row],[Programmacode
Regulier]],Programma!$F$4:$Y$36148,8,0),"_")</f>
        <v>_</v>
      </c>
      <c r="AQ147" s="247" t="str">
        <f>_xlfn.IFNA(VLOOKUP(Ruimtestaat[[#This Row],[Programmacode
Regulier]],Programma!$F$4:$Y$36148,9,0),"_")</f>
        <v>_</v>
      </c>
      <c r="AR147" s="248" t="str">
        <f>_xlfn.IFNA(VLOOKUP(Ruimtestaat[[#This Row],[Programmacode
Regulier]],Programma!$F$4:$Y$36148,10,0),"_")</f>
        <v>_</v>
      </c>
      <c r="AS147" s="248" t="str">
        <f>_xlfn.IFNA(VLOOKUP(Ruimtestaat[[#This Row],[Programmacode
Regulier]],Programma!$F$4:$Y$36148,11,0),"_")</f>
        <v>_</v>
      </c>
      <c r="AT147" s="248" t="str">
        <f>_xlfn.IFNA(VLOOKUP(Ruimtestaat[[#This Row],[Programmacode
Regulier]],Programma!$F$4:$Y$36148,12,0),"_")</f>
        <v>_</v>
      </c>
      <c r="AU147" s="248" t="str">
        <f>_xlfn.IFNA(VLOOKUP(Ruimtestaat[[#This Row],[Programmacode
Regulier]],Programma!$F$4:$Y$36148,13,0),"_")</f>
        <v>_</v>
      </c>
      <c r="AV147" s="248" t="str">
        <f>_xlfn.IFNA(VLOOKUP(Ruimtestaat[[#This Row],[Programmacode
Regulier]],Programma!$F$4:$Y$36148,14,0),"_")</f>
        <v>_</v>
      </c>
      <c r="AW147" s="248" t="str">
        <f>_xlfn.IFNA(VLOOKUP(Ruimtestaat[[#This Row],[Programmacode
Regulier]],Programma!$F$4:$Y$36148,15,0),"_")</f>
        <v>_</v>
      </c>
      <c r="AX147" s="248" t="str">
        <f>_xlfn.IFNA(VLOOKUP(Ruimtestaat[[#This Row],[Programmacode
Regulier]],Programma!$F$4:$Y$36148,16,0),"_")</f>
        <v>_</v>
      </c>
      <c r="AY147" s="248" t="str">
        <f>_xlfn.IFNA(VLOOKUP(Ruimtestaat[[#This Row],[Programmacode
Regulier]],Programma!$F$4:$Y$36148,17,0),"_")</f>
        <v>_</v>
      </c>
      <c r="AZ147" s="249" t="str">
        <f>_xlfn.IFNA(VLOOKUP(Ruimtestaat[[#This Row],[Programmacode
Regulier]],Programma!$F$4:$Y$36148,18,0),"_")</f>
        <v>_</v>
      </c>
      <c r="BA147" s="249" t="str">
        <f>_xlfn.IFNA(VLOOKUP(Ruimtestaat[[#This Row],[Programmacode
Regulier]],Programma!$F$4:$Y$36148,19,0),"_")</f>
        <v>_</v>
      </c>
      <c r="BB147" s="249" t="str">
        <f>_xlfn.IFNA(VLOOKUP(Ruimtestaat[[#This Row],[Programmacode
Regulier]],Programma!$F$4:$Y$36148,20,0),"_")</f>
        <v>_</v>
      </c>
      <c r="BC147" s="250"/>
      <c r="BD147" s="212" t="str">
        <f>IF(Ruimtestaat[[#This Row],[Frequentie weekend]]="","",_xlfn.CONCAT(Ruimtestaat[[#This Row],[Ruimte code]],"-",Ruimtestaat[[#This Row],[Frequentie weekend]]," ",Ruimtestaat[[#This Row],[Vloer code]]))</f>
        <v/>
      </c>
      <c r="BE147" s="247" t="str">
        <f>_xlfn.IFNA(VLOOKUP(Ruimtestaat[[#This Row],[Code Weekend]],Programma!$F$4:$Y$36148,2,0),"_")</f>
        <v>_</v>
      </c>
      <c r="BF147" s="247" t="str">
        <f>_xlfn.IFNA(VLOOKUP(Ruimtestaat[[#This Row],[Code Weekend]],Programma!$F$4:$Y$36148,3,0),"_")</f>
        <v>_</v>
      </c>
      <c r="BG147" s="247" t="str">
        <f>_xlfn.IFNA(VLOOKUP(Ruimtestaat[[#This Row],[Code Weekend]],Programma!$F$4:$Y$36148,4,0),"_")</f>
        <v>_</v>
      </c>
      <c r="BH147" s="247" t="str">
        <f>_xlfn.IFNA(VLOOKUP(Ruimtestaat[[#This Row],[Code Weekend]],Programma!$F$4:$Y$36148,5,0),"_")</f>
        <v>_</v>
      </c>
      <c r="BI147" s="247" t="str">
        <f>_xlfn.IFNA(VLOOKUP(Ruimtestaat[[#This Row],[Code Weekend]],Programma!$F$4:$Y$36148,6,0),"_")</f>
        <v>_</v>
      </c>
      <c r="BJ147" s="247" t="str">
        <f>_xlfn.IFNA(VLOOKUP(Ruimtestaat[[#This Row],[Code Weekend]],Programma!$F$4:$Y$36148,7,0),"_")</f>
        <v>_</v>
      </c>
      <c r="BK147" s="247" t="str">
        <f>_xlfn.IFNA(VLOOKUP(Ruimtestaat[[#This Row],[Code Weekend]],Programma!$F$4:$Y$36148,8,0),"_")</f>
        <v>_</v>
      </c>
      <c r="BL147" s="247" t="str">
        <f>_xlfn.IFNA(VLOOKUP(Ruimtestaat[[#This Row],[Code Weekend]],Programma!$F$4:$Y$36148,9,0),"_")</f>
        <v>_</v>
      </c>
      <c r="BM147" s="248" t="str">
        <f>_xlfn.IFNA(VLOOKUP(Ruimtestaat[[#This Row],[Code Weekend]],Programma!$F$4:$Y$36148,10,0),"_")</f>
        <v>_</v>
      </c>
      <c r="BN147" s="248" t="str">
        <f>_xlfn.IFNA(VLOOKUP(Ruimtestaat[[#This Row],[Code Weekend]],Programma!$F$4:$Y$36148,11,0),"_")</f>
        <v>_</v>
      </c>
      <c r="BO147" s="248" t="str">
        <f>_xlfn.IFNA(VLOOKUP(Ruimtestaat[[#This Row],[Code Weekend]],Programma!$F$4:$Y$36148,12,0),"_")</f>
        <v>_</v>
      </c>
      <c r="BP147" s="248" t="str">
        <f>_xlfn.IFNA(VLOOKUP(Ruimtestaat[[#This Row],[Code Weekend]],Programma!$F$4:$Y$36148,13,0),"_")</f>
        <v>_</v>
      </c>
      <c r="BQ147" s="248" t="str">
        <f>_xlfn.IFNA(VLOOKUP(Ruimtestaat[[#This Row],[Code Weekend]],Programma!$F$4:$Y$36148,14,0),"_")</f>
        <v>_</v>
      </c>
      <c r="BR147" s="248" t="str">
        <f>_xlfn.IFNA(VLOOKUP(Ruimtestaat[[#This Row],[Code Weekend]],Programma!$F$4:$Y$36148,15,0),"_")</f>
        <v>_</v>
      </c>
      <c r="BS147" s="248" t="str">
        <f>_xlfn.IFNA(VLOOKUP(Ruimtestaat[[#This Row],[Code Weekend]],Programma!$F$4:$Y$36148,16,0),"_")</f>
        <v>_</v>
      </c>
      <c r="BT147" s="248" t="str">
        <f>_xlfn.IFNA(VLOOKUP(Ruimtestaat[[#This Row],[Code Weekend]],Programma!$F$4:$Y$36148,17,0),"_")</f>
        <v>_</v>
      </c>
      <c r="BU147" s="249" t="str">
        <f>_xlfn.IFNA(VLOOKUP(Ruimtestaat[[#This Row],[Code Weekend]],Programma!$F$4:$Y$36148,18,0),"_")</f>
        <v>_</v>
      </c>
      <c r="BV147" s="249" t="str">
        <f>_xlfn.IFNA(VLOOKUP(Ruimtestaat[[#This Row],[Code Weekend]],Programma!$F$4:$Y$36148,19,0),"_")</f>
        <v>_</v>
      </c>
      <c r="BW147" s="249" t="str">
        <f>_xlfn.IFNA(VLOOKUP(Ruimtestaat[[#This Row],[Code Weekend]],Programma!$F$4:$Y$36148,20,0),"_")</f>
        <v>_</v>
      </c>
    </row>
    <row r="148" spans="1:75" ht="12.75" customHeight="1">
      <c r="A148" s="334">
        <v>1</v>
      </c>
      <c r="B148" s="334" t="str">
        <f>VLOOKUP(Ruimtestaat[[#This Row],[Code]],Locaties[#All],2,FALSE)</f>
        <v>ESH Secondary School</v>
      </c>
      <c r="C148" s="212" t="str">
        <f>VLOOKUP(Ruimtestaat[[#This Row],[Code]],Locaties[#All],4,FALSE)</f>
        <v>Oostduinlaan 50</v>
      </c>
      <c r="D148" s="212" t="str">
        <f>VLOOKUP(Ruimtestaat[[#This Row],[Code]],Locaties[#All],5,FALSE)</f>
        <v>2596 JP</v>
      </c>
      <c r="E148" s="212" t="str">
        <f>VLOOKUP(Ruimtestaat[[#This Row],[Code]],Locaties[#All],6,FALSE)</f>
        <v>Den Haag</v>
      </c>
      <c r="F148" s="335"/>
      <c r="G148" s="334" t="s">
        <v>1677</v>
      </c>
      <c r="H148" s="334" t="s">
        <v>1642</v>
      </c>
      <c r="I148" s="335" t="s">
        <v>1778</v>
      </c>
      <c r="J148" s="333">
        <v>14</v>
      </c>
      <c r="K148" s="336" t="str">
        <f>VLOOKUP(J148,Ruimtegroepen[],2,FALSE)</f>
        <v>TOA ruimte</v>
      </c>
      <c r="L148" s="212" t="s">
        <v>123</v>
      </c>
      <c r="M148" s="334" t="s">
        <v>144</v>
      </c>
      <c r="N148" s="337">
        <v>20</v>
      </c>
      <c r="O148" s="331"/>
      <c r="P148" s="332" t="str">
        <f>VLOOKUP(Ruimtestaat[[#This Row],[Ruimte code]],Ruimtegroepen[],4,FALSE)</f>
        <v>V  (Verkeersruimte)</v>
      </c>
      <c r="Q148" s="332"/>
      <c r="R148" s="333">
        <v>40</v>
      </c>
      <c r="S148" s="333" t="s">
        <v>2</v>
      </c>
      <c r="T148" s="37"/>
      <c r="U148" s="37">
        <f>IF(R148&gt;0,IF(RIGHT(Ruimtestaat[[#This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48" s="37">
        <f>IF(U148&gt;0,VLOOKUP($J148,Ruimtegroepen[],3,FALSE)*VLOOKUP($L148,Vloersoorten[],3,FALSE)*VLOOKUP($S148,Frequenties[],3,FALSE)*VLOOKUP($A148,Locaties[],3,FALSE),0)</f>
        <v>0</v>
      </c>
      <c r="W148" s="37">
        <f>Ruimtestaat[[#This Row],[Uitvoeringen werkdagen]]*Ruimtestaat[[#This Row],[Oppervlak (netto)]]</f>
        <v>4000</v>
      </c>
      <c r="X148" s="37">
        <f>IF(V148&gt;0,Ruimtestaat[[#This Row],[Prest. (m2 /jaar) werkdagen]]/Ruimtestaat[[#This Row],[Norm (m2/uur) werkdagen]],0)</f>
        <v>0</v>
      </c>
      <c r="Y148" s="37">
        <f>Ruimtestaat[[#This Row],[uren / jaar werkdagen]]*Tariefsopbouw!$D$38</f>
        <v>0</v>
      </c>
      <c r="Z148" s="37">
        <f>IF(Ruimtestaat[[#This Row],[Frequentie weekend]]&gt;0,VALUE(LEFT(T148,1))*R148,0)</f>
        <v>0</v>
      </c>
      <c r="AA148" s="37">
        <f>IF($Z148&gt;0,VLOOKUP($J148,Ruimtegroepen[],3,FALSE)*VLOOKUP($L148,Vloersoorten[],3,FALSE)*VLOOKUP($T148,Frequenties[],3,FALSE)*VLOOKUP($A148,Locaties[],3,FALSE),0)</f>
        <v>0</v>
      </c>
      <c r="AB148" s="37">
        <f>Ruimtestaat[[#This Row],[Uitvoeringen weekend]]*Ruimtestaat[[#This Row],[Oppervlak (netto)]]</f>
        <v>0</v>
      </c>
      <c r="AC148" s="37">
        <f>IF(AA148&gt;0,Ruimtestaat[[#This Row],[Prest. (m2 /jaar) weekend]]/Ruimtestaat[[#This Row],[Norm (m2/uur) weekend]],0)</f>
        <v>0</v>
      </c>
      <c r="AD148" s="37">
        <f>Ruimtestaat[[#This Row],[uren / jaar weekend]]*Tariefsopbouw!$D$40</f>
        <v>0</v>
      </c>
      <c r="AE148" s="89">
        <f>Ruimtestaat[[#This Row],[Prest. (m2 /jaar) weekend]]+Ruimtestaat[[#This Row],[Prest. (m2 /jaar) werkdagen]]</f>
        <v>4000</v>
      </c>
      <c r="AF148" s="89">
        <f>Ruimtestaat[[#This Row],[uren / jaar weekend]]+Ruimtestaat[[#This Row],[uren / jaar werkdagen]]</f>
        <v>0</v>
      </c>
      <c r="AG148" s="90">
        <f>Ruimtestaat[[#This Row],[kosten / jaar weekend]]+Ruimtestaat[[#This Row],[kosten / jaar werkdagen]]</f>
        <v>0</v>
      </c>
      <c r="AH148" s="253"/>
      <c r="AI148" s="252" t="str">
        <f>IF(Ruimtestaat[[#This Row],[Frequentie werkdagen]]="","",_xlfn.CONCAT(Ruimtestaat[[#This Row],[Ruimte code]],"-",Ruimtestaat[[#This Row],[Frequentie werkdagen]]," ",Ruimtestaat[[#This Row],[Vloer code]]))</f>
        <v>14-5w P</v>
      </c>
      <c r="AJ148" s="247" t="str">
        <f>_xlfn.IFNA(VLOOKUP(Ruimtestaat[[#This Row],[Programmacode
Regulier]],Programma!$F$4:$Y$36148,2,0),"_")</f>
        <v>_</v>
      </c>
      <c r="AK148" s="247" t="str">
        <f>_xlfn.IFNA(VLOOKUP(Ruimtestaat[[#This Row],[Programmacode
Regulier]],Programma!$F$4:$Y$36148,3,0),"_")</f>
        <v>_</v>
      </c>
      <c r="AL148" s="247" t="str">
        <f>_xlfn.IFNA(VLOOKUP(Ruimtestaat[[#This Row],[Programmacode
Regulier]],Programma!$F$4:$Y$36148,4,0),"_")</f>
        <v>5w</v>
      </c>
      <c r="AM148" s="247" t="str">
        <f>_xlfn.IFNA(VLOOKUP(Ruimtestaat[[#This Row],[Programmacode
Regulier]],Programma!$F$4:$Y$36148,5,0),"_")</f>
        <v>4w</v>
      </c>
      <c r="AN148" s="247" t="str">
        <f>_xlfn.IFNA(VLOOKUP(Ruimtestaat[[#This Row],[Programmacode
Regulier]],Programma!$F$4:$Y$36148,6,0),"_")</f>
        <v>1w</v>
      </c>
      <c r="AO148" s="247" t="str">
        <f>_xlfn.IFNA(VLOOKUP(Ruimtestaat[[#This Row],[Programmacode
Regulier]],Programma!$F$4:$Y$36148,7,0),"_")</f>
        <v>_</v>
      </c>
      <c r="AP148" s="247" t="str">
        <f>_xlfn.IFNA(VLOOKUP(Ruimtestaat[[#This Row],[Programmacode
Regulier]],Programma!$F$4:$Y$36148,8,0),"_")</f>
        <v>_</v>
      </c>
      <c r="AQ148" s="247" t="str">
        <f>_xlfn.IFNA(VLOOKUP(Ruimtestaat[[#This Row],[Programmacode
Regulier]],Programma!$F$4:$Y$36148,9,0),"_")</f>
        <v>_</v>
      </c>
      <c r="AR148" s="248" t="str">
        <f>_xlfn.IFNA(VLOOKUP(Ruimtestaat[[#This Row],[Programmacode
Regulier]],Programma!$F$4:$Y$36148,10,0),"_")</f>
        <v>5w</v>
      </c>
      <c r="AS148" s="248" t="str">
        <f>_xlfn.IFNA(VLOOKUP(Ruimtestaat[[#This Row],[Programmacode
Regulier]],Programma!$F$4:$Y$36148,11,0),"_")</f>
        <v>5w</v>
      </c>
      <c r="AT148" s="248" t="str">
        <f>_xlfn.IFNA(VLOOKUP(Ruimtestaat[[#This Row],[Programmacode
Regulier]],Programma!$F$4:$Y$36148,12,0),"_")</f>
        <v>1w</v>
      </c>
      <c r="AU148" s="248" t="str">
        <f>_xlfn.IFNA(VLOOKUP(Ruimtestaat[[#This Row],[Programmacode
Regulier]],Programma!$F$4:$Y$36148,13,0),"_")</f>
        <v>1w</v>
      </c>
      <c r="AV148" s="248" t="str">
        <f>_xlfn.IFNA(VLOOKUP(Ruimtestaat[[#This Row],[Programmacode
Regulier]],Programma!$F$4:$Y$36148,14,0),"_")</f>
        <v>1m</v>
      </c>
      <c r="AW148" s="248" t="str">
        <f>_xlfn.IFNA(VLOOKUP(Ruimtestaat[[#This Row],[Programmacode
Regulier]],Programma!$F$4:$Y$36148,15,0),"_")</f>
        <v>2j</v>
      </c>
      <c r="AX148" s="248" t="str">
        <f>_xlfn.IFNA(VLOOKUP(Ruimtestaat[[#This Row],[Programmacode
Regulier]],Programma!$F$4:$Y$36148,16,0),"_")</f>
        <v>1j</v>
      </c>
      <c r="AY148" s="248" t="str">
        <f>_xlfn.IFNA(VLOOKUP(Ruimtestaat[[#This Row],[Programmacode
Regulier]],Programma!$F$4:$Y$36148,17,0),"_")</f>
        <v>_</v>
      </c>
      <c r="AZ148" s="249" t="str">
        <f>_xlfn.IFNA(VLOOKUP(Ruimtestaat[[#This Row],[Programmacode
Regulier]],Programma!$F$4:$Y$36148,18,0),"_")</f>
        <v>_</v>
      </c>
      <c r="BA148" s="249" t="str">
        <f>_xlfn.IFNA(VLOOKUP(Ruimtestaat[[#This Row],[Programmacode
Regulier]],Programma!$F$4:$Y$36148,19,0),"_")</f>
        <v>_</v>
      </c>
      <c r="BB148" s="249" t="str">
        <f>_xlfn.IFNA(VLOOKUP(Ruimtestaat[[#This Row],[Programmacode
Regulier]],Programma!$F$4:$Y$36148,20,0),"_")</f>
        <v>_</v>
      </c>
      <c r="BC148" s="250"/>
      <c r="BD148" s="212" t="str">
        <f>IF(Ruimtestaat[[#This Row],[Frequentie weekend]]="","",_xlfn.CONCAT(Ruimtestaat[[#This Row],[Ruimte code]],"-",Ruimtestaat[[#This Row],[Frequentie weekend]]," ",Ruimtestaat[[#This Row],[Vloer code]]))</f>
        <v/>
      </c>
      <c r="BE148" s="247" t="str">
        <f>_xlfn.IFNA(VLOOKUP(Ruimtestaat[[#This Row],[Code Weekend]],Programma!$F$4:$Y$36148,2,0),"_")</f>
        <v>_</v>
      </c>
      <c r="BF148" s="247" t="str">
        <f>_xlfn.IFNA(VLOOKUP(Ruimtestaat[[#This Row],[Code Weekend]],Programma!$F$4:$Y$36148,3,0),"_")</f>
        <v>_</v>
      </c>
      <c r="BG148" s="247" t="str">
        <f>_xlfn.IFNA(VLOOKUP(Ruimtestaat[[#This Row],[Code Weekend]],Programma!$F$4:$Y$36148,4,0),"_")</f>
        <v>_</v>
      </c>
      <c r="BH148" s="247" t="str">
        <f>_xlfn.IFNA(VLOOKUP(Ruimtestaat[[#This Row],[Code Weekend]],Programma!$F$4:$Y$36148,5,0),"_")</f>
        <v>_</v>
      </c>
      <c r="BI148" s="247" t="str">
        <f>_xlfn.IFNA(VLOOKUP(Ruimtestaat[[#This Row],[Code Weekend]],Programma!$F$4:$Y$36148,6,0),"_")</f>
        <v>_</v>
      </c>
      <c r="BJ148" s="247" t="str">
        <f>_xlfn.IFNA(VLOOKUP(Ruimtestaat[[#This Row],[Code Weekend]],Programma!$F$4:$Y$36148,7,0),"_")</f>
        <v>_</v>
      </c>
      <c r="BK148" s="247" t="str">
        <f>_xlfn.IFNA(VLOOKUP(Ruimtestaat[[#This Row],[Code Weekend]],Programma!$F$4:$Y$36148,8,0),"_")</f>
        <v>_</v>
      </c>
      <c r="BL148" s="247" t="str">
        <f>_xlfn.IFNA(VLOOKUP(Ruimtestaat[[#This Row],[Code Weekend]],Programma!$F$4:$Y$36148,9,0),"_")</f>
        <v>_</v>
      </c>
      <c r="BM148" s="248" t="str">
        <f>_xlfn.IFNA(VLOOKUP(Ruimtestaat[[#This Row],[Code Weekend]],Programma!$F$4:$Y$36148,10,0),"_")</f>
        <v>_</v>
      </c>
      <c r="BN148" s="248" t="str">
        <f>_xlfn.IFNA(VLOOKUP(Ruimtestaat[[#This Row],[Code Weekend]],Programma!$F$4:$Y$36148,11,0),"_")</f>
        <v>_</v>
      </c>
      <c r="BO148" s="248" t="str">
        <f>_xlfn.IFNA(VLOOKUP(Ruimtestaat[[#This Row],[Code Weekend]],Programma!$F$4:$Y$36148,12,0),"_")</f>
        <v>_</v>
      </c>
      <c r="BP148" s="248" t="str">
        <f>_xlfn.IFNA(VLOOKUP(Ruimtestaat[[#This Row],[Code Weekend]],Programma!$F$4:$Y$36148,13,0),"_")</f>
        <v>_</v>
      </c>
      <c r="BQ148" s="248" t="str">
        <f>_xlfn.IFNA(VLOOKUP(Ruimtestaat[[#This Row],[Code Weekend]],Programma!$F$4:$Y$36148,14,0),"_")</f>
        <v>_</v>
      </c>
      <c r="BR148" s="248" t="str">
        <f>_xlfn.IFNA(VLOOKUP(Ruimtestaat[[#This Row],[Code Weekend]],Programma!$F$4:$Y$36148,15,0),"_")</f>
        <v>_</v>
      </c>
      <c r="BS148" s="248" t="str">
        <f>_xlfn.IFNA(VLOOKUP(Ruimtestaat[[#This Row],[Code Weekend]],Programma!$F$4:$Y$36148,16,0),"_")</f>
        <v>_</v>
      </c>
      <c r="BT148" s="248" t="str">
        <f>_xlfn.IFNA(VLOOKUP(Ruimtestaat[[#This Row],[Code Weekend]],Programma!$F$4:$Y$36148,17,0),"_")</f>
        <v>_</v>
      </c>
      <c r="BU148" s="249" t="str">
        <f>_xlfn.IFNA(VLOOKUP(Ruimtestaat[[#This Row],[Code Weekend]],Programma!$F$4:$Y$36148,18,0),"_")</f>
        <v>_</v>
      </c>
      <c r="BV148" s="249" t="str">
        <f>_xlfn.IFNA(VLOOKUP(Ruimtestaat[[#This Row],[Code Weekend]],Programma!$F$4:$Y$36148,19,0),"_")</f>
        <v>_</v>
      </c>
      <c r="BW148" s="249" t="str">
        <f>_xlfn.IFNA(VLOOKUP(Ruimtestaat[[#This Row],[Code Weekend]],Programma!$F$4:$Y$36148,20,0),"_")</f>
        <v>_</v>
      </c>
    </row>
    <row r="149" spans="1:75" ht="12.75" customHeight="1">
      <c r="A149" s="334">
        <v>1</v>
      </c>
      <c r="B149" s="334" t="str">
        <f>VLOOKUP(Ruimtestaat[[#This Row],[Code]],Locaties[#All],2,FALSE)</f>
        <v>ESH Secondary School</v>
      </c>
      <c r="C149" s="212" t="str">
        <f>VLOOKUP(Ruimtestaat[[#This Row],[Code]],Locaties[#All],4,FALSE)</f>
        <v>Oostduinlaan 50</v>
      </c>
      <c r="D149" s="212" t="str">
        <f>VLOOKUP(Ruimtestaat[[#This Row],[Code]],Locaties[#All],5,FALSE)</f>
        <v>2596 JP</v>
      </c>
      <c r="E149" s="212" t="str">
        <f>VLOOKUP(Ruimtestaat[[#This Row],[Code]],Locaties[#All],6,FALSE)</f>
        <v>Den Haag</v>
      </c>
      <c r="F149" s="335"/>
      <c r="G149" s="334" t="s">
        <v>1677</v>
      </c>
      <c r="H149" s="334" t="s">
        <v>1643</v>
      </c>
      <c r="I149" s="335" t="s">
        <v>1770</v>
      </c>
      <c r="J149" s="328">
        <v>16</v>
      </c>
      <c r="K149" s="336" t="s">
        <v>299</v>
      </c>
      <c r="L149" s="212" t="s">
        <v>123</v>
      </c>
      <c r="M149" s="334" t="s">
        <v>144</v>
      </c>
      <c r="N149" s="337">
        <v>63</v>
      </c>
      <c r="O149" s="331"/>
      <c r="P149" s="332" t="str">
        <f>VLOOKUP(Ruimtestaat[[#This Row],[Ruimte code]],Ruimtegroepen[],4,FALSE)</f>
        <v>L  (Lesruimte)</v>
      </c>
      <c r="Q149" s="332"/>
      <c r="R149" s="333">
        <v>40</v>
      </c>
      <c r="S149" s="333" t="s">
        <v>2</v>
      </c>
      <c r="T149" s="37"/>
      <c r="U149" s="37">
        <f>IF(R149&gt;0,IF(RIGHT(Ruimtestaat[[#This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49" s="37">
        <f>IF(U149&gt;0,VLOOKUP($J149,Ruimtegroepen[],3,FALSE)*VLOOKUP($L149,Vloersoorten[],3,FALSE)*VLOOKUP($S149,Frequenties[],3,FALSE)*VLOOKUP($A149,Locaties[],3,FALSE),0)</f>
        <v>0</v>
      </c>
      <c r="W149" s="37">
        <f>Ruimtestaat[[#This Row],[Uitvoeringen werkdagen]]*Ruimtestaat[[#This Row],[Oppervlak (netto)]]</f>
        <v>12600</v>
      </c>
      <c r="X149" s="37">
        <f>IF(V149&gt;0,Ruimtestaat[[#This Row],[Prest. (m2 /jaar) werkdagen]]/Ruimtestaat[[#This Row],[Norm (m2/uur) werkdagen]],0)</f>
        <v>0</v>
      </c>
      <c r="Y149" s="37">
        <f>Ruimtestaat[[#This Row],[uren / jaar werkdagen]]*Tariefsopbouw!$D$38</f>
        <v>0</v>
      </c>
      <c r="Z149" s="37">
        <f>IF(Ruimtestaat[[#This Row],[Frequentie weekend]]&gt;0,VALUE(LEFT(T149,1))*R149,0)</f>
        <v>0</v>
      </c>
      <c r="AA149" s="37">
        <f>IF($Z149&gt;0,VLOOKUP($J149,Ruimtegroepen[],3,FALSE)*VLOOKUP($L149,Vloersoorten[],3,FALSE)*VLOOKUP($T149,Frequenties[],3,FALSE)*VLOOKUP($A149,Locaties[],3,FALSE),0)</f>
        <v>0</v>
      </c>
      <c r="AB149" s="37">
        <f>Ruimtestaat[[#This Row],[Uitvoeringen weekend]]*Ruimtestaat[[#This Row],[Oppervlak (netto)]]</f>
        <v>0</v>
      </c>
      <c r="AC149" s="37">
        <f>IF(AA149&gt;0,Ruimtestaat[[#This Row],[Prest. (m2 /jaar) weekend]]/Ruimtestaat[[#This Row],[Norm (m2/uur) weekend]],0)</f>
        <v>0</v>
      </c>
      <c r="AD149" s="37">
        <f>Ruimtestaat[[#This Row],[uren / jaar weekend]]*Tariefsopbouw!$D$40</f>
        <v>0</v>
      </c>
      <c r="AE149" s="89">
        <f>Ruimtestaat[[#This Row],[Prest. (m2 /jaar) weekend]]+Ruimtestaat[[#This Row],[Prest. (m2 /jaar) werkdagen]]</f>
        <v>12600</v>
      </c>
      <c r="AF149" s="89">
        <f>Ruimtestaat[[#This Row],[uren / jaar weekend]]+Ruimtestaat[[#This Row],[uren / jaar werkdagen]]</f>
        <v>0</v>
      </c>
      <c r="AG149" s="90">
        <f>Ruimtestaat[[#This Row],[kosten / jaar weekend]]+Ruimtestaat[[#This Row],[kosten / jaar werkdagen]]</f>
        <v>0</v>
      </c>
      <c r="AH149" s="253"/>
      <c r="AI149" s="252" t="str">
        <f>IF(Ruimtestaat[[#This Row],[Frequentie werkdagen]]="","",_xlfn.CONCAT(Ruimtestaat[[#This Row],[Ruimte code]],"-",Ruimtestaat[[#This Row],[Frequentie werkdagen]]," ",Ruimtestaat[[#This Row],[Vloer code]]))</f>
        <v>16-5w P</v>
      </c>
      <c r="AJ149" s="247" t="str">
        <f>_xlfn.IFNA(VLOOKUP(Ruimtestaat[[#This Row],[Programmacode
Regulier]],Programma!$F$4:$Y$36148,2,0),"_")</f>
        <v>_</v>
      </c>
      <c r="AK149" s="247" t="str">
        <f>_xlfn.IFNA(VLOOKUP(Ruimtestaat[[#This Row],[Programmacode
Regulier]],Programma!$F$4:$Y$36148,3,0),"_")</f>
        <v>_</v>
      </c>
      <c r="AL149" s="247" t="str">
        <f>_xlfn.IFNA(VLOOKUP(Ruimtestaat[[#This Row],[Programmacode
Regulier]],Programma!$F$4:$Y$36148,4,0),"_")</f>
        <v>5w</v>
      </c>
      <c r="AM149" s="247" t="str">
        <f>_xlfn.IFNA(VLOOKUP(Ruimtestaat[[#This Row],[Programmacode
Regulier]],Programma!$F$4:$Y$36148,5,0),"_")</f>
        <v>1w</v>
      </c>
      <c r="AN149" s="247" t="str">
        <f>_xlfn.IFNA(VLOOKUP(Ruimtestaat[[#This Row],[Programmacode
Regulier]],Programma!$F$4:$Y$36148,6,0),"_")</f>
        <v>1m</v>
      </c>
      <c r="AO149" s="247" t="str">
        <f>_xlfn.IFNA(VLOOKUP(Ruimtestaat[[#This Row],[Programmacode
Regulier]],Programma!$F$4:$Y$36148,7,0),"_")</f>
        <v>_</v>
      </c>
      <c r="AP149" s="247" t="str">
        <f>_xlfn.IFNA(VLOOKUP(Ruimtestaat[[#This Row],[Programmacode
Regulier]],Programma!$F$4:$Y$36148,8,0),"_")</f>
        <v>_</v>
      </c>
      <c r="AQ149" s="247" t="str">
        <f>_xlfn.IFNA(VLOOKUP(Ruimtestaat[[#This Row],[Programmacode
Regulier]],Programma!$F$4:$Y$36148,9,0),"_")</f>
        <v>_</v>
      </c>
      <c r="AR149" s="248" t="str">
        <f>_xlfn.IFNA(VLOOKUP(Ruimtestaat[[#This Row],[Programmacode
Regulier]],Programma!$F$4:$Y$36148,10,0),"_")</f>
        <v>5w</v>
      </c>
      <c r="AS149" s="248" t="str">
        <f>_xlfn.IFNA(VLOOKUP(Ruimtestaat[[#This Row],[Programmacode
Regulier]],Programma!$F$4:$Y$36148,11,0),"_")</f>
        <v>5w</v>
      </c>
      <c r="AT149" s="248" t="str">
        <f>_xlfn.IFNA(VLOOKUP(Ruimtestaat[[#This Row],[Programmacode
Regulier]],Programma!$F$4:$Y$36148,12,0),"_")</f>
        <v>1w</v>
      </c>
      <c r="AU149" s="248" t="str">
        <f>_xlfn.IFNA(VLOOKUP(Ruimtestaat[[#This Row],[Programmacode
Regulier]],Programma!$F$4:$Y$36148,13,0),"_")</f>
        <v>1w</v>
      </c>
      <c r="AV149" s="248" t="str">
        <f>_xlfn.IFNA(VLOOKUP(Ruimtestaat[[#This Row],[Programmacode
Regulier]],Programma!$F$4:$Y$36148,14,0),"_")</f>
        <v>1m</v>
      </c>
      <c r="AW149" s="248" t="str">
        <f>_xlfn.IFNA(VLOOKUP(Ruimtestaat[[#This Row],[Programmacode
Regulier]],Programma!$F$4:$Y$36148,15,0),"_")</f>
        <v>2j</v>
      </c>
      <c r="AX149" s="248" t="str">
        <f>_xlfn.IFNA(VLOOKUP(Ruimtestaat[[#This Row],[Programmacode
Regulier]],Programma!$F$4:$Y$36148,16,0),"_")</f>
        <v>1j</v>
      </c>
      <c r="AY149" s="248" t="str">
        <f>_xlfn.IFNA(VLOOKUP(Ruimtestaat[[#This Row],[Programmacode
Regulier]],Programma!$F$4:$Y$36148,17,0),"_")</f>
        <v>_</v>
      </c>
      <c r="AZ149" s="249" t="str">
        <f>_xlfn.IFNA(VLOOKUP(Ruimtestaat[[#This Row],[Programmacode
Regulier]],Programma!$F$4:$Y$36148,18,0),"_")</f>
        <v>_</v>
      </c>
      <c r="BA149" s="249" t="str">
        <f>_xlfn.IFNA(VLOOKUP(Ruimtestaat[[#This Row],[Programmacode
Regulier]],Programma!$F$4:$Y$36148,19,0),"_")</f>
        <v>_</v>
      </c>
      <c r="BB149" s="249" t="str">
        <f>_xlfn.IFNA(VLOOKUP(Ruimtestaat[[#This Row],[Programmacode
Regulier]],Programma!$F$4:$Y$36148,20,0),"_")</f>
        <v>_</v>
      </c>
      <c r="BC149" s="250"/>
      <c r="BD149" s="212" t="str">
        <f>IF(Ruimtestaat[[#This Row],[Frequentie weekend]]="","",_xlfn.CONCAT(Ruimtestaat[[#This Row],[Ruimte code]],"-",Ruimtestaat[[#This Row],[Frequentie weekend]]," ",Ruimtestaat[[#This Row],[Vloer code]]))</f>
        <v/>
      </c>
      <c r="BE149" s="247" t="str">
        <f>_xlfn.IFNA(VLOOKUP(Ruimtestaat[[#This Row],[Code Weekend]],Programma!$F$4:$Y$36148,2,0),"_")</f>
        <v>_</v>
      </c>
      <c r="BF149" s="247" t="str">
        <f>_xlfn.IFNA(VLOOKUP(Ruimtestaat[[#This Row],[Code Weekend]],Programma!$F$4:$Y$36148,3,0),"_")</f>
        <v>_</v>
      </c>
      <c r="BG149" s="247" t="str">
        <f>_xlfn.IFNA(VLOOKUP(Ruimtestaat[[#This Row],[Code Weekend]],Programma!$F$4:$Y$36148,4,0),"_")</f>
        <v>_</v>
      </c>
      <c r="BH149" s="247" t="str">
        <f>_xlfn.IFNA(VLOOKUP(Ruimtestaat[[#This Row],[Code Weekend]],Programma!$F$4:$Y$36148,5,0),"_")</f>
        <v>_</v>
      </c>
      <c r="BI149" s="247" t="str">
        <f>_xlfn.IFNA(VLOOKUP(Ruimtestaat[[#This Row],[Code Weekend]],Programma!$F$4:$Y$36148,6,0),"_")</f>
        <v>_</v>
      </c>
      <c r="BJ149" s="247" t="str">
        <f>_xlfn.IFNA(VLOOKUP(Ruimtestaat[[#This Row],[Code Weekend]],Programma!$F$4:$Y$36148,7,0),"_")</f>
        <v>_</v>
      </c>
      <c r="BK149" s="247" t="str">
        <f>_xlfn.IFNA(VLOOKUP(Ruimtestaat[[#This Row],[Code Weekend]],Programma!$F$4:$Y$36148,8,0),"_")</f>
        <v>_</v>
      </c>
      <c r="BL149" s="247" t="str">
        <f>_xlfn.IFNA(VLOOKUP(Ruimtestaat[[#This Row],[Code Weekend]],Programma!$F$4:$Y$36148,9,0),"_")</f>
        <v>_</v>
      </c>
      <c r="BM149" s="248" t="str">
        <f>_xlfn.IFNA(VLOOKUP(Ruimtestaat[[#This Row],[Code Weekend]],Programma!$F$4:$Y$36148,10,0),"_")</f>
        <v>_</v>
      </c>
      <c r="BN149" s="248" t="str">
        <f>_xlfn.IFNA(VLOOKUP(Ruimtestaat[[#This Row],[Code Weekend]],Programma!$F$4:$Y$36148,11,0),"_")</f>
        <v>_</v>
      </c>
      <c r="BO149" s="248" t="str">
        <f>_xlfn.IFNA(VLOOKUP(Ruimtestaat[[#This Row],[Code Weekend]],Programma!$F$4:$Y$36148,12,0),"_")</f>
        <v>_</v>
      </c>
      <c r="BP149" s="248" t="str">
        <f>_xlfn.IFNA(VLOOKUP(Ruimtestaat[[#This Row],[Code Weekend]],Programma!$F$4:$Y$36148,13,0),"_")</f>
        <v>_</v>
      </c>
      <c r="BQ149" s="248" t="str">
        <f>_xlfn.IFNA(VLOOKUP(Ruimtestaat[[#This Row],[Code Weekend]],Programma!$F$4:$Y$36148,14,0),"_")</f>
        <v>_</v>
      </c>
      <c r="BR149" s="248" t="str">
        <f>_xlfn.IFNA(VLOOKUP(Ruimtestaat[[#This Row],[Code Weekend]],Programma!$F$4:$Y$36148,15,0),"_")</f>
        <v>_</v>
      </c>
      <c r="BS149" s="248" t="str">
        <f>_xlfn.IFNA(VLOOKUP(Ruimtestaat[[#This Row],[Code Weekend]],Programma!$F$4:$Y$36148,16,0),"_")</f>
        <v>_</v>
      </c>
      <c r="BT149" s="248" t="str">
        <f>_xlfn.IFNA(VLOOKUP(Ruimtestaat[[#This Row],[Code Weekend]],Programma!$F$4:$Y$36148,17,0),"_")</f>
        <v>_</v>
      </c>
      <c r="BU149" s="249" t="str">
        <f>_xlfn.IFNA(VLOOKUP(Ruimtestaat[[#This Row],[Code Weekend]],Programma!$F$4:$Y$36148,18,0),"_")</f>
        <v>_</v>
      </c>
      <c r="BV149" s="249" t="str">
        <f>_xlfn.IFNA(VLOOKUP(Ruimtestaat[[#This Row],[Code Weekend]],Programma!$F$4:$Y$36148,19,0),"_")</f>
        <v>_</v>
      </c>
      <c r="BW149" s="249" t="str">
        <f>_xlfn.IFNA(VLOOKUP(Ruimtestaat[[#This Row],[Code Weekend]],Programma!$F$4:$Y$36148,20,0),"_")</f>
        <v>_</v>
      </c>
    </row>
    <row r="150" spans="1:75" ht="12.75" customHeight="1">
      <c r="A150" s="334">
        <v>1</v>
      </c>
      <c r="B150" s="334" t="str">
        <f>VLOOKUP(Ruimtestaat[[#This Row],[Code]],Locaties[#All],2,FALSE)</f>
        <v>ESH Secondary School</v>
      </c>
      <c r="C150" s="212" t="str">
        <f>VLOOKUP(Ruimtestaat[[#This Row],[Code]],Locaties[#All],4,FALSE)</f>
        <v>Oostduinlaan 50</v>
      </c>
      <c r="D150" s="212" t="str">
        <f>VLOOKUP(Ruimtestaat[[#This Row],[Code]],Locaties[#All],5,FALSE)</f>
        <v>2596 JP</v>
      </c>
      <c r="E150" s="212" t="str">
        <f>VLOOKUP(Ruimtestaat[[#This Row],[Code]],Locaties[#All],6,FALSE)</f>
        <v>Den Haag</v>
      </c>
      <c r="F150" s="335"/>
      <c r="G150" s="334" t="s">
        <v>1677</v>
      </c>
      <c r="H150" s="334" t="s">
        <v>1644</v>
      </c>
      <c r="I150" s="335" t="s">
        <v>1771</v>
      </c>
      <c r="J150" s="333">
        <v>1</v>
      </c>
      <c r="K150" s="336" t="s">
        <v>69</v>
      </c>
      <c r="L150" s="212" t="s">
        <v>123</v>
      </c>
      <c r="M150" s="334" t="s">
        <v>144</v>
      </c>
      <c r="N150" s="337">
        <v>20</v>
      </c>
      <c r="O150" s="331"/>
      <c r="P150" s="332" t="str">
        <f>VLOOKUP(Ruimtestaat[[#This Row],[Ruimte code]],Ruimtegroepen[],4,FALSE)</f>
        <v>V  (Verkeersruimte)</v>
      </c>
      <c r="Q150" s="332"/>
      <c r="R150" s="333">
        <v>40</v>
      </c>
      <c r="S150" s="333" t="s">
        <v>16</v>
      </c>
      <c r="T150" s="37"/>
      <c r="U150" s="37">
        <f>IF(R150&gt;0,IF(RIGHT(Ruimtestaat[[#This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150" s="37">
        <f>IF(U150&gt;0,VLOOKUP($J150,Ruimtegroepen[],3,FALSE)*VLOOKUP($L150,Vloersoorten[],3,FALSE)*VLOOKUP($S150,Frequenties[],3,FALSE)*VLOOKUP($A150,Locaties[],3,FALSE),0)</f>
        <v>0</v>
      </c>
      <c r="W150" s="37">
        <f>Ruimtestaat[[#This Row],[Uitvoeringen werkdagen]]*Ruimtestaat[[#This Row],[Oppervlak (netto)]]</f>
        <v>240</v>
      </c>
      <c r="X150" s="37">
        <f>IF(V150&gt;0,Ruimtestaat[[#This Row],[Prest. (m2 /jaar) werkdagen]]/Ruimtestaat[[#This Row],[Norm (m2/uur) werkdagen]],0)</f>
        <v>0</v>
      </c>
      <c r="Y150" s="37">
        <f>Ruimtestaat[[#This Row],[uren / jaar werkdagen]]*Tariefsopbouw!$D$38</f>
        <v>0</v>
      </c>
      <c r="Z150" s="37">
        <f>IF(Ruimtestaat[[#This Row],[Frequentie weekend]]&gt;0,VALUE(LEFT(T150,1))*R150,0)</f>
        <v>0</v>
      </c>
      <c r="AA150" s="37">
        <f>IF($Z150&gt;0,VLOOKUP($J150,Ruimtegroepen[],3,FALSE)*VLOOKUP($L150,Vloersoorten[],3,FALSE)*VLOOKUP($T150,Frequenties[],3,FALSE)*VLOOKUP($A150,Locaties[],3,FALSE),0)</f>
        <v>0</v>
      </c>
      <c r="AB150" s="37">
        <f>Ruimtestaat[[#This Row],[Uitvoeringen weekend]]*Ruimtestaat[[#This Row],[Oppervlak (netto)]]</f>
        <v>0</v>
      </c>
      <c r="AC150" s="37">
        <f>IF(AA150&gt;0,Ruimtestaat[[#This Row],[Prest. (m2 /jaar) weekend]]/Ruimtestaat[[#This Row],[Norm (m2/uur) weekend]],0)</f>
        <v>0</v>
      </c>
      <c r="AD150" s="37">
        <f>Ruimtestaat[[#This Row],[uren / jaar weekend]]*Tariefsopbouw!$D$40</f>
        <v>0</v>
      </c>
      <c r="AE150" s="89">
        <f>Ruimtestaat[[#This Row],[Prest. (m2 /jaar) weekend]]+Ruimtestaat[[#This Row],[Prest. (m2 /jaar) werkdagen]]</f>
        <v>240</v>
      </c>
      <c r="AF150" s="89">
        <f>Ruimtestaat[[#This Row],[uren / jaar weekend]]+Ruimtestaat[[#This Row],[uren / jaar werkdagen]]</f>
        <v>0</v>
      </c>
      <c r="AG150" s="90">
        <f>Ruimtestaat[[#This Row],[kosten / jaar weekend]]+Ruimtestaat[[#This Row],[kosten / jaar werkdagen]]</f>
        <v>0</v>
      </c>
      <c r="AH150" s="253"/>
      <c r="AI150" s="252" t="str">
        <f>IF(Ruimtestaat[[#This Row],[Frequentie werkdagen]]="","",_xlfn.CONCAT(Ruimtestaat[[#This Row],[Ruimte code]],"-",Ruimtestaat[[#This Row],[Frequentie werkdagen]]," ",Ruimtestaat[[#This Row],[Vloer code]]))</f>
        <v>1-1m P</v>
      </c>
      <c r="AJ150" s="247" t="str">
        <f>_xlfn.IFNA(VLOOKUP(Ruimtestaat[[#This Row],[Programmacode
Regulier]],Programma!$F$4:$Y$36148,2,0),"_")</f>
        <v>_</v>
      </c>
      <c r="AK150" s="247" t="str">
        <f>_xlfn.IFNA(VLOOKUP(Ruimtestaat[[#This Row],[Programmacode
Regulier]],Programma!$F$4:$Y$36148,3,0),"_")</f>
        <v>_</v>
      </c>
      <c r="AL150" s="247" t="str">
        <f>_xlfn.IFNA(VLOOKUP(Ruimtestaat[[#This Row],[Programmacode
Regulier]],Programma!$F$4:$Y$36148,4,0),"_")</f>
        <v>1m</v>
      </c>
      <c r="AM150" s="247" t="str">
        <f>_xlfn.IFNA(VLOOKUP(Ruimtestaat[[#This Row],[Programmacode
Regulier]],Programma!$F$4:$Y$36148,5,0),"_")</f>
        <v>1m</v>
      </c>
      <c r="AN150" s="247" t="str">
        <f>_xlfn.IFNA(VLOOKUP(Ruimtestaat[[#This Row],[Programmacode
Regulier]],Programma!$F$4:$Y$36148,6,0),"_")</f>
        <v>_</v>
      </c>
      <c r="AO150" s="247" t="str">
        <f>_xlfn.IFNA(VLOOKUP(Ruimtestaat[[#This Row],[Programmacode
Regulier]],Programma!$F$4:$Y$36148,7,0),"_")</f>
        <v>_</v>
      </c>
      <c r="AP150" s="247" t="str">
        <f>_xlfn.IFNA(VLOOKUP(Ruimtestaat[[#This Row],[Programmacode
Regulier]],Programma!$F$4:$Y$36148,8,0),"_")</f>
        <v>_</v>
      </c>
      <c r="AQ150" s="247" t="str">
        <f>_xlfn.IFNA(VLOOKUP(Ruimtestaat[[#This Row],[Programmacode
Regulier]],Programma!$F$4:$Y$36148,9,0),"_")</f>
        <v>_</v>
      </c>
      <c r="AR150" s="248" t="str">
        <f>_xlfn.IFNA(VLOOKUP(Ruimtestaat[[#This Row],[Programmacode
Regulier]],Programma!$F$4:$Y$36148,10,0),"_")</f>
        <v>_</v>
      </c>
      <c r="AS150" s="248" t="str">
        <f>_xlfn.IFNA(VLOOKUP(Ruimtestaat[[#This Row],[Programmacode
Regulier]],Programma!$F$4:$Y$36148,11,0),"_")</f>
        <v>_</v>
      </c>
      <c r="AT150" s="248" t="str">
        <f>_xlfn.IFNA(VLOOKUP(Ruimtestaat[[#This Row],[Programmacode
Regulier]],Programma!$F$4:$Y$36148,12,0),"_")</f>
        <v>_</v>
      </c>
      <c r="AU150" s="248" t="str">
        <f>_xlfn.IFNA(VLOOKUP(Ruimtestaat[[#This Row],[Programmacode
Regulier]],Programma!$F$4:$Y$36148,13,0),"_")</f>
        <v>_</v>
      </c>
      <c r="AV150" s="248" t="str">
        <f>_xlfn.IFNA(VLOOKUP(Ruimtestaat[[#This Row],[Programmacode
Regulier]],Programma!$F$4:$Y$36148,14,0),"_")</f>
        <v>1j</v>
      </c>
      <c r="AW150" s="248" t="str">
        <f>_xlfn.IFNA(VLOOKUP(Ruimtestaat[[#This Row],[Programmacode
Regulier]],Programma!$F$4:$Y$36148,15,0),"_")</f>
        <v>1j</v>
      </c>
      <c r="AX150" s="248" t="str">
        <f>_xlfn.IFNA(VLOOKUP(Ruimtestaat[[#This Row],[Programmacode
Regulier]],Programma!$F$4:$Y$36148,16,0),"_")</f>
        <v>1j</v>
      </c>
      <c r="AY150" s="248" t="str">
        <f>_xlfn.IFNA(VLOOKUP(Ruimtestaat[[#This Row],[Programmacode
Regulier]],Programma!$F$4:$Y$36148,17,0),"_")</f>
        <v>_</v>
      </c>
      <c r="AZ150" s="249" t="str">
        <f>_xlfn.IFNA(VLOOKUP(Ruimtestaat[[#This Row],[Programmacode
Regulier]],Programma!$F$4:$Y$36148,18,0),"_")</f>
        <v>_</v>
      </c>
      <c r="BA150" s="249" t="str">
        <f>_xlfn.IFNA(VLOOKUP(Ruimtestaat[[#This Row],[Programmacode
Regulier]],Programma!$F$4:$Y$36148,19,0),"_")</f>
        <v>_</v>
      </c>
      <c r="BB150" s="249" t="str">
        <f>_xlfn.IFNA(VLOOKUP(Ruimtestaat[[#This Row],[Programmacode
Regulier]],Programma!$F$4:$Y$36148,20,0),"_")</f>
        <v>_</v>
      </c>
      <c r="BC150" s="250"/>
      <c r="BD150" s="212" t="str">
        <f>IF(Ruimtestaat[[#This Row],[Frequentie weekend]]="","",_xlfn.CONCAT(Ruimtestaat[[#This Row],[Ruimte code]],"-",Ruimtestaat[[#This Row],[Frequentie weekend]]," ",Ruimtestaat[[#This Row],[Vloer code]]))</f>
        <v/>
      </c>
      <c r="BE150" s="247" t="str">
        <f>_xlfn.IFNA(VLOOKUP(Ruimtestaat[[#This Row],[Code Weekend]],Programma!$F$4:$Y$36148,2,0),"_")</f>
        <v>_</v>
      </c>
      <c r="BF150" s="247" t="str">
        <f>_xlfn.IFNA(VLOOKUP(Ruimtestaat[[#This Row],[Code Weekend]],Programma!$F$4:$Y$36148,3,0),"_")</f>
        <v>_</v>
      </c>
      <c r="BG150" s="247" t="str">
        <f>_xlfn.IFNA(VLOOKUP(Ruimtestaat[[#This Row],[Code Weekend]],Programma!$F$4:$Y$36148,4,0),"_")</f>
        <v>_</v>
      </c>
      <c r="BH150" s="247" t="str">
        <f>_xlfn.IFNA(VLOOKUP(Ruimtestaat[[#This Row],[Code Weekend]],Programma!$F$4:$Y$36148,5,0),"_")</f>
        <v>_</v>
      </c>
      <c r="BI150" s="247" t="str">
        <f>_xlfn.IFNA(VLOOKUP(Ruimtestaat[[#This Row],[Code Weekend]],Programma!$F$4:$Y$36148,6,0),"_")</f>
        <v>_</v>
      </c>
      <c r="BJ150" s="247" t="str">
        <f>_xlfn.IFNA(VLOOKUP(Ruimtestaat[[#This Row],[Code Weekend]],Programma!$F$4:$Y$36148,7,0),"_")</f>
        <v>_</v>
      </c>
      <c r="BK150" s="247" t="str">
        <f>_xlfn.IFNA(VLOOKUP(Ruimtestaat[[#This Row],[Code Weekend]],Programma!$F$4:$Y$36148,8,0),"_")</f>
        <v>_</v>
      </c>
      <c r="BL150" s="247" t="str">
        <f>_xlfn.IFNA(VLOOKUP(Ruimtestaat[[#This Row],[Code Weekend]],Programma!$F$4:$Y$36148,9,0),"_")</f>
        <v>_</v>
      </c>
      <c r="BM150" s="248" t="str">
        <f>_xlfn.IFNA(VLOOKUP(Ruimtestaat[[#This Row],[Code Weekend]],Programma!$F$4:$Y$36148,10,0),"_")</f>
        <v>_</v>
      </c>
      <c r="BN150" s="248" t="str">
        <f>_xlfn.IFNA(VLOOKUP(Ruimtestaat[[#This Row],[Code Weekend]],Programma!$F$4:$Y$36148,11,0),"_")</f>
        <v>_</v>
      </c>
      <c r="BO150" s="248" t="str">
        <f>_xlfn.IFNA(VLOOKUP(Ruimtestaat[[#This Row],[Code Weekend]],Programma!$F$4:$Y$36148,12,0),"_")</f>
        <v>_</v>
      </c>
      <c r="BP150" s="248" t="str">
        <f>_xlfn.IFNA(VLOOKUP(Ruimtestaat[[#This Row],[Code Weekend]],Programma!$F$4:$Y$36148,13,0),"_")</f>
        <v>_</v>
      </c>
      <c r="BQ150" s="248" t="str">
        <f>_xlfn.IFNA(VLOOKUP(Ruimtestaat[[#This Row],[Code Weekend]],Programma!$F$4:$Y$36148,14,0),"_")</f>
        <v>_</v>
      </c>
      <c r="BR150" s="248" t="str">
        <f>_xlfn.IFNA(VLOOKUP(Ruimtestaat[[#This Row],[Code Weekend]],Programma!$F$4:$Y$36148,15,0),"_")</f>
        <v>_</v>
      </c>
      <c r="BS150" s="248" t="str">
        <f>_xlfn.IFNA(VLOOKUP(Ruimtestaat[[#This Row],[Code Weekend]],Programma!$F$4:$Y$36148,16,0),"_")</f>
        <v>_</v>
      </c>
      <c r="BT150" s="248" t="str">
        <f>_xlfn.IFNA(VLOOKUP(Ruimtestaat[[#This Row],[Code Weekend]],Programma!$F$4:$Y$36148,17,0),"_")</f>
        <v>_</v>
      </c>
      <c r="BU150" s="249" t="str">
        <f>_xlfn.IFNA(VLOOKUP(Ruimtestaat[[#This Row],[Code Weekend]],Programma!$F$4:$Y$36148,18,0),"_")</f>
        <v>_</v>
      </c>
      <c r="BV150" s="249" t="str">
        <f>_xlfn.IFNA(VLOOKUP(Ruimtestaat[[#This Row],[Code Weekend]],Programma!$F$4:$Y$36148,19,0),"_")</f>
        <v>_</v>
      </c>
      <c r="BW150" s="249" t="str">
        <f>_xlfn.IFNA(VLOOKUP(Ruimtestaat[[#This Row],[Code Weekend]],Programma!$F$4:$Y$36148,20,0),"_")</f>
        <v>_</v>
      </c>
    </row>
    <row r="151" spans="1:75" ht="12.75" customHeight="1">
      <c r="A151" s="334">
        <v>1</v>
      </c>
      <c r="B151" s="334" t="str">
        <f>VLOOKUP(Ruimtestaat[[#This Row],[Code]],Locaties[#All],2,FALSE)</f>
        <v>ESH Secondary School</v>
      </c>
      <c r="C151" s="212" t="str">
        <f>VLOOKUP(Ruimtestaat[[#This Row],[Code]],Locaties[#All],4,FALSE)</f>
        <v>Oostduinlaan 50</v>
      </c>
      <c r="D151" s="212" t="str">
        <f>VLOOKUP(Ruimtestaat[[#This Row],[Code]],Locaties[#All],5,FALSE)</f>
        <v>2596 JP</v>
      </c>
      <c r="E151" s="212" t="str">
        <f>VLOOKUP(Ruimtestaat[[#This Row],[Code]],Locaties[#All],6,FALSE)</f>
        <v>Den Haag</v>
      </c>
      <c r="F151" s="335"/>
      <c r="G151" s="334" t="s">
        <v>1677</v>
      </c>
      <c r="H151" s="334" t="s">
        <v>1645</v>
      </c>
      <c r="I151" s="335" t="s">
        <v>1770</v>
      </c>
      <c r="J151" s="328">
        <v>16</v>
      </c>
      <c r="K151" s="336" t="s">
        <v>299</v>
      </c>
      <c r="L151" s="212" t="s">
        <v>123</v>
      </c>
      <c r="M151" s="334" t="s">
        <v>144</v>
      </c>
      <c r="N151" s="337">
        <v>63</v>
      </c>
      <c r="O151" s="331"/>
      <c r="P151" s="332" t="str">
        <f>VLOOKUP(Ruimtestaat[[#This Row],[Ruimte code]],Ruimtegroepen[],4,FALSE)</f>
        <v>L  (Lesruimte)</v>
      </c>
      <c r="Q151" s="332"/>
      <c r="R151" s="333">
        <v>40</v>
      </c>
      <c r="S151" s="333" t="s">
        <v>2</v>
      </c>
      <c r="T151" s="37"/>
      <c r="U151" s="37">
        <f>IF(R151&gt;0,IF(RIGHT(Ruimtestaat[[#This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51" s="37">
        <f>IF(U151&gt;0,VLOOKUP($J151,Ruimtegroepen[],3,FALSE)*VLOOKUP($L151,Vloersoorten[],3,FALSE)*VLOOKUP($S151,Frequenties[],3,FALSE)*VLOOKUP($A151,Locaties[],3,FALSE),0)</f>
        <v>0</v>
      </c>
      <c r="W151" s="37">
        <f>Ruimtestaat[[#This Row],[Uitvoeringen werkdagen]]*Ruimtestaat[[#This Row],[Oppervlak (netto)]]</f>
        <v>12600</v>
      </c>
      <c r="X151" s="37">
        <f>IF(V151&gt;0,Ruimtestaat[[#This Row],[Prest. (m2 /jaar) werkdagen]]/Ruimtestaat[[#This Row],[Norm (m2/uur) werkdagen]],0)</f>
        <v>0</v>
      </c>
      <c r="Y151" s="37">
        <f>Ruimtestaat[[#This Row],[uren / jaar werkdagen]]*Tariefsopbouw!$D$38</f>
        <v>0</v>
      </c>
      <c r="Z151" s="37">
        <f>IF(Ruimtestaat[[#This Row],[Frequentie weekend]]&gt;0,VALUE(LEFT(T151,1))*R151,0)</f>
        <v>0</v>
      </c>
      <c r="AA151" s="37">
        <f>IF($Z151&gt;0,VLOOKUP($J151,Ruimtegroepen[],3,FALSE)*VLOOKUP($L151,Vloersoorten[],3,FALSE)*VLOOKUP($T151,Frequenties[],3,FALSE)*VLOOKUP($A151,Locaties[],3,FALSE),0)</f>
        <v>0</v>
      </c>
      <c r="AB151" s="37">
        <f>Ruimtestaat[[#This Row],[Uitvoeringen weekend]]*Ruimtestaat[[#This Row],[Oppervlak (netto)]]</f>
        <v>0</v>
      </c>
      <c r="AC151" s="37">
        <f>IF(AA151&gt;0,Ruimtestaat[[#This Row],[Prest. (m2 /jaar) weekend]]/Ruimtestaat[[#This Row],[Norm (m2/uur) weekend]],0)</f>
        <v>0</v>
      </c>
      <c r="AD151" s="37">
        <f>Ruimtestaat[[#This Row],[uren / jaar weekend]]*Tariefsopbouw!$D$40</f>
        <v>0</v>
      </c>
      <c r="AE151" s="89">
        <f>Ruimtestaat[[#This Row],[Prest. (m2 /jaar) weekend]]+Ruimtestaat[[#This Row],[Prest. (m2 /jaar) werkdagen]]</f>
        <v>12600</v>
      </c>
      <c r="AF151" s="89">
        <f>Ruimtestaat[[#This Row],[uren / jaar weekend]]+Ruimtestaat[[#This Row],[uren / jaar werkdagen]]</f>
        <v>0</v>
      </c>
      <c r="AG151" s="90">
        <f>Ruimtestaat[[#This Row],[kosten / jaar weekend]]+Ruimtestaat[[#This Row],[kosten / jaar werkdagen]]</f>
        <v>0</v>
      </c>
      <c r="AH151" s="253"/>
      <c r="AI151" s="252" t="str">
        <f>IF(Ruimtestaat[[#This Row],[Frequentie werkdagen]]="","",_xlfn.CONCAT(Ruimtestaat[[#This Row],[Ruimte code]],"-",Ruimtestaat[[#This Row],[Frequentie werkdagen]]," ",Ruimtestaat[[#This Row],[Vloer code]]))</f>
        <v>16-5w P</v>
      </c>
      <c r="AJ151" s="247" t="str">
        <f>_xlfn.IFNA(VLOOKUP(Ruimtestaat[[#This Row],[Programmacode
Regulier]],Programma!$F$4:$Y$36148,2,0),"_")</f>
        <v>_</v>
      </c>
      <c r="AK151" s="247" t="str">
        <f>_xlfn.IFNA(VLOOKUP(Ruimtestaat[[#This Row],[Programmacode
Regulier]],Programma!$F$4:$Y$36148,3,0),"_")</f>
        <v>_</v>
      </c>
      <c r="AL151" s="247" t="str">
        <f>_xlfn.IFNA(VLOOKUP(Ruimtestaat[[#This Row],[Programmacode
Regulier]],Programma!$F$4:$Y$36148,4,0),"_")</f>
        <v>5w</v>
      </c>
      <c r="AM151" s="247" t="str">
        <f>_xlfn.IFNA(VLOOKUP(Ruimtestaat[[#This Row],[Programmacode
Regulier]],Programma!$F$4:$Y$36148,5,0),"_")</f>
        <v>1w</v>
      </c>
      <c r="AN151" s="247" t="str">
        <f>_xlfn.IFNA(VLOOKUP(Ruimtestaat[[#This Row],[Programmacode
Regulier]],Programma!$F$4:$Y$36148,6,0),"_")</f>
        <v>1m</v>
      </c>
      <c r="AO151" s="247" t="str">
        <f>_xlfn.IFNA(VLOOKUP(Ruimtestaat[[#This Row],[Programmacode
Regulier]],Programma!$F$4:$Y$36148,7,0),"_")</f>
        <v>_</v>
      </c>
      <c r="AP151" s="247" t="str">
        <f>_xlfn.IFNA(VLOOKUP(Ruimtestaat[[#This Row],[Programmacode
Regulier]],Programma!$F$4:$Y$36148,8,0),"_")</f>
        <v>_</v>
      </c>
      <c r="AQ151" s="247" t="str">
        <f>_xlfn.IFNA(VLOOKUP(Ruimtestaat[[#This Row],[Programmacode
Regulier]],Programma!$F$4:$Y$36148,9,0),"_")</f>
        <v>_</v>
      </c>
      <c r="AR151" s="248" t="str">
        <f>_xlfn.IFNA(VLOOKUP(Ruimtestaat[[#This Row],[Programmacode
Regulier]],Programma!$F$4:$Y$36148,10,0),"_")</f>
        <v>5w</v>
      </c>
      <c r="AS151" s="248" t="str">
        <f>_xlfn.IFNA(VLOOKUP(Ruimtestaat[[#This Row],[Programmacode
Regulier]],Programma!$F$4:$Y$36148,11,0),"_")</f>
        <v>5w</v>
      </c>
      <c r="AT151" s="248" t="str">
        <f>_xlfn.IFNA(VLOOKUP(Ruimtestaat[[#This Row],[Programmacode
Regulier]],Programma!$F$4:$Y$36148,12,0),"_")</f>
        <v>1w</v>
      </c>
      <c r="AU151" s="248" t="str">
        <f>_xlfn.IFNA(VLOOKUP(Ruimtestaat[[#This Row],[Programmacode
Regulier]],Programma!$F$4:$Y$36148,13,0),"_")</f>
        <v>1w</v>
      </c>
      <c r="AV151" s="248" t="str">
        <f>_xlfn.IFNA(VLOOKUP(Ruimtestaat[[#This Row],[Programmacode
Regulier]],Programma!$F$4:$Y$36148,14,0),"_")</f>
        <v>1m</v>
      </c>
      <c r="AW151" s="248" t="str">
        <f>_xlfn.IFNA(VLOOKUP(Ruimtestaat[[#This Row],[Programmacode
Regulier]],Programma!$F$4:$Y$36148,15,0),"_")</f>
        <v>2j</v>
      </c>
      <c r="AX151" s="248" t="str">
        <f>_xlfn.IFNA(VLOOKUP(Ruimtestaat[[#This Row],[Programmacode
Regulier]],Programma!$F$4:$Y$36148,16,0),"_")</f>
        <v>1j</v>
      </c>
      <c r="AY151" s="248" t="str">
        <f>_xlfn.IFNA(VLOOKUP(Ruimtestaat[[#This Row],[Programmacode
Regulier]],Programma!$F$4:$Y$36148,17,0),"_")</f>
        <v>_</v>
      </c>
      <c r="AZ151" s="249" t="str">
        <f>_xlfn.IFNA(VLOOKUP(Ruimtestaat[[#This Row],[Programmacode
Regulier]],Programma!$F$4:$Y$36148,18,0),"_")</f>
        <v>_</v>
      </c>
      <c r="BA151" s="249" t="str">
        <f>_xlfn.IFNA(VLOOKUP(Ruimtestaat[[#This Row],[Programmacode
Regulier]],Programma!$F$4:$Y$36148,19,0),"_")</f>
        <v>_</v>
      </c>
      <c r="BB151" s="249" t="str">
        <f>_xlfn.IFNA(VLOOKUP(Ruimtestaat[[#This Row],[Programmacode
Regulier]],Programma!$F$4:$Y$36148,20,0),"_")</f>
        <v>_</v>
      </c>
      <c r="BC151" s="250"/>
      <c r="BD151" s="212" t="str">
        <f>IF(Ruimtestaat[[#This Row],[Frequentie weekend]]="","",_xlfn.CONCAT(Ruimtestaat[[#This Row],[Ruimte code]],"-",Ruimtestaat[[#This Row],[Frequentie weekend]]," ",Ruimtestaat[[#This Row],[Vloer code]]))</f>
        <v/>
      </c>
      <c r="BE151" s="247" t="str">
        <f>_xlfn.IFNA(VLOOKUP(Ruimtestaat[[#This Row],[Code Weekend]],Programma!$F$4:$Y$36148,2,0),"_")</f>
        <v>_</v>
      </c>
      <c r="BF151" s="247" t="str">
        <f>_xlfn.IFNA(VLOOKUP(Ruimtestaat[[#This Row],[Code Weekend]],Programma!$F$4:$Y$36148,3,0),"_")</f>
        <v>_</v>
      </c>
      <c r="BG151" s="247" t="str">
        <f>_xlfn.IFNA(VLOOKUP(Ruimtestaat[[#This Row],[Code Weekend]],Programma!$F$4:$Y$36148,4,0),"_")</f>
        <v>_</v>
      </c>
      <c r="BH151" s="247" t="str">
        <f>_xlfn.IFNA(VLOOKUP(Ruimtestaat[[#This Row],[Code Weekend]],Programma!$F$4:$Y$36148,5,0),"_")</f>
        <v>_</v>
      </c>
      <c r="BI151" s="247" t="str">
        <f>_xlfn.IFNA(VLOOKUP(Ruimtestaat[[#This Row],[Code Weekend]],Programma!$F$4:$Y$36148,6,0),"_")</f>
        <v>_</v>
      </c>
      <c r="BJ151" s="247" t="str">
        <f>_xlfn.IFNA(VLOOKUP(Ruimtestaat[[#This Row],[Code Weekend]],Programma!$F$4:$Y$36148,7,0),"_")</f>
        <v>_</v>
      </c>
      <c r="BK151" s="247" t="str">
        <f>_xlfn.IFNA(VLOOKUP(Ruimtestaat[[#This Row],[Code Weekend]],Programma!$F$4:$Y$36148,8,0),"_")</f>
        <v>_</v>
      </c>
      <c r="BL151" s="247" t="str">
        <f>_xlfn.IFNA(VLOOKUP(Ruimtestaat[[#This Row],[Code Weekend]],Programma!$F$4:$Y$36148,9,0),"_")</f>
        <v>_</v>
      </c>
      <c r="BM151" s="248" t="str">
        <f>_xlfn.IFNA(VLOOKUP(Ruimtestaat[[#This Row],[Code Weekend]],Programma!$F$4:$Y$36148,10,0),"_")</f>
        <v>_</v>
      </c>
      <c r="BN151" s="248" t="str">
        <f>_xlfn.IFNA(VLOOKUP(Ruimtestaat[[#This Row],[Code Weekend]],Programma!$F$4:$Y$36148,11,0),"_")</f>
        <v>_</v>
      </c>
      <c r="BO151" s="248" t="str">
        <f>_xlfn.IFNA(VLOOKUP(Ruimtestaat[[#This Row],[Code Weekend]],Programma!$F$4:$Y$36148,12,0),"_")</f>
        <v>_</v>
      </c>
      <c r="BP151" s="248" t="str">
        <f>_xlfn.IFNA(VLOOKUP(Ruimtestaat[[#This Row],[Code Weekend]],Programma!$F$4:$Y$36148,13,0),"_")</f>
        <v>_</v>
      </c>
      <c r="BQ151" s="248" t="str">
        <f>_xlfn.IFNA(VLOOKUP(Ruimtestaat[[#This Row],[Code Weekend]],Programma!$F$4:$Y$36148,14,0),"_")</f>
        <v>_</v>
      </c>
      <c r="BR151" s="248" t="str">
        <f>_xlfn.IFNA(VLOOKUP(Ruimtestaat[[#This Row],[Code Weekend]],Programma!$F$4:$Y$36148,15,0),"_")</f>
        <v>_</v>
      </c>
      <c r="BS151" s="248" t="str">
        <f>_xlfn.IFNA(VLOOKUP(Ruimtestaat[[#This Row],[Code Weekend]],Programma!$F$4:$Y$36148,16,0),"_")</f>
        <v>_</v>
      </c>
      <c r="BT151" s="248" t="str">
        <f>_xlfn.IFNA(VLOOKUP(Ruimtestaat[[#This Row],[Code Weekend]],Programma!$F$4:$Y$36148,17,0),"_")</f>
        <v>_</v>
      </c>
      <c r="BU151" s="249" t="str">
        <f>_xlfn.IFNA(VLOOKUP(Ruimtestaat[[#This Row],[Code Weekend]],Programma!$F$4:$Y$36148,18,0),"_")</f>
        <v>_</v>
      </c>
      <c r="BV151" s="249" t="str">
        <f>_xlfn.IFNA(VLOOKUP(Ruimtestaat[[#This Row],[Code Weekend]],Programma!$F$4:$Y$36148,19,0),"_")</f>
        <v>_</v>
      </c>
      <c r="BW151" s="249" t="str">
        <f>_xlfn.IFNA(VLOOKUP(Ruimtestaat[[#This Row],[Code Weekend]],Programma!$F$4:$Y$36148,20,0),"_")</f>
        <v>_</v>
      </c>
    </row>
    <row r="152" spans="1:75" ht="12.75" customHeight="1">
      <c r="A152" s="334">
        <v>1</v>
      </c>
      <c r="B152" s="334" t="str">
        <f>VLOOKUP(Ruimtestaat[[#This Row],[Code]],Locaties[#All],2,FALSE)</f>
        <v>ESH Secondary School</v>
      </c>
      <c r="C152" s="212" t="str">
        <f>VLOOKUP(Ruimtestaat[[#This Row],[Code]],Locaties[#All],4,FALSE)</f>
        <v>Oostduinlaan 50</v>
      </c>
      <c r="D152" s="212" t="str">
        <f>VLOOKUP(Ruimtestaat[[#This Row],[Code]],Locaties[#All],5,FALSE)</f>
        <v>2596 JP</v>
      </c>
      <c r="E152" s="212" t="str">
        <f>VLOOKUP(Ruimtestaat[[#This Row],[Code]],Locaties[#All],6,FALSE)</f>
        <v>Den Haag</v>
      </c>
      <c r="F152" s="335"/>
      <c r="G152" s="334" t="s">
        <v>1677</v>
      </c>
      <c r="H152" s="334" t="s">
        <v>1646</v>
      </c>
      <c r="I152" s="335" t="s">
        <v>1394</v>
      </c>
      <c r="J152" s="252" t="s">
        <v>1422</v>
      </c>
      <c r="K152" s="348" t="str">
        <f>VLOOKUP(J152,Ruimtegroepen[],2,FALSE)</f>
        <v>Gangen/hallen andere verdiepingen</v>
      </c>
      <c r="L152" s="212" t="s">
        <v>123</v>
      </c>
      <c r="M152" s="334" t="s">
        <v>144</v>
      </c>
      <c r="N152" s="337">
        <v>23</v>
      </c>
      <c r="O152" s="331"/>
      <c r="P152" s="332" t="str">
        <f>VLOOKUP(Ruimtestaat[[#This Row],[Ruimte code]],Ruimtegroepen[],4,FALSE)</f>
        <v>V  (Verkeersruimte)</v>
      </c>
      <c r="Q152" s="332"/>
      <c r="R152" s="333">
        <v>40</v>
      </c>
      <c r="S152" s="333" t="s">
        <v>2</v>
      </c>
      <c r="T152" s="37"/>
      <c r="U152" s="37">
        <f>IF(R152&gt;0,IF(RIGHT(Ruimtestaat[[#This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52" s="37">
        <f>IF(U152&gt;0,VLOOKUP($J152,Ruimtegroepen[],3,FALSE)*VLOOKUP($L152,Vloersoorten[],3,FALSE)*VLOOKUP($S152,Frequenties[],3,FALSE)*VLOOKUP($A152,Locaties[],3,FALSE),0)</f>
        <v>0</v>
      </c>
      <c r="W152" s="37">
        <f>Ruimtestaat[[#This Row],[Uitvoeringen werkdagen]]*Ruimtestaat[[#This Row],[Oppervlak (netto)]]</f>
        <v>4600</v>
      </c>
      <c r="X152" s="37">
        <f>IF(V152&gt;0,Ruimtestaat[[#This Row],[Prest. (m2 /jaar) werkdagen]]/Ruimtestaat[[#This Row],[Norm (m2/uur) werkdagen]],0)</f>
        <v>0</v>
      </c>
      <c r="Y152" s="37">
        <f>Ruimtestaat[[#This Row],[uren / jaar werkdagen]]*Tariefsopbouw!$D$38</f>
        <v>0</v>
      </c>
      <c r="Z152" s="37">
        <f>IF(Ruimtestaat[[#This Row],[Frequentie weekend]]&gt;0,VALUE(LEFT(T152,1))*R152,0)</f>
        <v>0</v>
      </c>
      <c r="AA152" s="37">
        <f>IF($Z152&gt;0,VLOOKUP($J152,Ruimtegroepen[],3,FALSE)*VLOOKUP($L152,Vloersoorten[],3,FALSE)*VLOOKUP($T152,Frequenties[],3,FALSE)*VLOOKUP($A152,Locaties[],3,FALSE),0)</f>
        <v>0</v>
      </c>
      <c r="AB152" s="37">
        <f>Ruimtestaat[[#This Row],[Uitvoeringen weekend]]*Ruimtestaat[[#This Row],[Oppervlak (netto)]]</f>
        <v>0</v>
      </c>
      <c r="AC152" s="37">
        <f>IF(AA152&gt;0,Ruimtestaat[[#This Row],[Prest. (m2 /jaar) weekend]]/Ruimtestaat[[#This Row],[Norm (m2/uur) weekend]],0)</f>
        <v>0</v>
      </c>
      <c r="AD152" s="37">
        <f>Ruimtestaat[[#This Row],[uren / jaar weekend]]*Tariefsopbouw!$D$40</f>
        <v>0</v>
      </c>
      <c r="AE152" s="89">
        <f>Ruimtestaat[[#This Row],[Prest. (m2 /jaar) weekend]]+Ruimtestaat[[#This Row],[Prest. (m2 /jaar) werkdagen]]</f>
        <v>4600</v>
      </c>
      <c r="AF152" s="89">
        <f>Ruimtestaat[[#This Row],[uren / jaar weekend]]+Ruimtestaat[[#This Row],[uren / jaar werkdagen]]</f>
        <v>0</v>
      </c>
      <c r="AG152" s="90">
        <f>Ruimtestaat[[#This Row],[kosten / jaar weekend]]+Ruimtestaat[[#This Row],[kosten / jaar werkdagen]]</f>
        <v>0</v>
      </c>
      <c r="AH152" s="253"/>
      <c r="AI152" s="252" t="str">
        <f>IF(Ruimtestaat[[#This Row],[Frequentie werkdagen]]="","",_xlfn.CONCAT(Ruimtestaat[[#This Row],[Ruimte code]],"-",Ruimtestaat[[#This Row],[Frequentie werkdagen]]," ",Ruimtestaat[[#This Row],[Vloer code]]))</f>
        <v>6a-5w P</v>
      </c>
      <c r="AJ152" s="247" t="str">
        <f>_xlfn.IFNA(VLOOKUP(Ruimtestaat[[#This Row],[Programmacode
Regulier]],Programma!$F$4:$Y$36148,2,0),"_")</f>
        <v>_</v>
      </c>
      <c r="AK152" s="247" t="str">
        <f>_xlfn.IFNA(VLOOKUP(Ruimtestaat[[#This Row],[Programmacode
Regulier]],Programma!$F$4:$Y$36148,3,0),"_")</f>
        <v>_</v>
      </c>
      <c r="AL152" s="247" t="str">
        <f>_xlfn.IFNA(VLOOKUP(Ruimtestaat[[#This Row],[Programmacode
Regulier]],Programma!$F$4:$Y$36148,4,0),"_")</f>
        <v>5w</v>
      </c>
      <c r="AM152" s="247" t="str">
        <f>_xlfn.IFNA(VLOOKUP(Ruimtestaat[[#This Row],[Programmacode
Regulier]],Programma!$F$4:$Y$36148,5,0),"_")</f>
        <v>4w</v>
      </c>
      <c r="AN152" s="247" t="str">
        <f>_xlfn.IFNA(VLOOKUP(Ruimtestaat[[#This Row],[Programmacode
Regulier]],Programma!$F$4:$Y$36148,6,0),"_")</f>
        <v>1w</v>
      </c>
      <c r="AO152" s="247" t="str">
        <f>_xlfn.IFNA(VLOOKUP(Ruimtestaat[[#This Row],[Programmacode
Regulier]],Programma!$F$4:$Y$36148,7,0),"_")</f>
        <v>_</v>
      </c>
      <c r="AP152" s="247" t="str">
        <f>_xlfn.IFNA(VLOOKUP(Ruimtestaat[[#This Row],[Programmacode
Regulier]],Programma!$F$4:$Y$36148,8,0),"_")</f>
        <v>_</v>
      </c>
      <c r="AQ152" s="247" t="str">
        <f>_xlfn.IFNA(VLOOKUP(Ruimtestaat[[#This Row],[Programmacode
Regulier]],Programma!$F$4:$Y$36148,9,0),"_")</f>
        <v>_</v>
      </c>
      <c r="AR152" s="248" t="str">
        <f>_xlfn.IFNA(VLOOKUP(Ruimtestaat[[#This Row],[Programmacode
Regulier]],Programma!$F$4:$Y$36148,10,0),"_")</f>
        <v>5w</v>
      </c>
      <c r="AS152" s="248" t="str">
        <f>_xlfn.IFNA(VLOOKUP(Ruimtestaat[[#This Row],[Programmacode
Regulier]],Programma!$F$4:$Y$36148,11,0),"_")</f>
        <v>5w</v>
      </c>
      <c r="AT152" s="248" t="str">
        <f>_xlfn.IFNA(VLOOKUP(Ruimtestaat[[#This Row],[Programmacode
Regulier]],Programma!$F$4:$Y$36148,12,0),"_")</f>
        <v>1w</v>
      </c>
      <c r="AU152" s="248" t="str">
        <f>_xlfn.IFNA(VLOOKUP(Ruimtestaat[[#This Row],[Programmacode
Regulier]],Programma!$F$4:$Y$36148,13,0),"_")</f>
        <v>1w</v>
      </c>
      <c r="AV152" s="248" t="str">
        <f>_xlfn.IFNA(VLOOKUP(Ruimtestaat[[#This Row],[Programmacode
Regulier]],Programma!$F$4:$Y$36148,14,0),"_")</f>
        <v>1m</v>
      </c>
      <c r="AW152" s="248" t="str">
        <f>_xlfn.IFNA(VLOOKUP(Ruimtestaat[[#This Row],[Programmacode
Regulier]],Programma!$F$4:$Y$36148,15,0),"_")</f>
        <v>2j</v>
      </c>
      <c r="AX152" s="248" t="str">
        <f>_xlfn.IFNA(VLOOKUP(Ruimtestaat[[#This Row],[Programmacode
Regulier]],Programma!$F$4:$Y$36148,16,0),"_")</f>
        <v>1j</v>
      </c>
      <c r="AY152" s="248" t="str">
        <f>_xlfn.IFNA(VLOOKUP(Ruimtestaat[[#This Row],[Programmacode
Regulier]],Programma!$F$4:$Y$36148,17,0),"_")</f>
        <v>_</v>
      </c>
      <c r="AZ152" s="249" t="str">
        <f>_xlfn.IFNA(VLOOKUP(Ruimtestaat[[#This Row],[Programmacode
Regulier]],Programma!$F$4:$Y$36148,18,0),"_")</f>
        <v>_</v>
      </c>
      <c r="BA152" s="249" t="str">
        <f>_xlfn.IFNA(VLOOKUP(Ruimtestaat[[#This Row],[Programmacode
Regulier]],Programma!$F$4:$Y$36148,19,0),"_")</f>
        <v>_</v>
      </c>
      <c r="BB152" s="249" t="str">
        <f>_xlfn.IFNA(VLOOKUP(Ruimtestaat[[#This Row],[Programmacode
Regulier]],Programma!$F$4:$Y$36148,20,0),"_")</f>
        <v>_</v>
      </c>
      <c r="BC152" s="250"/>
      <c r="BD152" s="212" t="str">
        <f>IF(Ruimtestaat[[#This Row],[Frequentie weekend]]="","",_xlfn.CONCAT(Ruimtestaat[[#This Row],[Ruimte code]],"-",Ruimtestaat[[#This Row],[Frequentie weekend]]," ",Ruimtestaat[[#This Row],[Vloer code]]))</f>
        <v/>
      </c>
      <c r="BE152" s="247" t="str">
        <f>_xlfn.IFNA(VLOOKUP(Ruimtestaat[[#This Row],[Code Weekend]],Programma!$F$4:$Y$36148,2,0),"_")</f>
        <v>_</v>
      </c>
      <c r="BF152" s="247" t="str">
        <f>_xlfn.IFNA(VLOOKUP(Ruimtestaat[[#This Row],[Code Weekend]],Programma!$F$4:$Y$36148,3,0),"_")</f>
        <v>_</v>
      </c>
      <c r="BG152" s="247" t="str">
        <f>_xlfn.IFNA(VLOOKUP(Ruimtestaat[[#This Row],[Code Weekend]],Programma!$F$4:$Y$36148,4,0),"_")</f>
        <v>_</v>
      </c>
      <c r="BH152" s="247" t="str">
        <f>_xlfn.IFNA(VLOOKUP(Ruimtestaat[[#This Row],[Code Weekend]],Programma!$F$4:$Y$36148,5,0),"_")</f>
        <v>_</v>
      </c>
      <c r="BI152" s="247" t="str">
        <f>_xlfn.IFNA(VLOOKUP(Ruimtestaat[[#This Row],[Code Weekend]],Programma!$F$4:$Y$36148,6,0),"_")</f>
        <v>_</v>
      </c>
      <c r="BJ152" s="247" t="str">
        <f>_xlfn.IFNA(VLOOKUP(Ruimtestaat[[#This Row],[Code Weekend]],Programma!$F$4:$Y$36148,7,0),"_")</f>
        <v>_</v>
      </c>
      <c r="BK152" s="247" t="str">
        <f>_xlfn.IFNA(VLOOKUP(Ruimtestaat[[#This Row],[Code Weekend]],Programma!$F$4:$Y$36148,8,0),"_")</f>
        <v>_</v>
      </c>
      <c r="BL152" s="247" t="str">
        <f>_xlfn.IFNA(VLOOKUP(Ruimtestaat[[#This Row],[Code Weekend]],Programma!$F$4:$Y$36148,9,0),"_")</f>
        <v>_</v>
      </c>
      <c r="BM152" s="248" t="str">
        <f>_xlfn.IFNA(VLOOKUP(Ruimtestaat[[#This Row],[Code Weekend]],Programma!$F$4:$Y$36148,10,0),"_")</f>
        <v>_</v>
      </c>
      <c r="BN152" s="248" t="str">
        <f>_xlfn.IFNA(VLOOKUP(Ruimtestaat[[#This Row],[Code Weekend]],Programma!$F$4:$Y$36148,11,0),"_")</f>
        <v>_</v>
      </c>
      <c r="BO152" s="248" t="str">
        <f>_xlfn.IFNA(VLOOKUP(Ruimtestaat[[#This Row],[Code Weekend]],Programma!$F$4:$Y$36148,12,0),"_")</f>
        <v>_</v>
      </c>
      <c r="BP152" s="248" t="str">
        <f>_xlfn.IFNA(VLOOKUP(Ruimtestaat[[#This Row],[Code Weekend]],Programma!$F$4:$Y$36148,13,0),"_")</f>
        <v>_</v>
      </c>
      <c r="BQ152" s="248" t="str">
        <f>_xlfn.IFNA(VLOOKUP(Ruimtestaat[[#This Row],[Code Weekend]],Programma!$F$4:$Y$36148,14,0),"_")</f>
        <v>_</v>
      </c>
      <c r="BR152" s="248" t="str">
        <f>_xlfn.IFNA(VLOOKUP(Ruimtestaat[[#This Row],[Code Weekend]],Programma!$F$4:$Y$36148,15,0),"_")</f>
        <v>_</v>
      </c>
      <c r="BS152" s="248" t="str">
        <f>_xlfn.IFNA(VLOOKUP(Ruimtestaat[[#This Row],[Code Weekend]],Programma!$F$4:$Y$36148,16,0),"_")</f>
        <v>_</v>
      </c>
      <c r="BT152" s="248" t="str">
        <f>_xlfn.IFNA(VLOOKUP(Ruimtestaat[[#This Row],[Code Weekend]],Programma!$F$4:$Y$36148,17,0),"_")</f>
        <v>_</v>
      </c>
      <c r="BU152" s="249" t="str">
        <f>_xlfn.IFNA(VLOOKUP(Ruimtestaat[[#This Row],[Code Weekend]],Programma!$F$4:$Y$36148,18,0),"_")</f>
        <v>_</v>
      </c>
      <c r="BV152" s="249" t="str">
        <f>_xlfn.IFNA(VLOOKUP(Ruimtestaat[[#This Row],[Code Weekend]],Programma!$F$4:$Y$36148,19,0),"_")</f>
        <v>_</v>
      </c>
      <c r="BW152" s="249" t="str">
        <f>_xlfn.IFNA(VLOOKUP(Ruimtestaat[[#This Row],[Code Weekend]],Programma!$F$4:$Y$36148,20,0),"_")</f>
        <v>_</v>
      </c>
    </row>
    <row r="153" spans="1:75" ht="12.75" customHeight="1">
      <c r="A153" s="334">
        <v>1</v>
      </c>
      <c r="B153" s="334" t="str">
        <f>VLOOKUP(Ruimtestaat[[#This Row],[Code]],Locaties[#All],2,FALSE)</f>
        <v>ESH Secondary School</v>
      </c>
      <c r="C153" s="212" t="str">
        <f>VLOOKUP(Ruimtestaat[[#This Row],[Code]],Locaties[#All],4,FALSE)</f>
        <v>Oostduinlaan 50</v>
      </c>
      <c r="D153" s="212" t="str">
        <f>VLOOKUP(Ruimtestaat[[#This Row],[Code]],Locaties[#All],5,FALSE)</f>
        <v>2596 JP</v>
      </c>
      <c r="E153" s="212" t="str">
        <f>VLOOKUP(Ruimtestaat[[#This Row],[Code]],Locaties[#All],6,FALSE)</f>
        <v>Den Haag</v>
      </c>
      <c r="F153" s="335"/>
      <c r="G153" s="334" t="s">
        <v>1677</v>
      </c>
      <c r="H153" s="334" t="s">
        <v>1647</v>
      </c>
      <c r="I153" s="335" t="s">
        <v>1772</v>
      </c>
      <c r="J153" s="328">
        <v>5</v>
      </c>
      <c r="K153" s="336" t="s">
        <v>22</v>
      </c>
      <c r="L153" s="212" t="s">
        <v>123</v>
      </c>
      <c r="M153" s="334" t="s">
        <v>144</v>
      </c>
      <c r="N153" s="337">
        <v>15</v>
      </c>
      <c r="O153" s="331"/>
      <c r="P153" s="332" t="str">
        <f>VLOOKUP(Ruimtestaat[[#This Row],[Ruimte code]],Ruimtegroepen[],4,FALSE)</f>
        <v>S  (Sanitair)</v>
      </c>
      <c r="Q153" s="332"/>
      <c r="R153" s="333">
        <v>40</v>
      </c>
      <c r="S153" s="333" t="s">
        <v>19</v>
      </c>
      <c r="T153" s="37"/>
      <c r="U153" s="37">
        <f>IF(R153&gt;0,IF(RIGHT(Ruimtestaat[[#This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153" s="37">
        <f>IF(U153&gt;0,VLOOKUP($J153,Ruimtegroepen[],3,FALSE)*VLOOKUP($L153,Vloersoorten[],3,FALSE)*VLOOKUP($S153,Frequenties[],3,FALSE)*VLOOKUP($A153,Locaties[],3,FALSE),0)</f>
        <v>0</v>
      </c>
      <c r="W153" s="37">
        <f>Ruimtestaat[[#This Row],[Uitvoeringen werkdagen]]*Ruimtestaat[[#This Row],[Oppervlak (netto)]]</f>
        <v>6000</v>
      </c>
      <c r="X153" s="37">
        <f>IF(V153&gt;0,Ruimtestaat[[#This Row],[Prest. (m2 /jaar) werkdagen]]/Ruimtestaat[[#This Row],[Norm (m2/uur) werkdagen]],0)</f>
        <v>0</v>
      </c>
      <c r="Y153" s="37">
        <f>Ruimtestaat[[#This Row],[uren / jaar werkdagen]]*Tariefsopbouw!$D$38</f>
        <v>0</v>
      </c>
      <c r="Z153" s="37">
        <f>IF(Ruimtestaat[[#This Row],[Frequentie weekend]]&gt;0,VALUE(LEFT(T153,1))*R153,0)</f>
        <v>0</v>
      </c>
      <c r="AA153" s="37">
        <f>IF($Z153&gt;0,VLOOKUP($J153,Ruimtegroepen[],3,FALSE)*VLOOKUP($L153,Vloersoorten[],3,FALSE)*VLOOKUP($T153,Frequenties[],3,FALSE)*VLOOKUP($A153,Locaties[],3,FALSE),0)</f>
        <v>0</v>
      </c>
      <c r="AB153" s="37">
        <f>Ruimtestaat[[#This Row],[Uitvoeringen weekend]]*Ruimtestaat[[#This Row],[Oppervlak (netto)]]</f>
        <v>0</v>
      </c>
      <c r="AC153" s="37">
        <f>IF(AA153&gt;0,Ruimtestaat[[#This Row],[Prest. (m2 /jaar) weekend]]/Ruimtestaat[[#This Row],[Norm (m2/uur) weekend]],0)</f>
        <v>0</v>
      </c>
      <c r="AD153" s="37">
        <f>Ruimtestaat[[#This Row],[uren / jaar weekend]]*Tariefsopbouw!$D$40</f>
        <v>0</v>
      </c>
      <c r="AE153" s="89">
        <f>Ruimtestaat[[#This Row],[Prest. (m2 /jaar) weekend]]+Ruimtestaat[[#This Row],[Prest. (m2 /jaar) werkdagen]]</f>
        <v>6000</v>
      </c>
      <c r="AF153" s="89">
        <f>Ruimtestaat[[#This Row],[uren / jaar weekend]]+Ruimtestaat[[#This Row],[uren / jaar werkdagen]]</f>
        <v>0</v>
      </c>
      <c r="AG153" s="90">
        <f>Ruimtestaat[[#This Row],[kosten / jaar weekend]]+Ruimtestaat[[#This Row],[kosten / jaar werkdagen]]</f>
        <v>0</v>
      </c>
      <c r="AH153" s="253"/>
      <c r="AI153" s="252" t="str">
        <f>IF(Ruimtestaat[[#This Row],[Frequentie werkdagen]]="","",_xlfn.CONCAT(Ruimtestaat[[#This Row],[Ruimte code]],"-",Ruimtestaat[[#This Row],[Frequentie werkdagen]]," ",Ruimtestaat[[#This Row],[Vloer code]]))</f>
        <v>5-10w P</v>
      </c>
      <c r="AJ153" s="247" t="str">
        <f>_xlfn.IFNA(VLOOKUP(Ruimtestaat[[#This Row],[Programmacode
Regulier]],Programma!$F$4:$Y$36148,2,0),"_")</f>
        <v>_</v>
      </c>
      <c r="AK153" s="247" t="str">
        <f>_xlfn.IFNA(VLOOKUP(Ruimtestaat[[#This Row],[Programmacode
Regulier]],Programma!$F$4:$Y$36148,3,0),"_")</f>
        <v>_</v>
      </c>
      <c r="AL153" s="247" t="str">
        <f>_xlfn.IFNA(VLOOKUP(Ruimtestaat[[#This Row],[Programmacode
Regulier]],Programma!$F$4:$Y$36148,4,0),"_")</f>
        <v>_</v>
      </c>
      <c r="AM153" s="247" t="str">
        <f>_xlfn.IFNA(VLOOKUP(Ruimtestaat[[#This Row],[Programmacode
Regulier]],Programma!$F$4:$Y$36148,5,0),"_")</f>
        <v>4w</v>
      </c>
      <c r="AN153" s="247" t="str">
        <f>_xlfn.IFNA(VLOOKUP(Ruimtestaat[[#This Row],[Programmacode
Regulier]],Programma!$F$4:$Y$36148,6,0),"_")</f>
        <v>1w</v>
      </c>
      <c r="AO153" s="247" t="str">
        <f>_xlfn.IFNA(VLOOKUP(Ruimtestaat[[#This Row],[Programmacode
Regulier]],Programma!$F$4:$Y$36148,7,0),"_")</f>
        <v>_</v>
      </c>
      <c r="AP153" s="247" t="str">
        <f>_xlfn.IFNA(VLOOKUP(Ruimtestaat[[#This Row],[Programmacode
Regulier]],Programma!$F$4:$Y$36148,8,0),"_")</f>
        <v>_</v>
      </c>
      <c r="AQ153" s="247" t="str">
        <f>_xlfn.IFNA(VLOOKUP(Ruimtestaat[[#This Row],[Programmacode
Regulier]],Programma!$F$4:$Y$36148,9,0),"_")</f>
        <v>5w</v>
      </c>
      <c r="AR153" s="248" t="str">
        <f>_xlfn.IFNA(VLOOKUP(Ruimtestaat[[#This Row],[Programmacode
Regulier]],Programma!$F$4:$Y$36148,10,0),"_")</f>
        <v>_</v>
      </c>
      <c r="AS153" s="248" t="str">
        <f>_xlfn.IFNA(VLOOKUP(Ruimtestaat[[#This Row],[Programmacode
Regulier]],Programma!$F$4:$Y$36148,11,0),"_")</f>
        <v>_</v>
      </c>
      <c r="AT153" s="248" t="str">
        <f>_xlfn.IFNA(VLOOKUP(Ruimtestaat[[#This Row],[Programmacode
Regulier]],Programma!$F$4:$Y$36148,12,0),"_")</f>
        <v>_</v>
      </c>
      <c r="AU153" s="248" t="str">
        <f>_xlfn.IFNA(VLOOKUP(Ruimtestaat[[#This Row],[Programmacode
Regulier]],Programma!$F$4:$Y$36148,13,0),"_")</f>
        <v>_</v>
      </c>
      <c r="AV153" s="248" t="str">
        <f>_xlfn.IFNA(VLOOKUP(Ruimtestaat[[#This Row],[Programmacode
Regulier]],Programma!$F$4:$Y$36148,14,0),"_")</f>
        <v>_</v>
      </c>
      <c r="AW153" s="248" t="str">
        <f>_xlfn.IFNA(VLOOKUP(Ruimtestaat[[#This Row],[Programmacode
Regulier]],Programma!$F$4:$Y$36148,15,0),"_")</f>
        <v>_</v>
      </c>
      <c r="AX153" s="248" t="str">
        <f>_xlfn.IFNA(VLOOKUP(Ruimtestaat[[#This Row],[Programmacode
Regulier]],Programma!$F$4:$Y$36148,16,0),"_")</f>
        <v>_</v>
      </c>
      <c r="AY153" s="248" t="str">
        <f>_xlfn.IFNA(VLOOKUP(Ruimtestaat[[#This Row],[Programmacode
Regulier]],Programma!$F$4:$Y$36148,17,0),"_")</f>
        <v>_</v>
      </c>
      <c r="AZ153" s="249" t="str">
        <f>_xlfn.IFNA(VLOOKUP(Ruimtestaat[[#This Row],[Programmacode
Regulier]],Programma!$F$4:$Y$36148,18,0),"_")</f>
        <v>4w</v>
      </c>
      <c r="BA153" s="249" t="str">
        <f>_xlfn.IFNA(VLOOKUP(Ruimtestaat[[#This Row],[Programmacode
Regulier]],Programma!$F$4:$Y$36148,19,0),"_")</f>
        <v>1w</v>
      </c>
      <c r="BB153" s="249" t="str">
        <f>_xlfn.IFNA(VLOOKUP(Ruimtestaat[[#This Row],[Programmacode
Regulier]],Programma!$F$4:$Y$36148,20,0),"_")</f>
        <v>5w</v>
      </c>
      <c r="BC153" s="250"/>
      <c r="BD153" s="212" t="str">
        <f>IF(Ruimtestaat[[#This Row],[Frequentie weekend]]="","",_xlfn.CONCAT(Ruimtestaat[[#This Row],[Ruimte code]],"-",Ruimtestaat[[#This Row],[Frequentie weekend]]," ",Ruimtestaat[[#This Row],[Vloer code]]))</f>
        <v/>
      </c>
      <c r="BE153" s="247" t="str">
        <f>_xlfn.IFNA(VLOOKUP(Ruimtestaat[[#This Row],[Code Weekend]],Programma!$F$4:$Y$36148,2,0),"_")</f>
        <v>_</v>
      </c>
      <c r="BF153" s="247" t="str">
        <f>_xlfn.IFNA(VLOOKUP(Ruimtestaat[[#This Row],[Code Weekend]],Programma!$F$4:$Y$36148,3,0),"_")</f>
        <v>_</v>
      </c>
      <c r="BG153" s="247" t="str">
        <f>_xlfn.IFNA(VLOOKUP(Ruimtestaat[[#This Row],[Code Weekend]],Programma!$F$4:$Y$36148,4,0),"_")</f>
        <v>_</v>
      </c>
      <c r="BH153" s="247" t="str">
        <f>_xlfn.IFNA(VLOOKUP(Ruimtestaat[[#This Row],[Code Weekend]],Programma!$F$4:$Y$36148,5,0),"_")</f>
        <v>_</v>
      </c>
      <c r="BI153" s="247" t="str">
        <f>_xlfn.IFNA(VLOOKUP(Ruimtestaat[[#This Row],[Code Weekend]],Programma!$F$4:$Y$36148,6,0),"_")</f>
        <v>_</v>
      </c>
      <c r="BJ153" s="247" t="str">
        <f>_xlfn.IFNA(VLOOKUP(Ruimtestaat[[#This Row],[Code Weekend]],Programma!$F$4:$Y$36148,7,0),"_")</f>
        <v>_</v>
      </c>
      <c r="BK153" s="247" t="str">
        <f>_xlfn.IFNA(VLOOKUP(Ruimtestaat[[#This Row],[Code Weekend]],Programma!$F$4:$Y$36148,8,0),"_")</f>
        <v>_</v>
      </c>
      <c r="BL153" s="247" t="str">
        <f>_xlfn.IFNA(VLOOKUP(Ruimtestaat[[#This Row],[Code Weekend]],Programma!$F$4:$Y$36148,9,0),"_")</f>
        <v>_</v>
      </c>
      <c r="BM153" s="248" t="str">
        <f>_xlfn.IFNA(VLOOKUP(Ruimtestaat[[#This Row],[Code Weekend]],Programma!$F$4:$Y$36148,10,0),"_")</f>
        <v>_</v>
      </c>
      <c r="BN153" s="248" t="str">
        <f>_xlfn.IFNA(VLOOKUP(Ruimtestaat[[#This Row],[Code Weekend]],Programma!$F$4:$Y$36148,11,0),"_")</f>
        <v>_</v>
      </c>
      <c r="BO153" s="248" t="str">
        <f>_xlfn.IFNA(VLOOKUP(Ruimtestaat[[#This Row],[Code Weekend]],Programma!$F$4:$Y$36148,12,0),"_")</f>
        <v>_</v>
      </c>
      <c r="BP153" s="248" t="str">
        <f>_xlfn.IFNA(VLOOKUP(Ruimtestaat[[#This Row],[Code Weekend]],Programma!$F$4:$Y$36148,13,0),"_")</f>
        <v>_</v>
      </c>
      <c r="BQ153" s="248" t="str">
        <f>_xlfn.IFNA(VLOOKUP(Ruimtestaat[[#This Row],[Code Weekend]],Programma!$F$4:$Y$36148,14,0),"_")</f>
        <v>_</v>
      </c>
      <c r="BR153" s="248" t="str">
        <f>_xlfn.IFNA(VLOOKUP(Ruimtestaat[[#This Row],[Code Weekend]],Programma!$F$4:$Y$36148,15,0),"_")</f>
        <v>_</v>
      </c>
      <c r="BS153" s="248" t="str">
        <f>_xlfn.IFNA(VLOOKUP(Ruimtestaat[[#This Row],[Code Weekend]],Programma!$F$4:$Y$36148,16,0),"_")</f>
        <v>_</v>
      </c>
      <c r="BT153" s="248" t="str">
        <f>_xlfn.IFNA(VLOOKUP(Ruimtestaat[[#This Row],[Code Weekend]],Programma!$F$4:$Y$36148,17,0),"_")</f>
        <v>_</v>
      </c>
      <c r="BU153" s="249" t="str">
        <f>_xlfn.IFNA(VLOOKUP(Ruimtestaat[[#This Row],[Code Weekend]],Programma!$F$4:$Y$36148,18,0),"_")</f>
        <v>_</v>
      </c>
      <c r="BV153" s="249" t="str">
        <f>_xlfn.IFNA(VLOOKUP(Ruimtestaat[[#This Row],[Code Weekend]],Programma!$F$4:$Y$36148,19,0),"_")</f>
        <v>_</v>
      </c>
      <c r="BW153" s="249" t="str">
        <f>_xlfn.IFNA(VLOOKUP(Ruimtestaat[[#This Row],[Code Weekend]],Programma!$F$4:$Y$36148,20,0),"_")</f>
        <v>_</v>
      </c>
    </row>
    <row r="154" spans="1:75" ht="12.75" customHeight="1">
      <c r="A154" s="334">
        <v>1</v>
      </c>
      <c r="B154" s="334" t="str">
        <f>VLOOKUP(Ruimtestaat[[#This Row],[Code]],Locaties[#All],2,FALSE)</f>
        <v>ESH Secondary School</v>
      </c>
      <c r="C154" s="212" t="str">
        <f>VLOOKUP(Ruimtestaat[[#This Row],[Code]],Locaties[#All],4,FALSE)</f>
        <v>Oostduinlaan 50</v>
      </c>
      <c r="D154" s="212" t="str">
        <f>VLOOKUP(Ruimtestaat[[#This Row],[Code]],Locaties[#All],5,FALSE)</f>
        <v>2596 JP</v>
      </c>
      <c r="E154" s="212" t="str">
        <f>VLOOKUP(Ruimtestaat[[#This Row],[Code]],Locaties[#All],6,FALSE)</f>
        <v>Den Haag</v>
      </c>
      <c r="F154" s="335"/>
      <c r="G154" s="334" t="s">
        <v>1677</v>
      </c>
      <c r="H154" s="334" t="s">
        <v>1648</v>
      </c>
      <c r="I154" s="335" t="s">
        <v>1396</v>
      </c>
      <c r="J154" s="334">
        <v>21</v>
      </c>
      <c r="K154" s="336" t="s">
        <v>75</v>
      </c>
      <c r="L154" s="212"/>
      <c r="M154" s="334"/>
      <c r="N154" s="337"/>
      <c r="O154" s="331">
        <v>2</v>
      </c>
      <c r="P154" s="332" t="str">
        <f>VLOOKUP(Ruimtestaat[[#This Row],[Ruimte code]],Ruimtegroepen[],4,FALSE)</f>
        <v>NIO</v>
      </c>
      <c r="Q154" s="332"/>
      <c r="R154" s="333"/>
      <c r="S154" s="333"/>
      <c r="T154" s="37"/>
      <c r="U154" s="37">
        <f>IF(R154&gt;0,IF(RIGHT(Ruimtestaat[[#This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154" s="37">
        <f>IF(U154&gt;0,VLOOKUP($J154,Ruimtegroepen[],3,FALSE)*VLOOKUP($L154,Vloersoorten[],3,FALSE)*VLOOKUP($S154,Frequenties[],3,FALSE)*VLOOKUP($A154,Locaties[],3,FALSE),0)</f>
        <v>0</v>
      </c>
      <c r="W154" s="37">
        <f>Ruimtestaat[[#This Row],[Uitvoeringen werkdagen]]*Ruimtestaat[[#This Row],[Oppervlak (netto)]]</f>
        <v>0</v>
      </c>
      <c r="X154" s="37">
        <f>IF(V154&gt;0,Ruimtestaat[[#This Row],[Prest. (m2 /jaar) werkdagen]]/Ruimtestaat[[#This Row],[Norm (m2/uur) werkdagen]],0)</f>
        <v>0</v>
      </c>
      <c r="Y154" s="37">
        <f>Ruimtestaat[[#This Row],[uren / jaar werkdagen]]*Tariefsopbouw!$D$38</f>
        <v>0</v>
      </c>
      <c r="Z154" s="37">
        <f>IF(Ruimtestaat[[#This Row],[Frequentie weekend]]&gt;0,VALUE(LEFT(T154,1))*R154,0)</f>
        <v>0</v>
      </c>
      <c r="AA154" s="37">
        <f>IF($Z154&gt;0,VLOOKUP($J154,Ruimtegroepen[],3,FALSE)*VLOOKUP($L154,Vloersoorten[],3,FALSE)*VLOOKUP($T154,Frequenties[],3,FALSE)*VLOOKUP($A154,Locaties[],3,FALSE),0)</f>
        <v>0</v>
      </c>
      <c r="AB154" s="37">
        <f>Ruimtestaat[[#This Row],[Uitvoeringen weekend]]*Ruimtestaat[[#This Row],[Oppervlak (netto)]]</f>
        <v>0</v>
      </c>
      <c r="AC154" s="37">
        <f>IF(AA154&gt;0,Ruimtestaat[[#This Row],[Prest. (m2 /jaar) weekend]]/Ruimtestaat[[#This Row],[Norm (m2/uur) weekend]],0)</f>
        <v>0</v>
      </c>
      <c r="AD154" s="37">
        <f>Ruimtestaat[[#This Row],[uren / jaar weekend]]*Tariefsopbouw!$D$40</f>
        <v>0</v>
      </c>
      <c r="AE154" s="89">
        <f>Ruimtestaat[[#This Row],[Prest. (m2 /jaar) weekend]]+Ruimtestaat[[#This Row],[Prest. (m2 /jaar) werkdagen]]</f>
        <v>0</v>
      </c>
      <c r="AF154" s="89">
        <f>Ruimtestaat[[#This Row],[uren / jaar weekend]]+Ruimtestaat[[#This Row],[uren / jaar werkdagen]]</f>
        <v>0</v>
      </c>
      <c r="AG154" s="90">
        <f>Ruimtestaat[[#This Row],[kosten / jaar weekend]]+Ruimtestaat[[#This Row],[kosten / jaar werkdagen]]</f>
        <v>0</v>
      </c>
      <c r="AH154" s="253"/>
      <c r="AI154" s="252" t="str">
        <f>IF(Ruimtestaat[[#This Row],[Frequentie werkdagen]]="","",_xlfn.CONCAT(Ruimtestaat[[#This Row],[Ruimte code]],"-",Ruimtestaat[[#This Row],[Frequentie werkdagen]]," ",Ruimtestaat[[#This Row],[Vloer code]]))</f>
        <v/>
      </c>
      <c r="AJ154" s="247" t="str">
        <f>_xlfn.IFNA(VLOOKUP(Ruimtestaat[[#This Row],[Programmacode
Regulier]],Programma!$F$4:$Y$36148,2,0),"_")</f>
        <v>_</v>
      </c>
      <c r="AK154" s="247" t="str">
        <f>_xlfn.IFNA(VLOOKUP(Ruimtestaat[[#This Row],[Programmacode
Regulier]],Programma!$F$4:$Y$36148,3,0),"_")</f>
        <v>_</v>
      </c>
      <c r="AL154" s="247" t="str">
        <f>_xlfn.IFNA(VLOOKUP(Ruimtestaat[[#This Row],[Programmacode
Regulier]],Programma!$F$4:$Y$36148,4,0),"_")</f>
        <v>_</v>
      </c>
      <c r="AM154" s="247" t="str">
        <f>_xlfn.IFNA(VLOOKUP(Ruimtestaat[[#This Row],[Programmacode
Regulier]],Programma!$F$4:$Y$36148,5,0),"_")</f>
        <v>_</v>
      </c>
      <c r="AN154" s="247" t="str">
        <f>_xlfn.IFNA(VLOOKUP(Ruimtestaat[[#This Row],[Programmacode
Regulier]],Programma!$F$4:$Y$36148,6,0),"_")</f>
        <v>_</v>
      </c>
      <c r="AO154" s="247" t="str">
        <f>_xlfn.IFNA(VLOOKUP(Ruimtestaat[[#This Row],[Programmacode
Regulier]],Programma!$F$4:$Y$36148,7,0),"_")</f>
        <v>_</v>
      </c>
      <c r="AP154" s="247" t="str">
        <f>_xlfn.IFNA(VLOOKUP(Ruimtestaat[[#This Row],[Programmacode
Regulier]],Programma!$F$4:$Y$36148,8,0),"_")</f>
        <v>_</v>
      </c>
      <c r="AQ154" s="247" t="str">
        <f>_xlfn.IFNA(VLOOKUP(Ruimtestaat[[#This Row],[Programmacode
Regulier]],Programma!$F$4:$Y$36148,9,0),"_")</f>
        <v>_</v>
      </c>
      <c r="AR154" s="248" t="str">
        <f>_xlfn.IFNA(VLOOKUP(Ruimtestaat[[#This Row],[Programmacode
Regulier]],Programma!$F$4:$Y$36148,10,0),"_")</f>
        <v>_</v>
      </c>
      <c r="AS154" s="248" t="str">
        <f>_xlfn.IFNA(VLOOKUP(Ruimtestaat[[#This Row],[Programmacode
Regulier]],Programma!$F$4:$Y$36148,11,0),"_")</f>
        <v>_</v>
      </c>
      <c r="AT154" s="248" t="str">
        <f>_xlfn.IFNA(VLOOKUP(Ruimtestaat[[#This Row],[Programmacode
Regulier]],Programma!$F$4:$Y$36148,12,0),"_")</f>
        <v>_</v>
      </c>
      <c r="AU154" s="248" t="str">
        <f>_xlfn.IFNA(VLOOKUP(Ruimtestaat[[#This Row],[Programmacode
Regulier]],Programma!$F$4:$Y$36148,13,0),"_")</f>
        <v>_</v>
      </c>
      <c r="AV154" s="248" t="str">
        <f>_xlfn.IFNA(VLOOKUP(Ruimtestaat[[#This Row],[Programmacode
Regulier]],Programma!$F$4:$Y$36148,14,0),"_")</f>
        <v>_</v>
      </c>
      <c r="AW154" s="248" t="str">
        <f>_xlfn.IFNA(VLOOKUP(Ruimtestaat[[#This Row],[Programmacode
Regulier]],Programma!$F$4:$Y$36148,15,0),"_")</f>
        <v>_</v>
      </c>
      <c r="AX154" s="248" t="str">
        <f>_xlfn.IFNA(VLOOKUP(Ruimtestaat[[#This Row],[Programmacode
Regulier]],Programma!$F$4:$Y$36148,16,0),"_")</f>
        <v>_</v>
      </c>
      <c r="AY154" s="248" t="str">
        <f>_xlfn.IFNA(VLOOKUP(Ruimtestaat[[#This Row],[Programmacode
Regulier]],Programma!$F$4:$Y$36148,17,0),"_")</f>
        <v>_</v>
      </c>
      <c r="AZ154" s="249" t="str">
        <f>_xlfn.IFNA(VLOOKUP(Ruimtestaat[[#This Row],[Programmacode
Regulier]],Programma!$F$4:$Y$36148,18,0),"_")</f>
        <v>_</v>
      </c>
      <c r="BA154" s="249" t="str">
        <f>_xlfn.IFNA(VLOOKUP(Ruimtestaat[[#This Row],[Programmacode
Regulier]],Programma!$F$4:$Y$36148,19,0),"_")</f>
        <v>_</v>
      </c>
      <c r="BB154" s="249" t="str">
        <f>_xlfn.IFNA(VLOOKUP(Ruimtestaat[[#This Row],[Programmacode
Regulier]],Programma!$F$4:$Y$36148,20,0),"_")</f>
        <v>_</v>
      </c>
      <c r="BC154" s="250"/>
      <c r="BD154" s="212" t="str">
        <f>IF(Ruimtestaat[[#This Row],[Frequentie weekend]]="","",_xlfn.CONCAT(Ruimtestaat[[#This Row],[Ruimte code]],"-",Ruimtestaat[[#This Row],[Frequentie weekend]]," ",Ruimtestaat[[#This Row],[Vloer code]]))</f>
        <v/>
      </c>
      <c r="BE154" s="247" t="str">
        <f>_xlfn.IFNA(VLOOKUP(Ruimtestaat[[#This Row],[Code Weekend]],Programma!$F$4:$Y$36148,2,0),"_")</f>
        <v>_</v>
      </c>
      <c r="BF154" s="247" t="str">
        <f>_xlfn.IFNA(VLOOKUP(Ruimtestaat[[#This Row],[Code Weekend]],Programma!$F$4:$Y$36148,3,0),"_")</f>
        <v>_</v>
      </c>
      <c r="BG154" s="247" t="str">
        <f>_xlfn.IFNA(VLOOKUP(Ruimtestaat[[#This Row],[Code Weekend]],Programma!$F$4:$Y$36148,4,0),"_")</f>
        <v>_</v>
      </c>
      <c r="BH154" s="247" t="str">
        <f>_xlfn.IFNA(VLOOKUP(Ruimtestaat[[#This Row],[Code Weekend]],Programma!$F$4:$Y$36148,5,0),"_")</f>
        <v>_</v>
      </c>
      <c r="BI154" s="247" t="str">
        <f>_xlfn.IFNA(VLOOKUP(Ruimtestaat[[#This Row],[Code Weekend]],Programma!$F$4:$Y$36148,6,0),"_")</f>
        <v>_</v>
      </c>
      <c r="BJ154" s="247" t="str">
        <f>_xlfn.IFNA(VLOOKUP(Ruimtestaat[[#This Row],[Code Weekend]],Programma!$F$4:$Y$36148,7,0),"_")</f>
        <v>_</v>
      </c>
      <c r="BK154" s="247" t="str">
        <f>_xlfn.IFNA(VLOOKUP(Ruimtestaat[[#This Row],[Code Weekend]],Programma!$F$4:$Y$36148,8,0),"_")</f>
        <v>_</v>
      </c>
      <c r="BL154" s="247" t="str">
        <f>_xlfn.IFNA(VLOOKUP(Ruimtestaat[[#This Row],[Code Weekend]],Programma!$F$4:$Y$36148,9,0),"_")</f>
        <v>_</v>
      </c>
      <c r="BM154" s="248" t="str">
        <f>_xlfn.IFNA(VLOOKUP(Ruimtestaat[[#This Row],[Code Weekend]],Programma!$F$4:$Y$36148,10,0),"_")</f>
        <v>_</v>
      </c>
      <c r="BN154" s="248" t="str">
        <f>_xlfn.IFNA(VLOOKUP(Ruimtestaat[[#This Row],[Code Weekend]],Programma!$F$4:$Y$36148,11,0),"_")</f>
        <v>_</v>
      </c>
      <c r="BO154" s="248" t="str">
        <f>_xlfn.IFNA(VLOOKUP(Ruimtestaat[[#This Row],[Code Weekend]],Programma!$F$4:$Y$36148,12,0),"_")</f>
        <v>_</v>
      </c>
      <c r="BP154" s="248" t="str">
        <f>_xlfn.IFNA(VLOOKUP(Ruimtestaat[[#This Row],[Code Weekend]],Programma!$F$4:$Y$36148,13,0),"_")</f>
        <v>_</v>
      </c>
      <c r="BQ154" s="248" t="str">
        <f>_xlfn.IFNA(VLOOKUP(Ruimtestaat[[#This Row],[Code Weekend]],Programma!$F$4:$Y$36148,14,0),"_")</f>
        <v>_</v>
      </c>
      <c r="BR154" s="248" t="str">
        <f>_xlfn.IFNA(VLOOKUP(Ruimtestaat[[#This Row],[Code Weekend]],Programma!$F$4:$Y$36148,15,0),"_")</f>
        <v>_</v>
      </c>
      <c r="BS154" s="248" t="str">
        <f>_xlfn.IFNA(VLOOKUP(Ruimtestaat[[#This Row],[Code Weekend]],Programma!$F$4:$Y$36148,16,0),"_")</f>
        <v>_</v>
      </c>
      <c r="BT154" s="248" t="str">
        <f>_xlfn.IFNA(VLOOKUP(Ruimtestaat[[#This Row],[Code Weekend]],Programma!$F$4:$Y$36148,17,0),"_")</f>
        <v>_</v>
      </c>
      <c r="BU154" s="249" t="str">
        <f>_xlfn.IFNA(VLOOKUP(Ruimtestaat[[#This Row],[Code Weekend]],Programma!$F$4:$Y$36148,18,0),"_")</f>
        <v>_</v>
      </c>
      <c r="BV154" s="249" t="str">
        <f>_xlfn.IFNA(VLOOKUP(Ruimtestaat[[#This Row],[Code Weekend]],Programma!$F$4:$Y$36148,19,0),"_")</f>
        <v>_</v>
      </c>
      <c r="BW154" s="249" t="str">
        <f>_xlfn.IFNA(VLOOKUP(Ruimtestaat[[#This Row],[Code Weekend]],Programma!$F$4:$Y$36148,20,0),"_")</f>
        <v>_</v>
      </c>
    </row>
    <row r="155" spans="1:75" ht="12.75" customHeight="1">
      <c r="A155" s="334">
        <v>1</v>
      </c>
      <c r="B155" s="334" t="str">
        <f>VLOOKUP(Ruimtestaat[[#This Row],[Code]],Locaties[#All],2,FALSE)</f>
        <v>ESH Secondary School</v>
      </c>
      <c r="C155" s="212" t="str">
        <f>VLOOKUP(Ruimtestaat[[#This Row],[Code]],Locaties[#All],4,FALSE)</f>
        <v>Oostduinlaan 50</v>
      </c>
      <c r="D155" s="212" t="str">
        <f>VLOOKUP(Ruimtestaat[[#This Row],[Code]],Locaties[#All],5,FALSE)</f>
        <v>2596 JP</v>
      </c>
      <c r="E155" s="212" t="str">
        <f>VLOOKUP(Ruimtestaat[[#This Row],[Code]],Locaties[#All],6,FALSE)</f>
        <v>Den Haag</v>
      </c>
      <c r="F155" s="335"/>
      <c r="G155" s="334" t="s">
        <v>1677</v>
      </c>
      <c r="H155" s="334" t="s">
        <v>1649</v>
      </c>
      <c r="I155" s="335" t="s">
        <v>1778</v>
      </c>
      <c r="J155" s="328">
        <v>14</v>
      </c>
      <c r="K155" s="336" t="str">
        <f>VLOOKUP(J155,Ruimtegroepen[],2,FALSE)</f>
        <v>TOA ruimte</v>
      </c>
      <c r="L155" s="212" t="s">
        <v>123</v>
      </c>
      <c r="M155" s="334" t="s">
        <v>144</v>
      </c>
      <c r="N155" s="337">
        <v>21</v>
      </c>
      <c r="O155" s="331"/>
      <c r="P155" s="332" t="str">
        <f>VLOOKUP(Ruimtestaat[[#This Row],[Ruimte code]],Ruimtegroepen[],4,FALSE)</f>
        <v>V  (Verkeersruimte)</v>
      </c>
      <c r="Q155" s="332"/>
      <c r="R155" s="333">
        <v>40</v>
      </c>
      <c r="S155" s="333" t="s">
        <v>2</v>
      </c>
      <c r="T155" s="37"/>
      <c r="U155" s="37">
        <f>IF(R155&gt;0,IF(RIGHT(Ruimtestaat[[#This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55" s="37">
        <f>IF(U155&gt;0,VLOOKUP($J155,Ruimtegroepen[],3,FALSE)*VLOOKUP($L155,Vloersoorten[],3,FALSE)*VLOOKUP($S155,Frequenties[],3,FALSE)*VLOOKUP($A155,Locaties[],3,FALSE),0)</f>
        <v>0</v>
      </c>
      <c r="W155" s="37">
        <f>Ruimtestaat[[#This Row],[Uitvoeringen werkdagen]]*Ruimtestaat[[#This Row],[Oppervlak (netto)]]</f>
        <v>4200</v>
      </c>
      <c r="X155" s="37">
        <f>IF(V155&gt;0,Ruimtestaat[[#This Row],[Prest. (m2 /jaar) werkdagen]]/Ruimtestaat[[#This Row],[Norm (m2/uur) werkdagen]],0)</f>
        <v>0</v>
      </c>
      <c r="Y155" s="37">
        <f>Ruimtestaat[[#This Row],[uren / jaar werkdagen]]*Tariefsopbouw!$D$38</f>
        <v>0</v>
      </c>
      <c r="Z155" s="37">
        <f>IF(Ruimtestaat[[#This Row],[Frequentie weekend]]&gt;0,VALUE(LEFT(T155,1))*R155,0)</f>
        <v>0</v>
      </c>
      <c r="AA155" s="37">
        <f>IF($Z155&gt;0,VLOOKUP($J155,Ruimtegroepen[],3,FALSE)*VLOOKUP($L155,Vloersoorten[],3,FALSE)*VLOOKUP($T155,Frequenties[],3,FALSE)*VLOOKUP($A155,Locaties[],3,FALSE),0)</f>
        <v>0</v>
      </c>
      <c r="AB155" s="37">
        <f>Ruimtestaat[[#This Row],[Uitvoeringen weekend]]*Ruimtestaat[[#This Row],[Oppervlak (netto)]]</f>
        <v>0</v>
      </c>
      <c r="AC155" s="37">
        <f>IF(AA155&gt;0,Ruimtestaat[[#This Row],[Prest. (m2 /jaar) weekend]]/Ruimtestaat[[#This Row],[Norm (m2/uur) weekend]],0)</f>
        <v>0</v>
      </c>
      <c r="AD155" s="37">
        <f>Ruimtestaat[[#This Row],[uren / jaar weekend]]*Tariefsopbouw!$D$40</f>
        <v>0</v>
      </c>
      <c r="AE155" s="89">
        <f>Ruimtestaat[[#This Row],[Prest. (m2 /jaar) weekend]]+Ruimtestaat[[#This Row],[Prest. (m2 /jaar) werkdagen]]</f>
        <v>4200</v>
      </c>
      <c r="AF155" s="89">
        <f>Ruimtestaat[[#This Row],[uren / jaar weekend]]+Ruimtestaat[[#This Row],[uren / jaar werkdagen]]</f>
        <v>0</v>
      </c>
      <c r="AG155" s="90">
        <f>Ruimtestaat[[#This Row],[kosten / jaar weekend]]+Ruimtestaat[[#This Row],[kosten / jaar werkdagen]]</f>
        <v>0</v>
      </c>
      <c r="AH155" s="253"/>
      <c r="AI155" s="252" t="str">
        <f>IF(Ruimtestaat[[#This Row],[Frequentie werkdagen]]="","",_xlfn.CONCAT(Ruimtestaat[[#This Row],[Ruimte code]],"-",Ruimtestaat[[#This Row],[Frequentie werkdagen]]," ",Ruimtestaat[[#This Row],[Vloer code]]))</f>
        <v>14-5w P</v>
      </c>
      <c r="AJ155" s="247" t="str">
        <f>_xlfn.IFNA(VLOOKUP(Ruimtestaat[[#This Row],[Programmacode
Regulier]],Programma!$F$4:$Y$36148,2,0),"_")</f>
        <v>_</v>
      </c>
      <c r="AK155" s="247" t="str">
        <f>_xlfn.IFNA(VLOOKUP(Ruimtestaat[[#This Row],[Programmacode
Regulier]],Programma!$F$4:$Y$36148,3,0),"_")</f>
        <v>_</v>
      </c>
      <c r="AL155" s="247" t="str">
        <f>_xlfn.IFNA(VLOOKUP(Ruimtestaat[[#This Row],[Programmacode
Regulier]],Programma!$F$4:$Y$36148,4,0),"_")</f>
        <v>5w</v>
      </c>
      <c r="AM155" s="247" t="str">
        <f>_xlfn.IFNA(VLOOKUP(Ruimtestaat[[#This Row],[Programmacode
Regulier]],Programma!$F$4:$Y$36148,5,0),"_")</f>
        <v>4w</v>
      </c>
      <c r="AN155" s="247" t="str">
        <f>_xlfn.IFNA(VLOOKUP(Ruimtestaat[[#This Row],[Programmacode
Regulier]],Programma!$F$4:$Y$36148,6,0),"_")</f>
        <v>1w</v>
      </c>
      <c r="AO155" s="247" t="str">
        <f>_xlfn.IFNA(VLOOKUP(Ruimtestaat[[#This Row],[Programmacode
Regulier]],Programma!$F$4:$Y$36148,7,0),"_")</f>
        <v>_</v>
      </c>
      <c r="AP155" s="247" t="str">
        <f>_xlfn.IFNA(VLOOKUP(Ruimtestaat[[#This Row],[Programmacode
Regulier]],Programma!$F$4:$Y$36148,8,0),"_")</f>
        <v>_</v>
      </c>
      <c r="AQ155" s="247" t="str">
        <f>_xlfn.IFNA(VLOOKUP(Ruimtestaat[[#This Row],[Programmacode
Regulier]],Programma!$F$4:$Y$36148,9,0),"_")</f>
        <v>_</v>
      </c>
      <c r="AR155" s="248" t="str">
        <f>_xlfn.IFNA(VLOOKUP(Ruimtestaat[[#This Row],[Programmacode
Regulier]],Programma!$F$4:$Y$36148,10,0),"_")</f>
        <v>5w</v>
      </c>
      <c r="AS155" s="248" t="str">
        <f>_xlfn.IFNA(VLOOKUP(Ruimtestaat[[#This Row],[Programmacode
Regulier]],Programma!$F$4:$Y$36148,11,0),"_")</f>
        <v>5w</v>
      </c>
      <c r="AT155" s="248" t="str">
        <f>_xlfn.IFNA(VLOOKUP(Ruimtestaat[[#This Row],[Programmacode
Regulier]],Programma!$F$4:$Y$36148,12,0),"_")</f>
        <v>1w</v>
      </c>
      <c r="AU155" s="248" t="str">
        <f>_xlfn.IFNA(VLOOKUP(Ruimtestaat[[#This Row],[Programmacode
Regulier]],Programma!$F$4:$Y$36148,13,0),"_")</f>
        <v>1w</v>
      </c>
      <c r="AV155" s="248" t="str">
        <f>_xlfn.IFNA(VLOOKUP(Ruimtestaat[[#This Row],[Programmacode
Regulier]],Programma!$F$4:$Y$36148,14,0),"_")</f>
        <v>1m</v>
      </c>
      <c r="AW155" s="248" t="str">
        <f>_xlfn.IFNA(VLOOKUP(Ruimtestaat[[#This Row],[Programmacode
Regulier]],Programma!$F$4:$Y$36148,15,0),"_")</f>
        <v>2j</v>
      </c>
      <c r="AX155" s="248" t="str">
        <f>_xlfn.IFNA(VLOOKUP(Ruimtestaat[[#This Row],[Programmacode
Regulier]],Programma!$F$4:$Y$36148,16,0),"_")</f>
        <v>1j</v>
      </c>
      <c r="AY155" s="248" t="str">
        <f>_xlfn.IFNA(VLOOKUP(Ruimtestaat[[#This Row],[Programmacode
Regulier]],Programma!$F$4:$Y$36148,17,0),"_")</f>
        <v>_</v>
      </c>
      <c r="AZ155" s="249" t="str">
        <f>_xlfn.IFNA(VLOOKUP(Ruimtestaat[[#This Row],[Programmacode
Regulier]],Programma!$F$4:$Y$36148,18,0),"_")</f>
        <v>_</v>
      </c>
      <c r="BA155" s="249" t="str">
        <f>_xlfn.IFNA(VLOOKUP(Ruimtestaat[[#This Row],[Programmacode
Regulier]],Programma!$F$4:$Y$36148,19,0),"_")</f>
        <v>_</v>
      </c>
      <c r="BB155" s="249" t="str">
        <f>_xlfn.IFNA(VLOOKUP(Ruimtestaat[[#This Row],[Programmacode
Regulier]],Programma!$F$4:$Y$36148,20,0),"_")</f>
        <v>_</v>
      </c>
      <c r="BC155" s="250"/>
      <c r="BD155" s="212" t="str">
        <f>IF(Ruimtestaat[[#This Row],[Frequentie weekend]]="","",_xlfn.CONCAT(Ruimtestaat[[#This Row],[Ruimte code]],"-",Ruimtestaat[[#This Row],[Frequentie weekend]]," ",Ruimtestaat[[#This Row],[Vloer code]]))</f>
        <v/>
      </c>
      <c r="BE155" s="247" t="str">
        <f>_xlfn.IFNA(VLOOKUP(Ruimtestaat[[#This Row],[Code Weekend]],Programma!$F$4:$Y$36148,2,0),"_")</f>
        <v>_</v>
      </c>
      <c r="BF155" s="247" t="str">
        <f>_xlfn.IFNA(VLOOKUP(Ruimtestaat[[#This Row],[Code Weekend]],Programma!$F$4:$Y$36148,3,0),"_")</f>
        <v>_</v>
      </c>
      <c r="BG155" s="247" t="str">
        <f>_xlfn.IFNA(VLOOKUP(Ruimtestaat[[#This Row],[Code Weekend]],Programma!$F$4:$Y$36148,4,0),"_")</f>
        <v>_</v>
      </c>
      <c r="BH155" s="247" t="str">
        <f>_xlfn.IFNA(VLOOKUP(Ruimtestaat[[#This Row],[Code Weekend]],Programma!$F$4:$Y$36148,5,0),"_")</f>
        <v>_</v>
      </c>
      <c r="BI155" s="247" t="str">
        <f>_xlfn.IFNA(VLOOKUP(Ruimtestaat[[#This Row],[Code Weekend]],Programma!$F$4:$Y$36148,6,0),"_")</f>
        <v>_</v>
      </c>
      <c r="BJ155" s="247" t="str">
        <f>_xlfn.IFNA(VLOOKUP(Ruimtestaat[[#This Row],[Code Weekend]],Programma!$F$4:$Y$36148,7,0),"_")</f>
        <v>_</v>
      </c>
      <c r="BK155" s="247" t="str">
        <f>_xlfn.IFNA(VLOOKUP(Ruimtestaat[[#This Row],[Code Weekend]],Programma!$F$4:$Y$36148,8,0),"_")</f>
        <v>_</v>
      </c>
      <c r="BL155" s="247" t="str">
        <f>_xlfn.IFNA(VLOOKUP(Ruimtestaat[[#This Row],[Code Weekend]],Programma!$F$4:$Y$36148,9,0),"_")</f>
        <v>_</v>
      </c>
      <c r="BM155" s="248" t="str">
        <f>_xlfn.IFNA(VLOOKUP(Ruimtestaat[[#This Row],[Code Weekend]],Programma!$F$4:$Y$36148,10,0),"_")</f>
        <v>_</v>
      </c>
      <c r="BN155" s="248" t="str">
        <f>_xlfn.IFNA(VLOOKUP(Ruimtestaat[[#This Row],[Code Weekend]],Programma!$F$4:$Y$36148,11,0),"_")</f>
        <v>_</v>
      </c>
      <c r="BO155" s="248" t="str">
        <f>_xlfn.IFNA(VLOOKUP(Ruimtestaat[[#This Row],[Code Weekend]],Programma!$F$4:$Y$36148,12,0),"_")</f>
        <v>_</v>
      </c>
      <c r="BP155" s="248" t="str">
        <f>_xlfn.IFNA(VLOOKUP(Ruimtestaat[[#This Row],[Code Weekend]],Programma!$F$4:$Y$36148,13,0),"_")</f>
        <v>_</v>
      </c>
      <c r="BQ155" s="248" t="str">
        <f>_xlfn.IFNA(VLOOKUP(Ruimtestaat[[#This Row],[Code Weekend]],Programma!$F$4:$Y$36148,14,0),"_")</f>
        <v>_</v>
      </c>
      <c r="BR155" s="248" t="str">
        <f>_xlfn.IFNA(VLOOKUP(Ruimtestaat[[#This Row],[Code Weekend]],Programma!$F$4:$Y$36148,15,0),"_")</f>
        <v>_</v>
      </c>
      <c r="BS155" s="248" t="str">
        <f>_xlfn.IFNA(VLOOKUP(Ruimtestaat[[#This Row],[Code Weekend]],Programma!$F$4:$Y$36148,16,0),"_")</f>
        <v>_</v>
      </c>
      <c r="BT155" s="248" t="str">
        <f>_xlfn.IFNA(VLOOKUP(Ruimtestaat[[#This Row],[Code Weekend]],Programma!$F$4:$Y$36148,17,0),"_")</f>
        <v>_</v>
      </c>
      <c r="BU155" s="249" t="str">
        <f>_xlfn.IFNA(VLOOKUP(Ruimtestaat[[#This Row],[Code Weekend]],Programma!$F$4:$Y$36148,18,0),"_")</f>
        <v>_</v>
      </c>
      <c r="BV155" s="249" t="str">
        <f>_xlfn.IFNA(VLOOKUP(Ruimtestaat[[#This Row],[Code Weekend]],Programma!$F$4:$Y$36148,19,0),"_")</f>
        <v>_</v>
      </c>
      <c r="BW155" s="249" t="str">
        <f>_xlfn.IFNA(VLOOKUP(Ruimtestaat[[#This Row],[Code Weekend]],Programma!$F$4:$Y$36148,20,0),"_")</f>
        <v>_</v>
      </c>
    </row>
    <row r="156" spans="1:75" ht="12.75" customHeight="1">
      <c r="A156" s="334">
        <v>1</v>
      </c>
      <c r="B156" s="334" t="str">
        <f>VLOOKUP(Ruimtestaat[[#This Row],[Code]],Locaties[#All],2,FALSE)</f>
        <v>ESH Secondary School</v>
      </c>
      <c r="C156" s="212" t="str">
        <f>VLOOKUP(Ruimtestaat[[#This Row],[Code]],Locaties[#All],4,FALSE)</f>
        <v>Oostduinlaan 50</v>
      </c>
      <c r="D156" s="212" t="str">
        <f>VLOOKUP(Ruimtestaat[[#This Row],[Code]],Locaties[#All],5,FALSE)</f>
        <v>2596 JP</v>
      </c>
      <c r="E156" s="212" t="str">
        <f>VLOOKUP(Ruimtestaat[[#This Row],[Code]],Locaties[#All],6,FALSE)</f>
        <v>Den Haag</v>
      </c>
      <c r="F156" s="335"/>
      <c r="G156" s="334" t="s">
        <v>1677</v>
      </c>
      <c r="H156" s="334" t="s">
        <v>1650</v>
      </c>
      <c r="I156" s="335" t="s">
        <v>1395</v>
      </c>
      <c r="J156" s="252" t="s">
        <v>1422</v>
      </c>
      <c r="K156" s="336" t="str">
        <f>VLOOKUP(J156,Ruimtegroepen[],2,FALSE)</f>
        <v>Gangen/hallen andere verdiepingen</v>
      </c>
      <c r="L156" s="212" t="s">
        <v>123</v>
      </c>
      <c r="M156" s="334" t="s">
        <v>144</v>
      </c>
      <c r="N156" s="337">
        <v>33</v>
      </c>
      <c r="O156" s="331"/>
      <c r="P156" s="332" t="str">
        <f>VLOOKUP(Ruimtestaat[[#This Row],[Ruimte code]],Ruimtegroepen[],4,FALSE)</f>
        <v>V  (Verkeersruimte)</v>
      </c>
      <c r="Q156" s="332"/>
      <c r="R156" s="333">
        <v>40</v>
      </c>
      <c r="S156" s="333" t="s">
        <v>2</v>
      </c>
      <c r="T156" s="37"/>
      <c r="U156" s="37">
        <f>IF(R156&gt;0,IF(RIGHT(Ruimtestaat[[#This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56" s="37">
        <f>IF(U156&gt;0,VLOOKUP($J156,Ruimtegroepen[],3,FALSE)*VLOOKUP($L156,Vloersoorten[],3,FALSE)*VLOOKUP($S156,Frequenties[],3,FALSE)*VLOOKUP($A156,Locaties[],3,FALSE),0)</f>
        <v>0</v>
      </c>
      <c r="W156" s="37">
        <f>Ruimtestaat[[#This Row],[Uitvoeringen werkdagen]]*Ruimtestaat[[#This Row],[Oppervlak (netto)]]</f>
        <v>6600</v>
      </c>
      <c r="X156" s="37">
        <f>IF(V156&gt;0,Ruimtestaat[[#This Row],[Prest. (m2 /jaar) werkdagen]]/Ruimtestaat[[#This Row],[Norm (m2/uur) werkdagen]],0)</f>
        <v>0</v>
      </c>
      <c r="Y156" s="37">
        <f>Ruimtestaat[[#This Row],[uren / jaar werkdagen]]*Tariefsopbouw!$D$38</f>
        <v>0</v>
      </c>
      <c r="Z156" s="37">
        <f>IF(Ruimtestaat[[#This Row],[Frequentie weekend]]&gt;0,VALUE(LEFT(T156,1))*R156,0)</f>
        <v>0</v>
      </c>
      <c r="AA156" s="37">
        <f>IF($Z156&gt;0,VLOOKUP($J156,Ruimtegroepen[],3,FALSE)*VLOOKUP($L156,Vloersoorten[],3,FALSE)*VLOOKUP($T156,Frequenties[],3,FALSE)*VLOOKUP($A156,Locaties[],3,FALSE),0)</f>
        <v>0</v>
      </c>
      <c r="AB156" s="37">
        <f>Ruimtestaat[[#This Row],[Uitvoeringen weekend]]*Ruimtestaat[[#This Row],[Oppervlak (netto)]]</f>
        <v>0</v>
      </c>
      <c r="AC156" s="37">
        <f>IF(AA156&gt;0,Ruimtestaat[[#This Row],[Prest. (m2 /jaar) weekend]]/Ruimtestaat[[#This Row],[Norm (m2/uur) weekend]],0)</f>
        <v>0</v>
      </c>
      <c r="AD156" s="37">
        <f>Ruimtestaat[[#This Row],[uren / jaar weekend]]*Tariefsopbouw!$D$40</f>
        <v>0</v>
      </c>
      <c r="AE156" s="89">
        <f>Ruimtestaat[[#This Row],[Prest. (m2 /jaar) weekend]]+Ruimtestaat[[#This Row],[Prest. (m2 /jaar) werkdagen]]</f>
        <v>6600</v>
      </c>
      <c r="AF156" s="89">
        <f>Ruimtestaat[[#This Row],[uren / jaar weekend]]+Ruimtestaat[[#This Row],[uren / jaar werkdagen]]</f>
        <v>0</v>
      </c>
      <c r="AG156" s="90">
        <f>Ruimtestaat[[#This Row],[kosten / jaar weekend]]+Ruimtestaat[[#This Row],[kosten / jaar werkdagen]]</f>
        <v>0</v>
      </c>
      <c r="AH156" s="253"/>
      <c r="AI156" s="252" t="str">
        <f>IF(Ruimtestaat[[#This Row],[Frequentie werkdagen]]="","",_xlfn.CONCAT(Ruimtestaat[[#This Row],[Ruimte code]],"-",Ruimtestaat[[#This Row],[Frequentie werkdagen]]," ",Ruimtestaat[[#This Row],[Vloer code]]))</f>
        <v>6a-5w P</v>
      </c>
      <c r="AJ156" s="247" t="str">
        <f>_xlfn.IFNA(VLOOKUP(Ruimtestaat[[#This Row],[Programmacode
Regulier]],Programma!$F$4:$Y$36148,2,0),"_")</f>
        <v>_</v>
      </c>
      <c r="AK156" s="247" t="str">
        <f>_xlfn.IFNA(VLOOKUP(Ruimtestaat[[#This Row],[Programmacode
Regulier]],Programma!$F$4:$Y$36148,3,0),"_")</f>
        <v>_</v>
      </c>
      <c r="AL156" s="247" t="str">
        <f>_xlfn.IFNA(VLOOKUP(Ruimtestaat[[#This Row],[Programmacode
Regulier]],Programma!$F$4:$Y$36148,4,0),"_")</f>
        <v>5w</v>
      </c>
      <c r="AM156" s="247" t="str">
        <f>_xlfn.IFNA(VLOOKUP(Ruimtestaat[[#This Row],[Programmacode
Regulier]],Programma!$F$4:$Y$36148,5,0),"_")</f>
        <v>4w</v>
      </c>
      <c r="AN156" s="247" t="str">
        <f>_xlfn.IFNA(VLOOKUP(Ruimtestaat[[#This Row],[Programmacode
Regulier]],Programma!$F$4:$Y$36148,6,0),"_")</f>
        <v>1w</v>
      </c>
      <c r="AO156" s="247" t="str">
        <f>_xlfn.IFNA(VLOOKUP(Ruimtestaat[[#This Row],[Programmacode
Regulier]],Programma!$F$4:$Y$36148,7,0),"_")</f>
        <v>_</v>
      </c>
      <c r="AP156" s="247" t="str">
        <f>_xlfn.IFNA(VLOOKUP(Ruimtestaat[[#This Row],[Programmacode
Regulier]],Programma!$F$4:$Y$36148,8,0),"_")</f>
        <v>_</v>
      </c>
      <c r="AQ156" s="247" t="str">
        <f>_xlfn.IFNA(VLOOKUP(Ruimtestaat[[#This Row],[Programmacode
Regulier]],Programma!$F$4:$Y$36148,9,0),"_")</f>
        <v>_</v>
      </c>
      <c r="AR156" s="248" t="str">
        <f>_xlfn.IFNA(VLOOKUP(Ruimtestaat[[#This Row],[Programmacode
Regulier]],Programma!$F$4:$Y$36148,10,0),"_")</f>
        <v>5w</v>
      </c>
      <c r="AS156" s="248" t="str">
        <f>_xlfn.IFNA(VLOOKUP(Ruimtestaat[[#This Row],[Programmacode
Regulier]],Programma!$F$4:$Y$36148,11,0),"_")</f>
        <v>5w</v>
      </c>
      <c r="AT156" s="248" t="str">
        <f>_xlfn.IFNA(VLOOKUP(Ruimtestaat[[#This Row],[Programmacode
Regulier]],Programma!$F$4:$Y$36148,12,0),"_")</f>
        <v>1w</v>
      </c>
      <c r="AU156" s="248" t="str">
        <f>_xlfn.IFNA(VLOOKUP(Ruimtestaat[[#This Row],[Programmacode
Regulier]],Programma!$F$4:$Y$36148,13,0),"_")</f>
        <v>1w</v>
      </c>
      <c r="AV156" s="248" t="str">
        <f>_xlfn.IFNA(VLOOKUP(Ruimtestaat[[#This Row],[Programmacode
Regulier]],Programma!$F$4:$Y$36148,14,0),"_")</f>
        <v>1m</v>
      </c>
      <c r="AW156" s="248" t="str">
        <f>_xlfn.IFNA(VLOOKUP(Ruimtestaat[[#This Row],[Programmacode
Regulier]],Programma!$F$4:$Y$36148,15,0),"_")</f>
        <v>2j</v>
      </c>
      <c r="AX156" s="248" t="str">
        <f>_xlfn.IFNA(VLOOKUP(Ruimtestaat[[#This Row],[Programmacode
Regulier]],Programma!$F$4:$Y$36148,16,0),"_")</f>
        <v>1j</v>
      </c>
      <c r="AY156" s="248" t="str">
        <f>_xlfn.IFNA(VLOOKUP(Ruimtestaat[[#This Row],[Programmacode
Regulier]],Programma!$F$4:$Y$36148,17,0),"_")</f>
        <v>_</v>
      </c>
      <c r="AZ156" s="249" t="str">
        <f>_xlfn.IFNA(VLOOKUP(Ruimtestaat[[#This Row],[Programmacode
Regulier]],Programma!$F$4:$Y$36148,18,0),"_")</f>
        <v>_</v>
      </c>
      <c r="BA156" s="249" t="str">
        <f>_xlfn.IFNA(VLOOKUP(Ruimtestaat[[#This Row],[Programmacode
Regulier]],Programma!$F$4:$Y$36148,19,0),"_")</f>
        <v>_</v>
      </c>
      <c r="BB156" s="249" t="str">
        <f>_xlfn.IFNA(VLOOKUP(Ruimtestaat[[#This Row],[Programmacode
Regulier]],Programma!$F$4:$Y$36148,20,0),"_")</f>
        <v>_</v>
      </c>
      <c r="BC156" s="250"/>
      <c r="BD156" s="212" t="str">
        <f>IF(Ruimtestaat[[#This Row],[Frequentie weekend]]="","",_xlfn.CONCAT(Ruimtestaat[[#This Row],[Ruimte code]],"-",Ruimtestaat[[#This Row],[Frequentie weekend]]," ",Ruimtestaat[[#This Row],[Vloer code]]))</f>
        <v/>
      </c>
      <c r="BE156" s="247" t="str">
        <f>_xlfn.IFNA(VLOOKUP(Ruimtestaat[[#This Row],[Code Weekend]],Programma!$F$4:$Y$36148,2,0),"_")</f>
        <v>_</v>
      </c>
      <c r="BF156" s="247" t="str">
        <f>_xlfn.IFNA(VLOOKUP(Ruimtestaat[[#This Row],[Code Weekend]],Programma!$F$4:$Y$36148,3,0),"_")</f>
        <v>_</v>
      </c>
      <c r="BG156" s="247" t="str">
        <f>_xlfn.IFNA(VLOOKUP(Ruimtestaat[[#This Row],[Code Weekend]],Programma!$F$4:$Y$36148,4,0),"_")</f>
        <v>_</v>
      </c>
      <c r="BH156" s="247" t="str">
        <f>_xlfn.IFNA(VLOOKUP(Ruimtestaat[[#This Row],[Code Weekend]],Programma!$F$4:$Y$36148,5,0),"_")</f>
        <v>_</v>
      </c>
      <c r="BI156" s="247" t="str">
        <f>_xlfn.IFNA(VLOOKUP(Ruimtestaat[[#This Row],[Code Weekend]],Programma!$F$4:$Y$36148,6,0),"_")</f>
        <v>_</v>
      </c>
      <c r="BJ156" s="247" t="str">
        <f>_xlfn.IFNA(VLOOKUP(Ruimtestaat[[#This Row],[Code Weekend]],Programma!$F$4:$Y$36148,7,0),"_")</f>
        <v>_</v>
      </c>
      <c r="BK156" s="247" t="str">
        <f>_xlfn.IFNA(VLOOKUP(Ruimtestaat[[#This Row],[Code Weekend]],Programma!$F$4:$Y$36148,8,0),"_")</f>
        <v>_</v>
      </c>
      <c r="BL156" s="247" t="str">
        <f>_xlfn.IFNA(VLOOKUP(Ruimtestaat[[#This Row],[Code Weekend]],Programma!$F$4:$Y$36148,9,0),"_")</f>
        <v>_</v>
      </c>
      <c r="BM156" s="248" t="str">
        <f>_xlfn.IFNA(VLOOKUP(Ruimtestaat[[#This Row],[Code Weekend]],Programma!$F$4:$Y$36148,10,0),"_")</f>
        <v>_</v>
      </c>
      <c r="BN156" s="248" t="str">
        <f>_xlfn.IFNA(VLOOKUP(Ruimtestaat[[#This Row],[Code Weekend]],Programma!$F$4:$Y$36148,11,0),"_")</f>
        <v>_</v>
      </c>
      <c r="BO156" s="248" t="str">
        <f>_xlfn.IFNA(VLOOKUP(Ruimtestaat[[#This Row],[Code Weekend]],Programma!$F$4:$Y$36148,12,0),"_")</f>
        <v>_</v>
      </c>
      <c r="BP156" s="248" t="str">
        <f>_xlfn.IFNA(VLOOKUP(Ruimtestaat[[#This Row],[Code Weekend]],Programma!$F$4:$Y$36148,13,0),"_")</f>
        <v>_</v>
      </c>
      <c r="BQ156" s="248" t="str">
        <f>_xlfn.IFNA(VLOOKUP(Ruimtestaat[[#This Row],[Code Weekend]],Programma!$F$4:$Y$36148,14,0),"_")</f>
        <v>_</v>
      </c>
      <c r="BR156" s="248" t="str">
        <f>_xlfn.IFNA(VLOOKUP(Ruimtestaat[[#This Row],[Code Weekend]],Programma!$F$4:$Y$36148,15,0),"_")</f>
        <v>_</v>
      </c>
      <c r="BS156" s="248" t="str">
        <f>_xlfn.IFNA(VLOOKUP(Ruimtestaat[[#This Row],[Code Weekend]],Programma!$F$4:$Y$36148,16,0),"_")</f>
        <v>_</v>
      </c>
      <c r="BT156" s="248" t="str">
        <f>_xlfn.IFNA(VLOOKUP(Ruimtestaat[[#This Row],[Code Weekend]],Programma!$F$4:$Y$36148,17,0),"_")</f>
        <v>_</v>
      </c>
      <c r="BU156" s="249" t="str">
        <f>_xlfn.IFNA(VLOOKUP(Ruimtestaat[[#This Row],[Code Weekend]],Programma!$F$4:$Y$36148,18,0),"_")</f>
        <v>_</v>
      </c>
      <c r="BV156" s="249" t="str">
        <f>_xlfn.IFNA(VLOOKUP(Ruimtestaat[[#This Row],[Code Weekend]],Programma!$F$4:$Y$36148,19,0),"_")</f>
        <v>_</v>
      </c>
      <c r="BW156" s="249" t="str">
        <f>_xlfn.IFNA(VLOOKUP(Ruimtestaat[[#This Row],[Code Weekend]],Programma!$F$4:$Y$36148,20,0),"_")</f>
        <v>_</v>
      </c>
    </row>
    <row r="157" spans="1:75" ht="12.75" customHeight="1">
      <c r="A157" s="334">
        <v>1</v>
      </c>
      <c r="B157" s="334" t="str">
        <f>VLOOKUP(Ruimtestaat[[#This Row],[Code]],Locaties[#All],2,FALSE)</f>
        <v>ESH Secondary School</v>
      </c>
      <c r="C157" s="212" t="str">
        <f>VLOOKUP(Ruimtestaat[[#This Row],[Code]],Locaties[#All],4,FALSE)</f>
        <v>Oostduinlaan 50</v>
      </c>
      <c r="D157" s="212" t="str">
        <f>VLOOKUP(Ruimtestaat[[#This Row],[Code]],Locaties[#All],5,FALSE)</f>
        <v>2596 JP</v>
      </c>
      <c r="E157" s="212" t="str">
        <f>VLOOKUP(Ruimtestaat[[#This Row],[Code]],Locaties[#All],6,FALSE)</f>
        <v>Den Haag</v>
      </c>
      <c r="F157" s="335"/>
      <c r="G157" s="334" t="s">
        <v>1677</v>
      </c>
      <c r="H157" s="334" t="s">
        <v>1651</v>
      </c>
      <c r="I157" s="335" t="s">
        <v>1395</v>
      </c>
      <c r="J157" s="252" t="s">
        <v>1422</v>
      </c>
      <c r="K157" s="336" t="str">
        <f>VLOOKUP(J157,Ruimtegroepen[],2,FALSE)</f>
        <v>Gangen/hallen andere verdiepingen</v>
      </c>
      <c r="L157" s="212" t="s">
        <v>123</v>
      </c>
      <c r="M157" s="334" t="s">
        <v>144</v>
      </c>
      <c r="N157" s="337">
        <v>111</v>
      </c>
      <c r="O157" s="331"/>
      <c r="P157" s="332" t="str">
        <f>VLOOKUP(Ruimtestaat[[#This Row],[Ruimte code]],Ruimtegroepen[],4,FALSE)</f>
        <v>V  (Verkeersruimte)</v>
      </c>
      <c r="Q157" s="332"/>
      <c r="R157" s="333">
        <v>40</v>
      </c>
      <c r="S157" s="333" t="s">
        <v>2</v>
      </c>
      <c r="T157" s="37"/>
      <c r="U157" s="37">
        <f>IF(R157&gt;0,IF(RIGHT(Ruimtestaat[[#This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57" s="37">
        <f>IF(U157&gt;0,VLOOKUP($J157,Ruimtegroepen[],3,FALSE)*VLOOKUP($L157,Vloersoorten[],3,FALSE)*VLOOKUP($S157,Frequenties[],3,FALSE)*VLOOKUP($A157,Locaties[],3,FALSE),0)</f>
        <v>0</v>
      </c>
      <c r="W157" s="37">
        <f>Ruimtestaat[[#This Row],[Uitvoeringen werkdagen]]*Ruimtestaat[[#This Row],[Oppervlak (netto)]]</f>
        <v>22200</v>
      </c>
      <c r="X157" s="37">
        <f>IF(V157&gt;0,Ruimtestaat[[#This Row],[Prest. (m2 /jaar) werkdagen]]/Ruimtestaat[[#This Row],[Norm (m2/uur) werkdagen]],0)</f>
        <v>0</v>
      </c>
      <c r="Y157" s="37">
        <f>Ruimtestaat[[#This Row],[uren / jaar werkdagen]]*Tariefsopbouw!$D$38</f>
        <v>0</v>
      </c>
      <c r="Z157" s="37">
        <f>IF(Ruimtestaat[[#This Row],[Frequentie weekend]]&gt;0,VALUE(LEFT(T157,1))*R157,0)</f>
        <v>0</v>
      </c>
      <c r="AA157" s="37">
        <f>IF($Z157&gt;0,VLOOKUP($J157,Ruimtegroepen[],3,FALSE)*VLOOKUP($L157,Vloersoorten[],3,FALSE)*VLOOKUP($T157,Frequenties[],3,FALSE)*VLOOKUP($A157,Locaties[],3,FALSE),0)</f>
        <v>0</v>
      </c>
      <c r="AB157" s="37">
        <f>Ruimtestaat[[#This Row],[Uitvoeringen weekend]]*Ruimtestaat[[#This Row],[Oppervlak (netto)]]</f>
        <v>0</v>
      </c>
      <c r="AC157" s="37">
        <f>IF(AA157&gt;0,Ruimtestaat[[#This Row],[Prest. (m2 /jaar) weekend]]/Ruimtestaat[[#This Row],[Norm (m2/uur) weekend]],0)</f>
        <v>0</v>
      </c>
      <c r="AD157" s="37">
        <f>Ruimtestaat[[#This Row],[uren / jaar weekend]]*Tariefsopbouw!$D$40</f>
        <v>0</v>
      </c>
      <c r="AE157" s="89">
        <f>Ruimtestaat[[#This Row],[Prest. (m2 /jaar) weekend]]+Ruimtestaat[[#This Row],[Prest. (m2 /jaar) werkdagen]]</f>
        <v>22200</v>
      </c>
      <c r="AF157" s="89">
        <f>Ruimtestaat[[#This Row],[uren / jaar weekend]]+Ruimtestaat[[#This Row],[uren / jaar werkdagen]]</f>
        <v>0</v>
      </c>
      <c r="AG157" s="90">
        <f>Ruimtestaat[[#This Row],[kosten / jaar weekend]]+Ruimtestaat[[#This Row],[kosten / jaar werkdagen]]</f>
        <v>0</v>
      </c>
      <c r="AH157" s="253"/>
      <c r="AI157" s="252" t="str">
        <f>IF(Ruimtestaat[[#This Row],[Frequentie werkdagen]]="","",_xlfn.CONCAT(Ruimtestaat[[#This Row],[Ruimte code]],"-",Ruimtestaat[[#This Row],[Frequentie werkdagen]]," ",Ruimtestaat[[#This Row],[Vloer code]]))</f>
        <v>6a-5w P</v>
      </c>
      <c r="AJ157" s="247" t="str">
        <f>_xlfn.IFNA(VLOOKUP(Ruimtestaat[[#This Row],[Programmacode
Regulier]],Programma!$F$4:$Y$36148,2,0),"_")</f>
        <v>_</v>
      </c>
      <c r="AK157" s="247" t="str">
        <f>_xlfn.IFNA(VLOOKUP(Ruimtestaat[[#This Row],[Programmacode
Regulier]],Programma!$F$4:$Y$36148,3,0),"_")</f>
        <v>_</v>
      </c>
      <c r="AL157" s="247" t="str">
        <f>_xlfn.IFNA(VLOOKUP(Ruimtestaat[[#This Row],[Programmacode
Regulier]],Programma!$F$4:$Y$36148,4,0),"_")</f>
        <v>5w</v>
      </c>
      <c r="AM157" s="247" t="str">
        <f>_xlfn.IFNA(VLOOKUP(Ruimtestaat[[#This Row],[Programmacode
Regulier]],Programma!$F$4:$Y$36148,5,0),"_")</f>
        <v>4w</v>
      </c>
      <c r="AN157" s="247" t="str">
        <f>_xlfn.IFNA(VLOOKUP(Ruimtestaat[[#This Row],[Programmacode
Regulier]],Programma!$F$4:$Y$36148,6,0),"_")</f>
        <v>1w</v>
      </c>
      <c r="AO157" s="247" t="str">
        <f>_xlfn.IFNA(VLOOKUP(Ruimtestaat[[#This Row],[Programmacode
Regulier]],Programma!$F$4:$Y$36148,7,0),"_")</f>
        <v>_</v>
      </c>
      <c r="AP157" s="247" t="str">
        <f>_xlfn.IFNA(VLOOKUP(Ruimtestaat[[#This Row],[Programmacode
Regulier]],Programma!$F$4:$Y$36148,8,0),"_")</f>
        <v>_</v>
      </c>
      <c r="AQ157" s="247" t="str">
        <f>_xlfn.IFNA(VLOOKUP(Ruimtestaat[[#This Row],[Programmacode
Regulier]],Programma!$F$4:$Y$36148,9,0),"_")</f>
        <v>_</v>
      </c>
      <c r="AR157" s="248" t="str">
        <f>_xlfn.IFNA(VLOOKUP(Ruimtestaat[[#This Row],[Programmacode
Regulier]],Programma!$F$4:$Y$36148,10,0),"_")</f>
        <v>5w</v>
      </c>
      <c r="AS157" s="248" t="str">
        <f>_xlfn.IFNA(VLOOKUP(Ruimtestaat[[#This Row],[Programmacode
Regulier]],Programma!$F$4:$Y$36148,11,0),"_")</f>
        <v>5w</v>
      </c>
      <c r="AT157" s="248" t="str">
        <f>_xlfn.IFNA(VLOOKUP(Ruimtestaat[[#This Row],[Programmacode
Regulier]],Programma!$F$4:$Y$36148,12,0),"_")</f>
        <v>1w</v>
      </c>
      <c r="AU157" s="248" t="str">
        <f>_xlfn.IFNA(VLOOKUP(Ruimtestaat[[#This Row],[Programmacode
Regulier]],Programma!$F$4:$Y$36148,13,0),"_")</f>
        <v>1w</v>
      </c>
      <c r="AV157" s="248" t="str">
        <f>_xlfn.IFNA(VLOOKUP(Ruimtestaat[[#This Row],[Programmacode
Regulier]],Programma!$F$4:$Y$36148,14,0),"_")</f>
        <v>1m</v>
      </c>
      <c r="AW157" s="248" t="str">
        <f>_xlfn.IFNA(VLOOKUP(Ruimtestaat[[#This Row],[Programmacode
Regulier]],Programma!$F$4:$Y$36148,15,0),"_")</f>
        <v>2j</v>
      </c>
      <c r="AX157" s="248" t="str">
        <f>_xlfn.IFNA(VLOOKUP(Ruimtestaat[[#This Row],[Programmacode
Regulier]],Programma!$F$4:$Y$36148,16,0),"_")</f>
        <v>1j</v>
      </c>
      <c r="AY157" s="248" t="str">
        <f>_xlfn.IFNA(VLOOKUP(Ruimtestaat[[#This Row],[Programmacode
Regulier]],Programma!$F$4:$Y$36148,17,0),"_")</f>
        <v>_</v>
      </c>
      <c r="AZ157" s="249" t="str">
        <f>_xlfn.IFNA(VLOOKUP(Ruimtestaat[[#This Row],[Programmacode
Regulier]],Programma!$F$4:$Y$36148,18,0),"_")</f>
        <v>_</v>
      </c>
      <c r="BA157" s="249" t="str">
        <f>_xlfn.IFNA(VLOOKUP(Ruimtestaat[[#This Row],[Programmacode
Regulier]],Programma!$F$4:$Y$36148,19,0),"_")</f>
        <v>_</v>
      </c>
      <c r="BB157" s="249" t="str">
        <f>_xlfn.IFNA(VLOOKUP(Ruimtestaat[[#This Row],[Programmacode
Regulier]],Programma!$F$4:$Y$36148,20,0),"_")</f>
        <v>_</v>
      </c>
      <c r="BC157" s="250"/>
      <c r="BD157" s="212" t="str">
        <f>IF(Ruimtestaat[[#This Row],[Frequentie weekend]]="","",_xlfn.CONCAT(Ruimtestaat[[#This Row],[Ruimte code]],"-",Ruimtestaat[[#This Row],[Frequentie weekend]]," ",Ruimtestaat[[#This Row],[Vloer code]]))</f>
        <v/>
      </c>
      <c r="BE157" s="247" t="str">
        <f>_xlfn.IFNA(VLOOKUP(Ruimtestaat[[#This Row],[Code Weekend]],Programma!$F$4:$Y$36148,2,0),"_")</f>
        <v>_</v>
      </c>
      <c r="BF157" s="247" t="str">
        <f>_xlfn.IFNA(VLOOKUP(Ruimtestaat[[#This Row],[Code Weekend]],Programma!$F$4:$Y$36148,3,0),"_")</f>
        <v>_</v>
      </c>
      <c r="BG157" s="247" t="str">
        <f>_xlfn.IFNA(VLOOKUP(Ruimtestaat[[#This Row],[Code Weekend]],Programma!$F$4:$Y$36148,4,0),"_")</f>
        <v>_</v>
      </c>
      <c r="BH157" s="247" t="str">
        <f>_xlfn.IFNA(VLOOKUP(Ruimtestaat[[#This Row],[Code Weekend]],Programma!$F$4:$Y$36148,5,0),"_")</f>
        <v>_</v>
      </c>
      <c r="BI157" s="247" t="str">
        <f>_xlfn.IFNA(VLOOKUP(Ruimtestaat[[#This Row],[Code Weekend]],Programma!$F$4:$Y$36148,6,0),"_")</f>
        <v>_</v>
      </c>
      <c r="BJ157" s="247" t="str">
        <f>_xlfn.IFNA(VLOOKUP(Ruimtestaat[[#This Row],[Code Weekend]],Programma!$F$4:$Y$36148,7,0),"_")</f>
        <v>_</v>
      </c>
      <c r="BK157" s="247" t="str">
        <f>_xlfn.IFNA(VLOOKUP(Ruimtestaat[[#This Row],[Code Weekend]],Programma!$F$4:$Y$36148,8,0),"_")</f>
        <v>_</v>
      </c>
      <c r="BL157" s="247" t="str">
        <f>_xlfn.IFNA(VLOOKUP(Ruimtestaat[[#This Row],[Code Weekend]],Programma!$F$4:$Y$36148,9,0),"_")</f>
        <v>_</v>
      </c>
      <c r="BM157" s="248" t="str">
        <f>_xlfn.IFNA(VLOOKUP(Ruimtestaat[[#This Row],[Code Weekend]],Programma!$F$4:$Y$36148,10,0),"_")</f>
        <v>_</v>
      </c>
      <c r="BN157" s="248" t="str">
        <f>_xlfn.IFNA(VLOOKUP(Ruimtestaat[[#This Row],[Code Weekend]],Programma!$F$4:$Y$36148,11,0),"_")</f>
        <v>_</v>
      </c>
      <c r="BO157" s="248" t="str">
        <f>_xlfn.IFNA(VLOOKUP(Ruimtestaat[[#This Row],[Code Weekend]],Programma!$F$4:$Y$36148,12,0),"_")</f>
        <v>_</v>
      </c>
      <c r="BP157" s="248" t="str">
        <f>_xlfn.IFNA(VLOOKUP(Ruimtestaat[[#This Row],[Code Weekend]],Programma!$F$4:$Y$36148,13,0),"_")</f>
        <v>_</v>
      </c>
      <c r="BQ157" s="248" t="str">
        <f>_xlfn.IFNA(VLOOKUP(Ruimtestaat[[#This Row],[Code Weekend]],Programma!$F$4:$Y$36148,14,0),"_")</f>
        <v>_</v>
      </c>
      <c r="BR157" s="248" t="str">
        <f>_xlfn.IFNA(VLOOKUP(Ruimtestaat[[#This Row],[Code Weekend]],Programma!$F$4:$Y$36148,15,0),"_")</f>
        <v>_</v>
      </c>
      <c r="BS157" s="248" t="str">
        <f>_xlfn.IFNA(VLOOKUP(Ruimtestaat[[#This Row],[Code Weekend]],Programma!$F$4:$Y$36148,16,0),"_")</f>
        <v>_</v>
      </c>
      <c r="BT157" s="248" t="str">
        <f>_xlfn.IFNA(VLOOKUP(Ruimtestaat[[#This Row],[Code Weekend]],Programma!$F$4:$Y$36148,17,0),"_")</f>
        <v>_</v>
      </c>
      <c r="BU157" s="249" t="str">
        <f>_xlfn.IFNA(VLOOKUP(Ruimtestaat[[#This Row],[Code Weekend]],Programma!$F$4:$Y$36148,18,0),"_")</f>
        <v>_</v>
      </c>
      <c r="BV157" s="249" t="str">
        <f>_xlfn.IFNA(VLOOKUP(Ruimtestaat[[#This Row],[Code Weekend]],Programma!$F$4:$Y$36148,19,0),"_")</f>
        <v>_</v>
      </c>
      <c r="BW157" s="249" t="str">
        <f>_xlfn.IFNA(VLOOKUP(Ruimtestaat[[#This Row],[Code Weekend]],Programma!$F$4:$Y$36148,20,0),"_")</f>
        <v>_</v>
      </c>
    </row>
    <row r="158" spans="1:75" ht="12.75" customHeight="1">
      <c r="A158" s="334">
        <v>1</v>
      </c>
      <c r="B158" s="334" t="str">
        <f>VLOOKUP(Ruimtestaat[[#This Row],[Code]],Locaties[#All],2,FALSE)</f>
        <v>ESH Secondary School</v>
      </c>
      <c r="C158" s="212" t="str">
        <f>VLOOKUP(Ruimtestaat[[#This Row],[Code]],Locaties[#All],4,FALSE)</f>
        <v>Oostduinlaan 50</v>
      </c>
      <c r="D158" s="212" t="str">
        <f>VLOOKUP(Ruimtestaat[[#This Row],[Code]],Locaties[#All],5,FALSE)</f>
        <v>2596 JP</v>
      </c>
      <c r="E158" s="212" t="str">
        <f>VLOOKUP(Ruimtestaat[[#This Row],[Code]],Locaties[#All],6,FALSE)</f>
        <v>Den Haag</v>
      </c>
      <c r="F158" s="335"/>
      <c r="G158" s="334" t="s">
        <v>1677</v>
      </c>
      <c r="H158" s="334" t="s">
        <v>1652</v>
      </c>
      <c r="I158" s="335" t="s">
        <v>1395</v>
      </c>
      <c r="J158" s="252" t="s">
        <v>1422</v>
      </c>
      <c r="K158" s="336" t="str">
        <f>VLOOKUP(J158,Ruimtegroepen[],2,FALSE)</f>
        <v>Gangen/hallen andere verdiepingen</v>
      </c>
      <c r="L158" s="212" t="s">
        <v>123</v>
      </c>
      <c r="M158" s="334" t="s">
        <v>144</v>
      </c>
      <c r="N158" s="337">
        <v>33</v>
      </c>
      <c r="O158" s="331"/>
      <c r="P158" s="332" t="str">
        <f>VLOOKUP(Ruimtestaat[[#This Row],[Ruimte code]],Ruimtegroepen[],4,FALSE)</f>
        <v>V  (Verkeersruimte)</v>
      </c>
      <c r="Q158" s="332"/>
      <c r="R158" s="333">
        <v>40</v>
      </c>
      <c r="S158" s="333" t="s">
        <v>2</v>
      </c>
      <c r="T158" s="37"/>
      <c r="U158" s="37">
        <f>IF(R158&gt;0,IF(RIGHT(Ruimtestaat[[#This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58" s="37">
        <f>IF(U158&gt;0,VLOOKUP($J158,Ruimtegroepen[],3,FALSE)*VLOOKUP($L158,Vloersoorten[],3,FALSE)*VLOOKUP($S158,Frequenties[],3,FALSE)*VLOOKUP($A158,Locaties[],3,FALSE),0)</f>
        <v>0</v>
      </c>
      <c r="W158" s="37">
        <f>Ruimtestaat[[#This Row],[Uitvoeringen werkdagen]]*Ruimtestaat[[#This Row],[Oppervlak (netto)]]</f>
        <v>6600</v>
      </c>
      <c r="X158" s="37">
        <f>IF(V158&gt;0,Ruimtestaat[[#This Row],[Prest. (m2 /jaar) werkdagen]]/Ruimtestaat[[#This Row],[Norm (m2/uur) werkdagen]],0)</f>
        <v>0</v>
      </c>
      <c r="Y158" s="37">
        <f>Ruimtestaat[[#This Row],[uren / jaar werkdagen]]*Tariefsopbouw!$D$38</f>
        <v>0</v>
      </c>
      <c r="Z158" s="37">
        <f>IF(Ruimtestaat[[#This Row],[Frequentie weekend]]&gt;0,VALUE(LEFT(T158,1))*R158,0)</f>
        <v>0</v>
      </c>
      <c r="AA158" s="37">
        <f>IF($Z158&gt;0,VLOOKUP($J158,Ruimtegroepen[],3,FALSE)*VLOOKUP($L158,Vloersoorten[],3,FALSE)*VLOOKUP($T158,Frequenties[],3,FALSE)*VLOOKUP($A158,Locaties[],3,FALSE),0)</f>
        <v>0</v>
      </c>
      <c r="AB158" s="37">
        <f>Ruimtestaat[[#This Row],[Uitvoeringen weekend]]*Ruimtestaat[[#This Row],[Oppervlak (netto)]]</f>
        <v>0</v>
      </c>
      <c r="AC158" s="37">
        <f>IF(AA158&gt;0,Ruimtestaat[[#This Row],[Prest. (m2 /jaar) weekend]]/Ruimtestaat[[#This Row],[Norm (m2/uur) weekend]],0)</f>
        <v>0</v>
      </c>
      <c r="AD158" s="37">
        <f>Ruimtestaat[[#This Row],[uren / jaar weekend]]*Tariefsopbouw!$D$40</f>
        <v>0</v>
      </c>
      <c r="AE158" s="89">
        <f>Ruimtestaat[[#This Row],[Prest. (m2 /jaar) weekend]]+Ruimtestaat[[#This Row],[Prest. (m2 /jaar) werkdagen]]</f>
        <v>6600</v>
      </c>
      <c r="AF158" s="89">
        <f>Ruimtestaat[[#This Row],[uren / jaar weekend]]+Ruimtestaat[[#This Row],[uren / jaar werkdagen]]</f>
        <v>0</v>
      </c>
      <c r="AG158" s="90">
        <f>Ruimtestaat[[#This Row],[kosten / jaar weekend]]+Ruimtestaat[[#This Row],[kosten / jaar werkdagen]]</f>
        <v>0</v>
      </c>
      <c r="AH158" s="253"/>
      <c r="AI158" s="252" t="str">
        <f>IF(Ruimtestaat[[#This Row],[Frequentie werkdagen]]="","",_xlfn.CONCAT(Ruimtestaat[[#This Row],[Ruimte code]],"-",Ruimtestaat[[#This Row],[Frequentie werkdagen]]," ",Ruimtestaat[[#This Row],[Vloer code]]))</f>
        <v>6a-5w P</v>
      </c>
      <c r="AJ158" s="247" t="str">
        <f>_xlfn.IFNA(VLOOKUP(Ruimtestaat[[#This Row],[Programmacode
Regulier]],Programma!$F$4:$Y$36148,2,0),"_")</f>
        <v>_</v>
      </c>
      <c r="AK158" s="247" t="str">
        <f>_xlfn.IFNA(VLOOKUP(Ruimtestaat[[#This Row],[Programmacode
Regulier]],Programma!$F$4:$Y$36148,3,0),"_")</f>
        <v>_</v>
      </c>
      <c r="AL158" s="247" t="str">
        <f>_xlfn.IFNA(VLOOKUP(Ruimtestaat[[#This Row],[Programmacode
Regulier]],Programma!$F$4:$Y$36148,4,0),"_")</f>
        <v>5w</v>
      </c>
      <c r="AM158" s="247" t="str">
        <f>_xlfn.IFNA(VLOOKUP(Ruimtestaat[[#This Row],[Programmacode
Regulier]],Programma!$F$4:$Y$36148,5,0),"_")</f>
        <v>4w</v>
      </c>
      <c r="AN158" s="247" t="str">
        <f>_xlfn.IFNA(VLOOKUP(Ruimtestaat[[#This Row],[Programmacode
Regulier]],Programma!$F$4:$Y$36148,6,0),"_")</f>
        <v>1w</v>
      </c>
      <c r="AO158" s="247" t="str">
        <f>_xlfn.IFNA(VLOOKUP(Ruimtestaat[[#This Row],[Programmacode
Regulier]],Programma!$F$4:$Y$36148,7,0),"_")</f>
        <v>_</v>
      </c>
      <c r="AP158" s="247" t="str">
        <f>_xlfn.IFNA(VLOOKUP(Ruimtestaat[[#This Row],[Programmacode
Regulier]],Programma!$F$4:$Y$36148,8,0),"_")</f>
        <v>_</v>
      </c>
      <c r="AQ158" s="247" t="str">
        <f>_xlfn.IFNA(VLOOKUP(Ruimtestaat[[#This Row],[Programmacode
Regulier]],Programma!$F$4:$Y$36148,9,0),"_")</f>
        <v>_</v>
      </c>
      <c r="AR158" s="248" t="str">
        <f>_xlfn.IFNA(VLOOKUP(Ruimtestaat[[#This Row],[Programmacode
Regulier]],Programma!$F$4:$Y$36148,10,0),"_")</f>
        <v>5w</v>
      </c>
      <c r="AS158" s="248" t="str">
        <f>_xlfn.IFNA(VLOOKUP(Ruimtestaat[[#This Row],[Programmacode
Regulier]],Programma!$F$4:$Y$36148,11,0),"_")</f>
        <v>5w</v>
      </c>
      <c r="AT158" s="248" t="str">
        <f>_xlfn.IFNA(VLOOKUP(Ruimtestaat[[#This Row],[Programmacode
Regulier]],Programma!$F$4:$Y$36148,12,0),"_")</f>
        <v>1w</v>
      </c>
      <c r="AU158" s="248" t="str">
        <f>_xlfn.IFNA(VLOOKUP(Ruimtestaat[[#This Row],[Programmacode
Regulier]],Programma!$F$4:$Y$36148,13,0),"_")</f>
        <v>1w</v>
      </c>
      <c r="AV158" s="248" t="str">
        <f>_xlfn.IFNA(VLOOKUP(Ruimtestaat[[#This Row],[Programmacode
Regulier]],Programma!$F$4:$Y$36148,14,0),"_")</f>
        <v>1m</v>
      </c>
      <c r="AW158" s="248" t="str">
        <f>_xlfn.IFNA(VLOOKUP(Ruimtestaat[[#This Row],[Programmacode
Regulier]],Programma!$F$4:$Y$36148,15,0),"_")</f>
        <v>2j</v>
      </c>
      <c r="AX158" s="248" t="str">
        <f>_xlfn.IFNA(VLOOKUP(Ruimtestaat[[#This Row],[Programmacode
Regulier]],Programma!$F$4:$Y$36148,16,0),"_")</f>
        <v>1j</v>
      </c>
      <c r="AY158" s="248" t="str">
        <f>_xlfn.IFNA(VLOOKUP(Ruimtestaat[[#This Row],[Programmacode
Regulier]],Programma!$F$4:$Y$36148,17,0),"_")</f>
        <v>_</v>
      </c>
      <c r="AZ158" s="249" t="str">
        <f>_xlfn.IFNA(VLOOKUP(Ruimtestaat[[#This Row],[Programmacode
Regulier]],Programma!$F$4:$Y$36148,18,0),"_")</f>
        <v>_</v>
      </c>
      <c r="BA158" s="249" t="str">
        <f>_xlfn.IFNA(VLOOKUP(Ruimtestaat[[#This Row],[Programmacode
Regulier]],Programma!$F$4:$Y$36148,19,0),"_")</f>
        <v>_</v>
      </c>
      <c r="BB158" s="249" t="str">
        <f>_xlfn.IFNA(VLOOKUP(Ruimtestaat[[#This Row],[Programmacode
Regulier]],Programma!$F$4:$Y$36148,20,0),"_")</f>
        <v>_</v>
      </c>
      <c r="BC158" s="250"/>
      <c r="BD158" s="212" t="str">
        <f>IF(Ruimtestaat[[#This Row],[Frequentie weekend]]="","",_xlfn.CONCAT(Ruimtestaat[[#This Row],[Ruimte code]],"-",Ruimtestaat[[#This Row],[Frequentie weekend]]," ",Ruimtestaat[[#This Row],[Vloer code]]))</f>
        <v/>
      </c>
      <c r="BE158" s="247" t="str">
        <f>_xlfn.IFNA(VLOOKUP(Ruimtestaat[[#This Row],[Code Weekend]],Programma!$F$4:$Y$36148,2,0),"_")</f>
        <v>_</v>
      </c>
      <c r="BF158" s="247" t="str">
        <f>_xlfn.IFNA(VLOOKUP(Ruimtestaat[[#This Row],[Code Weekend]],Programma!$F$4:$Y$36148,3,0),"_")</f>
        <v>_</v>
      </c>
      <c r="BG158" s="247" t="str">
        <f>_xlfn.IFNA(VLOOKUP(Ruimtestaat[[#This Row],[Code Weekend]],Programma!$F$4:$Y$36148,4,0),"_")</f>
        <v>_</v>
      </c>
      <c r="BH158" s="247" t="str">
        <f>_xlfn.IFNA(VLOOKUP(Ruimtestaat[[#This Row],[Code Weekend]],Programma!$F$4:$Y$36148,5,0),"_")</f>
        <v>_</v>
      </c>
      <c r="BI158" s="247" t="str">
        <f>_xlfn.IFNA(VLOOKUP(Ruimtestaat[[#This Row],[Code Weekend]],Programma!$F$4:$Y$36148,6,0),"_")</f>
        <v>_</v>
      </c>
      <c r="BJ158" s="247" t="str">
        <f>_xlfn.IFNA(VLOOKUP(Ruimtestaat[[#This Row],[Code Weekend]],Programma!$F$4:$Y$36148,7,0),"_")</f>
        <v>_</v>
      </c>
      <c r="BK158" s="247" t="str">
        <f>_xlfn.IFNA(VLOOKUP(Ruimtestaat[[#This Row],[Code Weekend]],Programma!$F$4:$Y$36148,8,0),"_")</f>
        <v>_</v>
      </c>
      <c r="BL158" s="247" t="str">
        <f>_xlfn.IFNA(VLOOKUP(Ruimtestaat[[#This Row],[Code Weekend]],Programma!$F$4:$Y$36148,9,0),"_")</f>
        <v>_</v>
      </c>
      <c r="BM158" s="248" t="str">
        <f>_xlfn.IFNA(VLOOKUP(Ruimtestaat[[#This Row],[Code Weekend]],Programma!$F$4:$Y$36148,10,0),"_")</f>
        <v>_</v>
      </c>
      <c r="BN158" s="248" t="str">
        <f>_xlfn.IFNA(VLOOKUP(Ruimtestaat[[#This Row],[Code Weekend]],Programma!$F$4:$Y$36148,11,0),"_")</f>
        <v>_</v>
      </c>
      <c r="BO158" s="248" t="str">
        <f>_xlfn.IFNA(VLOOKUP(Ruimtestaat[[#This Row],[Code Weekend]],Programma!$F$4:$Y$36148,12,0),"_")</f>
        <v>_</v>
      </c>
      <c r="BP158" s="248" t="str">
        <f>_xlfn.IFNA(VLOOKUP(Ruimtestaat[[#This Row],[Code Weekend]],Programma!$F$4:$Y$36148,13,0),"_")</f>
        <v>_</v>
      </c>
      <c r="BQ158" s="248" t="str">
        <f>_xlfn.IFNA(VLOOKUP(Ruimtestaat[[#This Row],[Code Weekend]],Programma!$F$4:$Y$36148,14,0),"_")</f>
        <v>_</v>
      </c>
      <c r="BR158" s="248" t="str">
        <f>_xlfn.IFNA(VLOOKUP(Ruimtestaat[[#This Row],[Code Weekend]],Programma!$F$4:$Y$36148,15,0),"_")</f>
        <v>_</v>
      </c>
      <c r="BS158" s="248" t="str">
        <f>_xlfn.IFNA(VLOOKUP(Ruimtestaat[[#This Row],[Code Weekend]],Programma!$F$4:$Y$36148,16,0),"_")</f>
        <v>_</v>
      </c>
      <c r="BT158" s="248" t="str">
        <f>_xlfn.IFNA(VLOOKUP(Ruimtestaat[[#This Row],[Code Weekend]],Programma!$F$4:$Y$36148,17,0),"_")</f>
        <v>_</v>
      </c>
      <c r="BU158" s="249" t="str">
        <f>_xlfn.IFNA(VLOOKUP(Ruimtestaat[[#This Row],[Code Weekend]],Programma!$F$4:$Y$36148,18,0),"_")</f>
        <v>_</v>
      </c>
      <c r="BV158" s="249" t="str">
        <f>_xlfn.IFNA(VLOOKUP(Ruimtestaat[[#This Row],[Code Weekend]],Programma!$F$4:$Y$36148,19,0),"_")</f>
        <v>_</v>
      </c>
      <c r="BW158" s="249" t="str">
        <f>_xlfn.IFNA(VLOOKUP(Ruimtestaat[[#This Row],[Code Weekend]],Programma!$F$4:$Y$36148,20,0),"_")</f>
        <v>_</v>
      </c>
    </row>
    <row r="159" spans="1:75" ht="12.75" customHeight="1">
      <c r="A159" s="334">
        <v>1</v>
      </c>
      <c r="B159" s="334" t="str">
        <f>VLOOKUP(Ruimtestaat[[#This Row],[Code]],Locaties[#All],2,FALSE)</f>
        <v>ESH Secondary School</v>
      </c>
      <c r="C159" s="212" t="str">
        <f>VLOOKUP(Ruimtestaat[[#This Row],[Code]],Locaties[#All],4,FALSE)</f>
        <v>Oostduinlaan 50</v>
      </c>
      <c r="D159" s="212" t="str">
        <f>VLOOKUP(Ruimtestaat[[#This Row],[Code]],Locaties[#All],5,FALSE)</f>
        <v>2596 JP</v>
      </c>
      <c r="E159" s="212" t="str">
        <f>VLOOKUP(Ruimtestaat[[#This Row],[Code]],Locaties[#All],6,FALSE)</f>
        <v>Den Haag</v>
      </c>
      <c r="F159" s="335"/>
      <c r="G159" s="334" t="s">
        <v>1677</v>
      </c>
      <c r="H159" s="334" t="s">
        <v>1653</v>
      </c>
      <c r="I159" s="335" t="s">
        <v>1395</v>
      </c>
      <c r="J159" s="212" t="s">
        <v>1422</v>
      </c>
      <c r="K159" s="336" t="str">
        <f>VLOOKUP(J159,Ruimtegroepen[],2,FALSE)</f>
        <v>Gangen/hallen andere verdiepingen</v>
      </c>
      <c r="L159" s="212" t="s">
        <v>123</v>
      </c>
      <c r="M159" s="334" t="s">
        <v>144</v>
      </c>
      <c r="N159" s="337">
        <v>42</v>
      </c>
      <c r="O159" s="331"/>
      <c r="P159" s="332" t="str">
        <f>VLOOKUP(Ruimtestaat[[#This Row],[Ruimte code]],Ruimtegroepen[],4,FALSE)</f>
        <v>V  (Verkeersruimte)</v>
      </c>
      <c r="Q159" s="332"/>
      <c r="R159" s="333">
        <v>40</v>
      </c>
      <c r="S159" s="333" t="s">
        <v>2</v>
      </c>
      <c r="T159" s="37"/>
      <c r="U159" s="37">
        <f>IF(R159&gt;0,IF(RIGHT(Ruimtestaat[[#This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59" s="37">
        <f>IF(U159&gt;0,VLOOKUP($J159,Ruimtegroepen[],3,FALSE)*VLOOKUP($L159,Vloersoorten[],3,FALSE)*VLOOKUP($S159,Frequenties[],3,FALSE)*VLOOKUP($A159,Locaties[],3,FALSE),0)</f>
        <v>0</v>
      </c>
      <c r="W159" s="37">
        <f>Ruimtestaat[[#This Row],[Uitvoeringen werkdagen]]*Ruimtestaat[[#This Row],[Oppervlak (netto)]]</f>
        <v>8400</v>
      </c>
      <c r="X159" s="37">
        <f>IF(V159&gt;0,Ruimtestaat[[#This Row],[Prest. (m2 /jaar) werkdagen]]/Ruimtestaat[[#This Row],[Norm (m2/uur) werkdagen]],0)</f>
        <v>0</v>
      </c>
      <c r="Y159" s="37">
        <f>Ruimtestaat[[#This Row],[uren / jaar werkdagen]]*Tariefsopbouw!$D$38</f>
        <v>0</v>
      </c>
      <c r="Z159" s="37">
        <f>IF(Ruimtestaat[[#This Row],[Frequentie weekend]]&gt;0,VALUE(LEFT(T159,1))*R159,0)</f>
        <v>0</v>
      </c>
      <c r="AA159" s="37">
        <f>IF($Z159&gt;0,VLOOKUP($J159,Ruimtegroepen[],3,FALSE)*VLOOKUP($L159,Vloersoorten[],3,FALSE)*VLOOKUP($T159,Frequenties[],3,FALSE)*VLOOKUP($A159,Locaties[],3,FALSE),0)</f>
        <v>0</v>
      </c>
      <c r="AB159" s="37">
        <f>Ruimtestaat[[#This Row],[Uitvoeringen weekend]]*Ruimtestaat[[#This Row],[Oppervlak (netto)]]</f>
        <v>0</v>
      </c>
      <c r="AC159" s="37">
        <f>IF(AA159&gt;0,Ruimtestaat[[#This Row],[Prest. (m2 /jaar) weekend]]/Ruimtestaat[[#This Row],[Norm (m2/uur) weekend]],0)</f>
        <v>0</v>
      </c>
      <c r="AD159" s="37">
        <f>Ruimtestaat[[#This Row],[uren / jaar weekend]]*Tariefsopbouw!$D$40</f>
        <v>0</v>
      </c>
      <c r="AE159" s="89">
        <f>Ruimtestaat[[#This Row],[Prest. (m2 /jaar) weekend]]+Ruimtestaat[[#This Row],[Prest. (m2 /jaar) werkdagen]]</f>
        <v>8400</v>
      </c>
      <c r="AF159" s="89">
        <f>Ruimtestaat[[#This Row],[uren / jaar weekend]]+Ruimtestaat[[#This Row],[uren / jaar werkdagen]]</f>
        <v>0</v>
      </c>
      <c r="AG159" s="90">
        <f>Ruimtestaat[[#This Row],[kosten / jaar weekend]]+Ruimtestaat[[#This Row],[kosten / jaar werkdagen]]</f>
        <v>0</v>
      </c>
      <c r="AH159" s="253"/>
      <c r="AI159" s="252" t="str">
        <f>IF(Ruimtestaat[[#This Row],[Frequentie werkdagen]]="","",_xlfn.CONCAT(Ruimtestaat[[#This Row],[Ruimte code]],"-",Ruimtestaat[[#This Row],[Frequentie werkdagen]]," ",Ruimtestaat[[#This Row],[Vloer code]]))</f>
        <v>6a-5w P</v>
      </c>
      <c r="AJ159" s="247" t="str">
        <f>_xlfn.IFNA(VLOOKUP(Ruimtestaat[[#This Row],[Programmacode
Regulier]],Programma!$F$4:$Y$36148,2,0),"_")</f>
        <v>_</v>
      </c>
      <c r="AK159" s="247" t="str">
        <f>_xlfn.IFNA(VLOOKUP(Ruimtestaat[[#This Row],[Programmacode
Regulier]],Programma!$F$4:$Y$36148,3,0),"_")</f>
        <v>_</v>
      </c>
      <c r="AL159" s="247" t="str">
        <f>_xlfn.IFNA(VLOOKUP(Ruimtestaat[[#This Row],[Programmacode
Regulier]],Programma!$F$4:$Y$36148,4,0),"_")</f>
        <v>5w</v>
      </c>
      <c r="AM159" s="247" t="str">
        <f>_xlfn.IFNA(VLOOKUP(Ruimtestaat[[#This Row],[Programmacode
Regulier]],Programma!$F$4:$Y$36148,5,0),"_")</f>
        <v>4w</v>
      </c>
      <c r="AN159" s="247" t="str">
        <f>_xlfn.IFNA(VLOOKUP(Ruimtestaat[[#This Row],[Programmacode
Regulier]],Programma!$F$4:$Y$36148,6,0),"_")</f>
        <v>1w</v>
      </c>
      <c r="AO159" s="247" t="str">
        <f>_xlfn.IFNA(VLOOKUP(Ruimtestaat[[#This Row],[Programmacode
Regulier]],Programma!$F$4:$Y$36148,7,0),"_")</f>
        <v>_</v>
      </c>
      <c r="AP159" s="247" t="str">
        <f>_xlfn.IFNA(VLOOKUP(Ruimtestaat[[#This Row],[Programmacode
Regulier]],Programma!$F$4:$Y$36148,8,0),"_")</f>
        <v>_</v>
      </c>
      <c r="AQ159" s="247" t="str">
        <f>_xlfn.IFNA(VLOOKUP(Ruimtestaat[[#This Row],[Programmacode
Regulier]],Programma!$F$4:$Y$36148,9,0),"_")</f>
        <v>_</v>
      </c>
      <c r="AR159" s="248" t="str">
        <f>_xlfn.IFNA(VLOOKUP(Ruimtestaat[[#This Row],[Programmacode
Regulier]],Programma!$F$4:$Y$36148,10,0),"_")</f>
        <v>5w</v>
      </c>
      <c r="AS159" s="248" t="str">
        <f>_xlfn.IFNA(VLOOKUP(Ruimtestaat[[#This Row],[Programmacode
Regulier]],Programma!$F$4:$Y$36148,11,0),"_")</f>
        <v>5w</v>
      </c>
      <c r="AT159" s="248" t="str">
        <f>_xlfn.IFNA(VLOOKUP(Ruimtestaat[[#This Row],[Programmacode
Regulier]],Programma!$F$4:$Y$36148,12,0),"_")</f>
        <v>1w</v>
      </c>
      <c r="AU159" s="248" t="str">
        <f>_xlfn.IFNA(VLOOKUP(Ruimtestaat[[#This Row],[Programmacode
Regulier]],Programma!$F$4:$Y$36148,13,0),"_")</f>
        <v>1w</v>
      </c>
      <c r="AV159" s="248" t="str">
        <f>_xlfn.IFNA(VLOOKUP(Ruimtestaat[[#This Row],[Programmacode
Regulier]],Programma!$F$4:$Y$36148,14,0),"_")</f>
        <v>1m</v>
      </c>
      <c r="AW159" s="248" t="str">
        <f>_xlfn.IFNA(VLOOKUP(Ruimtestaat[[#This Row],[Programmacode
Regulier]],Programma!$F$4:$Y$36148,15,0),"_")</f>
        <v>2j</v>
      </c>
      <c r="AX159" s="248" t="str">
        <f>_xlfn.IFNA(VLOOKUP(Ruimtestaat[[#This Row],[Programmacode
Regulier]],Programma!$F$4:$Y$36148,16,0),"_")</f>
        <v>1j</v>
      </c>
      <c r="AY159" s="248" t="str">
        <f>_xlfn.IFNA(VLOOKUP(Ruimtestaat[[#This Row],[Programmacode
Regulier]],Programma!$F$4:$Y$36148,17,0),"_")</f>
        <v>_</v>
      </c>
      <c r="AZ159" s="249" t="str">
        <f>_xlfn.IFNA(VLOOKUP(Ruimtestaat[[#This Row],[Programmacode
Regulier]],Programma!$F$4:$Y$36148,18,0),"_")</f>
        <v>_</v>
      </c>
      <c r="BA159" s="249" t="str">
        <f>_xlfn.IFNA(VLOOKUP(Ruimtestaat[[#This Row],[Programmacode
Regulier]],Programma!$F$4:$Y$36148,19,0),"_")</f>
        <v>_</v>
      </c>
      <c r="BB159" s="249" t="str">
        <f>_xlfn.IFNA(VLOOKUP(Ruimtestaat[[#This Row],[Programmacode
Regulier]],Programma!$F$4:$Y$36148,20,0),"_")</f>
        <v>_</v>
      </c>
      <c r="BC159" s="250"/>
      <c r="BD159" s="212" t="str">
        <f>IF(Ruimtestaat[[#This Row],[Frequentie weekend]]="","",_xlfn.CONCAT(Ruimtestaat[[#This Row],[Ruimte code]],"-",Ruimtestaat[[#This Row],[Frequentie weekend]]," ",Ruimtestaat[[#This Row],[Vloer code]]))</f>
        <v/>
      </c>
      <c r="BE159" s="247" t="str">
        <f>_xlfn.IFNA(VLOOKUP(Ruimtestaat[[#This Row],[Code Weekend]],Programma!$F$4:$Y$36148,2,0),"_")</f>
        <v>_</v>
      </c>
      <c r="BF159" s="247" t="str">
        <f>_xlfn.IFNA(VLOOKUP(Ruimtestaat[[#This Row],[Code Weekend]],Programma!$F$4:$Y$36148,3,0),"_")</f>
        <v>_</v>
      </c>
      <c r="BG159" s="247" t="str">
        <f>_xlfn.IFNA(VLOOKUP(Ruimtestaat[[#This Row],[Code Weekend]],Programma!$F$4:$Y$36148,4,0),"_")</f>
        <v>_</v>
      </c>
      <c r="BH159" s="247" t="str">
        <f>_xlfn.IFNA(VLOOKUP(Ruimtestaat[[#This Row],[Code Weekend]],Programma!$F$4:$Y$36148,5,0),"_")</f>
        <v>_</v>
      </c>
      <c r="BI159" s="247" t="str">
        <f>_xlfn.IFNA(VLOOKUP(Ruimtestaat[[#This Row],[Code Weekend]],Programma!$F$4:$Y$36148,6,0),"_")</f>
        <v>_</v>
      </c>
      <c r="BJ159" s="247" t="str">
        <f>_xlfn.IFNA(VLOOKUP(Ruimtestaat[[#This Row],[Code Weekend]],Programma!$F$4:$Y$36148,7,0),"_")</f>
        <v>_</v>
      </c>
      <c r="BK159" s="247" t="str">
        <f>_xlfn.IFNA(VLOOKUP(Ruimtestaat[[#This Row],[Code Weekend]],Programma!$F$4:$Y$36148,8,0),"_")</f>
        <v>_</v>
      </c>
      <c r="BL159" s="247" t="str">
        <f>_xlfn.IFNA(VLOOKUP(Ruimtestaat[[#This Row],[Code Weekend]],Programma!$F$4:$Y$36148,9,0),"_")</f>
        <v>_</v>
      </c>
      <c r="BM159" s="248" t="str">
        <f>_xlfn.IFNA(VLOOKUP(Ruimtestaat[[#This Row],[Code Weekend]],Programma!$F$4:$Y$36148,10,0),"_")</f>
        <v>_</v>
      </c>
      <c r="BN159" s="248" t="str">
        <f>_xlfn.IFNA(VLOOKUP(Ruimtestaat[[#This Row],[Code Weekend]],Programma!$F$4:$Y$36148,11,0),"_")</f>
        <v>_</v>
      </c>
      <c r="BO159" s="248" t="str">
        <f>_xlfn.IFNA(VLOOKUP(Ruimtestaat[[#This Row],[Code Weekend]],Programma!$F$4:$Y$36148,12,0),"_")</f>
        <v>_</v>
      </c>
      <c r="BP159" s="248" t="str">
        <f>_xlfn.IFNA(VLOOKUP(Ruimtestaat[[#This Row],[Code Weekend]],Programma!$F$4:$Y$36148,13,0),"_")</f>
        <v>_</v>
      </c>
      <c r="BQ159" s="248" t="str">
        <f>_xlfn.IFNA(VLOOKUP(Ruimtestaat[[#This Row],[Code Weekend]],Programma!$F$4:$Y$36148,14,0),"_")</f>
        <v>_</v>
      </c>
      <c r="BR159" s="248" t="str">
        <f>_xlfn.IFNA(VLOOKUP(Ruimtestaat[[#This Row],[Code Weekend]],Programma!$F$4:$Y$36148,15,0),"_")</f>
        <v>_</v>
      </c>
      <c r="BS159" s="248" t="str">
        <f>_xlfn.IFNA(VLOOKUP(Ruimtestaat[[#This Row],[Code Weekend]],Programma!$F$4:$Y$36148,16,0),"_")</f>
        <v>_</v>
      </c>
      <c r="BT159" s="248" t="str">
        <f>_xlfn.IFNA(VLOOKUP(Ruimtestaat[[#This Row],[Code Weekend]],Programma!$F$4:$Y$36148,17,0),"_")</f>
        <v>_</v>
      </c>
      <c r="BU159" s="249" t="str">
        <f>_xlfn.IFNA(VLOOKUP(Ruimtestaat[[#This Row],[Code Weekend]],Programma!$F$4:$Y$36148,18,0),"_")</f>
        <v>_</v>
      </c>
      <c r="BV159" s="249" t="str">
        <f>_xlfn.IFNA(VLOOKUP(Ruimtestaat[[#This Row],[Code Weekend]],Programma!$F$4:$Y$36148,19,0),"_")</f>
        <v>_</v>
      </c>
      <c r="BW159" s="249" t="str">
        <f>_xlfn.IFNA(VLOOKUP(Ruimtestaat[[#This Row],[Code Weekend]],Programma!$F$4:$Y$36148,20,0),"_")</f>
        <v>_</v>
      </c>
    </row>
    <row r="160" spans="1:75" ht="12.75" customHeight="1">
      <c r="A160" s="334">
        <v>1</v>
      </c>
      <c r="B160" s="334" t="str">
        <f>VLOOKUP(Ruimtestaat[[#This Row],[Code]],Locaties[#All],2,FALSE)</f>
        <v>ESH Secondary School</v>
      </c>
      <c r="C160" s="212" t="str">
        <f>VLOOKUP(Ruimtestaat[[#This Row],[Code]],Locaties[#All],4,FALSE)</f>
        <v>Oostduinlaan 50</v>
      </c>
      <c r="D160" s="212" t="str">
        <f>VLOOKUP(Ruimtestaat[[#This Row],[Code]],Locaties[#All],5,FALSE)</f>
        <v>2596 JP</v>
      </c>
      <c r="E160" s="212" t="str">
        <f>VLOOKUP(Ruimtestaat[[#This Row],[Code]],Locaties[#All],6,FALSE)</f>
        <v>Den Haag</v>
      </c>
      <c r="F160" s="335"/>
      <c r="G160" s="334" t="s">
        <v>1677</v>
      </c>
      <c r="H160" s="334" t="s">
        <v>1654</v>
      </c>
      <c r="I160" s="335" t="s">
        <v>1779</v>
      </c>
      <c r="J160" s="252" t="s">
        <v>1760</v>
      </c>
      <c r="K160" s="336" t="str">
        <f>VLOOKUP(J160,Ruimtegroepen[],2,FALSE)</f>
        <v>Praktijklokalen</v>
      </c>
      <c r="L160" s="212" t="s">
        <v>123</v>
      </c>
      <c r="M160" s="334" t="s">
        <v>144</v>
      </c>
      <c r="N160" s="337">
        <v>86</v>
      </c>
      <c r="O160" s="331"/>
      <c r="P160" s="332" t="str">
        <f>VLOOKUP(Ruimtestaat[[#This Row],[Ruimte code]],Ruimtegroepen[],4,FALSE)</f>
        <v>L  (Lesruimte)</v>
      </c>
      <c r="Q160" s="332"/>
      <c r="R160" s="333">
        <v>40</v>
      </c>
      <c r="S160" s="333" t="s">
        <v>2</v>
      </c>
      <c r="T160" s="37"/>
      <c r="U160" s="37">
        <f>IF(R160&gt;0,IF(RIGHT(Ruimtestaat[[#This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60" s="37">
        <f>IF(U160&gt;0,VLOOKUP($J160,Ruimtegroepen[],3,FALSE)*VLOOKUP($L160,Vloersoorten[],3,FALSE)*VLOOKUP($S160,Frequenties[],3,FALSE)*VLOOKUP($A160,Locaties[],3,FALSE),0)</f>
        <v>0</v>
      </c>
      <c r="W160" s="37">
        <f>Ruimtestaat[[#This Row],[Uitvoeringen werkdagen]]*Ruimtestaat[[#This Row],[Oppervlak (netto)]]</f>
        <v>17200</v>
      </c>
      <c r="X160" s="37">
        <f>IF(V160&gt;0,Ruimtestaat[[#This Row],[Prest. (m2 /jaar) werkdagen]]/Ruimtestaat[[#This Row],[Norm (m2/uur) werkdagen]],0)</f>
        <v>0</v>
      </c>
      <c r="Y160" s="37">
        <f>Ruimtestaat[[#This Row],[uren / jaar werkdagen]]*Tariefsopbouw!$D$38</f>
        <v>0</v>
      </c>
      <c r="Z160" s="37">
        <f>IF(Ruimtestaat[[#This Row],[Frequentie weekend]]&gt;0,VALUE(LEFT(T160,1))*R160,0)</f>
        <v>0</v>
      </c>
      <c r="AA160" s="37">
        <f>IF($Z160&gt;0,VLOOKUP($J160,Ruimtegroepen[],3,FALSE)*VLOOKUP($L160,Vloersoorten[],3,FALSE)*VLOOKUP($T160,Frequenties[],3,FALSE)*VLOOKUP($A160,Locaties[],3,FALSE),0)</f>
        <v>0</v>
      </c>
      <c r="AB160" s="37">
        <f>Ruimtestaat[[#This Row],[Uitvoeringen weekend]]*Ruimtestaat[[#This Row],[Oppervlak (netto)]]</f>
        <v>0</v>
      </c>
      <c r="AC160" s="37">
        <f>IF(AA160&gt;0,Ruimtestaat[[#This Row],[Prest. (m2 /jaar) weekend]]/Ruimtestaat[[#This Row],[Norm (m2/uur) weekend]],0)</f>
        <v>0</v>
      </c>
      <c r="AD160" s="37">
        <f>Ruimtestaat[[#This Row],[uren / jaar weekend]]*Tariefsopbouw!$D$40</f>
        <v>0</v>
      </c>
      <c r="AE160" s="89">
        <f>Ruimtestaat[[#This Row],[Prest. (m2 /jaar) weekend]]+Ruimtestaat[[#This Row],[Prest. (m2 /jaar) werkdagen]]</f>
        <v>17200</v>
      </c>
      <c r="AF160" s="89">
        <f>Ruimtestaat[[#This Row],[uren / jaar weekend]]+Ruimtestaat[[#This Row],[uren / jaar werkdagen]]</f>
        <v>0</v>
      </c>
      <c r="AG160" s="90">
        <f>Ruimtestaat[[#This Row],[kosten / jaar weekend]]+Ruimtestaat[[#This Row],[kosten / jaar werkdagen]]</f>
        <v>0</v>
      </c>
      <c r="AH160" s="253"/>
      <c r="AI160" s="252" t="str">
        <f>IF(Ruimtestaat[[#This Row],[Frequentie werkdagen]]="","",_xlfn.CONCAT(Ruimtestaat[[#This Row],[Ruimte code]],"-",Ruimtestaat[[#This Row],[Frequentie werkdagen]]," ",Ruimtestaat[[#This Row],[Vloer code]]))</f>
        <v>14A-5w P</v>
      </c>
      <c r="AJ160" s="247" t="str">
        <f>_xlfn.IFNA(VLOOKUP(Ruimtestaat[[#This Row],[Programmacode
Regulier]],Programma!$F$4:$Y$36148,2,0),"_")</f>
        <v>_</v>
      </c>
      <c r="AK160" s="247" t="str">
        <f>_xlfn.IFNA(VLOOKUP(Ruimtestaat[[#This Row],[Programmacode
Regulier]],Programma!$F$4:$Y$36148,3,0),"_")</f>
        <v>_</v>
      </c>
      <c r="AL160" s="247" t="str">
        <f>_xlfn.IFNA(VLOOKUP(Ruimtestaat[[#This Row],[Programmacode
Regulier]],Programma!$F$4:$Y$36148,4,0),"_")</f>
        <v>_</v>
      </c>
      <c r="AM160" s="247" t="str">
        <f>_xlfn.IFNA(VLOOKUP(Ruimtestaat[[#This Row],[Programmacode
Regulier]],Programma!$F$4:$Y$36148,5,0),"_")</f>
        <v>_</v>
      </c>
      <c r="AN160" s="247" t="str">
        <f>_xlfn.IFNA(VLOOKUP(Ruimtestaat[[#This Row],[Programmacode
Regulier]],Programma!$F$4:$Y$36148,6,0),"_")</f>
        <v>_</v>
      </c>
      <c r="AO160" s="247" t="str">
        <f>_xlfn.IFNA(VLOOKUP(Ruimtestaat[[#This Row],[Programmacode
Regulier]],Programma!$F$4:$Y$36148,7,0),"_")</f>
        <v>_</v>
      </c>
      <c r="AP160" s="247" t="str">
        <f>_xlfn.IFNA(VLOOKUP(Ruimtestaat[[#This Row],[Programmacode
Regulier]],Programma!$F$4:$Y$36148,8,0),"_")</f>
        <v>_</v>
      </c>
      <c r="AQ160" s="247" t="str">
        <f>_xlfn.IFNA(VLOOKUP(Ruimtestaat[[#This Row],[Programmacode
Regulier]],Programma!$F$4:$Y$36148,9,0),"_")</f>
        <v>_</v>
      </c>
      <c r="AR160" s="248" t="str">
        <f>_xlfn.IFNA(VLOOKUP(Ruimtestaat[[#This Row],[Programmacode
Regulier]],Programma!$F$4:$Y$36148,10,0),"_")</f>
        <v>_</v>
      </c>
      <c r="AS160" s="248" t="str">
        <f>_xlfn.IFNA(VLOOKUP(Ruimtestaat[[#This Row],[Programmacode
Regulier]],Programma!$F$4:$Y$36148,11,0),"_")</f>
        <v>_</v>
      </c>
      <c r="AT160" s="248" t="str">
        <f>_xlfn.IFNA(VLOOKUP(Ruimtestaat[[#This Row],[Programmacode
Regulier]],Programma!$F$4:$Y$36148,12,0),"_")</f>
        <v>_</v>
      </c>
      <c r="AU160" s="248" t="str">
        <f>_xlfn.IFNA(VLOOKUP(Ruimtestaat[[#This Row],[Programmacode
Regulier]],Programma!$F$4:$Y$36148,13,0),"_")</f>
        <v>_</v>
      </c>
      <c r="AV160" s="248" t="str">
        <f>_xlfn.IFNA(VLOOKUP(Ruimtestaat[[#This Row],[Programmacode
Regulier]],Programma!$F$4:$Y$36148,14,0),"_")</f>
        <v>_</v>
      </c>
      <c r="AW160" s="248" t="str">
        <f>_xlfn.IFNA(VLOOKUP(Ruimtestaat[[#This Row],[Programmacode
Regulier]],Programma!$F$4:$Y$36148,15,0),"_")</f>
        <v>_</v>
      </c>
      <c r="AX160" s="248" t="str">
        <f>_xlfn.IFNA(VLOOKUP(Ruimtestaat[[#This Row],[Programmacode
Regulier]],Programma!$F$4:$Y$36148,16,0),"_")</f>
        <v>_</v>
      </c>
      <c r="AY160" s="248" t="str">
        <f>_xlfn.IFNA(VLOOKUP(Ruimtestaat[[#This Row],[Programmacode
Regulier]],Programma!$F$4:$Y$36148,17,0),"_")</f>
        <v>_</v>
      </c>
      <c r="AZ160" s="249" t="str">
        <f>_xlfn.IFNA(VLOOKUP(Ruimtestaat[[#This Row],[Programmacode
Regulier]],Programma!$F$4:$Y$36148,18,0),"_")</f>
        <v>_</v>
      </c>
      <c r="BA160" s="249" t="str">
        <f>_xlfn.IFNA(VLOOKUP(Ruimtestaat[[#This Row],[Programmacode
Regulier]],Programma!$F$4:$Y$36148,19,0),"_")</f>
        <v>_</v>
      </c>
      <c r="BB160" s="249" t="str">
        <f>_xlfn.IFNA(VLOOKUP(Ruimtestaat[[#This Row],[Programmacode
Regulier]],Programma!$F$4:$Y$36148,20,0),"_")</f>
        <v>_</v>
      </c>
      <c r="BC160" s="250"/>
      <c r="BD160" s="212" t="str">
        <f>IF(Ruimtestaat[[#This Row],[Frequentie weekend]]="","",_xlfn.CONCAT(Ruimtestaat[[#This Row],[Ruimte code]],"-",Ruimtestaat[[#This Row],[Frequentie weekend]]," ",Ruimtestaat[[#This Row],[Vloer code]]))</f>
        <v/>
      </c>
      <c r="BE160" s="247" t="str">
        <f>_xlfn.IFNA(VLOOKUP(Ruimtestaat[[#This Row],[Code Weekend]],Programma!$F$4:$Y$36148,2,0),"_")</f>
        <v>_</v>
      </c>
      <c r="BF160" s="247" t="str">
        <f>_xlfn.IFNA(VLOOKUP(Ruimtestaat[[#This Row],[Code Weekend]],Programma!$F$4:$Y$36148,3,0),"_")</f>
        <v>_</v>
      </c>
      <c r="BG160" s="247" t="str">
        <f>_xlfn.IFNA(VLOOKUP(Ruimtestaat[[#This Row],[Code Weekend]],Programma!$F$4:$Y$36148,4,0),"_")</f>
        <v>_</v>
      </c>
      <c r="BH160" s="247" t="str">
        <f>_xlfn.IFNA(VLOOKUP(Ruimtestaat[[#This Row],[Code Weekend]],Programma!$F$4:$Y$36148,5,0),"_")</f>
        <v>_</v>
      </c>
      <c r="BI160" s="247" t="str">
        <f>_xlfn.IFNA(VLOOKUP(Ruimtestaat[[#This Row],[Code Weekend]],Programma!$F$4:$Y$36148,6,0),"_")</f>
        <v>_</v>
      </c>
      <c r="BJ160" s="247" t="str">
        <f>_xlfn.IFNA(VLOOKUP(Ruimtestaat[[#This Row],[Code Weekend]],Programma!$F$4:$Y$36148,7,0),"_")</f>
        <v>_</v>
      </c>
      <c r="BK160" s="247" t="str">
        <f>_xlfn.IFNA(VLOOKUP(Ruimtestaat[[#This Row],[Code Weekend]],Programma!$F$4:$Y$36148,8,0),"_")</f>
        <v>_</v>
      </c>
      <c r="BL160" s="247" t="str">
        <f>_xlfn.IFNA(VLOOKUP(Ruimtestaat[[#This Row],[Code Weekend]],Programma!$F$4:$Y$36148,9,0),"_")</f>
        <v>_</v>
      </c>
      <c r="BM160" s="248" t="str">
        <f>_xlfn.IFNA(VLOOKUP(Ruimtestaat[[#This Row],[Code Weekend]],Programma!$F$4:$Y$36148,10,0),"_")</f>
        <v>_</v>
      </c>
      <c r="BN160" s="248" t="str">
        <f>_xlfn.IFNA(VLOOKUP(Ruimtestaat[[#This Row],[Code Weekend]],Programma!$F$4:$Y$36148,11,0),"_")</f>
        <v>_</v>
      </c>
      <c r="BO160" s="248" t="str">
        <f>_xlfn.IFNA(VLOOKUP(Ruimtestaat[[#This Row],[Code Weekend]],Programma!$F$4:$Y$36148,12,0),"_")</f>
        <v>_</v>
      </c>
      <c r="BP160" s="248" t="str">
        <f>_xlfn.IFNA(VLOOKUP(Ruimtestaat[[#This Row],[Code Weekend]],Programma!$F$4:$Y$36148,13,0),"_")</f>
        <v>_</v>
      </c>
      <c r="BQ160" s="248" t="str">
        <f>_xlfn.IFNA(VLOOKUP(Ruimtestaat[[#This Row],[Code Weekend]],Programma!$F$4:$Y$36148,14,0),"_")</f>
        <v>_</v>
      </c>
      <c r="BR160" s="248" t="str">
        <f>_xlfn.IFNA(VLOOKUP(Ruimtestaat[[#This Row],[Code Weekend]],Programma!$F$4:$Y$36148,15,0),"_")</f>
        <v>_</v>
      </c>
      <c r="BS160" s="248" t="str">
        <f>_xlfn.IFNA(VLOOKUP(Ruimtestaat[[#This Row],[Code Weekend]],Programma!$F$4:$Y$36148,16,0),"_")</f>
        <v>_</v>
      </c>
      <c r="BT160" s="248" t="str">
        <f>_xlfn.IFNA(VLOOKUP(Ruimtestaat[[#This Row],[Code Weekend]],Programma!$F$4:$Y$36148,17,0),"_")</f>
        <v>_</v>
      </c>
      <c r="BU160" s="249" t="str">
        <f>_xlfn.IFNA(VLOOKUP(Ruimtestaat[[#This Row],[Code Weekend]],Programma!$F$4:$Y$36148,18,0),"_")</f>
        <v>_</v>
      </c>
      <c r="BV160" s="249" t="str">
        <f>_xlfn.IFNA(VLOOKUP(Ruimtestaat[[#This Row],[Code Weekend]],Programma!$F$4:$Y$36148,19,0),"_")</f>
        <v>_</v>
      </c>
      <c r="BW160" s="249" t="str">
        <f>_xlfn.IFNA(VLOOKUP(Ruimtestaat[[#This Row],[Code Weekend]],Programma!$F$4:$Y$36148,20,0),"_")</f>
        <v>_</v>
      </c>
    </row>
    <row r="161" spans="1:75" ht="12.75" customHeight="1">
      <c r="A161" s="334">
        <v>1</v>
      </c>
      <c r="B161" s="334" t="str">
        <f>VLOOKUP(Ruimtestaat[[#This Row],[Code]],Locaties[#All],2,FALSE)</f>
        <v>ESH Secondary School</v>
      </c>
      <c r="C161" s="212" t="str">
        <f>VLOOKUP(Ruimtestaat[[#This Row],[Code]],Locaties[#All],4,FALSE)</f>
        <v>Oostduinlaan 50</v>
      </c>
      <c r="D161" s="212" t="str">
        <f>VLOOKUP(Ruimtestaat[[#This Row],[Code]],Locaties[#All],5,FALSE)</f>
        <v>2596 JP</v>
      </c>
      <c r="E161" s="212" t="str">
        <f>VLOOKUP(Ruimtestaat[[#This Row],[Code]],Locaties[#All],6,FALSE)</f>
        <v>Den Haag</v>
      </c>
      <c r="F161" s="335"/>
      <c r="G161" s="334" t="s">
        <v>1677</v>
      </c>
      <c r="H161" s="334" t="s">
        <v>1655</v>
      </c>
      <c r="I161" s="335" t="s">
        <v>1394</v>
      </c>
      <c r="J161" s="252">
        <v>10</v>
      </c>
      <c r="K161" s="336" t="str">
        <f>VLOOKUP(J161,Ruimtegroepen[],2,FALSE)</f>
        <v>Trappenhuizen/lift</v>
      </c>
      <c r="L161" s="212" t="s">
        <v>122</v>
      </c>
      <c r="M161" s="334" t="s">
        <v>143</v>
      </c>
      <c r="N161" s="337">
        <v>20</v>
      </c>
      <c r="O161" s="331"/>
      <c r="P161" s="332" t="str">
        <f>VLOOKUP(Ruimtestaat[[#This Row],[Ruimte code]],Ruimtegroepen[],4,FALSE)</f>
        <v>V  (Verkeersruimte)</v>
      </c>
      <c r="Q161" s="332"/>
      <c r="R161" s="333">
        <v>40</v>
      </c>
      <c r="S161" s="333" t="s">
        <v>2</v>
      </c>
      <c r="T161" s="37"/>
      <c r="U161" s="37">
        <f>IF(R161&gt;0,IF(RIGHT(Ruimtestaat[[#This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61" s="37">
        <f>IF(U161&gt;0,VLOOKUP($J161,Ruimtegroepen[],3,FALSE)*VLOOKUP($L161,Vloersoorten[],3,FALSE)*VLOOKUP($S161,Frequenties[],3,FALSE)*VLOOKUP($A161,Locaties[],3,FALSE),0)</f>
        <v>0</v>
      </c>
      <c r="W161" s="37">
        <f>Ruimtestaat[[#This Row],[Uitvoeringen werkdagen]]*Ruimtestaat[[#This Row],[Oppervlak (netto)]]</f>
        <v>4000</v>
      </c>
      <c r="X161" s="37">
        <f>IF(V161&gt;0,Ruimtestaat[[#This Row],[Prest. (m2 /jaar) werkdagen]]/Ruimtestaat[[#This Row],[Norm (m2/uur) werkdagen]],0)</f>
        <v>0</v>
      </c>
      <c r="Y161" s="37">
        <f>Ruimtestaat[[#This Row],[uren / jaar werkdagen]]*Tariefsopbouw!$D$38</f>
        <v>0</v>
      </c>
      <c r="Z161" s="37">
        <f>IF(Ruimtestaat[[#This Row],[Frequentie weekend]]&gt;0,VALUE(LEFT(T161,1))*R161,0)</f>
        <v>0</v>
      </c>
      <c r="AA161" s="37">
        <f>IF($Z161&gt;0,VLOOKUP($J161,Ruimtegroepen[],3,FALSE)*VLOOKUP($L161,Vloersoorten[],3,FALSE)*VLOOKUP($T161,Frequenties[],3,FALSE)*VLOOKUP($A161,Locaties[],3,FALSE),0)</f>
        <v>0</v>
      </c>
      <c r="AB161" s="37">
        <f>Ruimtestaat[[#This Row],[Uitvoeringen weekend]]*Ruimtestaat[[#This Row],[Oppervlak (netto)]]</f>
        <v>0</v>
      </c>
      <c r="AC161" s="37">
        <f>IF(AA161&gt;0,Ruimtestaat[[#This Row],[Prest. (m2 /jaar) weekend]]/Ruimtestaat[[#This Row],[Norm (m2/uur) weekend]],0)</f>
        <v>0</v>
      </c>
      <c r="AD161" s="37">
        <f>Ruimtestaat[[#This Row],[uren / jaar weekend]]*Tariefsopbouw!$D$40</f>
        <v>0</v>
      </c>
      <c r="AE161" s="89">
        <f>Ruimtestaat[[#This Row],[Prest. (m2 /jaar) weekend]]+Ruimtestaat[[#This Row],[Prest. (m2 /jaar) werkdagen]]</f>
        <v>4000</v>
      </c>
      <c r="AF161" s="89">
        <f>Ruimtestaat[[#This Row],[uren / jaar weekend]]+Ruimtestaat[[#This Row],[uren / jaar werkdagen]]</f>
        <v>0</v>
      </c>
      <c r="AG161" s="90">
        <f>Ruimtestaat[[#This Row],[kosten / jaar weekend]]+Ruimtestaat[[#This Row],[kosten / jaar werkdagen]]</f>
        <v>0</v>
      </c>
      <c r="AH161" s="253"/>
      <c r="AI161" s="252" t="str">
        <f>IF(Ruimtestaat[[#This Row],[Frequentie werkdagen]]="","",_xlfn.CONCAT(Ruimtestaat[[#This Row],[Ruimte code]],"-",Ruimtestaat[[#This Row],[Frequentie werkdagen]]," ",Ruimtestaat[[#This Row],[Vloer code]]))</f>
        <v>10-5w S</v>
      </c>
      <c r="AJ161" s="247" t="str">
        <f>_xlfn.IFNA(VLOOKUP(Ruimtestaat[[#This Row],[Programmacode
Regulier]],Programma!$F$4:$Y$36148,2,0),"_")</f>
        <v>_</v>
      </c>
      <c r="AK161" s="247" t="str">
        <f>_xlfn.IFNA(VLOOKUP(Ruimtestaat[[#This Row],[Programmacode
Regulier]],Programma!$F$4:$Y$36148,3,0),"_")</f>
        <v>5w</v>
      </c>
      <c r="AL161" s="247" t="str">
        <f>_xlfn.IFNA(VLOOKUP(Ruimtestaat[[#This Row],[Programmacode
Regulier]],Programma!$F$4:$Y$36148,4,0),"_")</f>
        <v>_</v>
      </c>
      <c r="AM161" s="247" t="str">
        <f>_xlfn.IFNA(VLOOKUP(Ruimtestaat[[#This Row],[Programmacode
Regulier]],Programma!$F$4:$Y$36148,5,0),"_")</f>
        <v>5w</v>
      </c>
      <c r="AN161" s="247" t="str">
        <f>_xlfn.IFNA(VLOOKUP(Ruimtestaat[[#This Row],[Programmacode
Regulier]],Programma!$F$4:$Y$36148,6,0),"_")</f>
        <v>1m</v>
      </c>
      <c r="AO161" s="247" t="str">
        <f>_xlfn.IFNA(VLOOKUP(Ruimtestaat[[#This Row],[Programmacode
Regulier]],Programma!$F$4:$Y$36148,7,0),"_")</f>
        <v>_</v>
      </c>
      <c r="AP161" s="247" t="str">
        <f>_xlfn.IFNA(VLOOKUP(Ruimtestaat[[#This Row],[Programmacode
Regulier]],Programma!$F$4:$Y$36148,8,0),"_")</f>
        <v>_</v>
      </c>
      <c r="AQ161" s="247" t="str">
        <f>_xlfn.IFNA(VLOOKUP(Ruimtestaat[[#This Row],[Programmacode
Regulier]],Programma!$F$4:$Y$36148,9,0),"_")</f>
        <v>_</v>
      </c>
      <c r="AR161" s="248" t="str">
        <f>_xlfn.IFNA(VLOOKUP(Ruimtestaat[[#This Row],[Programmacode
Regulier]],Programma!$F$4:$Y$36148,10,0),"_")</f>
        <v>5w</v>
      </c>
      <c r="AS161" s="248" t="str">
        <f>_xlfn.IFNA(VLOOKUP(Ruimtestaat[[#This Row],[Programmacode
Regulier]],Programma!$F$4:$Y$36148,11,0),"_")</f>
        <v>5w</v>
      </c>
      <c r="AT161" s="248" t="str">
        <f>_xlfn.IFNA(VLOOKUP(Ruimtestaat[[#This Row],[Programmacode
Regulier]],Programma!$F$4:$Y$36148,12,0),"_")</f>
        <v>1w</v>
      </c>
      <c r="AU161" s="248" t="str">
        <f>_xlfn.IFNA(VLOOKUP(Ruimtestaat[[#This Row],[Programmacode
Regulier]],Programma!$F$4:$Y$36148,13,0),"_")</f>
        <v>1w</v>
      </c>
      <c r="AV161" s="248" t="str">
        <f>_xlfn.IFNA(VLOOKUP(Ruimtestaat[[#This Row],[Programmacode
Regulier]],Programma!$F$4:$Y$36148,14,0),"_")</f>
        <v>1m</v>
      </c>
      <c r="AW161" s="248" t="str">
        <f>_xlfn.IFNA(VLOOKUP(Ruimtestaat[[#This Row],[Programmacode
Regulier]],Programma!$F$4:$Y$36148,15,0),"_")</f>
        <v>2j</v>
      </c>
      <c r="AX161" s="248" t="str">
        <f>_xlfn.IFNA(VLOOKUP(Ruimtestaat[[#This Row],[Programmacode
Regulier]],Programma!$F$4:$Y$36148,16,0),"_")</f>
        <v>1j</v>
      </c>
      <c r="AY161" s="248" t="str">
        <f>_xlfn.IFNA(VLOOKUP(Ruimtestaat[[#This Row],[Programmacode
Regulier]],Programma!$F$4:$Y$36148,17,0),"_")</f>
        <v>_</v>
      </c>
      <c r="AZ161" s="249" t="str">
        <f>_xlfn.IFNA(VLOOKUP(Ruimtestaat[[#This Row],[Programmacode
Regulier]],Programma!$F$4:$Y$36148,18,0),"_")</f>
        <v>_</v>
      </c>
      <c r="BA161" s="249" t="str">
        <f>_xlfn.IFNA(VLOOKUP(Ruimtestaat[[#This Row],[Programmacode
Regulier]],Programma!$F$4:$Y$36148,19,0),"_")</f>
        <v>_</v>
      </c>
      <c r="BB161" s="249" t="str">
        <f>_xlfn.IFNA(VLOOKUP(Ruimtestaat[[#This Row],[Programmacode
Regulier]],Programma!$F$4:$Y$36148,20,0),"_")</f>
        <v>_</v>
      </c>
      <c r="BC161" s="250"/>
      <c r="BD161" s="212" t="str">
        <f>IF(Ruimtestaat[[#This Row],[Frequentie weekend]]="","",_xlfn.CONCAT(Ruimtestaat[[#This Row],[Ruimte code]],"-",Ruimtestaat[[#This Row],[Frequentie weekend]]," ",Ruimtestaat[[#This Row],[Vloer code]]))</f>
        <v/>
      </c>
      <c r="BE161" s="247" t="str">
        <f>_xlfn.IFNA(VLOOKUP(Ruimtestaat[[#This Row],[Code Weekend]],Programma!$F$4:$Y$36148,2,0),"_")</f>
        <v>_</v>
      </c>
      <c r="BF161" s="247" t="str">
        <f>_xlfn.IFNA(VLOOKUP(Ruimtestaat[[#This Row],[Code Weekend]],Programma!$F$4:$Y$36148,3,0),"_")</f>
        <v>_</v>
      </c>
      <c r="BG161" s="247" t="str">
        <f>_xlfn.IFNA(VLOOKUP(Ruimtestaat[[#This Row],[Code Weekend]],Programma!$F$4:$Y$36148,4,0),"_")</f>
        <v>_</v>
      </c>
      <c r="BH161" s="247" t="str">
        <f>_xlfn.IFNA(VLOOKUP(Ruimtestaat[[#This Row],[Code Weekend]],Programma!$F$4:$Y$36148,5,0),"_")</f>
        <v>_</v>
      </c>
      <c r="BI161" s="247" t="str">
        <f>_xlfn.IFNA(VLOOKUP(Ruimtestaat[[#This Row],[Code Weekend]],Programma!$F$4:$Y$36148,6,0),"_")</f>
        <v>_</v>
      </c>
      <c r="BJ161" s="247" t="str">
        <f>_xlfn.IFNA(VLOOKUP(Ruimtestaat[[#This Row],[Code Weekend]],Programma!$F$4:$Y$36148,7,0),"_")</f>
        <v>_</v>
      </c>
      <c r="BK161" s="247" t="str">
        <f>_xlfn.IFNA(VLOOKUP(Ruimtestaat[[#This Row],[Code Weekend]],Programma!$F$4:$Y$36148,8,0),"_")</f>
        <v>_</v>
      </c>
      <c r="BL161" s="247" t="str">
        <f>_xlfn.IFNA(VLOOKUP(Ruimtestaat[[#This Row],[Code Weekend]],Programma!$F$4:$Y$36148,9,0),"_")</f>
        <v>_</v>
      </c>
      <c r="BM161" s="248" t="str">
        <f>_xlfn.IFNA(VLOOKUP(Ruimtestaat[[#This Row],[Code Weekend]],Programma!$F$4:$Y$36148,10,0),"_")</f>
        <v>_</v>
      </c>
      <c r="BN161" s="248" t="str">
        <f>_xlfn.IFNA(VLOOKUP(Ruimtestaat[[#This Row],[Code Weekend]],Programma!$F$4:$Y$36148,11,0),"_")</f>
        <v>_</v>
      </c>
      <c r="BO161" s="248" t="str">
        <f>_xlfn.IFNA(VLOOKUP(Ruimtestaat[[#This Row],[Code Weekend]],Programma!$F$4:$Y$36148,12,0),"_")</f>
        <v>_</v>
      </c>
      <c r="BP161" s="248" t="str">
        <f>_xlfn.IFNA(VLOOKUP(Ruimtestaat[[#This Row],[Code Weekend]],Programma!$F$4:$Y$36148,13,0),"_")</f>
        <v>_</v>
      </c>
      <c r="BQ161" s="248" t="str">
        <f>_xlfn.IFNA(VLOOKUP(Ruimtestaat[[#This Row],[Code Weekend]],Programma!$F$4:$Y$36148,14,0),"_")</f>
        <v>_</v>
      </c>
      <c r="BR161" s="248" t="str">
        <f>_xlfn.IFNA(VLOOKUP(Ruimtestaat[[#This Row],[Code Weekend]],Programma!$F$4:$Y$36148,15,0),"_")</f>
        <v>_</v>
      </c>
      <c r="BS161" s="248" t="str">
        <f>_xlfn.IFNA(VLOOKUP(Ruimtestaat[[#This Row],[Code Weekend]],Programma!$F$4:$Y$36148,16,0),"_")</f>
        <v>_</v>
      </c>
      <c r="BT161" s="248" t="str">
        <f>_xlfn.IFNA(VLOOKUP(Ruimtestaat[[#This Row],[Code Weekend]],Programma!$F$4:$Y$36148,17,0),"_")</f>
        <v>_</v>
      </c>
      <c r="BU161" s="249" t="str">
        <f>_xlfn.IFNA(VLOOKUP(Ruimtestaat[[#This Row],[Code Weekend]],Programma!$F$4:$Y$36148,18,0),"_")</f>
        <v>_</v>
      </c>
      <c r="BV161" s="249" t="str">
        <f>_xlfn.IFNA(VLOOKUP(Ruimtestaat[[#This Row],[Code Weekend]],Programma!$F$4:$Y$36148,19,0),"_")</f>
        <v>_</v>
      </c>
      <c r="BW161" s="249" t="str">
        <f>_xlfn.IFNA(VLOOKUP(Ruimtestaat[[#This Row],[Code Weekend]],Programma!$F$4:$Y$36148,20,0),"_")</f>
        <v>_</v>
      </c>
    </row>
    <row r="162" spans="1:75" ht="12.75" customHeight="1">
      <c r="A162" s="334">
        <v>1</v>
      </c>
      <c r="B162" s="334" t="str">
        <f>VLOOKUP(Ruimtestaat[[#This Row],[Code]],Locaties[#All],2,FALSE)</f>
        <v>ESH Secondary School</v>
      </c>
      <c r="C162" s="212" t="str">
        <f>VLOOKUP(Ruimtestaat[[#This Row],[Code]],Locaties[#All],4,FALSE)</f>
        <v>Oostduinlaan 50</v>
      </c>
      <c r="D162" s="212" t="str">
        <f>VLOOKUP(Ruimtestaat[[#This Row],[Code]],Locaties[#All],5,FALSE)</f>
        <v>2596 JP</v>
      </c>
      <c r="E162" s="212" t="str">
        <f>VLOOKUP(Ruimtestaat[[#This Row],[Code]],Locaties[#All],6,FALSE)</f>
        <v>Den Haag</v>
      </c>
      <c r="F162" s="335"/>
      <c r="G162" s="334" t="s">
        <v>1677</v>
      </c>
      <c r="H162" s="334" t="s">
        <v>1656</v>
      </c>
      <c r="I162" s="335" t="s">
        <v>1687</v>
      </c>
      <c r="J162" s="328">
        <v>2</v>
      </c>
      <c r="K162" s="336" t="str">
        <f>VLOOKUP(J162,Ruimtegroepen[],2,FALSE)</f>
        <v>Kantoren</v>
      </c>
      <c r="L162" s="212" t="s">
        <v>123</v>
      </c>
      <c r="M162" s="334" t="s">
        <v>144</v>
      </c>
      <c r="N162" s="337">
        <v>19</v>
      </c>
      <c r="O162" s="331"/>
      <c r="P162" s="332" t="str">
        <f>VLOOKUP(Ruimtestaat[[#This Row],[Ruimte code]],Ruimtegroepen[],4,FALSE)</f>
        <v>B  (Bureauruimte)</v>
      </c>
      <c r="Q162" s="332"/>
      <c r="R162" s="333">
        <v>40</v>
      </c>
      <c r="S162" s="333" t="s">
        <v>2</v>
      </c>
      <c r="T162" s="37"/>
      <c r="U162" s="37">
        <f>IF(R162&gt;0,IF(RIGHT(Ruimtestaat[[#This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62" s="37">
        <f>IF(U162&gt;0,VLOOKUP($J162,Ruimtegroepen[],3,FALSE)*VLOOKUP($L162,Vloersoorten[],3,FALSE)*VLOOKUP($S162,Frequenties[],3,FALSE)*VLOOKUP($A162,Locaties[],3,FALSE),0)</f>
        <v>0</v>
      </c>
      <c r="W162" s="37">
        <f>Ruimtestaat[[#This Row],[Uitvoeringen werkdagen]]*Ruimtestaat[[#This Row],[Oppervlak (netto)]]</f>
        <v>3800</v>
      </c>
      <c r="X162" s="37">
        <f>IF(V162&gt;0,Ruimtestaat[[#This Row],[Prest. (m2 /jaar) werkdagen]]/Ruimtestaat[[#This Row],[Norm (m2/uur) werkdagen]],0)</f>
        <v>0</v>
      </c>
      <c r="Y162" s="37">
        <f>Ruimtestaat[[#This Row],[uren / jaar werkdagen]]*Tariefsopbouw!$D$38</f>
        <v>0</v>
      </c>
      <c r="Z162" s="37">
        <f>IF(Ruimtestaat[[#This Row],[Frequentie weekend]]&gt;0,VALUE(LEFT(T162,1))*R162,0)</f>
        <v>0</v>
      </c>
      <c r="AA162" s="37">
        <f>IF($Z162&gt;0,VLOOKUP($J162,Ruimtegroepen[],3,FALSE)*VLOOKUP($L162,Vloersoorten[],3,FALSE)*VLOOKUP($T162,Frequenties[],3,FALSE)*VLOOKUP($A162,Locaties[],3,FALSE),0)</f>
        <v>0</v>
      </c>
      <c r="AB162" s="37">
        <f>Ruimtestaat[[#This Row],[Uitvoeringen weekend]]*Ruimtestaat[[#This Row],[Oppervlak (netto)]]</f>
        <v>0</v>
      </c>
      <c r="AC162" s="37">
        <f>IF(AA162&gt;0,Ruimtestaat[[#This Row],[Prest. (m2 /jaar) weekend]]/Ruimtestaat[[#This Row],[Norm (m2/uur) weekend]],0)</f>
        <v>0</v>
      </c>
      <c r="AD162" s="37">
        <f>Ruimtestaat[[#This Row],[uren / jaar weekend]]*Tariefsopbouw!$D$40</f>
        <v>0</v>
      </c>
      <c r="AE162" s="89">
        <f>Ruimtestaat[[#This Row],[Prest. (m2 /jaar) weekend]]+Ruimtestaat[[#This Row],[Prest. (m2 /jaar) werkdagen]]</f>
        <v>3800</v>
      </c>
      <c r="AF162" s="89">
        <f>Ruimtestaat[[#This Row],[uren / jaar weekend]]+Ruimtestaat[[#This Row],[uren / jaar werkdagen]]</f>
        <v>0</v>
      </c>
      <c r="AG162" s="90">
        <f>Ruimtestaat[[#This Row],[kosten / jaar weekend]]+Ruimtestaat[[#This Row],[kosten / jaar werkdagen]]</f>
        <v>0</v>
      </c>
      <c r="AH162" s="253"/>
      <c r="AI162" s="252" t="str">
        <f>IF(Ruimtestaat[[#This Row],[Frequentie werkdagen]]="","",_xlfn.CONCAT(Ruimtestaat[[#This Row],[Ruimte code]],"-",Ruimtestaat[[#This Row],[Frequentie werkdagen]]," ",Ruimtestaat[[#This Row],[Vloer code]]))</f>
        <v>2-5w P</v>
      </c>
      <c r="AJ162" s="247" t="str">
        <f>_xlfn.IFNA(VLOOKUP(Ruimtestaat[[#This Row],[Programmacode
Regulier]],Programma!$F$4:$Y$36148,2,0),"_")</f>
        <v>_</v>
      </c>
      <c r="AK162" s="247" t="str">
        <f>_xlfn.IFNA(VLOOKUP(Ruimtestaat[[#This Row],[Programmacode
Regulier]],Programma!$F$4:$Y$36148,3,0),"_")</f>
        <v>_</v>
      </c>
      <c r="AL162" s="247" t="str">
        <f>_xlfn.IFNA(VLOOKUP(Ruimtestaat[[#This Row],[Programmacode
Regulier]],Programma!$F$4:$Y$36148,4,0),"_")</f>
        <v>5w</v>
      </c>
      <c r="AM162" s="247" t="str">
        <f>_xlfn.IFNA(VLOOKUP(Ruimtestaat[[#This Row],[Programmacode
Regulier]],Programma!$F$4:$Y$36148,5,0),"_")</f>
        <v>1w</v>
      </c>
      <c r="AN162" s="247" t="str">
        <f>_xlfn.IFNA(VLOOKUP(Ruimtestaat[[#This Row],[Programmacode
Regulier]],Programma!$F$4:$Y$36148,6,0),"_")</f>
        <v>1m</v>
      </c>
      <c r="AO162" s="247" t="str">
        <f>_xlfn.IFNA(VLOOKUP(Ruimtestaat[[#This Row],[Programmacode
Regulier]],Programma!$F$4:$Y$36148,7,0),"_")</f>
        <v>_</v>
      </c>
      <c r="AP162" s="247" t="str">
        <f>_xlfn.IFNA(VLOOKUP(Ruimtestaat[[#This Row],[Programmacode
Regulier]],Programma!$F$4:$Y$36148,8,0),"_")</f>
        <v>_</v>
      </c>
      <c r="AQ162" s="247" t="str">
        <f>_xlfn.IFNA(VLOOKUP(Ruimtestaat[[#This Row],[Programmacode
Regulier]],Programma!$F$4:$Y$36148,9,0),"_")</f>
        <v>_</v>
      </c>
      <c r="AR162" s="248" t="str">
        <f>_xlfn.IFNA(VLOOKUP(Ruimtestaat[[#This Row],[Programmacode
Regulier]],Programma!$F$4:$Y$36148,10,0),"_")</f>
        <v>5w</v>
      </c>
      <c r="AS162" s="248" t="str">
        <f>_xlfn.IFNA(VLOOKUP(Ruimtestaat[[#This Row],[Programmacode
Regulier]],Programma!$F$4:$Y$36148,11,0),"_")</f>
        <v>5w</v>
      </c>
      <c r="AT162" s="248" t="str">
        <f>_xlfn.IFNA(VLOOKUP(Ruimtestaat[[#This Row],[Programmacode
Regulier]],Programma!$F$4:$Y$36148,12,0),"_")</f>
        <v>1w</v>
      </c>
      <c r="AU162" s="248" t="str">
        <f>_xlfn.IFNA(VLOOKUP(Ruimtestaat[[#This Row],[Programmacode
Regulier]],Programma!$F$4:$Y$36148,13,0),"_")</f>
        <v>1w</v>
      </c>
      <c r="AV162" s="248" t="str">
        <f>_xlfn.IFNA(VLOOKUP(Ruimtestaat[[#This Row],[Programmacode
Regulier]],Programma!$F$4:$Y$36148,14,0),"_")</f>
        <v>1m</v>
      </c>
      <c r="AW162" s="248" t="str">
        <f>_xlfn.IFNA(VLOOKUP(Ruimtestaat[[#This Row],[Programmacode
Regulier]],Programma!$F$4:$Y$36148,15,0),"_")</f>
        <v>2j</v>
      </c>
      <c r="AX162" s="248" t="str">
        <f>_xlfn.IFNA(VLOOKUP(Ruimtestaat[[#This Row],[Programmacode
Regulier]],Programma!$F$4:$Y$36148,16,0),"_")</f>
        <v>1j</v>
      </c>
      <c r="AY162" s="248" t="str">
        <f>_xlfn.IFNA(VLOOKUP(Ruimtestaat[[#This Row],[Programmacode
Regulier]],Programma!$F$4:$Y$36148,17,0),"_")</f>
        <v>_</v>
      </c>
      <c r="AZ162" s="249" t="str">
        <f>_xlfn.IFNA(VLOOKUP(Ruimtestaat[[#This Row],[Programmacode
Regulier]],Programma!$F$4:$Y$36148,18,0),"_")</f>
        <v>_</v>
      </c>
      <c r="BA162" s="249" t="str">
        <f>_xlfn.IFNA(VLOOKUP(Ruimtestaat[[#This Row],[Programmacode
Regulier]],Programma!$F$4:$Y$36148,19,0),"_")</f>
        <v>_</v>
      </c>
      <c r="BB162" s="249" t="str">
        <f>_xlfn.IFNA(VLOOKUP(Ruimtestaat[[#This Row],[Programmacode
Regulier]],Programma!$F$4:$Y$36148,20,0),"_")</f>
        <v>_</v>
      </c>
      <c r="BC162" s="250"/>
      <c r="BD162" s="212" t="str">
        <f>IF(Ruimtestaat[[#This Row],[Frequentie weekend]]="","",_xlfn.CONCAT(Ruimtestaat[[#This Row],[Ruimte code]],"-",Ruimtestaat[[#This Row],[Frequentie weekend]]," ",Ruimtestaat[[#This Row],[Vloer code]]))</f>
        <v/>
      </c>
      <c r="BE162" s="247" t="str">
        <f>_xlfn.IFNA(VLOOKUP(Ruimtestaat[[#This Row],[Code Weekend]],Programma!$F$4:$Y$36148,2,0),"_")</f>
        <v>_</v>
      </c>
      <c r="BF162" s="247" t="str">
        <f>_xlfn.IFNA(VLOOKUP(Ruimtestaat[[#This Row],[Code Weekend]],Programma!$F$4:$Y$36148,3,0),"_")</f>
        <v>_</v>
      </c>
      <c r="BG162" s="247" t="str">
        <f>_xlfn.IFNA(VLOOKUP(Ruimtestaat[[#This Row],[Code Weekend]],Programma!$F$4:$Y$36148,4,0),"_")</f>
        <v>_</v>
      </c>
      <c r="BH162" s="247" t="str">
        <f>_xlfn.IFNA(VLOOKUP(Ruimtestaat[[#This Row],[Code Weekend]],Programma!$F$4:$Y$36148,5,0),"_")</f>
        <v>_</v>
      </c>
      <c r="BI162" s="247" t="str">
        <f>_xlfn.IFNA(VLOOKUP(Ruimtestaat[[#This Row],[Code Weekend]],Programma!$F$4:$Y$36148,6,0),"_")</f>
        <v>_</v>
      </c>
      <c r="BJ162" s="247" t="str">
        <f>_xlfn.IFNA(VLOOKUP(Ruimtestaat[[#This Row],[Code Weekend]],Programma!$F$4:$Y$36148,7,0),"_")</f>
        <v>_</v>
      </c>
      <c r="BK162" s="247" t="str">
        <f>_xlfn.IFNA(VLOOKUP(Ruimtestaat[[#This Row],[Code Weekend]],Programma!$F$4:$Y$36148,8,0),"_")</f>
        <v>_</v>
      </c>
      <c r="BL162" s="247" t="str">
        <f>_xlfn.IFNA(VLOOKUP(Ruimtestaat[[#This Row],[Code Weekend]],Programma!$F$4:$Y$36148,9,0),"_")</f>
        <v>_</v>
      </c>
      <c r="BM162" s="248" t="str">
        <f>_xlfn.IFNA(VLOOKUP(Ruimtestaat[[#This Row],[Code Weekend]],Programma!$F$4:$Y$36148,10,0),"_")</f>
        <v>_</v>
      </c>
      <c r="BN162" s="248" t="str">
        <f>_xlfn.IFNA(VLOOKUP(Ruimtestaat[[#This Row],[Code Weekend]],Programma!$F$4:$Y$36148,11,0),"_")</f>
        <v>_</v>
      </c>
      <c r="BO162" s="248" t="str">
        <f>_xlfn.IFNA(VLOOKUP(Ruimtestaat[[#This Row],[Code Weekend]],Programma!$F$4:$Y$36148,12,0),"_")</f>
        <v>_</v>
      </c>
      <c r="BP162" s="248" t="str">
        <f>_xlfn.IFNA(VLOOKUP(Ruimtestaat[[#This Row],[Code Weekend]],Programma!$F$4:$Y$36148,13,0),"_")</f>
        <v>_</v>
      </c>
      <c r="BQ162" s="248" t="str">
        <f>_xlfn.IFNA(VLOOKUP(Ruimtestaat[[#This Row],[Code Weekend]],Programma!$F$4:$Y$36148,14,0),"_")</f>
        <v>_</v>
      </c>
      <c r="BR162" s="248" t="str">
        <f>_xlfn.IFNA(VLOOKUP(Ruimtestaat[[#This Row],[Code Weekend]],Programma!$F$4:$Y$36148,15,0),"_")</f>
        <v>_</v>
      </c>
      <c r="BS162" s="248" t="str">
        <f>_xlfn.IFNA(VLOOKUP(Ruimtestaat[[#This Row],[Code Weekend]],Programma!$F$4:$Y$36148,16,0),"_")</f>
        <v>_</v>
      </c>
      <c r="BT162" s="248" t="str">
        <f>_xlfn.IFNA(VLOOKUP(Ruimtestaat[[#This Row],[Code Weekend]],Programma!$F$4:$Y$36148,17,0),"_")</f>
        <v>_</v>
      </c>
      <c r="BU162" s="249" t="str">
        <f>_xlfn.IFNA(VLOOKUP(Ruimtestaat[[#This Row],[Code Weekend]],Programma!$F$4:$Y$36148,18,0),"_")</f>
        <v>_</v>
      </c>
      <c r="BV162" s="249" t="str">
        <f>_xlfn.IFNA(VLOOKUP(Ruimtestaat[[#This Row],[Code Weekend]],Programma!$F$4:$Y$36148,19,0),"_")</f>
        <v>_</v>
      </c>
      <c r="BW162" s="249" t="str">
        <f>_xlfn.IFNA(VLOOKUP(Ruimtestaat[[#This Row],[Code Weekend]],Programma!$F$4:$Y$36148,20,0),"_")</f>
        <v>_</v>
      </c>
    </row>
    <row r="163" spans="1:75" ht="12.75" customHeight="1">
      <c r="A163" s="334">
        <v>1</v>
      </c>
      <c r="B163" s="334" t="str">
        <f>VLOOKUP(Ruimtestaat[[#This Row],[Code]],Locaties[#All],2,FALSE)</f>
        <v>ESH Secondary School</v>
      </c>
      <c r="C163" s="212" t="str">
        <f>VLOOKUP(Ruimtestaat[[#This Row],[Code]],Locaties[#All],4,FALSE)</f>
        <v>Oostduinlaan 50</v>
      </c>
      <c r="D163" s="212" t="str">
        <f>VLOOKUP(Ruimtestaat[[#This Row],[Code]],Locaties[#All],5,FALSE)</f>
        <v>2596 JP</v>
      </c>
      <c r="E163" s="212" t="str">
        <f>VLOOKUP(Ruimtestaat[[#This Row],[Code]],Locaties[#All],6,FALSE)</f>
        <v>Den Haag</v>
      </c>
      <c r="F163" s="335"/>
      <c r="G163" s="334" t="s">
        <v>1677</v>
      </c>
      <c r="H163" s="334" t="s">
        <v>1657</v>
      </c>
      <c r="I163" s="335" t="s">
        <v>1729</v>
      </c>
      <c r="J163" s="212">
        <v>2</v>
      </c>
      <c r="K163" s="336" t="str">
        <f>VLOOKUP(J163,Ruimtegroepen[],2,FALSE)</f>
        <v>Kantoren</v>
      </c>
      <c r="L163" s="212" t="s">
        <v>123</v>
      </c>
      <c r="M163" s="334" t="s">
        <v>144</v>
      </c>
      <c r="N163" s="337">
        <v>17</v>
      </c>
      <c r="O163" s="331"/>
      <c r="P163" s="332" t="str">
        <f>VLOOKUP(Ruimtestaat[[#This Row],[Ruimte code]],Ruimtegroepen[],4,FALSE)</f>
        <v>B  (Bureauruimte)</v>
      </c>
      <c r="Q163" s="332"/>
      <c r="R163" s="333">
        <v>40</v>
      </c>
      <c r="S163" s="333" t="s">
        <v>2</v>
      </c>
      <c r="T163" s="37"/>
      <c r="U163" s="37">
        <f>IF(R163&gt;0,IF(RIGHT(Ruimtestaat[[#This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63" s="37">
        <f>IF(U163&gt;0,VLOOKUP($J163,Ruimtegroepen[],3,FALSE)*VLOOKUP($L163,Vloersoorten[],3,FALSE)*VLOOKUP($S163,Frequenties[],3,FALSE)*VLOOKUP($A163,Locaties[],3,FALSE),0)</f>
        <v>0</v>
      </c>
      <c r="W163" s="37">
        <f>Ruimtestaat[[#This Row],[Uitvoeringen werkdagen]]*Ruimtestaat[[#This Row],[Oppervlak (netto)]]</f>
        <v>3400</v>
      </c>
      <c r="X163" s="37">
        <f>IF(V163&gt;0,Ruimtestaat[[#This Row],[Prest. (m2 /jaar) werkdagen]]/Ruimtestaat[[#This Row],[Norm (m2/uur) werkdagen]],0)</f>
        <v>0</v>
      </c>
      <c r="Y163" s="37">
        <f>Ruimtestaat[[#This Row],[uren / jaar werkdagen]]*Tariefsopbouw!$D$38</f>
        <v>0</v>
      </c>
      <c r="Z163" s="37">
        <f>IF(Ruimtestaat[[#This Row],[Frequentie weekend]]&gt;0,VALUE(LEFT(T163,1))*R163,0)</f>
        <v>0</v>
      </c>
      <c r="AA163" s="37">
        <f>IF($Z163&gt;0,VLOOKUP($J163,Ruimtegroepen[],3,FALSE)*VLOOKUP($L163,Vloersoorten[],3,FALSE)*VLOOKUP($T163,Frequenties[],3,FALSE)*VLOOKUP($A163,Locaties[],3,FALSE),0)</f>
        <v>0</v>
      </c>
      <c r="AB163" s="37">
        <f>Ruimtestaat[[#This Row],[Uitvoeringen weekend]]*Ruimtestaat[[#This Row],[Oppervlak (netto)]]</f>
        <v>0</v>
      </c>
      <c r="AC163" s="37">
        <f>IF(AA163&gt;0,Ruimtestaat[[#This Row],[Prest. (m2 /jaar) weekend]]/Ruimtestaat[[#This Row],[Norm (m2/uur) weekend]],0)</f>
        <v>0</v>
      </c>
      <c r="AD163" s="37">
        <f>Ruimtestaat[[#This Row],[uren / jaar weekend]]*Tariefsopbouw!$D$40</f>
        <v>0</v>
      </c>
      <c r="AE163" s="89">
        <f>Ruimtestaat[[#This Row],[Prest. (m2 /jaar) weekend]]+Ruimtestaat[[#This Row],[Prest. (m2 /jaar) werkdagen]]</f>
        <v>3400</v>
      </c>
      <c r="AF163" s="89">
        <f>Ruimtestaat[[#This Row],[uren / jaar weekend]]+Ruimtestaat[[#This Row],[uren / jaar werkdagen]]</f>
        <v>0</v>
      </c>
      <c r="AG163" s="90">
        <f>Ruimtestaat[[#This Row],[kosten / jaar weekend]]+Ruimtestaat[[#This Row],[kosten / jaar werkdagen]]</f>
        <v>0</v>
      </c>
      <c r="AH163" s="253"/>
      <c r="AI163" s="252" t="str">
        <f>IF(Ruimtestaat[[#This Row],[Frequentie werkdagen]]="","",_xlfn.CONCAT(Ruimtestaat[[#This Row],[Ruimte code]],"-",Ruimtestaat[[#This Row],[Frequentie werkdagen]]," ",Ruimtestaat[[#This Row],[Vloer code]]))</f>
        <v>2-5w P</v>
      </c>
      <c r="AJ163" s="247" t="str">
        <f>_xlfn.IFNA(VLOOKUP(Ruimtestaat[[#This Row],[Programmacode
Regulier]],Programma!$F$4:$Y$36148,2,0),"_")</f>
        <v>_</v>
      </c>
      <c r="AK163" s="247" t="str">
        <f>_xlfn.IFNA(VLOOKUP(Ruimtestaat[[#This Row],[Programmacode
Regulier]],Programma!$F$4:$Y$36148,3,0),"_")</f>
        <v>_</v>
      </c>
      <c r="AL163" s="247" t="str">
        <f>_xlfn.IFNA(VLOOKUP(Ruimtestaat[[#This Row],[Programmacode
Regulier]],Programma!$F$4:$Y$36148,4,0),"_")</f>
        <v>5w</v>
      </c>
      <c r="AM163" s="247" t="str">
        <f>_xlfn.IFNA(VLOOKUP(Ruimtestaat[[#This Row],[Programmacode
Regulier]],Programma!$F$4:$Y$36148,5,0),"_")</f>
        <v>1w</v>
      </c>
      <c r="AN163" s="247" t="str">
        <f>_xlfn.IFNA(VLOOKUP(Ruimtestaat[[#This Row],[Programmacode
Regulier]],Programma!$F$4:$Y$36148,6,0),"_")</f>
        <v>1m</v>
      </c>
      <c r="AO163" s="247" t="str">
        <f>_xlfn.IFNA(VLOOKUP(Ruimtestaat[[#This Row],[Programmacode
Regulier]],Programma!$F$4:$Y$36148,7,0),"_")</f>
        <v>_</v>
      </c>
      <c r="AP163" s="247" t="str">
        <f>_xlfn.IFNA(VLOOKUP(Ruimtestaat[[#This Row],[Programmacode
Regulier]],Programma!$F$4:$Y$36148,8,0),"_")</f>
        <v>_</v>
      </c>
      <c r="AQ163" s="247" t="str">
        <f>_xlfn.IFNA(VLOOKUP(Ruimtestaat[[#This Row],[Programmacode
Regulier]],Programma!$F$4:$Y$36148,9,0),"_")</f>
        <v>_</v>
      </c>
      <c r="AR163" s="248" t="str">
        <f>_xlfn.IFNA(VLOOKUP(Ruimtestaat[[#This Row],[Programmacode
Regulier]],Programma!$F$4:$Y$36148,10,0),"_")</f>
        <v>5w</v>
      </c>
      <c r="AS163" s="248" t="str">
        <f>_xlfn.IFNA(VLOOKUP(Ruimtestaat[[#This Row],[Programmacode
Regulier]],Programma!$F$4:$Y$36148,11,0),"_")</f>
        <v>5w</v>
      </c>
      <c r="AT163" s="248" t="str">
        <f>_xlfn.IFNA(VLOOKUP(Ruimtestaat[[#This Row],[Programmacode
Regulier]],Programma!$F$4:$Y$36148,12,0),"_")</f>
        <v>1w</v>
      </c>
      <c r="AU163" s="248" t="str">
        <f>_xlfn.IFNA(VLOOKUP(Ruimtestaat[[#This Row],[Programmacode
Regulier]],Programma!$F$4:$Y$36148,13,0),"_")</f>
        <v>1w</v>
      </c>
      <c r="AV163" s="248" t="str">
        <f>_xlfn.IFNA(VLOOKUP(Ruimtestaat[[#This Row],[Programmacode
Regulier]],Programma!$F$4:$Y$36148,14,0),"_")</f>
        <v>1m</v>
      </c>
      <c r="AW163" s="248" t="str">
        <f>_xlfn.IFNA(VLOOKUP(Ruimtestaat[[#This Row],[Programmacode
Regulier]],Programma!$F$4:$Y$36148,15,0),"_")</f>
        <v>2j</v>
      </c>
      <c r="AX163" s="248" t="str">
        <f>_xlfn.IFNA(VLOOKUP(Ruimtestaat[[#This Row],[Programmacode
Regulier]],Programma!$F$4:$Y$36148,16,0),"_")</f>
        <v>1j</v>
      </c>
      <c r="AY163" s="248" t="str">
        <f>_xlfn.IFNA(VLOOKUP(Ruimtestaat[[#This Row],[Programmacode
Regulier]],Programma!$F$4:$Y$36148,17,0),"_")</f>
        <v>_</v>
      </c>
      <c r="AZ163" s="249" t="str">
        <f>_xlfn.IFNA(VLOOKUP(Ruimtestaat[[#This Row],[Programmacode
Regulier]],Programma!$F$4:$Y$36148,18,0),"_")</f>
        <v>_</v>
      </c>
      <c r="BA163" s="249" t="str">
        <f>_xlfn.IFNA(VLOOKUP(Ruimtestaat[[#This Row],[Programmacode
Regulier]],Programma!$F$4:$Y$36148,19,0),"_")</f>
        <v>_</v>
      </c>
      <c r="BB163" s="249" t="str">
        <f>_xlfn.IFNA(VLOOKUP(Ruimtestaat[[#This Row],[Programmacode
Regulier]],Programma!$F$4:$Y$36148,20,0),"_")</f>
        <v>_</v>
      </c>
      <c r="BC163" s="250"/>
      <c r="BD163" s="212" t="str">
        <f>IF(Ruimtestaat[[#This Row],[Frequentie weekend]]="","",_xlfn.CONCAT(Ruimtestaat[[#This Row],[Ruimte code]],"-",Ruimtestaat[[#This Row],[Frequentie weekend]]," ",Ruimtestaat[[#This Row],[Vloer code]]))</f>
        <v/>
      </c>
      <c r="BE163" s="247" t="str">
        <f>_xlfn.IFNA(VLOOKUP(Ruimtestaat[[#This Row],[Code Weekend]],Programma!$F$4:$Y$36148,2,0),"_")</f>
        <v>_</v>
      </c>
      <c r="BF163" s="247" t="str">
        <f>_xlfn.IFNA(VLOOKUP(Ruimtestaat[[#This Row],[Code Weekend]],Programma!$F$4:$Y$36148,3,0),"_")</f>
        <v>_</v>
      </c>
      <c r="BG163" s="247" t="str">
        <f>_xlfn.IFNA(VLOOKUP(Ruimtestaat[[#This Row],[Code Weekend]],Programma!$F$4:$Y$36148,4,0),"_")</f>
        <v>_</v>
      </c>
      <c r="BH163" s="247" t="str">
        <f>_xlfn.IFNA(VLOOKUP(Ruimtestaat[[#This Row],[Code Weekend]],Programma!$F$4:$Y$36148,5,0),"_")</f>
        <v>_</v>
      </c>
      <c r="BI163" s="247" t="str">
        <f>_xlfn.IFNA(VLOOKUP(Ruimtestaat[[#This Row],[Code Weekend]],Programma!$F$4:$Y$36148,6,0),"_")</f>
        <v>_</v>
      </c>
      <c r="BJ163" s="247" t="str">
        <f>_xlfn.IFNA(VLOOKUP(Ruimtestaat[[#This Row],[Code Weekend]],Programma!$F$4:$Y$36148,7,0),"_")</f>
        <v>_</v>
      </c>
      <c r="BK163" s="247" t="str">
        <f>_xlfn.IFNA(VLOOKUP(Ruimtestaat[[#This Row],[Code Weekend]],Programma!$F$4:$Y$36148,8,0),"_")</f>
        <v>_</v>
      </c>
      <c r="BL163" s="247" t="str">
        <f>_xlfn.IFNA(VLOOKUP(Ruimtestaat[[#This Row],[Code Weekend]],Programma!$F$4:$Y$36148,9,0),"_")</f>
        <v>_</v>
      </c>
      <c r="BM163" s="248" t="str">
        <f>_xlfn.IFNA(VLOOKUP(Ruimtestaat[[#This Row],[Code Weekend]],Programma!$F$4:$Y$36148,10,0),"_")</f>
        <v>_</v>
      </c>
      <c r="BN163" s="248" t="str">
        <f>_xlfn.IFNA(VLOOKUP(Ruimtestaat[[#This Row],[Code Weekend]],Programma!$F$4:$Y$36148,11,0),"_")</f>
        <v>_</v>
      </c>
      <c r="BO163" s="248" t="str">
        <f>_xlfn.IFNA(VLOOKUP(Ruimtestaat[[#This Row],[Code Weekend]],Programma!$F$4:$Y$36148,12,0),"_")</f>
        <v>_</v>
      </c>
      <c r="BP163" s="248" t="str">
        <f>_xlfn.IFNA(VLOOKUP(Ruimtestaat[[#This Row],[Code Weekend]],Programma!$F$4:$Y$36148,13,0),"_")</f>
        <v>_</v>
      </c>
      <c r="BQ163" s="248" t="str">
        <f>_xlfn.IFNA(VLOOKUP(Ruimtestaat[[#This Row],[Code Weekend]],Programma!$F$4:$Y$36148,14,0),"_")</f>
        <v>_</v>
      </c>
      <c r="BR163" s="248" t="str">
        <f>_xlfn.IFNA(VLOOKUP(Ruimtestaat[[#This Row],[Code Weekend]],Programma!$F$4:$Y$36148,15,0),"_")</f>
        <v>_</v>
      </c>
      <c r="BS163" s="248" t="str">
        <f>_xlfn.IFNA(VLOOKUP(Ruimtestaat[[#This Row],[Code Weekend]],Programma!$F$4:$Y$36148,16,0),"_")</f>
        <v>_</v>
      </c>
      <c r="BT163" s="248" t="str">
        <f>_xlfn.IFNA(VLOOKUP(Ruimtestaat[[#This Row],[Code Weekend]],Programma!$F$4:$Y$36148,17,0),"_")</f>
        <v>_</v>
      </c>
      <c r="BU163" s="249" t="str">
        <f>_xlfn.IFNA(VLOOKUP(Ruimtestaat[[#This Row],[Code Weekend]],Programma!$F$4:$Y$36148,18,0),"_")</f>
        <v>_</v>
      </c>
      <c r="BV163" s="249" t="str">
        <f>_xlfn.IFNA(VLOOKUP(Ruimtestaat[[#This Row],[Code Weekend]],Programma!$F$4:$Y$36148,19,0),"_")</f>
        <v>_</v>
      </c>
      <c r="BW163" s="249" t="str">
        <f>_xlfn.IFNA(VLOOKUP(Ruimtestaat[[#This Row],[Code Weekend]],Programma!$F$4:$Y$36148,20,0),"_")</f>
        <v>_</v>
      </c>
    </row>
    <row r="164" spans="1:75" ht="12.75" customHeight="1">
      <c r="A164" s="334">
        <v>1</v>
      </c>
      <c r="B164" s="334" t="str">
        <f>VLOOKUP(Ruimtestaat[[#This Row],[Code]],Locaties[#All],2,FALSE)</f>
        <v>ESH Secondary School</v>
      </c>
      <c r="C164" s="212" t="str">
        <f>VLOOKUP(Ruimtestaat[[#This Row],[Code]],Locaties[#All],4,FALSE)</f>
        <v>Oostduinlaan 50</v>
      </c>
      <c r="D164" s="212" t="str">
        <f>VLOOKUP(Ruimtestaat[[#This Row],[Code]],Locaties[#All],5,FALSE)</f>
        <v>2596 JP</v>
      </c>
      <c r="E164" s="212" t="str">
        <f>VLOOKUP(Ruimtestaat[[#This Row],[Code]],Locaties[#All],6,FALSE)</f>
        <v>Den Haag</v>
      </c>
      <c r="F164" s="335"/>
      <c r="G164" s="334" t="s">
        <v>1677</v>
      </c>
      <c r="H164" s="334" t="s">
        <v>1658</v>
      </c>
      <c r="I164" s="335" t="s">
        <v>1685</v>
      </c>
      <c r="J164" s="212" t="s">
        <v>1761</v>
      </c>
      <c r="K164" s="336" t="str">
        <f>VLOOKUP(J164,Ruimtegroepen[],2,FALSE)</f>
        <v>Praktijklokalen</v>
      </c>
      <c r="L164" s="212" t="s">
        <v>123</v>
      </c>
      <c r="M164" s="334" t="s">
        <v>144</v>
      </c>
      <c r="N164" s="337">
        <v>54</v>
      </c>
      <c r="O164" s="331"/>
      <c r="P164" s="332" t="str">
        <f>VLOOKUP(Ruimtestaat[[#This Row],[Ruimte code]],Ruimtegroepen[],4,FALSE)</f>
        <v>L  (Lesruimte)</v>
      </c>
      <c r="Q164" s="332"/>
      <c r="R164" s="333">
        <v>40</v>
      </c>
      <c r="S164" s="333" t="s">
        <v>2</v>
      </c>
      <c r="T164" s="37"/>
      <c r="U164" s="37">
        <f>IF(R164&gt;0,IF(RIGHT(Ruimtestaat[[#This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64" s="37">
        <f>IF(U164&gt;0,VLOOKUP($J164,Ruimtegroepen[],3,FALSE)*VLOOKUP($L164,Vloersoorten[],3,FALSE)*VLOOKUP($S164,Frequenties[],3,FALSE)*VLOOKUP($A164,Locaties[],3,FALSE),0)</f>
        <v>0</v>
      </c>
      <c r="W164" s="37">
        <f>Ruimtestaat[[#This Row],[Uitvoeringen werkdagen]]*Ruimtestaat[[#This Row],[Oppervlak (netto)]]</f>
        <v>10800</v>
      </c>
      <c r="X164" s="37">
        <f>IF(V164&gt;0,Ruimtestaat[[#This Row],[Prest. (m2 /jaar) werkdagen]]/Ruimtestaat[[#This Row],[Norm (m2/uur) werkdagen]],0)</f>
        <v>0</v>
      </c>
      <c r="Y164" s="37">
        <f>Ruimtestaat[[#This Row],[uren / jaar werkdagen]]*Tariefsopbouw!$D$38</f>
        <v>0</v>
      </c>
      <c r="Z164" s="37">
        <f>IF(Ruimtestaat[[#This Row],[Frequentie weekend]]&gt;0,VALUE(LEFT(T164,1))*R164,0)</f>
        <v>0</v>
      </c>
      <c r="AA164" s="37">
        <f>IF($Z164&gt;0,VLOOKUP($J164,Ruimtegroepen[],3,FALSE)*VLOOKUP($L164,Vloersoorten[],3,FALSE)*VLOOKUP($T164,Frequenties[],3,FALSE)*VLOOKUP($A164,Locaties[],3,FALSE),0)</f>
        <v>0</v>
      </c>
      <c r="AB164" s="37">
        <f>Ruimtestaat[[#This Row],[Uitvoeringen weekend]]*Ruimtestaat[[#This Row],[Oppervlak (netto)]]</f>
        <v>0</v>
      </c>
      <c r="AC164" s="37">
        <f>IF(AA164&gt;0,Ruimtestaat[[#This Row],[Prest. (m2 /jaar) weekend]]/Ruimtestaat[[#This Row],[Norm (m2/uur) weekend]],0)</f>
        <v>0</v>
      </c>
      <c r="AD164" s="37">
        <f>Ruimtestaat[[#This Row],[uren / jaar weekend]]*Tariefsopbouw!$D$40</f>
        <v>0</v>
      </c>
      <c r="AE164" s="89">
        <f>Ruimtestaat[[#This Row],[Prest. (m2 /jaar) weekend]]+Ruimtestaat[[#This Row],[Prest. (m2 /jaar) werkdagen]]</f>
        <v>10800</v>
      </c>
      <c r="AF164" s="89">
        <f>Ruimtestaat[[#This Row],[uren / jaar weekend]]+Ruimtestaat[[#This Row],[uren / jaar werkdagen]]</f>
        <v>0</v>
      </c>
      <c r="AG164" s="90">
        <f>Ruimtestaat[[#This Row],[kosten / jaar weekend]]+Ruimtestaat[[#This Row],[kosten / jaar werkdagen]]</f>
        <v>0</v>
      </c>
      <c r="AH164" s="253"/>
      <c r="AI164" s="252" t="str">
        <f>IF(Ruimtestaat[[#This Row],[Frequentie werkdagen]]="","",_xlfn.CONCAT(Ruimtestaat[[#This Row],[Ruimte code]],"-",Ruimtestaat[[#This Row],[Frequentie werkdagen]]," ",Ruimtestaat[[#This Row],[Vloer code]]))</f>
        <v>14a-5w P</v>
      </c>
      <c r="AJ164" s="247" t="str">
        <f>_xlfn.IFNA(VLOOKUP(Ruimtestaat[[#This Row],[Programmacode
Regulier]],Programma!$F$4:$Y$36148,2,0),"_")</f>
        <v>_</v>
      </c>
      <c r="AK164" s="247" t="str">
        <f>_xlfn.IFNA(VLOOKUP(Ruimtestaat[[#This Row],[Programmacode
Regulier]],Programma!$F$4:$Y$36148,3,0),"_")</f>
        <v>_</v>
      </c>
      <c r="AL164" s="247" t="str">
        <f>_xlfn.IFNA(VLOOKUP(Ruimtestaat[[#This Row],[Programmacode
Regulier]],Programma!$F$4:$Y$36148,4,0),"_")</f>
        <v>_</v>
      </c>
      <c r="AM164" s="247" t="str">
        <f>_xlfn.IFNA(VLOOKUP(Ruimtestaat[[#This Row],[Programmacode
Regulier]],Programma!$F$4:$Y$36148,5,0),"_")</f>
        <v>_</v>
      </c>
      <c r="AN164" s="247" t="str">
        <f>_xlfn.IFNA(VLOOKUP(Ruimtestaat[[#This Row],[Programmacode
Regulier]],Programma!$F$4:$Y$36148,6,0),"_")</f>
        <v>_</v>
      </c>
      <c r="AO164" s="247" t="str">
        <f>_xlfn.IFNA(VLOOKUP(Ruimtestaat[[#This Row],[Programmacode
Regulier]],Programma!$F$4:$Y$36148,7,0),"_")</f>
        <v>_</v>
      </c>
      <c r="AP164" s="247" t="str">
        <f>_xlfn.IFNA(VLOOKUP(Ruimtestaat[[#This Row],[Programmacode
Regulier]],Programma!$F$4:$Y$36148,8,0),"_")</f>
        <v>_</v>
      </c>
      <c r="AQ164" s="247" t="str">
        <f>_xlfn.IFNA(VLOOKUP(Ruimtestaat[[#This Row],[Programmacode
Regulier]],Programma!$F$4:$Y$36148,9,0),"_")</f>
        <v>_</v>
      </c>
      <c r="AR164" s="248" t="str">
        <f>_xlfn.IFNA(VLOOKUP(Ruimtestaat[[#This Row],[Programmacode
Regulier]],Programma!$F$4:$Y$36148,10,0),"_")</f>
        <v>_</v>
      </c>
      <c r="AS164" s="248" t="str">
        <f>_xlfn.IFNA(VLOOKUP(Ruimtestaat[[#This Row],[Programmacode
Regulier]],Programma!$F$4:$Y$36148,11,0),"_")</f>
        <v>_</v>
      </c>
      <c r="AT164" s="248" t="str">
        <f>_xlfn.IFNA(VLOOKUP(Ruimtestaat[[#This Row],[Programmacode
Regulier]],Programma!$F$4:$Y$36148,12,0),"_")</f>
        <v>_</v>
      </c>
      <c r="AU164" s="248" t="str">
        <f>_xlfn.IFNA(VLOOKUP(Ruimtestaat[[#This Row],[Programmacode
Regulier]],Programma!$F$4:$Y$36148,13,0),"_")</f>
        <v>_</v>
      </c>
      <c r="AV164" s="248" t="str">
        <f>_xlfn.IFNA(VLOOKUP(Ruimtestaat[[#This Row],[Programmacode
Regulier]],Programma!$F$4:$Y$36148,14,0),"_")</f>
        <v>_</v>
      </c>
      <c r="AW164" s="248" t="str">
        <f>_xlfn.IFNA(VLOOKUP(Ruimtestaat[[#This Row],[Programmacode
Regulier]],Programma!$F$4:$Y$36148,15,0),"_")</f>
        <v>_</v>
      </c>
      <c r="AX164" s="248" t="str">
        <f>_xlfn.IFNA(VLOOKUP(Ruimtestaat[[#This Row],[Programmacode
Regulier]],Programma!$F$4:$Y$36148,16,0),"_")</f>
        <v>_</v>
      </c>
      <c r="AY164" s="248" t="str">
        <f>_xlfn.IFNA(VLOOKUP(Ruimtestaat[[#This Row],[Programmacode
Regulier]],Programma!$F$4:$Y$36148,17,0),"_")</f>
        <v>_</v>
      </c>
      <c r="AZ164" s="249" t="str">
        <f>_xlfn.IFNA(VLOOKUP(Ruimtestaat[[#This Row],[Programmacode
Regulier]],Programma!$F$4:$Y$36148,18,0),"_")</f>
        <v>_</v>
      </c>
      <c r="BA164" s="249" t="str">
        <f>_xlfn.IFNA(VLOOKUP(Ruimtestaat[[#This Row],[Programmacode
Regulier]],Programma!$F$4:$Y$36148,19,0),"_")</f>
        <v>_</v>
      </c>
      <c r="BB164" s="249" t="str">
        <f>_xlfn.IFNA(VLOOKUP(Ruimtestaat[[#This Row],[Programmacode
Regulier]],Programma!$F$4:$Y$36148,20,0),"_")</f>
        <v>_</v>
      </c>
      <c r="BC164" s="250"/>
      <c r="BD164" s="212" t="str">
        <f>IF(Ruimtestaat[[#This Row],[Frequentie weekend]]="","",_xlfn.CONCAT(Ruimtestaat[[#This Row],[Ruimte code]],"-",Ruimtestaat[[#This Row],[Frequentie weekend]]," ",Ruimtestaat[[#This Row],[Vloer code]]))</f>
        <v/>
      </c>
      <c r="BE164" s="247" t="str">
        <f>_xlfn.IFNA(VLOOKUP(Ruimtestaat[[#This Row],[Code Weekend]],Programma!$F$4:$Y$36148,2,0),"_")</f>
        <v>_</v>
      </c>
      <c r="BF164" s="247" t="str">
        <f>_xlfn.IFNA(VLOOKUP(Ruimtestaat[[#This Row],[Code Weekend]],Programma!$F$4:$Y$36148,3,0),"_")</f>
        <v>_</v>
      </c>
      <c r="BG164" s="247" t="str">
        <f>_xlfn.IFNA(VLOOKUP(Ruimtestaat[[#This Row],[Code Weekend]],Programma!$F$4:$Y$36148,4,0),"_")</f>
        <v>_</v>
      </c>
      <c r="BH164" s="247" t="str">
        <f>_xlfn.IFNA(VLOOKUP(Ruimtestaat[[#This Row],[Code Weekend]],Programma!$F$4:$Y$36148,5,0),"_")</f>
        <v>_</v>
      </c>
      <c r="BI164" s="247" t="str">
        <f>_xlfn.IFNA(VLOOKUP(Ruimtestaat[[#This Row],[Code Weekend]],Programma!$F$4:$Y$36148,6,0),"_")</f>
        <v>_</v>
      </c>
      <c r="BJ164" s="247" t="str">
        <f>_xlfn.IFNA(VLOOKUP(Ruimtestaat[[#This Row],[Code Weekend]],Programma!$F$4:$Y$36148,7,0),"_")</f>
        <v>_</v>
      </c>
      <c r="BK164" s="247" t="str">
        <f>_xlfn.IFNA(VLOOKUP(Ruimtestaat[[#This Row],[Code Weekend]],Programma!$F$4:$Y$36148,8,0),"_")</f>
        <v>_</v>
      </c>
      <c r="BL164" s="247" t="str">
        <f>_xlfn.IFNA(VLOOKUP(Ruimtestaat[[#This Row],[Code Weekend]],Programma!$F$4:$Y$36148,9,0),"_")</f>
        <v>_</v>
      </c>
      <c r="BM164" s="248" t="str">
        <f>_xlfn.IFNA(VLOOKUP(Ruimtestaat[[#This Row],[Code Weekend]],Programma!$F$4:$Y$36148,10,0),"_")</f>
        <v>_</v>
      </c>
      <c r="BN164" s="248" t="str">
        <f>_xlfn.IFNA(VLOOKUP(Ruimtestaat[[#This Row],[Code Weekend]],Programma!$F$4:$Y$36148,11,0),"_")</f>
        <v>_</v>
      </c>
      <c r="BO164" s="248" t="str">
        <f>_xlfn.IFNA(VLOOKUP(Ruimtestaat[[#This Row],[Code Weekend]],Programma!$F$4:$Y$36148,12,0),"_")</f>
        <v>_</v>
      </c>
      <c r="BP164" s="248" t="str">
        <f>_xlfn.IFNA(VLOOKUP(Ruimtestaat[[#This Row],[Code Weekend]],Programma!$F$4:$Y$36148,13,0),"_")</f>
        <v>_</v>
      </c>
      <c r="BQ164" s="248" t="str">
        <f>_xlfn.IFNA(VLOOKUP(Ruimtestaat[[#This Row],[Code Weekend]],Programma!$F$4:$Y$36148,14,0),"_")</f>
        <v>_</v>
      </c>
      <c r="BR164" s="248" t="str">
        <f>_xlfn.IFNA(VLOOKUP(Ruimtestaat[[#This Row],[Code Weekend]],Programma!$F$4:$Y$36148,15,0),"_")</f>
        <v>_</v>
      </c>
      <c r="BS164" s="248" t="str">
        <f>_xlfn.IFNA(VLOOKUP(Ruimtestaat[[#This Row],[Code Weekend]],Programma!$F$4:$Y$36148,16,0),"_")</f>
        <v>_</v>
      </c>
      <c r="BT164" s="248" t="str">
        <f>_xlfn.IFNA(VLOOKUP(Ruimtestaat[[#This Row],[Code Weekend]],Programma!$F$4:$Y$36148,17,0),"_")</f>
        <v>_</v>
      </c>
      <c r="BU164" s="249" t="str">
        <f>_xlfn.IFNA(VLOOKUP(Ruimtestaat[[#This Row],[Code Weekend]],Programma!$F$4:$Y$36148,18,0),"_")</f>
        <v>_</v>
      </c>
      <c r="BV164" s="249" t="str">
        <f>_xlfn.IFNA(VLOOKUP(Ruimtestaat[[#This Row],[Code Weekend]],Programma!$F$4:$Y$36148,19,0),"_")</f>
        <v>_</v>
      </c>
      <c r="BW164" s="249" t="str">
        <f>_xlfn.IFNA(VLOOKUP(Ruimtestaat[[#This Row],[Code Weekend]],Programma!$F$4:$Y$36148,20,0),"_")</f>
        <v>_</v>
      </c>
    </row>
    <row r="165" spans="1:75" ht="12.75" customHeight="1">
      <c r="A165" s="334">
        <v>1</v>
      </c>
      <c r="B165" s="334" t="str">
        <f>VLOOKUP(Ruimtestaat[[#This Row],[Code]],Locaties[#All],2,FALSE)</f>
        <v>ESH Secondary School</v>
      </c>
      <c r="C165" s="212" t="str">
        <f>VLOOKUP(Ruimtestaat[[#This Row],[Code]],Locaties[#All],4,FALSE)</f>
        <v>Oostduinlaan 50</v>
      </c>
      <c r="D165" s="212" t="str">
        <f>VLOOKUP(Ruimtestaat[[#This Row],[Code]],Locaties[#All],5,FALSE)</f>
        <v>2596 JP</v>
      </c>
      <c r="E165" s="212" t="str">
        <f>VLOOKUP(Ruimtestaat[[#This Row],[Code]],Locaties[#All],6,FALSE)</f>
        <v>Den Haag</v>
      </c>
      <c r="F165" s="335"/>
      <c r="G165" s="334" t="s">
        <v>1677</v>
      </c>
      <c r="H165" s="334" t="s">
        <v>1659</v>
      </c>
      <c r="I165" s="335" t="s">
        <v>1780</v>
      </c>
      <c r="J165" s="333" t="s">
        <v>1761</v>
      </c>
      <c r="K165" s="336" t="str">
        <f>VLOOKUP(J165,Ruimtegroepen[],2,FALSE)</f>
        <v>Praktijklokalen</v>
      </c>
      <c r="L165" s="212" t="s">
        <v>123</v>
      </c>
      <c r="M165" s="334" t="s">
        <v>144</v>
      </c>
      <c r="N165" s="337">
        <v>53</v>
      </c>
      <c r="O165" s="331"/>
      <c r="P165" s="332" t="str">
        <f>VLOOKUP(Ruimtestaat[[#This Row],[Ruimte code]],Ruimtegroepen[],4,FALSE)</f>
        <v>L  (Lesruimte)</v>
      </c>
      <c r="Q165" s="332"/>
      <c r="R165" s="333">
        <v>40</v>
      </c>
      <c r="S165" s="333" t="s">
        <v>2</v>
      </c>
      <c r="T165" s="37"/>
      <c r="U165" s="37">
        <f>IF(R165&gt;0,IF(RIGHT(Ruimtestaat[[#This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65" s="37">
        <f>IF(U165&gt;0,VLOOKUP($J165,Ruimtegroepen[],3,FALSE)*VLOOKUP($L165,Vloersoorten[],3,FALSE)*VLOOKUP($S165,Frequenties[],3,FALSE)*VLOOKUP($A165,Locaties[],3,FALSE),0)</f>
        <v>0</v>
      </c>
      <c r="W165" s="37">
        <f>Ruimtestaat[[#This Row],[Uitvoeringen werkdagen]]*Ruimtestaat[[#This Row],[Oppervlak (netto)]]</f>
        <v>10600</v>
      </c>
      <c r="X165" s="37">
        <f>IF(V165&gt;0,Ruimtestaat[[#This Row],[Prest. (m2 /jaar) werkdagen]]/Ruimtestaat[[#This Row],[Norm (m2/uur) werkdagen]],0)</f>
        <v>0</v>
      </c>
      <c r="Y165" s="37">
        <f>Ruimtestaat[[#This Row],[uren / jaar werkdagen]]*Tariefsopbouw!$D$38</f>
        <v>0</v>
      </c>
      <c r="Z165" s="37">
        <f>IF(Ruimtestaat[[#This Row],[Frequentie weekend]]&gt;0,VALUE(LEFT(T165,1))*R165,0)</f>
        <v>0</v>
      </c>
      <c r="AA165" s="37">
        <f>IF($Z165&gt;0,VLOOKUP($J165,Ruimtegroepen[],3,FALSE)*VLOOKUP($L165,Vloersoorten[],3,FALSE)*VLOOKUP($T165,Frequenties[],3,FALSE)*VLOOKUP($A165,Locaties[],3,FALSE),0)</f>
        <v>0</v>
      </c>
      <c r="AB165" s="37">
        <f>Ruimtestaat[[#This Row],[Uitvoeringen weekend]]*Ruimtestaat[[#This Row],[Oppervlak (netto)]]</f>
        <v>0</v>
      </c>
      <c r="AC165" s="37">
        <f>IF(AA165&gt;0,Ruimtestaat[[#This Row],[Prest. (m2 /jaar) weekend]]/Ruimtestaat[[#This Row],[Norm (m2/uur) weekend]],0)</f>
        <v>0</v>
      </c>
      <c r="AD165" s="37">
        <f>Ruimtestaat[[#This Row],[uren / jaar weekend]]*Tariefsopbouw!$D$40</f>
        <v>0</v>
      </c>
      <c r="AE165" s="89">
        <f>Ruimtestaat[[#This Row],[Prest. (m2 /jaar) weekend]]+Ruimtestaat[[#This Row],[Prest. (m2 /jaar) werkdagen]]</f>
        <v>10600</v>
      </c>
      <c r="AF165" s="89">
        <f>Ruimtestaat[[#This Row],[uren / jaar weekend]]+Ruimtestaat[[#This Row],[uren / jaar werkdagen]]</f>
        <v>0</v>
      </c>
      <c r="AG165" s="90">
        <f>Ruimtestaat[[#This Row],[kosten / jaar weekend]]+Ruimtestaat[[#This Row],[kosten / jaar werkdagen]]</f>
        <v>0</v>
      </c>
      <c r="AH165" s="253"/>
      <c r="AI165" s="252" t="str">
        <f>IF(Ruimtestaat[[#This Row],[Frequentie werkdagen]]="","",_xlfn.CONCAT(Ruimtestaat[[#This Row],[Ruimte code]],"-",Ruimtestaat[[#This Row],[Frequentie werkdagen]]," ",Ruimtestaat[[#This Row],[Vloer code]]))</f>
        <v>14a-5w P</v>
      </c>
      <c r="AJ165" s="247" t="str">
        <f>_xlfn.IFNA(VLOOKUP(Ruimtestaat[[#This Row],[Programmacode
Regulier]],Programma!$F$4:$Y$36148,2,0),"_")</f>
        <v>_</v>
      </c>
      <c r="AK165" s="247" t="str">
        <f>_xlfn.IFNA(VLOOKUP(Ruimtestaat[[#This Row],[Programmacode
Regulier]],Programma!$F$4:$Y$36148,3,0),"_")</f>
        <v>_</v>
      </c>
      <c r="AL165" s="247" t="str">
        <f>_xlfn.IFNA(VLOOKUP(Ruimtestaat[[#This Row],[Programmacode
Regulier]],Programma!$F$4:$Y$36148,4,0),"_")</f>
        <v>_</v>
      </c>
      <c r="AM165" s="247" t="str">
        <f>_xlfn.IFNA(VLOOKUP(Ruimtestaat[[#This Row],[Programmacode
Regulier]],Programma!$F$4:$Y$36148,5,0),"_")</f>
        <v>_</v>
      </c>
      <c r="AN165" s="247" t="str">
        <f>_xlfn.IFNA(VLOOKUP(Ruimtestaat[[#This Row],[Programmacode
Regulier]],Programma!$F$4:$Y$36148,6,0),"_")</f>
        <v>_</v>
      </c>
      <c r="AO165" s="247" t="str">
        <f>_xlfn.IFNA(VLOOKUP(Ruimtestaat[[#This Row],[Programmacode
Regulier]],Programma!$F$4:$Y$36148,7,0),"_")</f>
        <v>_</v>
      </c>
      <c r="AP165" s="247" t="str">
        <f>_xlfn.IFNA(VLOOKUP(Ruimtestaat[[#This Row],[Programmacode
Regulier]],Programma!$F$4:$Y$36148,8,0),"_")</f>
        <v>_</v>
      </c>
      <c r="AQ165" s="247" t="str">
        <f>_xlfn.IFNA(VLOOKUP(Ruimtestaat[[#This Row],[Programmacode
Regulier]],Programma!$F$4:$Y$36148,9,0),"_")</f>
        <v>_</v>
      </c>
      <c r="AR165" s="248" t="str">
        <f>_xlfn.IFNA(VLOOKUP(Ruimtestaat[[#This Row],[Programmacode
Regulier]],Programma!$F$4:$Y$36148,10,0),"_")</f>
        <v>_</v>
      </c>
      <c r="AS165" s="248" t="str">
        <f>_xlfn.IFNA(VLOOKUP(Ruimtestaat[[#This Row],[Programmacode
Regulier]],Programma!$F$4:$Y$36148,11,0),"_")</f>
        <v>_</v>
      </c>
      <c r="AT165" s="248" t="str">
        <f>_xlfn.IFNA(VLOOKUP(Ruimtestaat[[#This Row],[Programmacode
Regulier]],Programma!$F$4:$Y$36148,12,0),"_")</f>
        <v>_</v>
      </c>
      <c r="AU165" s="248" t="str">
        <f>_xlfn.IFNA(VLOOKUP(Ruimtestaat[[#This Row],[Programmacode
Regulier]],Programma!$F$4:$Y$36148,13,0),"_")</f>
        <v>_</v>
      </c>
      <c r="AV165" s="248" t="str">
        <f>_xlfn.IFNA(VLOOKUP(Ruimtestaat[[#This Row],[Programmacode
Regulier]],Programma!$F$4:$Y$36148,14,0),"_")</f>
        <v>_</v>
      </c>
      <c r="AW165" s="248" t="str">
        <f>_xlfn.IFNA(VLOOKUP(Ruimtestaat[[#This Row],[Programmacode
Regulier]],Programma!$F$4:$Y$36148,15,0),"_")</f>
        <v>_</v>
      </c>
      <c r="AX165" s="248" t="str">
        <f>_xlfn.IFNA(VLOOKUP(Ruimtestaat[[#This Row],[Programmacode
Regulier]],Programma!$F$4:$Y$36148,16,0),"_")</f>
        <v>_</v>
      </c>
      <c r="AY165" s="248" t="str">
        <f>_xlfn.IFNA(VLOOKUP(Ruimtestaat[[#This Row],[Programmacode
Regulier]],Programma!$F$4:$Y$36148,17,0),"_")</f>
        <v>_</v>
      </c>
      <c r="AZ165" s="249" t="str">
        <f>_xlfn.IFNA(VLOOKUP(Ruimtestaat[[#This Row],[Programmacode
Regulier]],Programma!$F$4:$Y$36148,18,0),"_")</f>
        <v>_</v>
      </c>
      <c r="BA165" s="249" t="str">
        <f>_xlfn.IFNA(VLOOKUP(Ruimtestaat[[#This Row],[Programmacode
Regulier]],Programma!$F$4:$Y$36148,19,0),"_")</f>
        <v>_</v>
      </c>
      <c r="BB165" s="249" t="str">
        <f>_xlfn.IFNA(VLOOKUP(Ruimtestaat[[#This Row],[Programmacode
Regulier]],Programma!$F$4:$Y$36148,20,0),"_")</f>
        <v>_</v>
      </c>
      <c r="BC165" s="250"/>
      <c r="BD165" s="212" t="str">
        <f>IF(Ruimtestaat[[#This Row],[Frequentie weekend]]="","",_xlfn.CONCAT(Ruimtestaat[[#This Row],[Ruimte code]],"-",Ruimtestaat[[#This Row],[Frequentie weekend]]," ",Ruimtestaat[[#This Row],[Vloer code]]))</f>
        <v/>
      </c>
      <c r="BE165" s="247" t="str">
        <f>_xlfn.IFNA(VLOOKUP(Ruimtestaat[[#This Row],[Code Weekend]],Programma!$F$4:$Y$36148,2,0),"_")</f>
        <v>_</v>
      </c>
      <c r="BF165" s="247" t="str">
        <f>_xlfn.IFNA(VLOOKUP(Ruimtestaat[[#This Row],[Code Weekend]],Programma!$F$4:$Y$36148,3,0),"_")</f>
        <v>_</v>
      </c>
      <c r="BG165" s="247" t="str">
        <f>_xlfn.IFNA(VLOOKUP(Ruimtestaat[[#This Row],[Code Weekend]],Programma!$F$4:$Y$36148,4,0),"_")</f>
        <v>_</v>
      </c>
      <c r="BH165" s="247" t="str">
        <f>_xlfn.IFNA(VLOOKUP(Ruimtestaat[[#This Row],[Code Weekend]],Programma!$F$4:$Y$36148,5,0),"_")</f>
        <v>_</v>
      </c>
      <c r="BI165" s="247" t="str">
        <f>_xlfn.IFNA(VLOOKUP(Ruimtestaat[[#This Row],[Code Weekend]],Programma!$F$4:$Y$36148,6,0),"_")</f>
        <v>_</v>
      </c>
      <c r="BJ165" s="247" t="str">
        <f>_xlfn.IFNA(VLOOKUP(Ruimtestaat[[#This Row],[Code Weekend]],Programma!$F$4:$Y$36148,7,0),"_")</f>
        <v>_</v>
      </c>
      <c r="BK165" s="247" t="str">
        <f>_xlfn.IFNA(VLOOKUP(Ruimtestaat[[#This Row],[Code Weekend]],Programma!$F$4:$Y$36148,8,0),"_")</f>
        <v>_</v>
      </c>
      <c r="BL165" s="247" t="str">
        <f>_xlfn.IFNA(VLOOKUP(Ruimtestaat[[#This Row],[Code Weekend]],Programma!$F$4:$Y$36148,9,0),"_")</f>
        <v>_</v>
      </c>
      <c r="BM165" s="248" t="str">
        <f>_xlfn.IFNA(VLOOKUP(Ruimtestaat[[#This Row],[Code Weekend]],Programma!$F$4:$Y$36148,10,0),"_")</f>
        <v>_</v>
      </c>
      <c r="BN165" s="248" t="str">
        <f>_xlfn.IFNA(VLOOKUP(Ruimtestaat[[#This Row],[Code Weekend]],Programma!$F$4:$Y$36148,11,0),"_")</f>
        <v>_</v>
      </c>
      <c r="BO165" s="248" t="str">
        <f>_xlfn.IFNA(VLOOKUP(Ruimtestaat[[#This Row],[Code Weekend]],Programma!$F$4:$Y$36148,12,0),"_")</f>
        <v>_</v>
      </c>
      <c r="BP165" s="248" t="str">
        <f>_xlfn.IFNA(VLOOKUP(Ruimtestaat[[#This Row],[Code Weekend]],Programma!$F$4:$Y$36148,13,0),"_")</f>
        <v>_</v>
      </c>
      <c r="BQ165" s="248" t="str">
        <f>_xlfn.IFNA(VLOOKUP(Ruimtestaat[[#This Row],[Code Weekend]],Programma!$F$4:$Y$36148,14,0),"_")</f>
        <v>_</v>
      </c>
      <c r="BR165" s="248" t="str">
        <f>_xlfn.IFNA(VLOOKUP(Ruimtestaat[[#This Row],[Code Weekend]],Programma!$F$4:$Y$36148,15,0),"_")</f>
        <v>_</v>
      </c>
      <c r="BS165" s="248" t="str">
        <f>_xlfn.IFNA(VLOOKUP(Ruimtestaat[[#This Row],[Code Weekend]],Programma!$F$4:$Y$36148,16,0),"_")</f>
        <v>_</v>
      </c>
      <c r="BT165" s="248" t="str">
        <f>_xlfn.IFNA(VLOOKUP(Ruimtestaat[[#This Row],[Code Weekend]],Programma!$F$4:$Y$36148,17,0),"_")</f>
        <v>_</v>
      </c>
      <c r="BU165" s="249" t="str">
        <f>_xlfn.IFNA(VLOOKUP(Ruimtestaat[[#This Row],[Code Weekend]],Programma!$F$4:$Y$36148,18,0),"_")</f>
        <v>_</v>
      </c>
      <c r="BV165" s="249" t="str">
        <f>_xlfn.IFNA(VLOOKUP(Ruimtestaat[[#This Row],[Code Weekend]],Programma!$F$4:$Y$36148,19,0),"_")</f>
        <v>_</v>
      </c>
      <c r="BW165" s="249" t="str">
        <f>_xlfn.IFNA(VLOOKUP(Ruimtestaat[[#This Row],[Code Weekend]],Programma!$F$4:$Y$36148,20,0),"_")</f>
        <v>_</v>
      </c>
    </row>
    <row r="166" spans="1:75" ht="12.75" customHeight="1">
      <c r="A166" s="334">
        <v>1</v>
      </c>
      <c r="B166" s="334" t="str">
        <f>VLOOKUP(Ruimtestaat[[#This Row],[Code]],Locaties[#All],2,FALSE)</f>
        <v>ESH Secondary School</v>
      </c>
      <c r="C166" s="212" t="str">
        <f>VLOOKUP(Ruimtestaat[[#This Row],[Code]],Locaties[#All],4,FALSE)</f>
        <v>Oostduinlaan 50</v>
      </c>
      <c r="D166" s="212" t="str">
        <f>VLOOKUP(Ruimtestaat[[#This Row],[Code]],Locaties[#All],5,FALSE)</f>
        <v>2596 JP</v>
      </c>
      <c r="E166" s="212" t="str">
        <f>VLOOKUP(Ruimtestaat[[#This Row],[Code]],Locaties[#All],6,FALSE)</f>
        <v>Den Haag</v>
      </c>
      <c r="F166" s="335"/>
      <c r="G166" s="334" t="s">
        <v>1677</v>
      </c>
      <c r="H166" s="334" t="s">
        <v>1660</v>
      </c>
      <c r="I166" s="335" t="s">
        <v>1688</v>
      </c>
      <c r="J166" s="333">
        <v>16</v>
      </c>
      <c r="K166" s="336" t="str">
        <f>VLOOKUP(J166,Ruimtegroepen[],2,FALSE)</f>
        <v>Leslokalen</v>
      </c>
      <c r="L166" s="212" t="s">
        <v>123</v>
      </c>
      <c r="M166" s="334" t="s">
        <v>144</v>
      </c>
      <c r="N166" s="337">
        <v>53</v>
      </c>
      <c r="O166" s="331"/>
      <c r="P166" s="332" t="str">
        <f>VLOOKUP(Ruimtestaat[[#This Row],[Ruimte code]],Ruimtegroepen[],4,FALSE)</f>
        <v>L  (Lesruimte)</v>
      </c>
      <c r="Q166" s="332"/>
      <c r="R166" s="333">
        <v>40</v>
      </c>
      <c r="S166" s="333" t="s">
        <v>2</v>
      </c>
      <c r="T166" s="37"/>
      <c r="U166" s="37">
        <f>IF(R166&gt;0,IF(RIGHT(Ruimtestaat[[#This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66" s="37">
        <f>IF(U166&gt;0,VLOOKUP($J166,Ruimtegroepen[],3,FALSE)*VLOOKUP($L166,Vloersoorten[],3,FALSE)*VLOOKUP($S166,Frequenties[],3,FALSE)*VLOOKUP($A166,Locaties[],3,FALSE),0)</f>
        <v>0</v>
      </c>
      <c r="W166" s="37">
        <f>Ruimtestaat[[#This Row],[Uitvoeringen werkdagen]]*Ruimtestaat[[#This Row],[Oppervlak (netto)]]</f>
        <v>10600</v>
      </c>
      <c r="X166" s="37">
        <f>IF(V166&gt;0,Ruimtestaat[[#This Row],[Prest. (m2 /jaar) werkdagen]]/Ruimtestaat[[#This Row],[Norm (m2/uur) werkdagen]],0)</f>
        <v>0</v>
      </c>
      <c r="Y166" s="37">
        <f>Ruimtestaat[[#This Row],[uren / jaar werkdagen]]*Tariefsopbouw!$D$38</f>
        <v>0</v>
      </c>
      <c r="Z166" s="37">
        <f>IF(Ruimtestaat[[#This Row],[Frequentie weekend]]&gt;0,VALUE(LEFT(T166,1))*R166,0)</f>
        <v>0</v>
      </c>
      <c r="AA166" s="37">
        <f>IF($Z166&gt;0,VLOOKUP($J166,Ruimtegroepen[],3,FALSE)*VLOOKUP($L166,Vloersoorten[],3,FALSE)*VLOOKUP($T166,Frequenties[],3,FALSE)*VLOOKUP($A166,Locaties[],3,FALSE),0)</f>
        <v>0</v>
      </c>
      <c r="AB166" s="37">
        <f>Ruimtestaat[[#This Row],[Uitvoeringen weekend]]*Ruimtestaat[[#This Row],[Oppervlak (netto)]]</f>
        <v>0</v>
      </c>
      <c r="AC166" s="37">
        <f>IF(AA166&gt;0,Ruimtestaat[[#This Row],[Prest. (m2 /jaar) weekend]]/Ruimtestaat[[#This Row],[Norm (m2/uur) weekend]],0)</f>
        <v>0</v>
      </c>
      <c r="AD166" s="37">
        <f>Ruimtestaat[[#This Row],[uren / jaar weekend]]*Tariefsopbouw!$D$40</f>
        <v>0</v>
      </c>
      <c r="AE166" s="89">
        <f>Ruimtestaat[[#This Row],[Prest. (m2 /jaar) weekend]]+Ruimtestaat[[#This Row],[Prest. (m2 /jaar) werkdagen]]</f>
        <v>10600</v>
      </c>
      <c r="AF166" s="89">
        <f>Ruimtestaat[[#This Row],[uren / jaar weekend]]+Ruimtestaat[[#This Row],[uren / jaar werkdagen]]</f>
        <v>0</v>
      </c>
      <c r="AG166" s="90">
        <f>Ruimtestaat[[#This Row],[kosten / jaar weekend]]+Ruimtestaat[[#This Row],[kosten / jaar werkdagen]]</f>
        <v>0</v>
      </c>
      <c r="AH166" s="253"/>
      <c r="AI166" s="252" t="str">
        <f>IF(Ruimtestaat[[#This Row],[Frequentie werkdagen]]="","",_xlfn.CONCAT(Ruimtestaat[[#This Row],[Ruimte code]],"-",Ruimtestaat[[#This Row],[Frequentie werkdagen]]," ",Ruimtestaat[[#This Row],[Vloer code]]))</f>
        <v>16-5w P</v>
      </c>
      <c r="AJ166" s="247" t="str">
        <f>_xlfn.IFNA(VLOOKUP(Ruimtestaat[[#This Row],[Programmacode
Regulier]],Programma!$F$4:$Y$36148,2,0),"_")</f>
        <v>_</v>
      </c>
      <c r="AK166" s="247" t="str">
        <f>_xlfn.IFNA(VLOOKUP(Ruimtestaat[[#This Row],[Programmacode
Regulier]],Programma!$F$4:$Y$36148,3,0),"_")</f>
        <v>_</v>
      </c>
      <c r="AL166" s="247" t="str">
        <f>_xlfn.IFNA(VLOOKUP(Ruimtestaat[[#This Row],[Programmacode
Regulier]],Programma!$F$4:$Y$36148,4,0),"_")</f>
        <v>5w</v>
      </c>
      <c r="AM166" s="247" t="str">
        <f>_xlfn.IFNA(VLOOKUP(Ruimtestaat[[#This Row],[Programmacode
Regulier]],Programma!$F$4:$Y$36148,5,0),"_")</f>
        <v>1w</v>
      </c>
      <c r="AN166" s="247" t="str">
        <f>_xlfn.IFNA(VLOOKUP(Ruimtestaat[[#This Row],[Programmacode
Regulier]],Programma!$F$4:$Y$36148,6,0),"_")</f>
        <v>1m</v>
      </c>
      <c r="AO166" s="247" t="str">
        <f>_xlfn.IFNA(VLOOKUP(Ruimtestaat[[#This Row],[Programmacode
Regulier]],Programma!$F$4:$Y$36148,7,0),"_")</f>
        <v>_</v>
      </c>
      <c r="AP166" s="247" t="str">
        <f>_xlfn.IFNA(VLOOKUP(Ruimtestaat[[#This Row],[Programmacode
Regulier]],Programma!$F$4:$Y$36148,8,0),"_")</f>
        <v>_</v>
      </c>
      <c r="AQ166" s="247" t="str">
        <f>_xlfn.IFNA(VLOOKUP(Ruimtestaat[[#This Row],[Programmacode
Regulier]],Programma!$F$4:$Y$36148,9,0),"_")</f>
        <v>_</v>
      </c>
      <c r="AR166" s="248" t="str">
        <f>_xlfn.IFNA(VLOOKUP(Ruimtestaat[[#This Row],[Programmacode
Regulier]],Programma!$F$4:$Y$36148,10,0),"_")</f>
        <v>5w</v>
      </c>
      <c r="AS166" s="248" t="str">
        <f>_xlfn.IFNA(VLOOKUP(Ruimtestaat[[#This Row],[Programmacode
Regulier]],Programma!$F$4:$Y$36148,11,0),"_")</f>
        <v>5w</v>
      </c>
      <c r="AT166" s="248" t="str">
        <f>_xlfn.IFNA(VLOOKUP(Ruimtestaat[[#This Row],[Programmacode
Regulier]],Programma!$F$4:$Y$36148,12,0),"_")</f>
        <v>1w</v>
      </c>
      <c r="AU166" s="248" t="str">
        <f>_xlfn.IFNA(VLOOKUP(Ruimtestaat[[#This Row],[Programmacode
Regulier]],Programma!$F$4:$Y$36148,13,0),"_")</f>
        <v>1w</v>
      </c>
      <c r="AV166" s="248" t="str">
        <f>_xlfn.IFNA(VLOOKUP(Ruimtestaat[[#This Row],[Programmacode
Regulier]],Programma!$F$4:$Y$36148,14,0),"_")</f>
        <v>1m</v>
      </c>
      <c r="AW166" s="248" t="str">
        <f>_xlfn.IFNA(VLOOKUP(Ruimtestaat[[#This Row],[Programmacode
Regulier]],Programma!$F$4:$Y$36148,15,0),"_")</f>
        <v>2j</v>
      </c>
      <c r="AX166" s="248" t="str">
        <f>_xlfn.IFNA(VLOOKUP(Ruimtestaat[[#This Row],[Programmacode
Regulier]],Programma!$F$4:$Y$36148,16,0),"_")</f>
        <v>1j</v>
      </c>
      <c r="AY166" s="248" t="str">
        <f>_xlfn.IFNA(VLOOKUP(Ruimtestaat[[#This Row],[Programmacode
Regulier]],Programma!$F$4:$Y$36148,17,0),"_")</f>
        <v>_</v>
      </c>
      <c r="AZ166" s="249" t="str">
        <f>_xlfn.IFNA(VLOOKUP(Ruimtestaat[[#This Row],[Programmacode
Regulier]],Programma!$F$4:$Y$36148,18,0),"_")</f>
        <v>_</v>
      </c>
      <c r="BA166" s="249" t="str">
        <f>_xlfn.IFNA(VLOOKUP(Ruimtestaat[[#This Row],[Programmacode
Regulier]],Programma!$F$4:$Y$36148,19,0),"_")</f>
        <v>_</v>
      </c>
      <c r="BB166" s="249" t="str">
        <f>_xlfn.IFNA(VLOOKUP(Ruimtestaat[[#This Row],[Programmacode
Regulier]],Programma!$F$4:$Y$36148,20,0),"_")</f>
        <v>_</v>
      </c>
      <c r="BC166" s="250"/>
      <c r="BD166" s="212" t="str">
        <f>IF(Ruimtestaat[[#This Row],[Frequentie weekend]]="","",_xlfn.CONCAT(Ruimtestaat[[#This Row],[Ruimte code]],"-",Ruimtestaat[[#This Row],[Frequentie weekend]]," ",Ruimtestaat[[#This Row],[Vloer code]]))</f>
        <v/>
      </c>
      <c r="BE166" s="247" t="str">
        <f>_xlfn.IFNA(VLOOKUP(Ruimtestaat[[#This Row],[Code Weekend]],Programma!$F$4:$Y$36148,2,0),"_")</f>
        <v>_</v>
      </c>
      <c r="BF166" s="247" t="str">
        <f>_xlfn.IFNA(VLOOKUP(Ruimtestaat[[#This Row],[Code Weekend]],Programma!$F$4:$Y$36148,3,0),"_")</f>
        <v>_</v>
      </c>
      <c r="BG166" s="247" t="str">
        <f>_xlfn.IFNA(VLOOKUP(Ruimtestaat[[#This Row],[Code Weekend]],Programma!$F$4:$Y$36148,4,0),"_")</f>
        <v>_</v>
      </c>
      <c r="BH166" s="247" t="str">
        <f>_xlfn.IFNA(VLOOKUP(Ruimtestaat[[#This Row],[Code Weekend]],Programma!$F$4:$Y$36148,5,0),"_")</f>
        <v>_</v>
      </c>
      <c r="BI166" s="247" t="str">
        <f>_xlfn.IFNA(VLOOKUP(Ruimtestaat[[#This Row],[Code Weekend]],Programma!$F$4:$Y$36148,6,0),"_")</f>
        <v>_</v>
      </c>
      <c r="BJ166" s="247" t="str">
        <f>_xlfn.IFNA(VLOOKUP(Ruimtestaat[[#This Row],[Code Weekend]],Programma!$F$4:$Y$36148,7,0),"_")</f>
        <v>_</v>
      </c>
      <c r="BK166" s="247" t="str">
        <f>_xlfn.IFNA(VLOOKUP(Ruimtestaat[[#This Row],[Code Weekend]],Programma!$F$4:$Y$36148,8,0),"_")</f>
        <v>_</v>
      </c>
      <c r="BL166" s="247" t="str">
        <f>_xlfn.IFNA(VLOOKUP(Ruimtestaat[[#This Row],[Code Weekend]],Programma!$F$4:$Y$36148,9,0),"_")</f>
        <v>_</v>
      </c>
      <c r="BM166" s="248" t="str">
        <f>_xlfn.IFNA(VLOOKUP(Ruimtestaat[[#This Row],[Code Weekend]],Programma!$F$4:$Y$36148,10,0),"_")</f>
        <v>_</v>
      </c>
      <c r="BN166" s="248" t="str">
        <f>_xlfn.IFNA(VLOOKUP(Ruimtestaat[[#This Row],[Code Weekend]],Programma!$F$4:$Y$36148,11,0),"_")</f>
        <v>_</v>
      </c>
      <c r="BO166" s="248" t="str">
        <f>_xlfn.IFNA(VLOOKUP(Ruimtestaat[[#This Row],[Code Weekend]],Programma!$F$4:$Y$36148,12,0),"_")</f>
        <v>_</v>
      </c>
      <c r="BP166" s="248" t="str">
        <f>_xlfn.IFNA(VLOOKUP(Ruimtestaat[[#This Row],[Code Weekend]],Programma!$F$4:$Y$36148,13,0),"_")</f>
        <v>_</v>
      </c>
      <c r="BQ166" s="248" t="str">
        <f>_xlfn.IFNA(VLOOKUP(Ruimtestaat[[#This Row],[Code Weekend]],Programma!$F$4:$Y$36148,14,0),"_")</f>
        <v>_</v>
      </c>
      <c r="BR166" s="248" t="str">
        <f>_xlfn.IFNA(VLOOKUP(Ruimtestaat[[#This Row],[Code Weekend]],Programma!$F$4:$Y$36148,15,0),"_")</f>
        <v>_</v>
      </c>
      <c r="BS166" s="248" t="str">
        <f>_xlfn.IFNA(VLOOKUP(Ruimtestaat[[#This Row],[Code Weekend]],Programma!$F$4:$Y$36148,16,0),"_")</f>
        <v>_</v>
      </c>
      <c r="BT166" s="248" t="str">
        <f>_xlfn.IFNA(VLOOKUP(Ruimtestaat[[#This Row],[Code Weekend]],Programma!$F$4:$Y$36148,17,0),"_")</f>
        <v>_</v>
      </c>
      <c r="BU166" s="249" t="str">
        <f>_xlfn.IFNA(VLOOKUP(Ruimtestaat[[#This Row],[Code Weekend]],Programma!$F$4:$Y$36148,18,0),"_")</f>
        <v>_</v>
      </c>
      <c r="BV166" s="249" t="str">
        <f>_xlfn.IFNA(VLOOKUP(Ruimtestaat[[#This Row],[Code Weekend]],Programma!$F$4:$Y$36148,19,0),"_")</f>
        <v>_</v>
      </c>
      <c r="BW166" s="249" t="str">
        <f>_xlfn.IFNA(VLOOKUP(Ruimtestaat[[#This Row],[Code Weekend]],Programma!$F$4:$Y$36148,20,0),"_")</f>
        <v>_</v>
      </c>
    </row>
    <row r="167" spans="1:75" ht="12.75" customHeight="1">
      <c r="A167" s="334">
        <v>1</v>
      </c>
      <c r="B167" s="334" t="str">
        <f>VLOOKUP(Ruimtestaat[[#This Row],[Code]],Locaties[#All],2,FALSE)</f>
        <v>ESH Secondary School</v>
      </c>
      <c r="C167" s="212" t="str">
        <f>VLOOKUP(Ruimtestaat[[#This Row],[Code]],Locaties[#All],4,FALSE)</f>
        <v>Oostduinlaan 50</v>
      </c>
      <c r="D167" s="212" t="str">
        <f>VLOOKUP(Ruimtestaat[[#This Row],[Code]],Locaties[#All],5,FALSE)</f>
        <v>2596 JP</v>
      </c>
      <c r="E167" s="212" t="str">
        <f>VLOOKUP(Ruimtestaat[[#This Row],[Code]],Locaties[#All],6,FALSE)</f>
        <v>Den Haag</v>
      </c>
      <c r="F167" s="335"/>
      <c r="G167" s="334" t="s">
        <v>1677</v>
      </c>
      <c r="H167" s="334" t="s">
        <v>1661</v>
      </c>
      <c r="I167" s="335" t="s">
        <v>1776</v>
      </c>
      <c r="J167" s="328">
        <v>16</v>
      </c>
      <c r="K167" s="336" t="str">
        <f>VLOOKUP(J167,Ruimtegroepen[],2,FALSE)</f>
        <v>Leslokalen</v>
      </c>
      <c r="L167" s="212" t="s">
        <v>123</v>
      </c>
      <c r="M167" s="334" t="s">
        <v>144</v>
      </c>
      <c r="N167" s="337">
        <v>53</v>
      </c>
      <c r="O167" s="331"/>
      <c r="P167" s="332" t="str">
        <f>VLOOKUP(Ruimtestaat[[#This Row],[Ruimte code]],Ruimtegroepen[],4,FALSE)</f>
        <v>L  (Lesruimte)</v>
      </c>
      <c r="Q167" s="332"/>
      <c r="R167" s="333">
        <v>40</v>
      </c>
      <c r="S167" s="333" t="s">
        <v>2</v>
      </c>
      <c r="T167" s="37"/>
      <c r="U167" s="37">
        <f>IF(R167&gt;0,IF(RIGHT(Ruimtestaat[[#This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67" s="37">
        <f>IF(U167&gt;0,VLOOKUP($J167,Ruimtegroepen[],3,FALSE)*VLOOKUP($L167,Vloersoorten[],3,FALSE)*VLOOKUP($S167,Frequenties[],3,FALSE)*VLOOKUP($A167,Locaties[],3,FALSE),0)</f>
        <v>0</v>
      </c>
      <c r="W167" s="37">
        <f>Ruimtestaat[[#This Row],[Uitvoeringen werkdagen]]*Ruimtestaat[[#This Row],[Oppervlak (netto)]]</f>
        <v>10600</v>
      </c>
      <c r="X167" s="37">
        <f>IF(V167&gt;0,Ruimtestaat[[#This Row],[Prest. (m2 /jaar) werkdagen]]/Ruimtestaat[[#This Row],[Norm (m2/uur) werkdagen]],0)</f>
        <v>0</v>
      </c>
      <c r="Y167" s="37">
        <f>Ruimtestaat[[#This Row],[uren / jaar werkdagen]]*Tariefsopbouw!$D$38</f>
        <v>0</v>
      </c>
      <c r="Z167" s="37">
        <f>IF(Ruimtestaat[[#This Row],[Frequentie weekend]]&gt;0,VALUE(LEFT(T167,1))*R167,0)</f>
        <v>0</v>
      </c>
      <c r="AA167" s="37">
        <f>IF($Z167&gt;0,VLOOKUP($J167,Ruimtegroepen[],3,FALSE)*VLOOKUP($L167,Vloersoorten[],3,FALSE)*VLOOKUP($T167,Frequenties[],3,FALSE)*VLOOKUP($A167,Locaties[],3,FALSE),0)</f>
        <v>0</v>
      </c>
      <c r="AB167" s="37">
        <f>Ruimtestaat[[#This Row],[Uitvoeringen weekend]]*Ruimtestaat[[#This Row],[Oppervlak (netto)]]</f>
        <v>0</v>
      </c>
      <c r="AC167" s="37">
        <f>IF(AA167&gt;0,Ruimtestaat[[#This Row],[Prest. (m2 /jaar) weekend]]/Ruimtestaat[[#This Row],[Norm (m2/uur) weekend]],0)</f>
        <v>0</v>
      </c>
      <c r="AD167" s="37">
        <f>Ruimtestaat[[#This Row],[uren / jaar weekend]]*Tariefsopbouw!$D$40</f>
        <v>0</v>
      </c>
      <c r="AE167" s="89">
        <f>Ruimtestaat[[#This Row],[Prest. (m2 /jaar) weekend]]+Ruimtestaat[[#This Row],[Prest. (m2 /jaar) werkdagen]]</f>
        <v>10600</v>
      </c>
      <c r="AF167" s="89">
        <f>Ruimtestaat[[#This Row],[uren / jaar weekend]]+Ruimtestaat[[#This Row],[uren / jaar werkdagen]]</f>
        <v>0</v>
      </c>
      <c r="AG167" s="90">
        <f>Ruimtestaat[[#This Row],[kosten / jaar weekend]]+Ruimtestaat[[#This Row],[kosten / jaar werkdagen]]</f>
        <v>0</v>
      </c>
      <c r="AH167" s="253"/>
      <c r="AI167" s="252" t="str">
        <f>IF(Ruimtestaat[[#This Row],[Frequentie werkdagen]]="","",_xlfn.CONCAT(Ruimtestaat[[#This Row],[Ruimte code]],"-",Ruimtestaat[[#This Row],[Frequentie werkdagen]]," ",Ruimtestaat[[#This Row],[Vloer code]]))</f>
        <v>16-5w P</v>
      </c>
      <c r="AJ167" s="247" t="str">
        <f>_xlfn.IFNA(VLOOKUP(Ruimtestaat[[#This Row],[Programmacode
Regulier]],Programma!$F$4:$Y$36148,2,0),"_")</f>
        <v>_</v>
      </c>
      <c r="AK167" s="247" t="str">
        <f>_xlfn.IFNA(VLOOKUP(Ruimtestaat[[#This Row],[Programmacode
Regulier]],Programma!$F$4:$Y$36148,3,0),"_")</f>
        <v>_</v>
      </c>
      <c r="AL167" s="247" t="str">
        <f>_xlfn.IFNA(VLOOKUP(Ruimtestaat[[#This Row],[Programmacode
Regulier]],Programma!$F$4:$Y$36148,4,0),"_")</f>
        <v>5w</v>
      </c>
      <c r="AM167" s="247" t="str">
        <f>_xlfn.IFNA(VLOOKUP(Ruimtestaat[[#This Row],[Programmacode
Regulier]],Programma!$F$4:$Y$36148,5,0),"_")</f>
        <v>1w</v>
      </c>
      <c r="AN167" s="247" t="str">
        <f>_xlfn.IFNA(VLOOKUP(Ruimtestaat[[#This Row],[Programmacode
Regulier]],Programma!$F$4:$Y$36148,6,0),"_")</f>
        <v>1m</v>
      </c>
      <c r="AO167" s="247" t="str">
        <f>_xlfn.IFNA(VLOOKUP(Ruimtestaat[[#This Row],[Programmacode
Regulier]],Programma!$F$4:$Y$36148,7,0),"_")</f>
        <v>_</v>
      </c>
      <c r="AP167" s="247" t="str">
        <f>_xlfn.IFNA(VLOOKUP(Ruimtestaat[[#This Row],[Programmacode
Regulier]],Programma!$F$4:$Y$36148,8,0),"_")</f>
        <v>_</v>
      </c>
      <c r="AQ167" s="247" t="str">
        <f>_xlfn.IFNA(VLOOKUP(Ruimtestaat[[#This Row],[Programmacode
Regulier]],Programma!$F$4:$Y$36148,9,0),"_")</f>
        <v>_</v>
      </c>
      <c r="AR167" s="248" t="str">
        <f>_xlfn.IFNA(VLOOKUP(Ruimtestaat[[#This Row],[Programmacode
Regulier]],Programma!$F$4:$Y$36148,10,0),"_")</f>
        <v>5w</v>
      </c>
      <c r="AS167" s="248" t="str">
        <f>_xlfn.IFNA(VLOOKUP(Ruimtestaat[[#This Row],[Programmacode
Regulier]],Programma!$F$4:$Y$36148,11,0),"_")</f>
        <v>5w</v>
      </c>
      <c r="AT167" s="248" t="str">
        <f>_xlfn.IFNA(VLOOKUP(Ruimtestaat[[#This Row],[Programmacode
Regulier]],Programma!$F$4:$Y$36148,12,0),"_")</f>
        <v>1w</v>
      </c>
      <c r="AU167" s="248" t="str">
        <f>_xlfn.IFNA(VLOOKUP(Ruimtestaat[[#This Row],[Programmacode
Regulier]],Programma!$F$4:$Y$36148,13,0),"_")</f>
        <v>1w</v>
      </c>
      <c r="AV167" s="248" t="str">
        <f>_xlfn.IFNA(VLOOKUP(Ruimtestaat[[#This Row],[Programmacode
Regulier]],Programma!$F$4:$Y$36148,14,0),"_")</f>
        <v>1m</v>
      </c>
      <c r="AW167" s="248" t="str">
        <f>_xlfn.IFNA(VLOOKUP(Ruimtestaat[[#This Row],[Programmacode
Regulier]],Programma!$F$4:$Y$36148,15,0),"_")</f>
        <v>2j</v>
      </c>
      <c r="AX167" s="248" t="str">
        <f>_xlfn.IFNA(VLOOKUP(Ruimtestaat[[#This Row],[Programmacode
Regulier]],Programma!$F$4:$Y$36148,16,0),"_")</f>
        <v>1j</v>
      </c>
      <c r="AY167" s="248" t="str">
        <f>_xlfn.IFNA(VLOOKUP(Ruimtestaat[[#This Row],[Programmacode
Regulier]],Programma!$F$4:$Y$36148,17,0),"_")</f>
        <v>_</v>
      </c>
      <c r="AZ167" s="249" t="str">
        <f>_xlfn.IFNA(VLOOKUP(Ruimtestaat[[#This Row],[Programmacode
Regulier]],Programma!$F$4:$Y$36148,18,0),"_")</f>
        <v>_</v>
      </c>
      <c r="BA167" s="249" t="str">
        <f>_xlfn.IFNA(VLOOKUP(Ruimtestaat[[#This Row],[Programmacode
Regulier]],Programma!$F$4:$Y$36148,19,0),"_")</f>
        <v>_</v>
      </c>
      <c r="BB167" s="249" t="str">
        <f>_xlfn.IFNA(VLOOKUP(Ruimtestaat[[#This Row],[Programmacode
Regulier]],Programma!$F$4:$Y$36148,20,0),"_")</f>
        <v>_</v>
      </c>
      <c r="BC167" s="250"/>
      <c r="BD167" s="212" t="str">
        <f>IF(Ruimtestaat[[#This Row],[Frequentie weekend]]="","",_xlfn.CONCAT(Ruimtestaat[[#This Row],[Ruimte code]],"-",Ruimtestaat[[#This Row],[Frequentie weekend]]," ",Ruimtestaat[[#This Row],[Vloer code]]))</f>
        <v/>
      </c>
      <c r="BE167" s="247" t="str">
        <f>_xlfn.IFNA(VLOOKUP(Ruimtestaat[[#This Row],[Code Weekend]],Programma!$F$4:$Y$36148,2,0),"_")</f>
        <v>_</v>
      </c>
      <c r="BF167" s="247" t="str">
        <f>_xlfn.IFNA(VLOOKUP(Ruimtestaat[[#This Row],[Code Weekend]],Programma!$F$4:$Y$36148,3,0),"_")</f>
        <v>_</v>
      </c>
      <c r="BG167" s="247" t="str">
        <f>_xlfn.IFNA(VLOOKUP(Ruimtestaat[[#This Row],[Code Weekend]],Programma!$F$4:$Y$36148,4,0),"_")</f>
        <v>_</v>
      </c>
      <c r="BH167" s="247" t="str">
        <f>_xlfn.IFNA(VLOOKUP(Ruimtestaat[[#This Row],[Code Weekend]],Programma!$F$4:$Y$36148,5,0),"_")</f>
        <v>_</v>
      </c>
      <c r="BI167" s="247" t="str">
        <f>_xlfn.IFNA(VLOOKUP(Ruimtestaat[[#This Row],[Code Weekend]],Programma!$F$4:$Y$36148,6,0),"_")</f>
        <v>_</v>
      </c>
      <c r="BJ167" s="247" t="str">
        <f>_xlfn.IFNA(VLOOKUP(Ruimtestaat[[#This Row],[Code Weekend]],Programma!$F$4:$Y$36148,7,0),"_")</f>
        <v>_</v>
      </c>
      <c r="BK167" s="247" t="str">
        <f>_xlfn.IFNA(VLOOKUP(Ruimtestaat[[#This Row],[Code Weekend]],Programma!$F$4:$Y$36148,8,0),"_")</f>
        <v>_</v>
      </c>
      <c r="BL167" s="247" t="str">
        <f>_xlfn.IFNA(VLOOKUP(Ruimtestaat[[#This Row],[Code Weekend]],Programma!$F$4:$Y$36148,9,0),"_")</f>
        <v>_</v>
      </c>
      <c r="BM167" s="248" t="str">
        <f>_xlfn.IFNA(VLOOKUP(Ruimtestaat[[#This Row],[Code Weekend]],Programma!$F$4:$Y$36148,10,0),"_")</f>
        <v>_</v>
      </c>
      <c r="BN167" s="248" t="str">
        <f>_xlfn.IFNA(VLOOKUP(Ruimtestaat[[#This Row],[Code Weekend]],Programma!$F$4:$Y$36148,11,0),"_")</f>
        <v>_</v>
      </c>
      <c r="BO167" s="248" t="str">
        <f>_xlfn.IFNA(VLOOKUP(Ruimtestaat[[#This Row],[Code Weekend]],Programma!$F$4:$Y$36148,12,0),"_")</f>
        <v>_</v>
      </c>
      <c r="BP167" s="248" t="str">
        <f>_xlfn.IFNA(VLOOKUP(Ruimtestaat[[#This Row],[Code Weekend]],Programma!$F$4:$Y$36148,13,0),"_")</f>
        <v>_</v>
      </c>
      <c r="BQ167" s="248" t="str">
        <f>_xlfn.IFNA(VLOOKUP(Ruimtestaat[[#This Row],[Code Weekend]],Programma!$F$4:$Y$36148,14,0),"_")</f>
        <v>_</v>
      </c>
      <c r="BR167" s="248" t="str">
        <f>_xlfn.IFNA(VLOOKUP(Ruimtestaat[[#This Row],[Code Weekend]],Programma!$F$4:$Y$36148,15,0),"_")</f>
        <v>_</v>
      </c>
      <c r="BS167" s="248" t="str">
        <f>_xlfn.IFNA(VLOOKUP(Ruimtestaat[[#This Row],[Code Weekend]],Programma!$F$4:$Y$36148,16,0),"_")</f>
        <v>_</v>
      </c>
      <c r="BT167" s="248" t="str">
        <f>_xlfn.IFNA(VLOOKUP(Ruimtestaat[[#This Row],[Code Weekend]],Programma!$F$4:$Y$36148,17,0),"_")</f>
        <v>_</v>
      </c>
      <c r="BU167" s="249" t="str">
        <f>_xlfn.IFNA(VLOOKUP(Ruimtestaat[[#This Row],[Code Weekend]],Programma!$F$4:$Y$36148,18,0),"_")</f>
        <v>_</v>
      </c>
      <c r="BV167" s="249" t="str">
        <f>_xlfn.IFNA(VLOOKUP(Ruimtestaat[[#This Row],[Code Weekend]],Programma!$F$4:$Y$36148,19,0),"_")</f>
        <v>_</v>
      </c>
      <c r="BW167" s="249" t="str">
        <f>_xlfn.IFNA(VLOOKUP(Ruimtestaat[[#This Row],[Code Weekend]],Programma!$F$4:$Y$36148,20,0),"_")</f>
        <v>_</v>
      </c>
    </row>
    <row r="168" spans="1:75" ht="12.75" customHeight="1">
      <c r="A168" s="334">
        <v>1</v>
      </c>
      <c r="B168" s="334" t="str">
        <f>VLOOKUP(Ruimtestaat[[#This Row],[Code]],Locaties[#All],2,FALSE)</f>
        <v>ESH Secondary School</v>
      </c>
      <c r="C168" s="212" t="str">
        <f>VLOOKUP(Ruimtestaat[[#This Row],[Code]],Locaties[#All],4,FALSE)</f>
        <v>Oostduinlaan 50</v>
      </c>
      <c r="D168" s="212" t="str">
        <f>VLOOKUP(Ruimtestaat[[#This Row],[Code]],Locaties[#All],5,FALSE)</f>
        <v>2596 JP</v>
      </c>
      <c r="E168" s="212" t="str">
        <f>VLOOKUP(Ruimtestaat[[#This Row],[Code]],Locaties[#All],6,FALSE)</f>
        <v>Den Haag</v>
      </c>
      <c r="F168" s="335"/>
      <c r="G168" s="334" t="s">
        <v>1677</v>
      </c>
      <c r="H168" s="334" t="s">
        <v>1662</v>
      </c>
      <c r="I168" s="335" t="s">
        <v>1729</v>
      </c>
      <c r="J168" s="328">
        <v>2</v>
      </c>
      <c r="K168" s="336" t="str">
        <f>VLOOKUP(J168,Ruimtegroepen[],2,FALSE)</f>
        <v>Kantoren</v>
      </c>
      <c r="L168" s="212" t="s">
        <v>123</v>
      </c>
      <c r="M168" s="334" t="s">
        <v>144</v>
      </c>
      <c r="N168" s="337">
        <v>26</v>
      </c>
      <c r="O168" s="331"/>
      <c r="P168" s="332" t="str">
        <f>VLOOKUP(Ruimtestaat[[#This Row],[Ruimte code]],Ruimtegroepen[],4,FALSE)</f>
        <v>B  (Bureauruimte)</v>
      </c>
      <c r="Q168" s="332"/>
      <c r="R168" s="333">
        <v>40</v>
      </c>
      <c r="S168" s="333" t="s">
        <v>2</v>
      </c>
      <c r="T168" s="37"/>
      <c r="U168" s="37">
        <f>IF(R168&gt;0,IF(RIGHT(Ruimtestaat[[#This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68" s="37">
        <f>IF(U168&gt;0,VLOOKUP($J168,Ruimtegroepen[],3,FALSE)*VLOOKUP($L168,Vloersoorten[],3,FALSE)*VLOOKUP($S168,Frequenties[],3,FALSE)*VLOOKUP($A168,Locaties[],3,FALSE),0)</f>
        <v>0</v>
      </c>
      <c r="W168" s="37">
        <f>Ruimtestaat[[#This Row],[Uitvoeringen werkdagen]]*Ruimtestaat[[#This Row],[Oppervlak (netto)]]</f>
        <v>5200</v>
      </c>
      <c r="X168" s="37">
        <f>IF(V168&gt;0,Ruimtestaat[[#This Row],[Prest. (m2 /jaar) werkdagen]]/Ruimtestaat[[#This Row],[Norm (m2/uur) werkdagen]],0)</f>
        <v>0</v>
      </c>
      <c r="Y168" s="37">
        <f>Ruimtestaat[[#This Row],[uren / jaar werkdagen]]*Tariefsopbouw!$D$38</f>
        <v>0</v>
      </c>
      <c r="Z168" s="37">
        <f>IF(Ruimtestaat[[#This Row],[Frequentie weekend]]&gt;0,VALUE(LEFT(T168,1))*R168,0)</f>
        <v>0</v>
      </c>
      <c r="AA168" s="37">
        <f>IF($Z168&gt;0,VLOOKUP($J168,Ruimtegroepen[],3,FALSE)*VLOOKUP($L168,Vloersoorten[],3,FALSE)*VLOOKUP($T168,Frequenties[],3,FALSE)*VLOOKUP($A168,Locaties[],3,FALSE),0)</f>
        <v>0</v>
      </c>
      <c r="AB168" s="37">
        <f>Ruimtestaat[[#This Row],[Uitvoeringen weekend]]*Ruimtestaat[[#This Row],[Oppervlak (netto)]]</f>
        <v>0</v>
      </c>
      <c r="AC168" s="37">
        <f>IF(AA168&gt;0,Ruimtestaat[[#This Row],[Prest. (m2 /jaar) weekend]]/Ruimtestaat[[#This Row],[Norm (m2/uur) weekend]],0)</f>
        <v>0</v>
      </c>
      <c r="AD168" s="37">
        <f>Ruimtestaat[[#This Row],[uren / jaar weekend]]*Tariefsopbouw!$D$40</f>
        <v>0</v>
      </c>
      <c r="AE168" s="89">
        <f>Ruimtestaat[[#This Row],[Prest. (m2 /jaar) weekend]]+Ruimtestaat[[#This Row],[Prest. (m2 /jaar) werkdagen]]</f>
        <v>5200</v>
      </c>
      <c r="AF168" s="89">
        <f>Ruimtestaat[[#This Row],[uren / jaar weekend]]+Ruimtestaat[[#This Row],[uren / jaar werkdagen]]</f>
        <v>0</v>
      </c>
      <c r="AG168" s="90">
        <f>Ruimtestaat[[#This Row],[kosten / jaar weekend]]+Ruimtestaat[[#This Row],[kosten / jaar werkdagen]]</f>
        <v>0</v>
      </c>
      <c r="AH168" s="253"/>
      <c r="AI168" s="252" t="str">
        <f>IF(Ruimtestaat[[#This Row],[Frequentie werkdagen]]="","",_xlfn.CONCAT(Ruimtestaat[[#This Row],[Ruimte code]],"-",Ruimtestaat[[#This Row],[Frequentie werkdagen]]," ",Ruimtestaat[[#This Row],[Vloer code]]))</f>
        <v>2-5w P</v>
      </c>
      <c r="AJ168" s="247" t="str">
        <f>_xlfn.IFNA(VLOOKUP(Ruimtestaat[[#This Row],[Programmacode
Regulier]],Programma!$F$4:$Y$36148,2,0),"_")</f>
        <v>_</v>
      </c>
      <c r="AK168" s="247" t="str">
        <f>_xlfn.IFNA(VLOOKUP(Ruimtestaat[[#This Row],[Programmacode
Regulier]],Programma!$F$4:$Y$36148,3,0),"_")</f>
        <v>_</v>
      </c>
      <c r="AL168" s="247" t="str">
        <f>_xlfn.IFNA(VLOOKUP(Ruimtestaat[[#This Row],[Programmacode
Regulier]],Programma!$F$4:$Y$36148,4,0),"_")</f>
        <v>5w</v>
      </c>
      <c r="AM168" s="247" t="str">
        <f>_xlfn.IFNA(VLOOKUP(Ruimtestaat[[#This Row],[Programmacode
Regulier]],Programma!$F$4:$Y$36148,5,0),"_")</f>
        <v>1w</v>
      </c>
      <c r="AN168" s="247" t="str">
        <f>_xlfn.IFNA(VLOOKUP(Ruimtestaat[[#This Row],[Programmacode
Regulier]],Programma!$F$4:$Y$36148,6,0),"_")</f>
        <v>1m</v>
      </c>
      <c r="AO168" s="247" t="str">
        <f>_xlfn.IFNA(VLOOKUP(Ruimtestaat[[#This Row],[Programmacode
Regulier]],Programma!$F$4:$Y$36148,7,0),"_")</f>
        <v>_</v>
      </c>
      <c r="AP168" s="247" t="str">
        <f>_xlfn.IFNA(VLOOKUP(Ruimtestaat[[#This Row],[Programmacode
Regulier]],Programma!$F$4:$Y$36148,8,0),"_")</f>
        <v>_</v>
      </c>
      <c r="AQ168" s="247" t="str">
        <f>_xlfn.IFNA(VLOOKUP(Ruimtestaat[[#This Row],[Programmacode
Regulier]],Programma!$F$4:$Y$36148,9,0),"_")</f>
        <v>_</v>
      </c>
      <c r="AR168" s="248" t="str">
        <f>_xlfn.IFNA(VLOOKUP(Ruimtestaat[[#This Row],[Programmacode
Regulier]],Programma!$F$4:$Y$36148,10,0),"_")</f>
        <v>5w</v>
      </c>
      <c r="AS168" s="248" t="str">
        <f>_xlfn.IFNA(VLOOKUP(Ruimtestaat[[#This Row],[Programmacode
Regulier]],Programma!$F$4:$Y$36148,11,0),"_")</f>
        <v>5w</v>
      </c>
      <c r="AT168" s="248" t="str">
        <f>_xlfn.IFNA(VLOOKUP(Ruimtestaat[[#This Row],[Programmacode
Regulier]],Programma!$F$4:$Y$36148,12,0),"_")</f>
        <v>1w</v>
      </c>
      <c r="AU168" s="248" t="str">
        <f>_xlfn.IFNA(VLOOKUP(Ruimtestaat[[#This Row],[Programmacode
Regulier]],Programma!$F$4:$Y$36148,13,0),"_")</f>
        <v>1w</v>
      </c>
      <c r="AV168" s="248" t="str">
        <f>_xlfn.IFNA(VLOOKUP(Ruimtestaat[[#This Row],[Programmacode
Regulier]],Programma!$F$4:$Y$36148,14,0),"_")</f>
        <v>1m</v>
      </c>
      <c r="AW168" s="248" t="str">
        <f>_xlfn.IFNA(VLOOKUP(Ruimtestaat[[#This Row],[Programmacode
Regulier]],Programma!$F$4:$Y$36148,15,0),"_")</f>
        <v>2j</v>
      </c>
      <c r="AX168" s="248" t="str">
        <f>_xlfn.IFNA(VLOOKUP(Ruimtestaat[[#This Row],[Programmacode
Regulier]],Programma!$F$4:$Y$36148,16,0),"_")</f>
        <v>1j</v>
      </c>
      <c r="AY168" s="248" t="str">
        <f>_xlfn.IFNA(VLOOKUP(Ruimtestaat[[#This Row],[Programmacode
Regulier]],Programma!$F$4:$Y$36148,17,0),"_")</f>
        <v>_</v>
      </c>
      <c r="AZ168" s="249" t="str">
        <f>_xlfn.IFNA(VLOOKUP(Ruimtestaat[[#This Row],[Programmacode
Regulier]],Programma!$F$4:$Y$36148,18,0),"_")</f>
        <v>_</v>
      </c>
      <c r="BA168" s="249" t="str">
        <f>_xlfn.IFNA(VLOOKUP(Ruimtestaat[[#This Row],[Programmacode
Regulier]],Programma!$F$4:$Y$36148,19,0),"_")</f>
        <v>_</v>
      </c>
      <c r="BB168" s="249" t="str">
        <f>_xlfn.IFNA(VLOOKUP(Ruimtestaat[[#This Row],[Programmacode
Regulier]],Programma!$F$4:$Y$36148,20,0),"_")</f>
        <v>_</v>
      </c>
      <c r="BC168" s="250"/>
      <c r="BD168" s="212" t="str">
        <f>IF(Ruimtestaat[[#This Row],[Frequentie weekend]]="","",_xlfn.CONCAT(Ruimtestaat[[#This Row],[Ruimte code]],"-",Ruimtestaat[[#This Row],[Frequentie weekend]]," ",Ruimtestaat[[#This Row],[Vloer code]]))</f>
        <v/>
      </c>
      <c r="BE168" s="247" t="str">
        <f>_xlfn.IFNA(VLOOKUP(Ruimtestaat[[#This Row],[Code Weekend]],Programma!$F$4:$Y$36148,2,0),"_")</f>
        <v>_</v>
      </c>
      <c r="BF168" s="247" t="str">
        <f>_xlfn.IFNA(VLOOKUP(Ruimtestaat[[#This Row],[Code Weekend]],Programma!$F$4:$Y$36148,3,0),"_")</f>
        <v>_</v>
      </c>
      <c r="BG168" s="247" t="str">
        <f>_xlfn.IFNA(VLOOKUP(Ruimtestaat[[#This Row],[Code Weekend]],Programma!$F$4:$Y$36148,4,0),"_")</f>
        <v>_</v>
      </c>
      <c r="BH168" s="247" t="str">
        <f>_xlfn.IFNA(VLOOKUP(Ruimtestaat[[#This Row],[Code Weekend]],Programma!$F$4:$Y$36148,5,0),"_")</f>
        <v>_</v>
      </c>
      <c r="BI168" s="247" t="str">
        <f>_xlfn.IFNA(VLOOKUP(Ruimtestaat[[#This Row],[Code Weekend]],Programma!$F$4:$Y$36148,6,0),"_")</f>
        <v>_</v>
      </c>
      <c r="BJ168" s="247" t="str">
        <f>_xlfn.IFNA(VLOOKUP(Ruimtestaat[[#This Row],[Code Weekend]],Programma!$F$4:$Y$36148,7,0),"_")</f>
        <v>_</v>
      </c>
      <c r="BK168" s="247" t="str">
        <f>_xlfn.IFNA(VLOOKUP(Ruimtestaat[[#This Row],[Code Weekend]],Programma!$F$4:$Y$36148,8,0),"_")</f>
        <v>_</v>
      </c>
      <c r="BL168" s="247" t="str">
        <f>_xlfn.IFNA(VLOOKUP(Ruimtestaat[[#This Row],[Code Weekend]],Programma!$F$4:$Y$36148,9,0),"_")</f>
        <v>_</v>
      </c>
      <c r="BM168" s="248" t="str">
        <f>_xlfn.IFNA(VLOOKUP(Ruimtestaat[[#This Row],[Code Weekend]],Programma!$F$4:$Y$36148,10,0),"_")</f>
        <v>_</v>
      </c>
      <c r="BN168" s="248" t="str">
        <f>_xlfn.IFNA(VLOOKUP(Ruimtestaat[[#This Row],[Code Weekend]],Programma!$F$4:$Y$36148,11,0),"_")</f>
        <v>_</v>
      </c>
      <c r="BO168" s="248" t="str">
        <f>_xlfn.IFNA(VLOOKUP(Ruimtestaat[[#This Row],[Code Weekend]],Programma!$F$4:$Y$36148,12,0),"_")</f>
        <v>_</v>
      </c>
      <c r="BP168" s="248" t="str">
        <f>_xlfn.IFNA(VLOOKUP(Ruimtestaat[[#This Row],[Code Weekend]],Programma!$F$4:$Y$36148,13,0),"_")</f>
        <v>_</v>
      </c>
      <c r="BQ168" s="248" t="str">
        <f>_xlfn.IFNA(VLOOKUP(Ruimtestaat[[#This Row],[Code Weekend]],Programma!$F$4:$Y$36148,14,0),"_")</f>
        <v>_</v>
      </c>
      <c r="BR168" s="248" t="str">
        <f>_xlfn.IFNA(VLOOKUP(Ruimtestaat[[#This Row],[Code Weekend]],Programma!$F$4:$Y$36148,15,0),"_")</f>
        <v>_</v>
      </c>
      <c r="BS168" s="248" t="str">
        <f>_xlfn.IFNA(VLOOKUP(Ruimtestaat[[#This Row],[Code Weekend]],Programma!$F$4:$Y$36148,16,0),"_")</f>
        <v>_</v>
      </c>
      <c r="BT168" s="248" t="str">
        <f>_xlfn.IFNA(VLOOKUP(Ruimtestaat[[#This Row],[Code Weekend]],Programma!$F$4:$Y$36148,17,0),"_")</f>
        <v>_</v>
      </c>
      <c r="BU168" s="249" t="str">
        <f>_xlfn.IFNA(VLOOKUP(Ruimtestaat[[#This Row],[Code Weekend]],Programma!$F$4:$Y$36148,18,0),"_")</f>
        <v>_</v>
      </c>
      <c r="BV168" s="249" t="str">
        <f>_xlfn.IFNA(VLOOKUP(Ruimtestaat[[#This Row],[Code Weekend]],Programma!$F$4:$Y$36148,19,0),"_")</f>
        <v>_</v>
      </c>
      <c r="BW168" s="249" t="str">
        <f>_xlfn.IFNA(VLOOKUP(Ruimtestaat[[#This Row],[Code Weekend]],Programma!$F$4:$Y$36148,20,0),"_")</f>
        <v>_</v>
      </c>
    </row>
    <row r="169" spans="1:75" ht="12.75" customHeight="1">
      <c r="A169" s="334">
        <v>1</v>
      </c>
      <c r="B169" s="334" t="str">
        <f>VLOOKUP(Ruimtestaat[[#This Row],[Code]],Locaties[#All],2,FALSE)</f>
        <v>ESH Secondary School</v>
      </c>
      <c r="C169" s="212" t="str">
        <f>VLOOKUP(Ruimtestaat[[#This Row],[Code]],Locaties[#All],4,FALSE)</f>
        <v>Oostduinlaan 50</v>
      </c>
      <c r="D169" s="212" t="str">
        <f>VLOOKUP(Ruimtestaat[[#This Row],[Code]],Locaties[#All],5,FALSE)</f>
        <v>2596 JP</v>
      </c>
      <c r="E169" s="212" t="str">
        <f>VLOOKUP(Ruimtestaat[[#This Row],[Code]],Locaties[#All],6,FALSE)</f>
        <v>Den Haag</v>
      </c>
      <c r="F169" s="335"/>
      <c r="G169" s="334" t="s">
        <v>1677</v>
      </c>
      <c r="H169" s="334" t="s">
        <v>1663</v>
      </c>
      <c r="I169" s="335" t="s">
        <v>1781</v>
      </c>
      <c r="J169" s="328">
        <v>5</v>
      </c>
      <c r="K169" s="336" t="str">
        <f>VLOOKUP(J169,Ruimtegroepen[],2,FALSE)</f>
        <v>Sanitair</v>
      </c>
      <c r="L169" s="212" t="s">
        <v>123</v>
      </c>
      <c r="M169" s="334" t="s">
        <v>144</v>
      </c>
      <c r="N169" s="337">
        <v>4</v>
      </c>
      <c r="O169" s="331"/>
      <c r="P169" s="332" t="str">
        <f>VLOOKUP(Ruimtestaat[[#This Row],[Ruimte code]],Ruimtegroepen[],4,FALSE)</f>
        <v>S  (Sanitair)</v>
      </c>
      <c r="Q169" s="332"/>
      <c r="R169" s="333">
        <v>40</v>
      </c>
      <c r="S169" s="333" t="s">
        <v>19</v>
      </c>
      <c r="T169" s="37"/>
      <c r="U169" s="37">
        <f>IF(R169&gt;0,IF(RIGHT(Ruimtestaat[[#This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169" s="37">
        <f>IF(U169&gt;0,VLOOKUP($J169,Ruimtegroepen[],3,FALSE)*VLOOKUP($L169,Vloersoorten[],3,FALSE)*VLOOKUP($S169,Frequenties[],3,FALSE)*VLOOKUP($A169,Locaties[],3,FALSE),0)</f>
        <v>0</v>
      </c>
      <c r="W169" s="37">
        <f>Ruimtestaat[[#This Row],[Uitvoeringen werkdagen]]*Ruimtestaat[[#This Row],[Oppervlak (netto)]]</f>
        <v>1600</v>
      </c>
      <c r="X169" s="37">
        <f>IF(V169&gt;0,Ruimtestaat[[#This Row],[Prest. (m2 /jaar) werkdagen]]/Ruimtestaat[[#This Row],[Norm (m2/uur) werkdagen]],0)</f>
        <v>0</v>
      </c>
      <c r="Y169" s="37">
        <f>Ruimtestaat[[#This Row],[uren / jaar werkdagen]]*Tariefsopbouw!$D$38</f>
        <v>0</v>
      </c>
      <c r="Z169" s="37">
        <f>IF(Ruimtestaat[[#This Row],[Frequentie weekend]]&gt;0,VALUE(LEFT(T169,1))*R169,0)</f>
        <v>0</v>
      </c>
      <c r="AA169" s="37">
        <f>IF($Z169&gt;0,VLOOKUP($J169,Ruimtegroepen[],3,FALSE)*VLOOKUP($L169,Vloersoorten[],3,FALSE)*VLOOKUP($T169,Frequenties[],3,FALSE)*VLOOKUP($A169,Locaties[],3,FALSE),0)</f>
        <v>0</v>
      </c>
      <c r="AB169" s="37">
        <f>Ruimtestaat[[#This Row],[Uitvoeringen weekend]]*Ruimtestaat[[#This Row],[Oppervlak (netto)]]</f>
        <v>0</v>
      </c>
      <c r="AC169" s="37">
        <f>IF(AA169&gt;0,Ruimtestaat[[#This Row],[Prest. (m2 /jaar) weekend]]/Ruimtestaat[[#This Row],[Norm (m2/uur) weekend]],0)</f>
        <v>0</v>
      </c>
      <c r="AD169" s="37">
        <f>Ruimtestaat[[#This Row],[uren / jaar weekend]]*Tariefsopbouw!$D$40</f>
        <v>0</v>
      </c>
      <c r="AE169" s="89">
        <f>Ruimtestaat[[#This Row],[Prest. (m2 /jaar) weekend]]+Ruimtestaat[[#This Row],[Prest. (m2 /jaar) werkdagen]]</f>
        <v>1600</v>
      </c>
      <c r="AF169" s="89">
        <f>Ruimtestaat[[#This Row],[uren / jaar weekend]]+Ruimtestaat[[#This Row],[uren / jaar werkdagen]]</f>
        <v>0</v>
      </c>
      <c r="AG169" s="90">
        <f>Ruimtestaat[[#This Row],[kosten / jaar weekend]]+Ruimtestaat[[#This Row],[kosten / jaar werkdagen]]</f>
        <v>0</v>
      </c>
      <c r="AH169" s="253"/>
      <c r="AI169" s="252" t="str">
        <f>IF(Ruimtestaat[[#This Row],[Frequentie werkdagen]]="","",_xlfn.CONCAT(Ruimtestaat[[#This Row],[Ruimte code]],"-",Ruimtestaat[[#This Row],[Frequentie werkdagen]]," ",Ruimtestaat[[#This Row],[Vloer code]]))</f>
        <v>5-10w P</v>
      </c>
      <c r="AJ169" s="247" t="str">
        <f>_xlfn.IFNA(VLOOKUP(Ruimtestaat[[#This Row],[Programmacode
Regulier]],Programma!$F$4:$Y$36148,2,0),"_")</f>
        <v>_</v>
      </c>
      <c r="AK169" s="247" t="str">
        <f>_xlfn.IFNA(VLOOKUP(Ruimtestaat[[#This Row],[Programmacode
Regulier]],Programma!$F$4:$Y$36148,3,0),"_")</f>
        <v>_</v>
      </c>
      <c r="AL169" s="247" t="str">
        <f>_xlfn.IFNA(VLOOKUP(Ruimtestaat[[#This Row],[Programmacode
Regulier]],Programma!$F$4:$Y$36148,4,0),"_")</f>
        <v>_</v>
      </c>
      <c r="AM169" s="247" t="str">
        <f>_xlfn.IFNA(VLOOKUP(Ruimtestaat[[#This Row],[Programmacode
Regulier]],Programma!$F$4:$Y$36148,5,0),"_")</f>
        <v>4w</v>
      </c>
      <c r="AN169" s="247" t="str">
        <f>_xlfn.IFNA(VLOOKUP(Ruimtestaat[[#This Row],[Programmacode
Regulier]],Programma!$F$4:$Y$36148,6,0),"_")</f>
        <v>1w</v>
      </c>
      <c r="AO169" s="247" t="str">
        <f>_xlfn.IFNA(VLOOKUP(Ruimtestaat[[#This Row],[Programmacode
Regulier]],Programma!$F$4:$Y$36148,7,0),"_")</f>
        <v>_</v>
      </c>
      <c r="AP169" s="247" t="str">
        <f>_xlfn.IFNA(VLOOKUP(Ruimtestaat[[#This Row],[Programmacode
Regulier]],Programma!$F$4:$Y$36148,8,0),"_")</f>
        <v>_</v>
      </c>
      <c r="AQ169" s="247" t="str">
        <f>_xlfn.IFNA(VLOOKUP(Ruimtestaat[[#This Row],[Programmacode
Regulier]],Programma!$F$4:$Y$36148,9,0),"_")</f>
        <v>5w</v>
      </c>
      <c r="AR169" s="248" t="str">
        <f>_xlfn.IFNA(VLOOKUP(Ruimtestaat[[#This Row],[Programmacode
Regulier]],Programma!$F$4:$Y$36148,10,0),"_")</f>
        <v>_</v>
      </c>
      <c r="AS169" s="248" t="str">
        <f>_xlfn.IFNA(VLOOKUP(Ruimtestaat[[#This Row],[Programmacode
Regulier]],Programma!$F$4:$Y$36148,11,0),"_")</f>
        <v>_</v>
      </c>
      <c r="AT169" s="248" t="str">
        <f>_xlfn.IFNA(VLOOKUP(Ruimtestaat[[#This Row],[Programmacode
Regulier]],Programma!$F$4:$Y$36148,12,0),"_")</f>
        <v>_</v>
      </c>
      <c r="AU169" s="248" t="str">
        <f>_xlfn.IFNA(VLOOKUP(Ruimtestaat[[#This Row],[Programmacode
Regulier]],Programma!$F$4:$Y$36148,13,0),"_")</f>
        <v>_</v>
      </c>
      <c r="AV169" s="248" t="str">
        <f>_xlfn.IFNA(VLOOKUP(Ruimtestaat[[#This Row],[Programmacode
Regulier]],Programma!$F$4:$Y$36148,14,0),"_")</f>
        <v>_</v>
      </c>
      <c r="AW169" s="248" t="str">
        <f>_xlfn.IFNA(VLOOKUP(Ruimtestaat[[#This Row],[Programmacode
Regulier]],Programma!$F$4:$Y$36148,15,0),"_")</f>
        <v>_</v>
      </c>
      <c r="AX169" s="248" t="str">
        <f>_xlfn.IFNA(VLOOKUP(Ruimtestaat[[#This Row],[Programmacode
Regulier]],Programma!$F$4:$Y$36148,16,0),"_")</f>
        <v>_</v>
      </c>
      <c r="AY169" s="248" t="str">
        <f>_xlfn.IFNA(VLOOKUP(Ruimtestaat[[#This Row],[Programmacode
Regulier]],Programma!$F$4:$Y$36148,17,0),"_")</f>
        <v>_</v>
      </c>
      <c r="AZ169" s="249" t="str">
        <f>_xlfn.IFNA(VLOOKUP(Ruimtestaat[[#This Row],[Programmacode
Regulier]],Programma!$F$4:$Y$36148,18,0),"_")</f>
        <v>4w</v>
      </c>
      <c r="BA169" s="249" t="str">
        <f>_xlfn.IFNA(VLOOKUP(Ruimtestaat[[#This Row],[Programmacode
Regulier]],Programma!$F$4:$Y$36148,19,0),"_")</f>
        <v>1w</v>
      </c>
      <c r="BB169" s="249" t="str">
        <f>_xlfn.IFNA(VLOOKUP(Ruimtestaat[[#This Row],[Programmacode
Regulier]],Programma!$F$4:$Y$36148,20,0),"_")</f>
        <v>5w</v>
      </c>
      <c r="BC169" s="250"/>
      <c r="BD169" s="212" t="str">
        <f>IF(Ruimtestaat[[#This Row],[Frequentie weekend]]="","",_xlfn.CONCAT(Ruimtestaat[[#This Row],[Ruimte code]],"-",Ruimtestaat[[#This Row],[Frequentie weekend]]," ",Ruimtestaat[[#This Row],[Vloer code]]))</f>
        <v/>
      </c>
      <c r="BE169" s="247" t="str">
        <f>_xlfn.IFNA(VLOOKUP(Ruimtestaat[[#This Row],[Code Weekend]],Programma!$F$4:$Y$36148,2,0),"_")</f>
        <v>_</v>
      </c>
      <c r="BF169" s="247" t="str">
        <f>_xlfn.IFNA(VLOOKUP(Ruimtestaat[[#This Row],[Code Weekend]],Programma!$F$4:$Y$36148,3,0),"_")</f>
        <v>_</v>
      </c>
      <c r="BG169" s="247" t="str">
        <f>_xlfn.IFNA(VLOOKUP(Ruimtestaat[[#This Row],[Code Weekend]],Programma!$F$4:$Y$36148,4,0),"_")</f>
        <v>_</v>
      </c>
      <c r="BH169" s="247" t="str">
        <f>_xlfn.IFNA(VLOOKUP(Ruimtestaat[[#This Row],[Code Weekend]],Programma!$F$4:$Y$36148,5,0),"_")</f>
        <v>_</v>
      </c>
      <c r="BI169" s="247" t="str">
        <f>_xlfn.IFNA(VLOOKUP(Ruimtestaat[[#This Row],[Code Weekend]],Programma!$F$4:$Y$36148,6,0),"_")</f>
        <v>_</v>
      </c>
      <c r="BJ169" s="247" t="str">
        <f>_xlfn.IFNA(VLOOKUP(Ruimtestaat[[#This Row],[Code Weekend]],Programma!$F$4:$Y$36148,7,0),"_")</f>
        <v>_</v>
      </c>
      <c r="BK169" s="247" t="str">
        <f>_xlfn.IFNA(VLOOKUP(Ruimtestaat[[#This Row],[Code Weekend]],Programma!$F$4:$Y$36148,8,0),"_")</f>
        <v>_</v>
      </c>
      <c r="BL169" s="247" t="str">
        <f>_xlfn.IFNA(VLOOKUP(Ruimtestaat[[#This Row],[Code Weekend]],Programma!$F$4:$Y$36148,9,0),"_")</f>
        <v>_</v>
      </c>
      <c r="BM169" s="248" t="str">
        <f>_xlfn.IFNA(VLOOKUP(Ruimtestaat[[#This Row],[Code Weekend]],Programma!$F$4:$Y$36148,10,0),"_")</f>
        <v>_</v>
      </c>
      <c r="BN169" s="248" t="str">
        <f>_xlfn.IFNA(VLOOKUP(Ruimtestaat[[#This Row],[Code Weekend]],Programma!$F$4:$Y$36148,11,0),"_")</f>
        <v>_</v>
      </c>
      <c r="BO169" s="248" t="str">
        <f>_xlfn.IFNA(VLOOKUP(Ruimtestaat[[#This Row],[Code Weekend]],Programma!$F$4:$Y$36148,12,0),"_")</f>
        <v>_</v>
      </c>
      <c r="BP169" s="248" t="str">
        <f>_xlfn.IFNA(VLOOKUP(Ruimtestaat[[#This Row],[Code Weekend]],Programma!$F$4:$Y$36148,13,0),"_")</f>
        <v>_</v>
      </c>
      <c r="BQ169" s="248" t="str">
        <f>_xlfn.IFNA(VLOOKUP(Ruimtestaat[[#This Row],[Code Weekend]],Programma!$F$4:$Y$36148,14,0),"_")</f>
        <v>_</v>
      </c>
      <c r="BR169" s="248" t="str">
        <f>_xlfn.IFNA(VLOOKUP(Ruimtestaat[[#This Row],[Code Weekend]],Programma!$F$4:$Y$36148,15,0),"_")</f>
        <v>_</v>
      </c>
      <c r="BS169" s="248" t="str">
        <f>_xlfn.IFNA(VLOOKUP(Ruimtestaat[[#This Row],[Code Weekend]],Programma!$F$4:$Y$36148,16,0),"_")</f>
        <v>_</v>
      </c>
      <c r="BT169" s="248" t="str">
        <f>_xlfn.IFNA(VLOOKUP(Ruimtestaat[[#This Row],[Code Weekend]],Programma!$F$4:$Y$36148,17,0),"_")</f>
        <v>_</v>
      </c>
      <c r="BU169" s="249" t="str">
        <f>_xlfn.IFNA(VLOOKUP(Ruimtestaat[[#This Row],[Code Weekend]],Programma!$F$4:$Y$36148,18,0),"_")</f>
        <v>_</v>
      </c>
      <c r="BV169" s="249" t="str">
        <f>_xlfn.IFNA(VLOOKUP(Ruimtestaat[[#This Row],[Code Weekend]],Programma!$F$4:$Y$36148,19,0),"_")</f>
        <v>_</v>
      </c>
      <c r="BW169" s="249" t="str">
        <f>_xlfn.IFNA(VLOOKUP(Ruimtestaat[[#This Row],[Code Weekend]],Programma!$F$4:$Y$36148,20,0),"_")</f>
        <v>_</v>
      </c>
    </row>
    <row r="170" spans="1:75" ht="12.75" customHeight="1">
      <c r="A170" s="334">
        <v>1</v>
      </c>
      <c r="B170" s="334" t="str">
        <f>VLOOKUP(Ruimtestaat[[#This Row],[Code]],Locaties[#All],2,FALSE)</f>
        <v>ESH Secondary School</v>
      </c>
      <c r="C170" s="212" t="str">
        <f>VLOOKUP(Ruimtestaat[[#This Row],[Code]],Locaties[#All],4,FALSE)</f>
        <v>Oostduinlaan 50</v>
      </c>
      <c r="D170" s="212" t="str">
        <f>VLOOKUP(Ruimtestaat[[#This Row],[Code]],Locaties[#All],5,FALSE)</f>
        <v>2596 JP</v>
      </c>
      <c r="E170" s="212" t="str">
        <f>VLOOKUP(Ruimtestaat[[#This Row],[Code]],Locaties[#All],6,FALSE)</f>
        <v>Den Haag</v>
      </c>
      <c r="F170" s="335"/>
      <c r="G170" s="334" t="s">
        <v>1677</v>
      </c>
      <c r="H170" s="334" t="s">
        <v>1664</v>
      </c>
      <c r="I170" s="335" t="s">
        <v>1397</v>
      </c>
      <c r="J170" s="212">
        <v>21</v>
      </c>
      <c r="K170" s="336" t="str">
        <f>VLOOKUP(J170,Ruimtegroepen[],2,FALSE)</f>
        <v>Niet in onderhoud</v>
      </c>
      <c r="L170" s="212"/>
      <c r="M170" s="334"/>
      <c r="N170" s="337"/>
      <c r="O170" s="331">
        <v>7</v>
      </c>
      <c r="P170" s="332" t="str">
        <f>VLOOKUP(Ruimtestaat[[#This Row],[Ruimte code]],Ruimtegroepen[],4,FALSE)</f>
        <v>NIO</v>
      </c>
      <c r="Q170" s="332"/>
      <c r="R170" s="333"/>
      <c r="S170" s="333"/>
      <c r="T170" s="37"/>
      <c r="U170" s="37">
        <f>IF(R170&gt;0,IF(RIGHT(Ruimtestaat[[#This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170" s="37">
        <f>IF(U170&gt;0,VLOOKUP($J170,Ruimtegroepen[],3,FALSE)*VLOOKUP($L170,Vloersoorten[],3,FALSE)*VLOOKUP($S170,Frequenties[],3,FALSE)*VLOOKUP($A170,Locaties[],3,FALSE),0)</f>
        <v>0</v>
      </c>
      <c r="W170" s="37">
        <f>Ruimtestaat[[#This Row],[Uitvoeringen werkdagen]]*Ruimtestaat[[#This Row],[Oppervlak (netto)]]</f>
        <v>0</v>
      </c>
      <c r="X170" s="37">
        <f>IF(V170&gt;0,Ruimtestaat[[#This Row],[Prest. (m2 /jaar) werkdagen]]/Ruimtestaat[[#This Row],[Norm (m2/uur) werkdagen]],0)</f>
        <v>0</v>
      </c>
      <c r="Y170" s="37">
        <f>Ruimtestaat[[#This Row],[uren / jaar werkdagen]]*Tariefsopbouw!$D$38</f>
        <v>0</v>
      </c>
      <c r="Z170" s="37">
        <f>IF(Ruimtestaat[[#This Row],[Frequentie weekend]]&gt;0,VALUE(LEFT(T170,1))*R170,0)</f>
        <v>0</v>
      </c>
      <c r="AA170" s="37">
        <f>IF($Z170&gt;0,VLOOKUP($J170,Ruimtegroepen[],3,FALSE)*VLOOKUP($L170,Vloersoorten[],3,FALSE)*VLOOKUP($T170,Frequenties[],3,FALSE)*VLOOKUP($A170,Locaties[],3,FALSE),0)</f>
        <v>0</v>
      </c>
      <c r="AB170" s="37">
        <f>Ruimtestaat[[#This Row],[Uitvoeringen weekend]]*Ruimtestaat[[#This Row],[Oppervlak (netto)]]</f>
        <v>0</v>
      </c>
      <c r="AC170" s="37">
        <f>IF(AA170&gt;0,Ruimtestaat[[#This Row],[Prest. (m2 /jaar) weekend]]/Ruimtestaat[[#This Row],[Norm (m2/uur) weekend]],0)</f>
        <v>0</v>
      </c>
      <c r="AD170" s="37">
        <f>Ruimtestaat[[#This Row],[uren / jaar weekend]]*Tariefsopbouw!$D$40</f>
        <v>0</v>
      </c>
      <c r="AE170" s="89">
        <f>Ruimtestaat[[#This Row],[Prest. (m2 /jaar) weekend]]+Ruimtestaat[[#This Row],[Prest. (m2 /jaar) werkdagen]]</f>
        <v>0</v>
      </c>
      <c r="AF170" s="89">
        <f>Ruimtestaat[[#This Row],[uren / jaar weekend]]+Ruimtestaat[[#This Row],[uren / jaar werkdagen]]</f>
        <v>0</v>
      </c>
      <c r="AG170" s="90">
        <f>Ruimtestaat[[#This Row],[kosten / jaar weekend]]+Ruimtestaat[[#This Row],[kosten / jaar werkdagen]]</f>
        <v>0</v>
      </c>
      <c r="AH170" s="253"/>
      <c r="AI170" s="252" t="str">
        <f>IF(Ruimtestaat[[#This Row],[Frequentie werkdagen]]="","",_xlfn.CONCAT(Ruimtestaat[[#This Row],[Ruimte code]],"-",Ruimtestaat[[#This Row],[Frequentie werkdagen]]," ",Ruimtestaat[[#This Row],[Vloer code]]))</f>
        <v/>
      </c>
      <c r="AJ170" s="247" t="str">
        <f>_xlfn.IFNA(VLOOKUP(Ruimtestaat[[#This Row],[Programmacode
Regulier]],Programma!$F$4:$Y$36148,2,0),"_")</f>
        <v>_</v>
      </c>
      <c r="AK170" s="247" t="str">
        <f>_xlfn.IFNA(VLOOKUP(Ruimtestaat[[#This Row],[Programmacode
Regulier]],Programma!$F$4:$Y$36148,3,0),"_")</f>
        <v>_</v>
      </c>
      <c r="AL170" s="247" t="str">
        <f>_xlfn.IFNA(VLOOKUP(Ruimtestaat[[#This Row],[Programmacode
Regulier]],Programma!$F$4:$Y$36148,4,0),"_")</f>
        <v>_</v>
      </c>
      <c r="AM170" s="247" t="str">
        <f>_xlfn.IFNA(VLOOKUP(Ruimtestaat[[#This Row],[Programmacode
Regulier]],Programma!$F$4:$Y$36148,5,0),"_")</f>
        <v>_</v>
      </c>
      <c r="AN170" s="247" t="str">
        <f>_xlfn.IFNA(VLOOKUP(Ruimtestaat[[#This Row],[Programmacode
Regulier]],Programma!$F$4:$Y$36148,6,0),"_")</f>
        <v>_</v>
      </c>
      <c r="AO170" s="247" t="str">
        <f>_xlfn.IFNA(VLOOKUP(Ruimtestaat[[#This Row],[Programmacode
Regulier]],Programma!$F$4:$Y$36148,7,0),"_")</f>
        <v>_</v>
      </c>
      <c r="AP170" s="247" t="str">
        <f>_xlfn.IFNA(VLOOKUP(Ruimtestaat[[#This Row],[Programmacode
Regulier]],Programma!$F$4:$Y$36148,8,0),"_")</f>
        <v>_</v>
      </c>
      <c r="AQ170" s="247" t="str">
        <f>_xlfn.IFNA(VLOOKUP(Ruimtestaat[[#This Row],[Programmacode
Regulier]],Programma!$F$4:$Y$36148,9,0),"_")</f>
        <v>_</v>
      </c>
      <c r="AR170" s="248" t="str">
        <f>_xlfn.IFNA(VLOOKUP(Ruimtestaat[[#This Row],[Programmacode
Regulier]],Programma!$F$4:$Y$36148,10,0),"_")</f>
        <v>_</v>
      </c>
      <c r="AS170" s="248" t="str">
        <f>_xlfn.IFNA(VLOOKUP(Ruimtestaat[[#This Row],[Programmacode
Regulier]],Programma!$F$4:$Y$36148,11,0),"_")</f>
        <v>_</v>
      </c>
      <c r="AT170" s="248" t="str">
        <f>_xlfn.IFNA(VLOOKUP(Ruimtestaat[[#This Row],[Programmacode
Regulier]],Programma!$F$4:$Y$36148,12,0),"_")</f>
        <v>_</v>
      </c>
      <c r="AU170" s="248" t="str">
        <f>_xlfn.IFNA(VLOOKUP(Ruimtestaat[[#This Row],[Programmacode
Regulier]],Programma!$F$4:$Y$36148,13,0),"_")</f>
        <v>_</v>
      </c>
      <c r="AV170" s="248" t="str">
        <f>_xlfn.IFNA(VLOOKUP(Ruimtestaat[[#This Row],[Programmacode
Regulier]],Programma!$F$4:$Y$36148,14,0),"_")</f>
        <v>_</v>
      </c>
      <c r="AW170" s="248" t="str">
        <f>_xlfn.IFNA(VLOOKUP(Ruimtestaat[[#This Row],[Programmacode
Regulier]],Programma!$F$4:$Y$36148,15,0),"_")</f>
        <v>_</v>
      </c>
      <c r="AX170" s="248" t="str">
        <f>_xlfn.IFNA(VLOOKUP(Ruimtestaat[[#This Row],[Programmacode
Regulier]],Programma!$F$4:$Y$36148,16,0),"_")</f>
        <v>_</v>
      </c>
      <c r="AY170" s="248" t="str">
        <f>_xlfn.IFNA(VLOOKUP(Ruimtestaat[[#This Row],[Programmacode
Regulier]],Programma!$F$4:$Y$36148,17,0),"_")</f>
        <v>_</v>
      </c>
      <c r="AZ170" s="249" t="str">
        <f>_xlfn.IFNA(VLOOKUP(Ruimtestaat[[#This Row],[Programmacode
Regulier]],Programma!$F$4:$Y$36148,18,0),"_")</f>
        <v>_</v>
      </c>
      <c r="BA170" s="249" t="str">
        <f>_xlfn.IFNA(VLOOKUP(Ruimtestaat[[#This Row],[Programmacode
Regulier]],Programma!$F$4:$Y$36148,19,0),"_")</f>
        <v>_</v>
      </c>
      <c r="BB170" s="249" t="str">
        <f>_xlfn.IFNA(VLOOKUP(Ruimtestaat[[#This Row],[Programmacode
Regulier]],Programma!$F$4:$Y$36148,20,0),"_")</f>
        <v>_</v>
      </c>
      <c r="BC170" s="250"/>
      <c r="BD170" s="212" t="str">
        <f>IF(Ruimtestaat[[#This Row],[Frequentie weekend]]="","",_xlfn.CONCAT(Ruimtestaat[[#This Row],[Ruimte code]],"-",Ruimtestaat[[#This Row],[Frequentie weekend]]," ",Ruimtestaat[[#This Row],[Vloer code]]))</f>
        <v/>
      </c>
      <c r="BE170" s="247" t="str">
        <f>_xlfn.IFNA(VLOOKUP(Ruimtestaat[[#This Row],[Code Weekend]],Programma!$F$4:$Y$36148,2,0),"_")</f>
        <v>_</v>
      </c>
      <c r="BF170" s="247" t="str">
        <f>_xlfn.IFNA(VLOOKUP(Ruimtestaat[[#This Row],[Code Weekend]],Programma!$F$4:$Y$36148,3,0),"_")</f>
        <v>_</v>
      </c>
      <c r="BG170" s="247" t="str">
        <f>_xlfn.IFNA(VLOOKUP(Ruimtestaat[[#This Row],[Code Weekend]],Programma!$F$4:$Y$36148,4,0),"_")</f>
        <v>_</v>
      </c>
      <c r="BH170" s="247" t="str">
        <f>_xlfn.IFNA(VLOOKUP(Ruimtestaat[[#This Row],[Code Weekend]],Programma!$F$4:$Y$36148,5,0),"_")</f>
        <v>_</v>
      </c>
      <c r="BI170" s="247" t="str">
        <f>_xlfn.IFNA(VLOOKUP(Ruimtestaat[[#This Row],[Code Weekend]],Programma!$F$4:$Y$36148,6,0),"_")</f>
        <v>_</v>
      </c>
      <c r="BJ170" s="247" t="str">
        <f>_xlfn.IFNA(VLOOKUP(Ruimtestaat[[#This Row],[Code Weekend]],Programma!$F$4:$Y$36148,7,0),"_")</f>
        <v>_</v>
      </c>
      <c r="BK170" s="247" t="str">
        <f>_xlfn.IFNA(VLOOKUP(Ruimtestaat[[#This Row],[Code Weekend]],Programma!$F$4:$Y$36148,8,0),"_")</f>
        <v>_</v>
      </c>
      <c r="BL170" s="247" t="str">
        <f>_xlfn.IFNA(VLOOKUP(Ruimtestaat[[#This Row],[Code Weekend]],Programma!$F$4:$Y$36148,9,0),"_")</f>
        <v>_</v>
      </c>
      <c r="BM170" s="248" t="str">
        <f>_xlfn.IFNA(VLOOKUP(Ruimtestaat[[#This Row],[Code Weekend]],Programma!$F$4:$Y$36148,10,0),"_")</f>
        <v>_</v>
      </c>
      <c r="BN170" s="248" t="str">
        <f>_xlfn.IFNA(VLOOKUP(Ruimtestaat[[#This Row],[Code Weekend]],Programma!$F$4:$Y$36148,11,0),"_")</f>
        <v>_</v>
      </c>
      <c r="BO170" s="248" t="str">
        <f>_xlfn.IFNA(VLOOKUP(Ruimtestaat[[#This Row],[Code Weekend]],Programma!$F$4:$Y$36148,12,0),"_")</f>
        <v>_</v>
      </c>
      <c r="BP170" s="248" t="str">
        <f>_xlfn.IFNA(VLOOKUP(Ruimtestaat[[#This Row],[Code Weekend]],Programma!$F$4:$Y$36148,13,0),"_")</f>
        <v>_</v>
      </c>
      <c r="BQ170" s="248" t="str">
        <f>_xlfn.IFNA(VLOOKUP(Ruimtestaat[[#This Row],[Code Weekend]],Programma!$F$4:$Y$36148,14,0),"_")</f>
        <v>_</v>
      </c>
      <c r="BR170" s="248" t="str">
        <f>_xlfn.IFNA(VLOOKUP(Ruimtestaat[[#This Row],[Code Weekend]],Programma!$F$4:$Y$36148,15,0),"_")</f>
        <v>_</v>
      </c>
      <c r="BS170" s="248" t="str">
        <f>_xlfn.IFNA(VLOOKUP(Ruimtestaat[[#This Row],[Code Weekend]],Programma!$F$4:$Y$36148,16,0),"_")</f>
        <v>_</v>
      </c>
      <c r="BT170" s="248" t="str">
        <f>_xlfn.IFNA(VLOOKUP(Ruimtestaat[[#This Row],[Code Weekend]],Programma!$F$4:$Y$36148,17,0),"_")</f>
        <v>_</v>
      </c>
      <c r="BU170" s="249" t="str">
        <f>_xlfn.IFNA(VLOOKUP(Ruimtestaat[[#This Row],[Code Weekend]],Programma!$F$4:$Y$36148,18,0),"_")</f>
        <v>_</v>
      </c>
      <c r="BV170" s="249" t="str">
        <f>_xlfn.IFNA(VLOOKUP(Ruimtestaat[[#This Row],[Code Weekend]],Programma!$F$4:$Y$36148,19,0),"_")</f>
        <v>_</v>
      </c>
      <c r="BW170" s="249" t="str">
        <f>_xlfn.IFNA(VLOOKUP(Ruimtestaat[[#This Row],[Code Weekend]],Programma!$F$4:$Y$36148,20,0),"_")</f>
        <v>_</v>
      </c>
    </row>
    <row r="171" spans="1:75" ht="12.75" customHeight="1">
      <c r="A171" s="334">
        <v>1</v>
      </c>
      <c r="B171" s="334" t="str">
        <f>VLOOKUP(Ruimtestaat[[#This Row],[Code]],Locaties[#All],2,FALSE)</f>
        <v>ESH Secondary School</v>
      </c>
      <c r="C171" s="212" t="str">
        <f>VLOOKUP(Ruimtestaat[[#This Row],[Code]],Locaties[#All],4,FALSE)</f>
        <v>Oostduinlaan 50</v>
      </c>
      <c r="D171" s="212" t="str">
        <f>VLOOKUP(Ruimtestaat[[#This Row],[Code]],Locaties[#All],5,FALSE)</f>
        <v>2596 JP</v>
      </c>
      <c r="E171" s="212" t="str">
        <f>VLOOKUP(Ruimtestaat[[#This Row],[Code]],Locaties[#All],6,FALSE)</f>
        <v>Den Haag</v>
      </c>
      <c r="F171" s="335"/>
      <c r="G171" s="334" t="s">
        <v>1677</v>
      </c>
      <c r="H171" s="334" t="s">
        <v>1665</v>
      </c>
      <c r="I171" s="335" t="s">
        <v>1756</v>
      </c>
      <c r="J171" s="212">
        <v>3</v>
      </c>
      <c r="K171" s="336" t="str">
        <f>VLOOKUP(J171,Ruimtegroepen[],2,FALSE)</f>
        <v>Reproruimte</v>
      </c>
      <c r="L171" s="212" t="s">
        <v>123</v>
      </c>
      <c r="M171" s="334" t="s">
        <v>144</v>
      </c>
      <c r="N171" s="337">
        <v>7</v>
      </c>
      <c r="O171" s="331"/>
      <c r="P171" s="332" t="str">
        <f>VLOOKUP(Ruimtestaat[[#This Row],[Ruimte code]],Ruimtegroepen[],4,FALSE)</f>
        <v>V  (Verkeersruimte)</v>
      </c>
      <c r="Q171" s="332"/>
      <c r="R171" s="333">
        <v>40</v>
      </c>
      <c r="S171" s="333" t="s">
        <v>2</v>
      </c>
      <c r="T171" s="37"/>
      <c r="U171" s="37">
        <f>IF(R171&gt;0,IF(RIGHT(Ruimtestaat[[#This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71" s="37">
        <f>IF(U171&gt;0,VLOOKUP($J171,Ruimtegroepen[],3,FALSE)*VLOOKUP($L171,Vloersoorten[],3,FALSE)*VLOOKUP($S171,Frequenties[],3,FALSE)*VLOOKUP($A171,Locaties[],3,FALSE),0)</f>
        <v>0</v>
      </c>
      <c r="W171" s="37">
        <f>Ruimtestaat[[#This Row],[Uitvoeringen werkdagen]]*Ruimtestaat[[#This Row],[Oppervlak (netto)]]</f>
        <v>1400</v>
      </c>
      <c r="X171" s="37">
        <f>IF(V171&gt;0,Ruimtestaat[[#This Row],[Prest. (m2 /jaar) werkdagen]]/Ruimtestaat[[#This Row],[Norm (m2/uur) werkdagen]],0)</f>
        <v>0</v>
      </c>
      <c r="Y171" s="37">
        <f>Ruimtestaat[[#This Row],[uren / jaar werkdagen]]*Tariefsopbouw!$D$38</f>
        <v>0</v>
      </c>
      <c r="Z171" s="37">
        <f>IF(Ruimtestaat[[#This Row],[Frequentie weekend]]&gt;0,VALUE(LEFT(T171,1))*R171,0)</f>
        <v>0</v>
      </c>
      <c r="AA171" s="37">
        <f>IF($Z171&gt;0,VLOOKUP($J171,Ruimtegroepen[],3,FALSE)*VLOOKUP($L171,Vloersoorten[],3,FALSE)*VLOOKUP($T171,Frequenties[],3,FALSE)*VLOOKUP($A171,Locaties[],3,FALSE),0)</f>
        <v>0</v>
      </c>
      <c r="AB171" s="37">
        <f>Ruimtestaat[[#This Row],[Uitvoeringen weekend]]*Ruimtestaat[[#This Row],[Oppervlak (netto)]]</f>
        <v>0</v>
      </c>
      <c r="AC171" s="37">
        <f>IF(AA171&gt;0,Ruimtestaat[[#This Row],[Prest. (m2 /jaar) weekend]]/Ruimtestaat[[#This Row],[Norm (m2/uur) weekend]],0)</f>
        <v>0</v>
      </c>
      <c r="AD171" s="37">
        <f>Ruimtestaat[[#This Row],[uren / jaar weekend]]*Tariefsopbouw!$D$40</f>
        <v>0</v>
      </c>
      <c r="AE171" s="89">
        <f>Ruimtestaat[[#This Row],[Prest. (m2 /jaar) weekend]]+Ruimtestaat[[#This Row],[Prest. (m2 /jaar) werkdagen]]</f>
        <v>1400</v>
      </c>
      <c r="AF171" s="89">
        <f>Ruimtestaat[[#This Row],[uren / jaar weekend]]+Ruimtestaat[[#This Row],[uren / jaar werkdagen]]</f>
        <v>0</v>
      </c>
      <c r="AG171" s="90">
        <f>Ruimtestaat[[#This Row],[kosten / jaar weekend]]+Ruimtestaat[[#This Row],[kosten / jaar werkdagen]]</f>
        <v>0</v>
      </c>
      <c r="AH171" s="253"/>
      <c r="AI171" s="252" t="str">
        <f>IF(Ruimtestaat[[#This Row],[Frequentie werkdagen]]="","",_xlfn.CONCAT(Ruimtestaat[[#This Row],[Ruimte code]],"-",Ruimtestaat[[#This Row],[Frequentie werkdagen]]," ",Ruimtestaat[[#This Row],[Vloer code]]))</f>
        <v>3-5w P</v>
      </c>
      <c r="AJ171" s="247" t="str">
        <f>_xlfn.IFNA(VLOOKUP(Ruimtestaat[[#This Row],[Programmacode
Regulier]],Programma!$F$4:$Y$36148,2,0),"_")</f>
        <v>_</v>
      </c>
      <c r="AK171" s="247" t="str">
        <f>_xlfn.IFNA(VLOOKUP(Ruimtestaat[[#This Row],[Programmacode
Regulier]],Programma!$F$4:$Y$36148,3,0),"_")</f>
        <v>_</v>
      </c>
      <c r="AL171" s="247" t="str">
        <f>_xlfn.IFNA(VLOOKUP(Ruimtestaat[[#This Row],[Programmacode
Regulier]],Programma!$F$4:$Y$36148,4,0),"_")</f>
        <v>5w</v>
      </c>
      <c r="AM171" s="247" t="str">
        <f>_xlfn.IFNA(VLOOKUP(Ruimtestaat[[#This Row],[Programmacode
Regulier]],Programma!$F$4:$Y$36148,5,0),"_")</f>
        <v>1w</v>
      </c>
      <c r="AN171" s="247" t="str">
        <f>_xlfn.IFNA(VLOOKUP(Ruimtestaat[[#This Row],[Programmacode
Regulier]],Programma!$F$4:$Y$36148,6,0),"_")</f>
        <v>1m</v>
      </c>
      <c r="AO171" s="247" t="str">
        <f>_xlfn.IFNA(VLOOKUP(Ruimtestaat[[#This Row],[Programmacode
Regulier]],Programma!$F$4:$Y$36148,7,0),"_")</f>
        <v>_</v>
      </c>
      <c r="AP171" s="247" t="str">
        <f>_xlfn.IFNA(VLOOKUP(Ruimtestaat[[#This Row],[Programmacode
Regulier]],Programma!$F$4:$Y$36148,8,0),"_")</f>
        <v>_</v>
      </c>
      <c r="AQ171" s="247" t="str">
        <f>_xlfn.IFNA(VLOOKUP(Ruimtestaat[[#This Row],[Programmacode
Regulier]],Programma!$F$4:$Y$36148,9,0),"_")</f>
        <v>_</v>
      </c>
      <c r="AR171" s="248" t="str">
        <f>_xlfn.IFNA(VLOOKUP(Ruimtestaat[[#This Row],[Programmacode
Regulier]],Programma!$F$4:$Y$36148,10,0),"_")</f>
        <v>5w</v>
      </c>
      <c r="AS171" s="248" t="str">
        <f>_xlfn.IFNA(VLOOKUP(Ruimtestaat[[#This Row],[Programmacode
Regulier]],Programma!$F$4:$Y$36148,11,0),"_")</f>
        <v>5w</v>
      </c>
      <c r="AT171" s="248" t="str">
        <f>_xlfn.IFNA(VLOOKUP(Ruimtestaat[[#This Row],[Programmacode
Regulier]],Programma!$F$4:$Y$36148,12,0),"_")</f>
        <v>1w</v>
      </c>
      <c r="AU171" s="248" t="str">
        <f>_xlfn.IFNA(VLOOKUP(Ruimtestaat[[#This Row],[Programmacode
Regulier]],Programma!$F$4:$Y$36148,13,0),"_")</f>
        <v>1w</v>
      </c>
      <c r="AV171" s="248" t="str">
        <f>_xlfn.IFNA(VLOOKUP(Ruimtestaat[[#This Row],[Programmacode
Regulier]],Programma!$F$4:$Y$36148,14,0),"_")</f>
        <v>1m</v>
      </c>
      <c r="AW171" s="248" t="str">
        <f>_xlfn.IFNA(VLOOKUP(Ruimtestaat[[#This Row],[Programmacode
Regulier]],Programma!$F$4:$Y$36148,15,0),"_")</f>
        <v>2j</v>
      </c>
      <c r="AX171" s="248" t="str">
        <f>_xlfn.IFNA(VLOOKUP(Ruimtestaat[[#This Row],[Programmacode
Regulier]],Programma!$F$4:$Y$36148,16,0),"_")</f>
        <v>1j</v>
      </c>
      <c r="AY171" s="248" t="str">
        <f>_xlfn.IFNA(VLOOKUP(Ruimtestaat[[#This Row],[Programmacode
Regulier]],Programma!$F$4:$Y$36148,17,0),"_")</f>
        <v>_</v>
      </c>
      <c r="AZ171" s="249" t="str">
        <f>_xlfn.IFNA(VLOOKUP(Ruimtestaat[[#This Row],[Programmacode
Regulier]],Programma!$F$4:$Y$36148,18,0),"_")</f>
        <v>_</v>
      </c>
      <c r="BA171" s="249" t="str">
        <f>_xlfn.IFNA(VLOOKUP(Ruimtestaat[[#This Row],[Programmacode
Regulier]],Programma!$F$4:$Y$36148,19,0),"_")</f>
        <v>_</v>
      </c>
      <c r="BB171" s="249" t="str">
        <f>_xlfn.IFNA(VLOOKUP(Ruimtestaat[[#This Row],[Programmacode
Regulier]],Programma!$F$4:$Y$36148,20,0),"_")</f>
        <v>_</v>
      </c>
      <c r="BC171" s="250"/>
      <c r="BD171" s="212" t="str">
        <f>IF(Ruimtestaat[[#This Row],[Frequentie weekend]]="","",_xlfn.CONCAT(Ruimtestaat[[#This Row],[Ruimte code]],"-",Ruimtestaat[[#This Row],[Frequentie weekend]]," ",Ruimtestaat[[#This Row],[Vloer code]]))</f>
        <v/>
      </c>
      <c r="BE171" s="247" t="str">
        <f>_xlfn.IFNA(VLOOKUP(Ruimtestaat[[#This Row],[Code Weekend]],Programma!$F$4:$Y$36148,2,0),"_")</f>
        <v>_</v>
      </c>
      <c r="BF171" s="247" t="str">
        <f>_xlfn.IFNA(VLOOKUP(Ruimtestaat[[#This Row],[Code Weekend]],Programma!$F$4:$Y$36148,3,0),"_")</f>
        <v>_</v>
      </c>
      <c r="BG171" s="247" t="str">
        <f>_xlfn.IFNA(VLOOKUP(Ruimtestaat[[#This Row],[Code Weekend]],Programma!$F$4:$Y$36148,4,0),"_")</f>
        <v>_</v>
      </c>
      <c r="BH171" s="247" t="str">
        <f>_xlfn.IFNA(VLOOKUP(Ruimtestaat[[#This Row],[Code Weekend]],Programma!$F$4:$Y$36148,5,0),"_")</f>
        <v>_</v>
      </c>
      <c r="BI171" s="247" t="str">
        <f>_xlfn.IFNA(VLOOKUP(Ruimtestaat[[#This Row],[Code Weekend]],Programma!$F$4:$Y$36148,6,0),"_")</f>
        <v>_</v>
      </c>
      <c r="BJ171" s="247" t="str">
        <f>_xlfn.IFNA(VLOOKUP(Ruimtestaat[[#This Row],[Code Weekend]],Programma!$F$4:$Y$36148,7,0),"_")</f>
        <v>_</v>
      </c>
      <c r="BK171" s="247" t="str">
        <f>_xlfn.IFNA(VLOOKUP(Ruimtestaat[[#This Row],[Code Weekend]],Programma!$F$4:$Y$36148,8,0),"_")</f>
        <v>_</v>
      </c>
      <c r="BL171" s="247" t="str">
        <f>_xlfn.IFNA(VLOOKUP(Ruimtestaat[[#This Row],[Code Weekend]],Programma!$F$4:$Y$36148,9,0),"_")</f>
        <v>_</v>
      </c>
      <c r="BM171" s="248" t="str">
        <f>_xlfn.IFNA(VLOOKUP(Ruimtestaat[[#This Row],[Code Weekend]],Programma!$F$4:$Y$36148,10,0),"_")</f>
        <v>_</v>
      </c>
      <c r="BN171" s="248" t="str">
        <f>_xlfn.IFNA(VLOOKUP(Ruimtestaat[[#This Row],[Code Weekend]],Programma!$F$4:$Y$36148,11,0),"_")</f>
        <v>_</v>
      </c>
      <c r="BO171" s="248" t="str">
        <f>_xlfn.IFNA(VLOOKUP(Ruimtestaat[[#This Row],[Code Weekend]],Programma!$F$4:$Y$36148,12,0),"_")</f>
        <v>_</v>
      </c>
      <c r="BP171" s="248" t="str">
        <f>_xlfn.IFNA(VLOOKUP(Ruimtestaat[[#This Row],[Code Weekend]],Programma!$F$4:$Y$36148,13,0),"_")</f>
        <v>_</v>
      </c>
      <c r="BQ171" s="248" t="str">
        <f>_xlfn.IFNA(VLOOKUP(Ruimtestaat[[#This Row],[Code Weekend]],Programma!$F$4:$Y$36148,14,0),"_")</f>
        <v>_</v>
      </c>
      <c r="BR171" s="248" t="str">
        <f>_xlfn.IFNA(VLOOKUP(Ruimtestaat[[#This Row],[Code Weekend]],Programma!$F$4:$Y$36148,15,0),"_")</f>
        <v>_</v>
      </c>
      <c r="BS171" s="248" t="str">
        <f>_xlfn.IFNA(VLOOKUP(Ruimtestaat[[#This Row],[Code Weekend]],Programma!$F$4:$Y$36148,16,0),"_")</f>
        <v>_</v>
      </c>
      <c r="BT171" s="248" t="str">
        <f>_xlfn.IFNA(VLOOKUP(Ruimtestaat[[#This Row],[Code Weekend]],Programma!$F$4:$Y$36148,17,0),"_")</f>
        <v>_</v>
      </c>
      <c r="BU171" s="249" t="str">
        <f>_xlfn.IFNA(VLOOKUP(Ruimtestaat[[#This Row],[Code Weekend]],Programma!$F$4:$Y$36148,18,0),"_")</f>
        <v>_</v>
      </c>
      <c r="BV171" s="249" t="str">
        <f>_xlfn.IFNA(VLOOKUP(Ruimtestaat[[#This Row],[Code Weekend]],Programma!$F$4:$Y$36148,19,0),"_")</f>
        <v>_</v>
      </c>
      <c r="BW171" s="249" t="str">
        <f>_xlfn.IFNA(VLOOKUP(Ruimtestaat[[#This Row],[Code Weekend]],Programma!$F$4:$Y$36148,20,0),"_")</f>
        <v>_</v>
      </c>
    </row>
    <row r="172" spans="1:75" ht="12.75" customHeight="1">
      <c r="A172" s="334">
        <v>1</v>
      </c>
      <c r="B172" s="334" t="str">
        <f>VLOOKUP(Ruimtestaat[[#This Row],[Code]],Locaties[#All],2,FALSE)</f>
        <v>ESH Secondary School</v>
      </c>
      <c r="C172" s="212" t="str">
        <f>VLOOKUP(Ruimtestaat[[#This Row],[Code]],Locaties[#All],4,FALSE)</f>
        <v>Oostduinlaan 50</v>
      </c>
      <c r="D172" s="212" t="str">
        <f>VLOOKUP(Ruimtestaat[[#This Row],[Code]],Locaties[#All],5,FALSE)</f>
        <v>2596 JP</v>
      </c>
      <c r="E172" s="212" t="str">
        <f>VLOOKUP(Ruimtestaat[[#This Row],[Code]],Locaties[#All],6,FALSE)</f>
        <v>Den Haag</v>
      </c>
      <c r="F172" s="335"/>
      <c r="G172" s="334" t="s">
        <v>1677</v>
      </c>
      <c r="H172" s="334" t="s">
        <v>1666</v>
      </c>
      <c r="I172" s="335" t="s">
        <v>1686</v>
      </c>
      <c r="J172" s="252" t="s">
        <v>1761</v>
      </c>
      <c r="K172" s="336" t="str">
        <f>VLOOKUP(J172,Ruimtegroepen[],2,FALSE)</f>
        <v>Praktijklokalen</v>
      </c>
      <c r="L172" s="212" t="s">
        <v>123</v>
      </c>
      <c r="M172" s="334" t="s">
        <v>144</v>
      </c>
      <c r="N172" s="337">
        <v>88</v>
      </c>
      <c r="O172" s="331"/>
      <c r="P172" s="332" t="str">
        <f>VLOOKUP(Ruimtestaat[[#This Row],[Ruimte code]],Ruimtegroepen[],4,FALSE)</f>
        <v>L  (Lesruimte)</v>
      </c>
      <c r="Q172" s="332"/>
      <c r="R172" s="333">
        <v>40</v>
      </c>
      <c r="S172" s="333" t="s">
        <v>2</v>
      </c>
      <c r="T172" s="37"/>
      <c r="U172" s="37">
        <f>IF(R172&gt;0,IF(RIGHT(Ruimtestaat[[#This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72" s="37">
        <f>IF(U172&gt;0,VLOOKUP($J172,Ruimtegroepen[],3,FALSE)*VLOOKUP($L172,Vloersoorten[],3,FALSE)*VLOOKUP($S172,Frequenties[],3,FALSE)*VLOOKUP($A172,Locaties[],3,FALSE),0)</f>
        <v>0</v>
      </c>
      <c r="W172" s="37">
        <f>Ruimtestaat[[#This Row],[Uitvoeringen werkdagen]]*Ruimtestaat[[#This Row],[Oppervlak (netto)]]</f>
        <v>17600</v>
      </c>
      <c r="X172" s="37">
        <f>IF(V172&gt;0,Ruimtestaat[[#This Row],[Prest. (m2 /jaar) werkdagen]]/Ruimtestaat[[#This Row],[Norm (m2/uur) werkdagen]],0)</f>
        <v>0</v>
      </c>
      <c r="Y172" s="37">
        <f>Ruimtestaat[[#This Row],[uren / jaar werkdagen]]*Tariefsopbouw!$D$38</f>
        <v>0</v>
      </c>
      <c r="Z172" s="37">
        <f>IF(Ruimtestaat[[#This Row],[Frequentie weekend]]&gt;0,VALUE(LEFT(T172,1))*R172,0)</f>
        <v>0</v>
      </c>
      <c r="AA172" s="37">
        <f>IF($Z172&gt;0,VLOOKUP($J172,Ruimtegroepen[],3,FALSE)*VLOOKUP($L172,Vloersoorten[],3,FALSE)*VLOOKUP($T172,Frequenties[],3,FALSE)*VLOOKUP($A172,Locaties[],3,FALSE),0)</f>
        <v>0</v>
      </c>
      <c r="AB172" s="37">
        <f>Ruimtestaat[[#This Row],[Uitvoeringen weekend]]*Ruimtestaat[[#This Row],[Oppervlak (netto)]]</f>
        <v>0</v>
      </c>
      <c r="AC172" s="37">
        <f>IF(AA172&gt;0,Ruimtestaat[[#This Row],[Prest. (m2 /jaar) weekend]]/Ruimtestaat[[#This Row],[Norm (m2/uur) weekend]],0)</f>
        <v>0</v>
      </c>
      <c r="AD172" s="37">
        <f>Ruimtestaat[[#This Row],[uren / jaar weekend]]*Tariefsopbouw!$D$40</f>
        <v>0</v>
      </c>
      <c r="AE172" s="89">
        <f>Ruimtestaat[[#This Row],[Prest. (m2 /jaar) weekend]]+Ruimtestaat[[#This Row],[Prest. (m2 /jaar) werkdagen]]</f>
        <v>17600</v>
      </c>
      <c r="AF172" s="89">
        <f>Ruimtestaat[[#This Row],[uren / jaar weekend]]+Ruimtestaat[[#This Row],[uren / jaar werkdagen]]</f>
        <v>0</v>
      </c>
      <c r="AG172" s="90">
        <f>Ruimtestaat[[#This Row],[kosten / jaar weekend]]+Ruimtestaat[[#This Row],[kosten / jaar werkdagen]]</f>
        <v>0</v>
      </c>
      <c r="AH172" s="253"/>
      <c r="AI172" s="252" t="str">
        <f>IF(Ruimtestaat[[#This Row],[Frequentie werkdagen]]="","",_xlfn.CONCAT(Ruimtestaat[[#This Row],[Ruimte code]],"-",Ruimtestaat[[#This Row],[Frequentie werkdagen]]," ",Ruimtestaat[[#This Row],[Vloer code]]))</f>
        <v>14a-5w P</v>
      </c>
      <c r="AJ172" s="247" t="str">
        <f>_xlfn.IFNA(VLOOKUP(Ruimtestaat[[#This Row],[Programmacode
Regulier]],Programma!$F$4:$Y$36148,2,0),"_")</f>
        <v>_</v>
      </c>
      <c r="AK172" s="247" t="str">
        <f>_xlfn.IFNA(VLOOKUP(Ruimtestaat[[#This Row],[Programmacode
Regulier]],Programma!$F$4:$Y$36148,3,0),"_")</f>
        <v>_</v>
      </c>
      <c r="AL172" s="247" t="str">
        <f>_xlfn.IFNA(VLOOKUP(Ruimtestaat[[#This Row],[Programmacode
Regulier]],Programma!$F$4:$Y$36148,4,0),"_")</f>
        <v>_</v>
      </c>
      <c r="AM172" s="247" t="str">
        <f>_xlfn.IFNA(VLOOKUP(Ruimtestaat[[#This Row],[Programmacode
Regulier]],Programma!$F$4:$Y$36148,5,0),"_")</f>
        <v>_</v>
      </c>
      <c r="AN172" s="247" t="str">
        <f>_xlfn.IFNA(VLOOKUP(Ruimtestaat[[#This Row],[Programmacode
Regulier]],Programma!$F$4:$Y$36148,6,0),"_")</f>
        <v>_</v>
      </c>
      <c r="AO172" s="247" t="str">
        <f>_xlfn.IFNA(VLOOKUP(Ruimtestaat[[#This Row],[Programmacode
Regulier]],Programma!$F$4:$Y$36148,7,0),"_")</f>
        <v>_</v>
      </c>
      <c r="AP172" s="247" t="str">
        <f>_xlfn.IFNA(VLOOKUP(Ruimtestaat[[#This Row],[Programmacode
Regulier]],Programma!$F$4:$Y$36148,8,0),"_")</f>
        <v>_</v>
      </c>
      <c r="AQ172" s="247" t="str">
        <f>_xlfn.IFNA(VLOOKUP(Ruimtestaat[[#This Row],[Programmacode
Regulier]],Programma!$F$4:$Y$36148,9,0),"_")</f>
        <v>_</v>
      </c>
      <c r="AR172" s="248" t="str">
        <f>_xlfn.IFNA(VLOOKUP(Ruimtestaat[[#This Row],[Programmacode
Regulier]],Programma!$F$4:$Y$36148,10,0),"_")</f>
        <v>_</v>
      </c>
      <c r="AS172" s="248" t="str">
        <f>_xlfn.IFNA(VLOOKUP(Ruimtestaat[[#This Row],[Programmacode
Regulier]],Programma!$F$4:$Y$36148,11,0),"_")</f>
        <v>_</v>
      </c>
      <c r="AT172" s="248" t="str">
        <f>_xlfn.IFNA(VLOOKUP(Ruimtestaat[[#This Row],[Programmacode
Regulier]],Programma!$F$4:$Y$36148,12,0),"_")</f>
        <v>_</v>
      </c>
      <c r="AU172" s="248" t="str">
        <f>_xlfn.IFNA(VLOOKUP(Ruimtestaat[[#This Row],[Programmacode
Regulier]],Programma!$F$4:$Y$36148,13,0),"_")</f>
        <v>_</v>
      </c>
      <c r="AV172" s="248" t="str">
        <f>_xlfn.IFNA(VLOOKUP(Ruimtestaat[[#This Row],[Programmacode
Regulier]],Programma!$F$4:$Y$36148,14,0),"_")</f>
        <v>_</v>
      </c>
      <c r="AW172" s="248" t="str">
        <f>_xlfn.IFNA(VLOOKUP(Ruimtestaat[[#This Row],[Programmacode
Regulier]],Programma!$F$4:$Y$36148,15,0),"_")</f>
        <v>_</v>
      </c>
      <c r="AX172" s="248" t="str">
        <f>_xlfn.IFNA(VLOOKUP(Ruimtestaat[[#This Row],[Programmacode
Regulier]],Programma!$F$4:$Y$36148,16,0),"_")</f>
        <v>_</v>
      </c>
      <c r="AY172" s="248" t="str">
        <f>_xlfn.IFNA(VLOOKUP(Ruimtestaat[[#This Row],[Programmacode
Regulier]],Programma!$F$4:$Y$36148,17,0),"_")</f>
        <v>_</v>
      </c>
      <c r="AZ172" s="249" t="str">
        <f>_xlfn.IFNA(VLOOKUP(Ruimtestaat[[#This Row],[Programmacode
Regulier]],Programma!$F$4:$Y$36148,18,0),"_")</f>
        <v>_</v>
      </c>
      <c r="BA172" s="249" t="str">
        <f>_xlfn.IFNA(VLOOKUP(Ruimtestaat[[#This Row],[Programmacode
Regulier]],Programma!$F$4:$Y$36148,19,0),"_")</f>
        <v>_</v>
      </c>
      <c r="BB172" s="249" t="str">
        <f>_xlfn.IFNA(VLOOKUP(Ruimtestaat[[#This Row],[Programmacode
Regulier]],Programma!$F$4:$Y$36148,20,0),"_")</f>
        <v>_</v>
      </c>
      <c r="BC172" s="250"/>
      <c r="BD172" s="212" t="str">
        <f>IF(Ruimtestaat[[#This Row],[Frequentie weekend]]="","",_xlfn.CONCAT(Ruimtestaat[[#This Row],[Ruimte code]],"-",Ruimtestaat[[#This Row],[Frequentie weekend]]," ",Ruimtestaat[[#This Row],[Vloer code]]))</f>
        <v/>
      </c>
      <c r="BE172" s="247" t="str">
        <f>_xlfn.IFNA(VLOOKUP(Ruimtestaat[[#This Row],[Code Weekend]],Programma!$F$4:$Y$36148,2,0),"_")</f>
        <v>_</v>
      </c>
      <c r="BF172" s="247" t="str">
        <f>_xlfn.IFNA(VLOOKUP(Ruimtestaat[[#This Row],[Code Weekend]],Programma!$F$4:$Y$36148,3,0),"_")</f>
        <v>_</v>
      </c>
      <c r="BG172" s="247" t="str">
        <f>_xlfn.IFNA(VLOOKUP(Ruimtestaat[[#This Row],[Code Weekend]],Programma!$F$4:$Y$36148,4,0),"_")</f>
        <v>_</v>
      </c>
      <c r="BH172" s="247" t="str">
        <f>_xlfn.IFNA(VLOOKUP(Ruimtestaat[[#This Row],[Code Weekend]],Programma!$F$4:$Y$36148,5,0),"_")</f>
        <v>_</v>
      </c>
      <c r="BI172" s="247" t="str">
        <f>_xlfn.IFNA(VLOOKUP(Ruimtestaat[[#This Row],[Code Weekend]],Programma!$F$4:$Y$36148,6,0),"_")</f>
        <v>_</v>
      </c>
      <c r="BJ172" s="247" t="str">
        <f>_xlfn.IFNA(VLOOKUP(Ruimtestaat[[#This Row],[Code Weekend]],Programma!$F$4:$Y$36148,7,0),"_")</f>
        <v>_</v>
      </c>
      <c r="BK172" s="247" t="str">
        <f>_xlfn.IFNA(VLOOKUP(Ruimtestaat[[#This Row],[Code Weekend]],Programma!$F$4:$Y$36148,8,0),"_")</f>
        <v>_</v>
      </c>
      <c r="BL172" s="247" t="str">
        <f>_xlfn.IFNA(VLOOKUP(Ruimtestaat[[#This Row],[Code Weekend]],Programma!$F$4:$Y$36148,9,0),"_")</f>
        <v>_</v>
      </c>
      <c r="BM172" s="248" t="str">
        <f>_xlfn.IFNA(VLOOKUP(Ruimtestaat[[#This Row],[Code Weekend]],Programma!$F$4:$Y$36148,10,0),"_")</f>
        <v>_</v>
      </c>
      <c r="BN172" s="248" t="str">
        <f>_xlfn.IFNA(VLOOKUP(Ruimtestaat[[#This Row],[Code Weekend]],Programma!$F$4:$Y$36148,11,0),"_")</f>
        <v>_</v>
      </c>
      <c r="BO172" s="248" t="str">
        <f>_xlfn.IFNA(VLOOKUP(Ruimtestaat[[#This Row],[Code Weekend]],Programma!$F$4:$Y$36148,12,0),"_")</f>
        <v>_</v>
      </c>
      <c r="BP172" s="248" t="str">
        <f>_xlfn.IFNA(VLOOKUP(Ruimtestaat[[#This Row],[Code Weekend]],Programma!$F$4:$Y$36148,13,0),"_")</f>
        <v>_</v>
      </c>
      <c r="BQ172" s="248" t="str">
        <f>_xlfn.IFNA(VLOOKUP(Ruimtestaat[[#This Row],[Code Weekend]],Programma!$F$4:$Y$36148,14,0),"_")</f>
        <v>_</v>
      </c>
      <c r="BR172" s="248" t="str">
        <f>_xlfn.IFNA(VLOOKUP(Ruimtestaat[[#This Row],[Code Weekend]],Programma!$F$4:$Y$36148,15,0),"_")</f>
        <v>_</v>
      </c>
      <c r="BS172" s="248" t="str">
        <f>_xlfn.IFNA(VLOOKUP(Ruimtestaat[[#This Row],[Code Weekend]],Programma!$F$4:$Y$36148,16,0),"_")</f>
        <v>_</v>
      </c>
      <c r="BT172" s="248" t="str">
        <f>_xlfn.IFNA(VLOOKUP(Ruimtestaat[[#This Row],[Code Weekend]],Programma!$F$4:$Y$36148,17,0),"_")</f>
        <v>_</v>
      </c>
      <c r="BU172" s="249" t="str">
        <f>_xlfn.IFNA(VLOOKUP(Ruimtestaat[[#This Row],[Code Weekend]],Programma!$F$4:$Y$36148,18,0),"_")</f>
        <v>_</v>
      </c>
      <c r="BV172" s="249" t="str">
        <f>_xlfn.IFNA(VLOOKUP(Ruimtestaat[[#This Row],[Code Weekend]],Programma!$F$4:$Y$36148,19,0),"_")</f>
        <v>_</v>
      </c>
      <c r="BW172" s="249" t="str">
        <f>_xlfn.IFNA(VLOOKUP(Ruimtestaat[[#This Row],[Code Weekend]],Programma!$F$4:$Y$36148,20,0),"_")</f>
        <v>_</v>
      </c>
    </row>
    <row r="173" spans="1:75" ht="12.75" customHeight="1">
      <c r="A173" s="334">
        <v>1</v>
      </c>
      <c r="B173" s="334" t="str">
        <f>VLOOKUP(Ruimtestaat[[#This Row],[Code]],Locaties[#All],2,FALSE)</f>
        <v>ESH Secondary School</v>
      </c>
      <c r="C173" s="212" t="str">
        <f>VLOOKUP(Ruimtestaat[[#This Row],[Code]],Locaties[#All],4,FALSE)</f>
        <v>Oostduinlaan 50</v>
      </c>
      <c r="D173" s="212" t="str">
        <f>VLOOKUP(Ruimtestaat[[#This Row],[Code]],Locaties[#All],5,FALSE)</f>
        <v>2596 JP</v>
      </c>
      <c r="E173" s="212" t="str">
        <f>VLOOKUP(Ruimtestaat[[#This Row],[Code]],Locaties[#All],6,FALSE)</f>
        <v>Den Haag</v>
      </c>
      <c r="F173" s="335"/>
      <c r="G173" s="334" t="s">
        <v>1677</v>
      </c>
      <c r="H173" s="334" t="s">
        <v>1667</v>
      </c>
      <c r="I173" s="335" t="s">
        <v>1394</v>
      </c>
      <c r="J173" s="328">
        <v>10</v>
      </c>
      <c r="K173" s="336" t="str">
        <f>VLOOKUP(J173,Ruimtegroepen[],2,FALSE)</f>
        <v>Trappenhuizen/lift</v>
      </c>
      <c r="L173" s="212" t="s">
        <v>123</v>
      </c>
      <c r="M173" s="334" t="s">
        <v>144</v>
      </c>
      <c r="N173" s="337">
        <v>19</v>
      </c>
      <c r="O173" s="331"/>
      <c r="P173" s="332" t="str">
        <f>VLOOKUP(Ruimtestaat[[#This Row],[Ruimte code]],Ruimtegroepen[],4,FALSE)</f>
        <v>V  (Verkeersruimte)</v>
      </c>
      <c r="Q173" s="332"/>
      <c r="R173" s="333">
        <v>40</v>
      </c>
      <c r="S173" s="333" t="s">
        <v>2</v>
      </c>
      <c r="T173" s="37"/>
      <c r="U173" s="37">
        <f>IF(R173&gt;0,IF(RIGHT(Ruimtestaat[[#This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73" s="37">
        <f>IF(U173&gt;0,VLOOKUP($J173,Ruimtegroepen[],3,FALSE)*VLOOKUP($L173,Vloersoorten[],3,FALSE)*VLOOKUP($S173,Frequenties[],3,FALSE)*VLOOKUP($A173,Locaties[],3,FALSE),0)</f>
        <v>0</v>
      </c>
      <c r="W173" s="37">
        <f>Ruimtestaat[[#This Row],[Uitvoeringen werkdagen]]*Ruimtestaat[[#This Row],[Oppervlak (netto)]]</f>
        <v>3800</v>
      </c>
      <c r="X173" s="37">
        <f>IF(V173&gt;0,Ruimtestaat[[#This Row],[Prest. (m2 /jaar) werkdagen]]/Ruimtestaat[[#This Row],[Norm (m2/uur) werkdagen]],0)</f>
        <v>0</v>
      </c>
      <c r="Y173" s="37">
        <f>Ruimtestaat[[#This Row],[uren / jaar werkdagen]]*Tariefsopbouw!$D$38</f>
        <v>0</v>
      </c>
      <c r="Z173" s="37">
        <f>IF(Ruimtestaat[[#This Row],[Frequentie weekend]]&gt;0,VALUE(LEFT(T173,1))*R173,0)</f>
        <v>0</v>
      </c>
      <c r="AA173" s="37">
        <f>IF($Z173&gt;0,VLOOKUP($J173,Ruimtegroepen[],3,FALSE)*VLOOKUP($L173,Vloersoorten[],3,FALSE)*VLOOKUP($T173,Frequenties[],3,FALSE)*VLOOKUP($A173,Locaties[],3,FALSE),0)</f>
        <v>0</v>
      </c>
      <c r="AB173" s="37">
        <f>Ruimtestaat[[#This Row],[Uitvoeringen weekend]]*Ruimtestaat[[#This Row],[Oppervlak (netto)]]</f>
        <v>0</v>
      </c>
      <c r="AC173" s="37">
        <f>IF(AA173&gt;0,Ruimtestaat[[#This Row],[Prest. (m2 /jaar) weekend]]/Ruimtestaat[[#This Row],[Norm (m2/uur) weekend]],0)</f>
        <v>0</v>
      </c>
      <c r="AD173" s="37">
        <f>Ruimtestaat[[#This Row],[uren / jaar weekend]]*Tariefsopbouw!$D$40</f>
        <v>0</v>
      </c>
      <c r="AE173" s="89">
        <f>Ruimtestaat[[#This Row],[Prest. (m2 /jaar) weekend]]+Ruimtestaat[[#This Row],[Prest. (m2 /jaar) werkdagen]]</f>
        <v>3800</v>
      </c>
      <c r="AF173" s="89">
        <f>Ruimtestaat[[#This Row],[uren / jaar weekend]]+Ruimtestaat[[#This Row],[uren / jaar werkdagen]]</f>
        <v>0</v>
      </c>
      <c r="AG173" s="90">
        <f>Ruimtestaat[[#This Row],[kosten / jaar weekend]]+Ruimtestaat[[#This Row],[kosten / jaar werkdagen]]</f>
        <v>0</v>
      </c>
      <c r="AH173" s="253"/>
      <c r="AI173" s="252" t="str">
        <f>IF(Ruimtestaat[[#This Row],[Frequentie werkdagen]]="","",_xlfn.CONCAT(Ruimtestaat[[#This Row],[Ruimte code]],"-",Ruimtestaat[[#This Row],[Frequentie werkdagen]]," ",Ruimtestaat[[#This Row],[Vloer code]]))</f>
        <v>10-5w P</v>
      </c>
      <c r="AJ173" s="247" t="str">
        <f>_xlfn.IFNA(VLOOKUP(Ruimtestaat[[#This Row],[Programmacode
Regulier]],Programma!$F$4:$Y$36148,2,0),"_")</f>
        <v>_</v>
      </c>
      <c r="AK173" s="247" t="str">
        <f>_xlfn.IFNA(VLOOKUP(Ruimtestaat[[#This Row],[Programmacode
Regulier]],Programma!$F$4:$Y$36148,3,0),"_")</f>
        <v>5w</v>
      </c>
      <c r="AL173" s="247" t="str">
        <f>_xlfn.IFNA(VLOOKUP(Ruimtestaat[[#This Row],[Programmacode
Regulier]],Programma!$F$4:$Y$36148,4,0),"_")</f>
        <v>_</v>
      </c>
      <c r="AM173" s="247" t="str">
        <f>_xlfn.IFNA(VLOOKUP(Ruimtestaat[[#This Row],[Programmacode
Regulier]],Programma!$F$4:$Y$36148,5,0),"_")</f>
        <v>5w</v>
      </c>
      <c r="AN173" s="247" t="str">
        <f>_xlfn.IFNA(VLOOKUP(Ruimtestaat[[#This Row],[Programmacode
Regulier]],Programma!$F$4:$Y$36148,6,0),"_")</f>
        <v>1m</v>
      </c>
      <c r="AO173" s="247" t="str">
        <f>_xlfn.IFNA(VLOOKUP(Ruimtestaat[[#This Row],[Programmacode
Regulier]],Programma!$F$4:$Y$36148,7,0),"_")</f>
        <v>_</v>
      </c>
      <c r="AP173" s="247" t="str">
        <f>_xlfn.IFNA(VLOOKUP(Ruimtestaat[[#This Row],[Programmacode
Regulier]],Programma!$F$4:$Y$36148,8,0),"_")</f>
        <v>_</v>
      </c>
      <c r="AQ173" s="247" t="str">
        <f>_xlfn.IFNA(VLOOKUP(Ruimtestaat[[#This Row],[Programmacode
Regulier]],Programma!$F$4:$Y$36148,9,0),"_")</f>
        <v>_</v>
      </c>
      <c r="AR173" s="248" t="str">
        <f>_xlfn.IFNA(VLOOKUP(Ruimtestaat[[#This Row],[Programmacode
Regulier]],Programma!$F$4:$Y$36148,10,0),"_")</f>
        <v>5w</v>
      </c>
      <c r="AS173" s="248" t="str">
        <f>_xlfn.IFNA(VLOOKUP(Ruimtestaat[[#This Row],[Programmacode
Regulier]],Programma!$F$4:$Y$36148,11,0),"_")</f>
        <v>5w</v>
      </c>
      <c r="AT173" s="248" t="str">
        <f>_xlfn.IFNA(VLOOKUP(Ruimtestaat[[#This Row],[Programmacode
Regulier]],Programma!$F$4:$Y$36148,12,0),"_")</f>
        <v>1w</v>
      </c>
      <c r="AU173" s="248" t="str">
        <f>_xlfn.IFNA(VLOOKUP(Ruimtestaat[[#This Row],[Programmacode
Regulier]],Programma!$F$4:$Y$36148,13,0),"_")</f>
        <v>1w</v>
      </c>
      <c r="AV173" s="248" t="str">
        <f>_xlfn.IFNA(VLOOKUP(Ruimtestaat[[#This Row],[Programmacode
Regulier]],Programma!$F$4:$Y$36148,14,0),"_")</f>
        <v>1m</v>
      </c>
      <c r="AW173" s="248" t="str">
        <f>_xlfn.IFNA(VLOOKUP(Ruimtestaat[[#This Row],[Programmacode
Regulier]],Programma!$F$4:$Y$36148,15,0),"_")</f>
        <v>2j</v>
      </c>
      <c r="AX173" s="248" t="str">
        <f>_xlfn.IFNA(VLOOKUP(Ruimtestaat[[#This Row],[Programmacode
Regulier]],Programma!$F$4:$Y$36148,16,0),"_")</f>
        <v>1j</v>
      </c>
      <c r="AY173" s="248" t="str">
        <f>_xlfn.IFNA(VLOOKUP(Ruimtestaat[[#This Row],[Programmacode
Regulier]],Programma!$F$4:$Y$36148,17,0),"_")</f>
        <v>_</v>
      </c>
      <c r="AZ173" s="249" t="str">
        <f>_xlfn.IFNA(VLOOKUP(Ruimtestaat[[#This Row],[Programmacode
Regulier]],Programma!$F$4:$Y$36148,18,0),"_")</f>
        <v>_</v>
      </c>
      <c r="BA173" s="249" t="str">
        <f>_xlfn.IFNA(VLOOKUP(Ruimtestaat[[#This Row],[Programmacode
Regulier]],Programma!$F$4:$Y$36148,19,0),"_")</f>
        <v>_</v>
      </c>
      <c r="BB173" s="249" t="str">
        <f>_xlfn.IFNA(VLOOKUP(Ruimtestaat[[#This Row],[Programmacode
Regulier]],Programma!$F$4:$Y$36148,20,0),"_")</f>
        <v>_</v>
      </c>
      <c r="BC173" s="250"/>
      <c r="BD173" s="212" t="str">
        <f>IF(Ruimtestaat[[#This Row],[Frequentie weekend]]="","",_xlfn.CONCAT(Ruimtestaat[[#This Row],[Ruimte code]],"-",Ruimtestaat[[#This Row],[Frequentie weekend]]," ",Ruimtestaat[[#This Row],[Vloer code]]))</f>
        <v/>
      </c>
      <c r="BE173" s="247" t="str">
        <f>_xlfn.IFNA(VLOOKUP(Ruimtestaat[[#This Row],[Code Weekend]],Programma!$F$4:$Y$36148,2,0),"_")</f>
        <v>_</v>
      </c>
      <c r="BF173" s="247" t="str">
        <f>_xlfn.IFNA(VLOOKUP(Ruimtestaat[[#This Row],[Code Weekend]],Programma!$F$4:$Y$36148,3,0),"_")</f>
        <v>_</v>
      </c>
      <c r="BG173" s="247" t="str">
        <f>_xlfn.IFNA(VLOOKUP(Ruimtestaat[[#This Row],[Code Weekend]],Programma!$F$4:$Y$36148,4,0),"_")</f>
        <v>_</v>
      </c>
      <c r="BH173" s="247" t="str">
        <f>_xlfn.IFNA(VLOOKUP(Ruimtestaat[[#This Row],[Code Weekend]],Programma!$F$4:$Y$36148,5,0),"_")</f>
        <v>_</v>
      </c>
      <c r="BI173" s="247" t="str">
        <f>_xlfn.IFNA(VLOOKUP(Ruimtestaat[[#This Row],[Code Weekend]],Programma!$F$4:$Y$36148,6,0),"_")</f>
        <v>_</v>
      </c>
      <c r="BJ173" s="247" t="str">
        <f>_xlfn.IFNA(VLOOKUP(Ruimtestaat[[#This Row],[Code Weekend]],Programma!$F$4:$Y$36148,7,0),"_")</f>
        <v>_</v>
      </c>
      <c r="BK173" s="247" t="str">
        <f>_xlfn.IFNA(VLOOKUP(Ruimtestaat[[#This Row],[Code Weekend]],Programma!$F$4:$Y$36148,8,0),"_")</f>
        <v>_</v>
      </c>
      <c r="BL173" s="247" t="str">
        <f>_xlfn.IFNA(VLOOKUP(Ruimtestaat[[#This Row],[Code Weekend]],Programma!$F$4:$Y$36148,9,0),"_")</f>
        <v>_</v>
      </c>
      <c r="BM173" s="248" t="str">
        <f>_xlfn.IFNA(VLOOKUP(Ruimtestaat[[#This Row],[Code Weekend]],Programma!$F$4:$Y$36148,10,0),"_")</f>
        <v>_</v>
      </c>
      <c r="BN173" s="248" t="str">
        <f>_xlfn.IFNA(VLOOKUP(Ruimtestaat[[#This Row],[Code Weekend]],Programma!$F$4:$Y$36148,11,0),"_")</f>
        <v>_</v>
      </c>
      <c r="BO173" s="248" t="str">
        <f>_xlfn.IFNA(VLOOKUP(Ruimtestaat[[#This Row],[Code Weekend]],Programma!$F$4:$Y$36148,12,0),"_")</f>
        <v>_</v>
      </c>
      <c r="BP173" s="248" t="str">
        <f>_xlfn.IFNA(VLOOKUP(Ruimtestaat[[#This Row],[Code Weekend]],Programma!$F$4:$Y$36148,13,0),"_")</f>
        <v>_</v>
      </c>
      <c r="BQ173" s="248" t="str">
        <f>_xlfn.IFNA(VLOOKUP(Ruimtestaat[[#This Row],[Code Weekend]],Programma!$F$4:$Y$36148,14,0),"_")</f>
        <v>_</v>
      </c>
      <c r="BR173" s="248" t="str">
        <f>_xlfn.IFNA(VLOOKUP(Ruimtestaat[[#This Row],[Code Weekend]],Programma!$F$4:$Y$36148,15,0),"_")</f>
        <v>_</v>
      </c>
      <c r="BS173" s="248" t="str">
        <f>_xlfn.IFNA(VLOOKUP(Ruimtestaat[[#This Row],[Code Weekend]],Programma!$F$4:$Y$36148,16,0),"_")</f>
        <v>_</v>
      </c>
      <c r="BT173" s="248" t="str">
        <f>_xlfn.IFNA(VLOOKUP(Ruimtestaat[[#This Row],[Code Weekend]],Programma!$F$4:$Y$36148,17,0),"_")</f>
        <v>_</v>
      </c>
      <c r="BU173" s="249" t="str">
        <f>_xlfn.IFNA(VLOOKUP(Ruimtestaat[[#This Row],[Code Weekend]],Programma!$F$4:$Y$36148,18,0),"_")</f>
        <v>_</v>
      </c>
      <c r="BV173" s="249" t="str">
        <f>_xlfn.IFNA(VLOOKUP(Ruimtestaat[[#This Row],[Code Weekend]],Programma!$F$4:$Y$36148,19,0),"_")</f>
        <v>_</v>
      </c>
      <c r="BW173" s="249" t="str">
        <f>_xlfn.IFNA(VLOOKUP(Ruimtestaat[[#This Row],[Code Weekend]],Programma!$F$4:$Y$36148,20,0),"_")</f>
        <v>_</v>
      </c>
    </row>
    <row r="174" spans="1:75" ht="12.75" customHeight="1">
      <c r="A174" s="334">
        <v>1</v>
      </c>
      <c r="B174" s="334" t="str">
        <f>VLOOKUP(Ruimtestaat[[#This Row],[Code]],Locaties[#All],2,FALSE)</f>
        <v>ESH Secondary School</v>
      </c>
      <c r="C174" s="212" t="str">
        <f>VLOOKUP(Ruimtestaat[[#This Row],[Code]],Locaties[#All],4,FALSE)</f>
        <v>Oostduinlaan 50</v>
      </c>
      <c r="D174" s="212" t="str">
        <f>VLOOKUP(Ruimtestaat[[#This Row],[Code]],Locaties[#All],5,FALSE)</f>
        <v>2596 JP</v>
      </c>
      <c r="E174" s="212" t="str">
        <f>VLOOKUP(Ruimtestaat[[#This Row],[Code]],Locaties[#All],6,FALSE)</f>
        <v>Den Haag</v>
      </c>
      <c r="F174" s="335"/>
      <c r="G174" s="334" t="s">
        <v>1677</v>
      </c>
      <c r="H174" s="334" t="s">
        <v>1668</v>
      </c>
      <c r="I174" s="335" t="s">
        <v>1782</v>
      </c>
      <c r="J174" s="328">
        <v>5</v>
      </c>
      <c r="K174" s="336" t="str">
        <f>VLOOKUP(J174,Ruimtegroepen[],2,FALSE)</f>
        <v>Sanitair</v>
      </c>
      <c r="L174" s="212" t="s">
        <v>123</v>
      </c>
      <c r="M174" s="334" t="s">
        <v>144</v>
      </c>
      <c r="N174" s="337">
        <v>14</v>
      </c>
      <c r="O174" s="331"/>
      <c r="P174" s="332" t="str">
        <f>VLOOKUP(Ruimtestaat[[#This Row],[Ruimte code]],Ruimtegroepen[],4,FALSE)</f>
        <v>S  (Sanitair)</v>
      </c>
      <c r="Q174" s="332"/>
      <c r="R174" s="333">
        <v>40</v>
      </c>
      <c r="S174" s="333" t="s">
        <v>19</v>
      </c>
      <c r="T174" s="37"/>
      <c r="U174" s="37">
        <f>IF(R174&gt;0,IF(RIGHT(Ruimtestaat[[#This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174" s="37">
        <f>IF(U174&gt;0,VLOOKUP($J174,Ruimtegroepen[],3,FALSE)*VLOOKUP($L174,Vloersoorten[],3,FALSE)*VLOOKUP($S174,Frequenties[],3,FALSE)*VLOOKUP($A174,Locaties[],3,FALSE),0)</f>
        <v>0</v>
      </c>
      <c r="W174" s="37">
        <f>Ruimtestaat[[#This Row],[Uitvoeringen werkdagen]]*Ruimtestaat[[#This Row],[Oppervlak (netto)]]</f>
        <v>5600</v>
      </c>
      <c r="X174" s="37">
        <f>IF(V174&gt;0,Ruimtestaat[[#This Row],[Prest. (m2 /jaar) werkdagen]]/Ruimtestaat[[#This Row],[Norm (m2/uur) werkdagen]],0)</f>
        <v>0</v>
      </c>
      <c r="Y174" s="37">
        <f>Ruimtestaat[[#This Row],[uren / jaar werkdagen]]*Tariefsopbouw!$D$38</f>
        <v>0</v>
      </c>
      <c r="Z174" s="37">
        <f>IF(Ruimtestaat[[#This Row],[Frequentie weekend]]&gt;0,VALUE(LEFT(T174,1))*R174,0)</f>
        <v>0</v>
      </c>
      <c r="AA174" s="37">
        <f>IF($Z174&gt;0,VLOOKUP($J174,Ruimtegroepen[],3,FALSE)*VLOOKUP($L174,Vloersoorten[],3,FALSE)*VLOOKUP($T174,Frequenties[],3,FALSE)*VLOOKUP($A174,Locaties[],3,FALSE),0)</f>
        <v>0</v>
      </c>
      <c r="AB174" s="37">
        <f>Ruimtestaat[[#This Row],[Uitvoeringen weekend]]*Ruimtestaat[[#This Row],[Oppervlak (netto)]]</f>
        <v>0</v>
      </c>
      <c r="AC174" s="37">
        <f>IF(AA174&gt;0,Ruimtestaat[[#This Row],[Prest. (m2 /jaar) weekend]]/Ruimtestaat[[#This Row],[Norm (m2/uur) weekend]],0)</f>
        <v>0</v>
      </c>
      <c r="AD174" s="37">
        <f>Ruimtestaat[[#This Row],[uren / jaar weekend]]*Tariefsopbouw!$D$40</f>
        <v>0</v>
      </c>
      <c r="AE174" s="89">
        <f>Ruimtestaat[[#This Row],[Prest. (m2 /jaar) weekend]]+Ruimtestaat[[#This Row],[Prest. (m2 /jaar) werkdagen]]</f>
        <v>5600</v>
      </c>
      <c r="AF174" s="89">
        <f>Ruimtestaat[[#This Row],[uren / jaar weekend]]+Ruimtestaat[[#This Row],[uren / jaar werkdagen]]</f>
        <v>0</v>
      </c>
      <c r="AG174" s="90">
        <f>Ruimtestaat[[#This Row],[kosten / jaar weekend]]+Ruimtestaat[[#This Row],[kosten / jaar werkdagen]]</f>
        <v>0</v>
      </c>
      <c r="AH174" s="253"/>
      <c r="AI174" s="252" t="str">
        <f>IF(Ruimtestaat[[#This Row],[Frequentie werkdagen]]="","",_xlfn.CONCAT(Ruimtestaat[[#This Row],[Ruimte code]],"-",Ruimtestaat[[#This Row],[Frequentie werkdagen]]," ",Ruimtestaat[[#This Row],[Vloer code]]))</f>
        <v>5-10w P</v>
      </c>
      <c r="AJ174" s="247" t="str">
        <f>_xlfn.IFNA(VLOOKUP(Ruimtestaat[[#This Row],[Programmacode
Regulier]],Programma!$F$4:$Y$36148,2,0),"_")</f>
        <v>_</v>
      </c>
      <c r="AK174" s="247" t="str">
        <f>_xlfn.IFNA(VLOOKUP(Ruimtestaat[[#This Row],[Programmacode
Regulier]],Programma!$F$4:$Y$36148,3,0),"_")</f>
        <v>_</v>
      </c>
      <c r="AL174" s="247" t="str">
        <f>_xlfn.IFNA(VLOOKUP(Ruimtestaat[[#This Row],[Programmacode
Regulier]],Programma!$F$4:$Y$36148,4,0),"_")</f>
        <v>_</v>
      </c>
      <c r="AM174" s="247" t="str">
        <f>_xlfn.IFNA(VLOOKUP(Ruimtestaat[[#This Row],[Programmacode
Regulier]],Programma!$F$4:$Y$36148,5,0),"_")</f>
        <v>4w</v>
      </c>
      <c r="AN174" s="247" t="str">
        <f>_xlfn.IFNA(VLOOKUP(Ruimtestaat[[#This Row],[Programmacode
Regulier]],Programma!$F$4:$Y$36148,6,0),"_")</f>
        <v>1w</v>
      </c>
      <c r="AO174" s="247" t="str">
        <f>_xlfn.IFNA(VLOOKUP(Ruimtestaat[[#This Row],[Programmacode
Regulier]],Programma!$F$4:$Y$36148,7,0),"_")</f>
        <v>_</v>
      </c>
      <c r="AP174" s="247" t="str">
        <f>_xlfn.IFNA(VLOOKUP(Ruimtestaat[[#This Row],[Programmacode
Regulier]],Programma!$F$4:$Y$36148,8,0),"_")</f>
        <v>_</v>
      </c>
      <c r="AQ174" s="247" t="str">
        <f>_xlfn.IFNA(VLOOKUP(Ruimtestaat[[#This Row],[Programmacode
Regulier]],Programma!$F$4:$Y$36148,9,0),"_")</f>
        <v>5w</v>
      </c>
      <c r="AR174" s="248" t="str">
        <f>_xlfn.IFNA(VLOOKUP(Ruimtestaat[[#This Row],[Programmacode
Regulier]],Programma!$F$4:$Y$36148,10,0),"_")</f>
        <v>_</v>
      </c>
      <c r="AS174" s="248" t="str">
        <f>_xlfn.IFNA(VLOOKUP(Ruimtestaat[[#This Row],[Programmacode
Regulier]],Programma!$F$4:$Y$36148,11,0),"_")</f>
        <v>_</v>
      </c>
      <c r="AT174" s="248" t="str">
        <f>_xlfn.IFNA(VLOOKUP(Ruimtestaat[[#This Row],[Programmacode
Regulier]],Programma!$F$4:$Y$36148,12,0),"_")</f>
        <v>_</v>
      </c>
      <c r="AU174" s="248" t="str">
        <f>_xlfn.IFNA(VLOOKUP(Ruimtestaat[[#This Row],[Programmacode
Regulier]],Programma!$F$4:$Y$36148,13,0),"_")</f>
        <v>_</v>
      </c>
      <c r="AV174" s="248" t="str">
        <f>_xlfn.IFNA(VLOOKUP(Ruimtestaat[[#This Row],[Programmacode
Regulier]],Programma!$F$4:$Y$36148,14,0),"_")</f>
        <v>_</v>
      </c>
      <c r="AW174" s="248" t="str">
        <f>_xlfn.IFNA(VLOOKUP(Ruimtestaat[[#This Row],[Programmacode
Regulier]],Programma!$F$4:$Y$36148,15,0),"_")</f>
        <v>_</v>
      </c>
      <c r="AX174" s="248" t="str">
        <f>_xlfn.IFNA(VLOOKUP(Ruimtestaat[[#This Row],[Programmacode
Regulier]],Programma!$F$4:$Y$36148,16,0),"_")</f>
        <v>_</v>
      </c>
      <c r="AY174" s="248" t="str">
        <f>_xlfn.IFNA(VLOOKUP(Ruimtestaat[[#This Row],[Programmacode
Regulier]],Programma!$F$4:$Y$36148,17,0),"_")</f>
        <v>_</v>
      </c>
      <c r="AZ174" s="249" t="str">
        <f>_xlfn.IFNA(VLOOKUP(Ruimtestaat[[#This Row],[Programmacode
Regulier]],Programma!$F$4:$Y$36148,18,0),"_")</f>
        <v>4w</v>
      </c>
      <c r="BA174" s="249" t="str">
        <f>_xlfn.IFNA(VLOOKUP(Ruimtestaat[[#This Row],[Programmacode
Regulier]],Programma!$F$4:$Y$36148,19,0),"_")</f>
        <v>1w</v>
      </c>
      <c r="BB174" s="249" t="str">
        <f>_xlfn.IFNA(VLOOKUP(Ruimtestaat[[#This Row],[Programmacode
Regulier]],Programma!$F$4:$Y$36148,20,0),"_")</f>
        <v>5w</v>
      </c>
      <c r="BC174" s="250"/>
      <c r="BD174" s="212" t="str">
        <f>IF(Ruimtestaat[[#This Row],[Frequentie weekend]]="","",_xlfn.CONCAT(Ruimtestaat[[#This Row],[Ruimte code]],"-",Ruimtestaat[[#This Row],[Frequentie weekend]]," ",Ruimtestaat[[#This Row],[Vloer code]]))</f>
        <v/>
      </c>
      <c r="BE174" s="247" t="str">
        <f>_xlfn.IFNA(VLOOKUP(Ruimtestaat[[#This Row],[Code Weekend]],Programma!$F$4:$Y$36148,2,0),"_")</f>
        <v>_</v>
      </c>
      <c r="BF174" s="247" t="str">
        <f>_xlfn.IFNA(VLOOKUP(Ruimtestaat[[#This Row],[Code Weekend]],Programma!$F$4:$Y$36148,3,0),"_")</f>
        <v>_</v>
      </c>
      <c r="BG174" s="247" t="str">
        <f>_xlfn.IFNA(VLOOKUP(Ruimtestaat[[#This Row],[Code Weekend]],Programma!$F$4:$Y$36148,4,0),"_")</f>
        <v>_</v>
      </c>
      <c r="BH174" s="247" t="str">
        <f>_xlfn.IFNA(VLOOKUP(Ruimtestaat[[#This Row],[Code Weekend]],Programma!$F$4:$Y$36148,5,0),"_")</f>
        <v>_</v>
      </c>
      <c r="BI174" s="247" t="str">
        <f>_xlfn.IFNA(VLOOKUP(Ruimtestaat[[#This Row],[Code Weekend]],Programma!$F$4:$Y$36148,6,0),"_")</f>
        <v>_</v>
      </c>
      <c r="BJ174" s="247" t="str">
        <f>_xlfn.IFNA(VLOOKUP(Ruimtestaat[[#This Row],[Code Weekend]],Programma!$F$4:$Y$36148,7,0),"_")</f>
        <v>_</v>
      </c>
      <c r="BK174" s="247" t="str">
        <f>_xlfn.IFNA(VLOOKUP(Ruimtestaat[[#This Row],[Code Weekend]],Programma!$F$4:$Y$36148,8,0),"_")</f>
        <v>_</v>
      </c>
      <c r="BL174" s="247" t="str">
        <f>_xlfn.IFNA(VLOOKUP(Ruimtestaat[[#This Row],[Code Weekend]],Programma!$F$4:$Y$36148,9,0),"_")</f>
        <v>_</v>
      </c>
      <c r="BM174" s="248" t="str">
        <f>_xlfn.IFNA(VLOOKUP(Ruimtestaat[[#This Row],[Code Weekend]],Programma!$F$4:$Y$36148,10,0),"_")</f>
        <v>_</v>
      </c>
      <c r="BN174" s="248" t="str">
        <f>_xlfn.IFNA(VLOOKUP(Ruimtestaat[[#This Row],[Code Weekend]],Programma!$F$4:$Y$36148,11,0),"_")</f>
        <v>_</v>
      </c>
      <c r="BO174" s="248" t="str">
        <f>_xlfn.IFNA(VLOOKUP(Ruimtestaat[[#This Row],[Code Weekend]],Programma!$F$4:$Y$36148,12,0),"_")</f>
        <v>_</v>
      </c>
      <c r="BP174" s="248" t="str">
        <f>_xlfn.IFNA(VLOOKUP(Ruimtestaat[[#This Row],[Code Weekend]],Programma!$F$4:$Y$36148,13,0),"_")</f>
        <v>_</v>
      </c>
      <c r="BQ174" s="248" t="str">
        <f>_xlfn.IFNA(VLOOKUP(Ruimtestaat[[#This Row],[Code Weekend]],Programma!$F$4:$Y$36148,14,0),"_")</f>
        <v>_</v>
      </c>
      <c r="BR174" s="248" t="str">
        <f>_xlfn.IFNA(VLOOKUP(Ruimtestaat[[#This Row],[Code Weekend]],Programma!$F$4:$Y$36148,15,0),"_")</f>
        <v>_</v>
      </c>
      <c r="BS174" s="248" t="str">
        <f>_xlfn.IFNA(VLOOKUP(Ruimtestaat[[#This Row],[Code Weekend]],Programma!$F$4:$Y$36148,16,0),"_")</f>
        <v>_</v>
      </c>
      <c r="BT174" s="248" t="str">
        <f>_xlfn.IFNA(VLOOKUP(Ruimtestaat[[#This Row],[Code Weekend]],Programma!$F$4:$Y$36148,17,0),"_")</f>
        <v>_</v>
      </c>
      <c r="BU174" s="249" t="str">
        <f>_xlfn.IFNA(VLOOKUP(Ruimtestaat[[#This Row],[Code Weekend]],Programma!$F$4:$Y$36148,18,0),"_")</f>
        <v>_</v>
      </c>
      <c r="BV174" s="249" t="str">
        <f>_xlfn.IFNA(VLOOKUP(Ruimtestaat[[#This Row],[Code Weekend]],Programma!$F$4:$Y$36148,19,0),"_")</f>
        <v>_</v>
      </c>
      <c r="BW174" s="249" t="str">
        <f>_xlfn.IFNA(VLOOKUP(Ruimtestaat[[#This Row],[Code Weekend]],Programma!$F$4:$Y$36148,20,0),"_")</f>
        <v>_</v>
      </c>
    </row>
    <row r="175" spans="1:75" ht="12.75" customHeight="1">
      <c r="A175" s="334">
        <v>1</v>
      </c>
      <c r="B175" s="334" t="str">
        <f>VLOOKUP(Ruimtestaat[[#This Row],[Code]],Locaties[#All],2,FALSE)</f>
        <v>ESH Secondary School</v>
      </c>
      <c r="C175" s="212" t="str">
        <f>VLOOKUP(Ruimtestaat[[#This Row],[Code]],Locaties[#All],4,FALSE)</f>
        <v>Oostduinlaan 50</v>
      </c>
      <c r="D175" s="212" t="str">
        <f>VLOOKUP(Ruimtestaat[[#This Row],[Code]],Locaties[#All],5,FALSE)</f>
        <v>2596 JP</v>
      </c>
      <c r="E175" s="212" t="str">
        <f>VLOOKUP(Ruimtestaat[[#This Row],[Code]],Locaties[#All],6,FALSE)</f>
        <v>Den Haag</v>
      </c>
      <c r="F175" s="335"/>
      <c r="G175" s="334" t="s">
        <v>1677</v>
      </c>
      <c r="H175" s="334" t="s">
        <v>1669</v>
      </c>
      <c r="I175" s="335" t="s">
        <v>1783</v>
      </c>
      <c r="J175" s="328">
        <v>5</v>
      </c>
      <c r="K175" s="336" t="str">
        <f>VLOOKUP(J175,Ruimtegroepen[],2,FALSE)</f>
        <v>Sanitair</v>
      </c>
      <c r="L175" s="212" t="s">
        <v>123</v>
      </c>
      <c r="M175" s="334" t="s">
        <v>144</v>
      </c>
      <c r="N175" s="337">
        <v>6</v>
      </c>
      <c r="O175" s="331"/>
      <c r="P175" s="332" t="str">
        <f>VLOOKUP(Ruimtestaat[[#This Row],[Ruimte code]],Ruimtegroepen[],4,FALSE)</f>
        <v>S  (Sanitair)</v>
      </c>
      <c r="Q175" s="332"/>
      <c r="R175" s="333">
        <v>40</v>
      </c>
      <c r="S175" s="333" t="s">
        <v>19</v>
      </c>
      <c r="T175" s="37"/>
      <c r="U175" s="37">
        <f>IF(R175&gt;0,IF(RIGHT(Ruimtestaat[[#This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175" s="37">
        <f>IF(U175&gt;0,VLOOKUP($J175,Ruimtegroepen[],3,FALSE)*VLOOKUP($L175,Vloersoorten[],3,FALSE)*VLOOKUP($S175,Frequenties[],3,FALSE)*VLOOKUP($A175,Locaties[],3,FALSE),0)</f>
        <v>0</v>
      </c>
      <c r="W175" s="37">
        <f>Ruimtestaat[[#This Row],[Uitvoeringen werkdagen]]*Ruimtestaat[[#This Row],[Oppervlak (netto)]]</f>
        <v>2400</v>
      </c>
      <c r="X175" s="37">
        <f>IF(V175&gt;0,Ruimtestaat[[#This Row],[Prest. (m2 /jaar) werkdagen]]/Ruimtestaat[[#This Row],[Norm (m2/uur) werkdagen]],0)</f>
        <v>0</v>
      </c>
      <c r="Y175" s="37">
        <f>Ruimtestaat[[#This Row],[uren / jaar werkdagen]]*Tariefsopbouw!$D$38</f>
        <v>0</v>
      </c>
      <c r="Z175" s="37">
        <f>IF(Ruimtestaat[[#This Row],[Frequentie weekend]]&gt;0,VALUE(LEFT(T175,1))*R175,0)</f>
        <v>0</v>
      </c>
      <c r="AA175" s="37">
        <f>IF($Z175&gt;0,VLOOKUP($J175,Ruimtegroepen[],3,FALSE)*VLOOKUP($L175,Vloersoorten[],3,FALSE)*VLOOKUP($T175,Frequenties[],3,FALSE)*VLOOKUP($A175,Locaties[],3,FALSE),0)</f>
        <v>0</v>
      </c>
      <c r="AB175" s="37">
        <f>Ruimtestaat[[#This Row],[Uitvoeringen weekend]]*Ruimtestaat[[#This Row],[Oppervlak (netto)]]</f>
        <v>0</v>
      </c>
      <c r="AC175" s="37">
        <f>IF(AA175&gt;0,Ruimtestaat[[#This Row],[Prest. (m2 /jaar) weekend]]/Ruimtestaat[[#This Row],[Norm (m2/uur) weekend]],0)</f>
        <v>0</v>
      </c>
      <c r="AD175" s="37">
        <f>Ruimtestaat[[#This Row],[uren / jaar weekend]]*Tariefsopbouw!$D$40</f>
        <v>0</v>
      </c>
      <c r="AE175" s="89">
        <f>Ruimtestaat[[#This Row],[Prest. (m2 /jaar) weekend]]+Ruimtestaat[[#This Row],[Prest. (m2 /jaar) werkdagen]]</f>
        <v>2400</v>
      </c>
      <c r="AF175" s="89">
        <f>Ruimtestaat[[#This Row],[uren / jaar weekend]]+Ruimtestaat[[#This Row],[uren / jaar werkdagen]]</f>
        <v>0</v>
      </c>
      <c r="AG175" s="90">
        <f>Ruimtestaat[[#This Row],[kosten / jaar weekend]]+Ruimtestaat[[#This Row],[kosten / jaar werkdagen]]</f>
        <v>0</v>
      </c>
      <c r="AH175" s="253"/>
      <c r="AI175" s="252" t="str">
        <f>IF(Ruimtestaat[[#This Row],[Frequentie werkdagen]]="","",_xlfn.CONCAT(Ruimtestaat[[#This Row],[Ruimte code]],"-",Ruimtestaat[[#This Row],[Frequentie werkdagen]]," ",Ruimtestaat[[#This Row],[Vloer code]]))</f>
        <v>5-10w P</v>
      </c>
      <c r="AJ175" s="247" t="str">
        <f>_xlfn.IFNA(VLOOKUP(Ruimtestaat[[#This Row],[Programmacode
Regulier]],Programma!$F$4:$Y$36148,2,0),"_")</f>
        <v>_</v>
      </c>
      <c r="AK175" s="247" t="str">
        <f>_xlfn.IFNA(VLOOKUP(Ruimtestaat[[#This Row],[Programmacode
Regulier]],Programma!$F$4:$Y$36148,3,0),"_")</f>
        <v>_</v>
      </c>
      <c r="AL175" s="247" t="str">
        <f>_xlfn.IFNA(VLOOKUP(Ruimtestaat[[#This Row],[Programmacode
Regulier]],Programma!$F$4:$Y$36148,4,0),"_")</f>
        <v>_</v>
      </c>
      <c r="AM175" s="247" t="str">
        <f>_xlfn.IFNA(VLOOKUP(Ruimtestaat[[#This Row],[Programmacode
Regulier]],Programma!$F$4:$Y$36148,5,0),"_")</f>
        <v>4w</v>
      </c>
      <c r="AN175" s="247" t="str">
        <f>_xlfn.IFNA(VLOOKUP(Ruimtestaat[[#This Row],[Programmacode
Regulier]],Programma!$F$4:$Y$36148,6,0),"_")</f>
        <v>1w</v>
      </c>
      <c r="AO175" s="247" t="str">
        <f>_xlfn.IFNA(VLOOKUP(Ruimtestaat[[#This Row],[Programmacode
Regulier]],Programma!$F$4:$Y$36148,7,0),"_")</f>
        <v>_</v>
      </c>
      <c r="AP175" s="247" t="str">
        <f>_xlfn.IFNA(VLOOKUP(Ruimtestaat[[#This Row],[Programmacode
Regulier]],Programma!$F$4:$Y$36148,8,0),"_")</f>
        <v>_</v>
      </c>
      <c r="AQ175" s="247" t="str">
        <f>_xlfn.IFNA(VLOOKUP(Ruimtestaat[[#This Row],[Programmacode
Regulier]],Programma!$F$4:$Y$36148,9,0),"_")</f>
        <v>5w</v>
      </c>
      <c r="AR175" s="248" t="str">
        <f>_xlfn.IFNA(VLOOKUP(Ruimtestaat[[#This Row],[Programmacode
Regulier]],Programma!$F$4:$Y$36148,10,0),"_")</f>
        <v>_</v>
      </c>
      <c r="AS175" s="248" t="str">
        <f>_xlfn.IFNA(VLOOKUP(Ruimtestaat[[#This Row],[Programmacode
Regulier]],Programma!$F$4:$Y$36148,11,0),"_")</f>
        <v>_</v>
      </c>
      <c r="AT175" s="248" t="str">
        <f>_xlfn.IFNA(VLOOKUP(Ruimtestaat[[#This Row],[Programmacode
Regulier]],Programma!$F$4:$Y$36148,12,0),"_")</f>
        <v>_</v>
      </c>
      <c r="AU175" s="248" t="str">
        <f>_xlfn.IFNA(VLOOKUP(Ruimtestaat[[#This Row],[Programmacode
Regulier]],Programma!$F$4:$Y$36148,13,0),"_")</f>
        <v>_</v>
      </c>
      <c r="AV175" s="248" t="str">
        <f>_xlfn.IFNA(VLOOKUP(Ruimtestaat[[#This Row],[Programmacode
Regulier]],Programma!$F$4:$Y$36148,14,0),"_")</f>
        <v>_</v>
      </c>
      <c r="AW175" s="248" t="str">
        <f>_xlfn.IFNA(VLOOKUP(Ruimtestaat[[#This Row],[Programmacode
Regulier]],Programma!$F$4:$Y$36148,15,0),"_")</f>
        <v>_</v>
      </c>
      <c r="AX175" s="248" t="str">
        <f>_xlfn.IFNA(VLOOKUP(Ruimtestaat[[#This Row],[Programmacode
Regulier]],Programma!$F$4:$Y$36148,16,0),"_")</f>
        <v>_</v>
      </c>
      <c r="AY175" s="248" t="str">
        <f>_xlfn.IFNA(VLOOKUP(Ruimtestaat[[#This Row],[Programmacode
Regulier]],Programma!$F$4:$Y$36148,17,0),"_")</f>
        <v>_</v>
      </c>
      <c r="AZ175" s="249" t="str">
        <f>_xlfn.IFNA(VLOOKUP(Ruimtestaat[[#This Row],[Programmacode
Regulier]],Programma!$F$4:$Y$36148,18,0),"_")</f>
        <v>4w</v>
      </c>
      <c r="BA175" s="249" t="str">
        <f>_xlfn.IFNA(VLOOKUP(Ruimtestaat[[#This Row],[Programmacode
Regulier]],Programma!$F$4:$Y$36148,19,0),"_")</f>
        <v>1w</v>
      </c>
      <c r="BB175" s="249" t="str">
        <f>_xlfn.IFNA(VLOOKUP(Ruimtestaat[[#This Row],[Programmacode
Regulier]],Programma!$F$4:$Y$36148,20,0),"_")</f>
        <v>5w</v>
      </c>
      <c r="BC175" s="250"/>
      <c r="BD175" s="212" t="str">
        <f>IF(Ruimtestaat[[#This Row],[Frequentie weekend]]="","",_xlfn.CONCAT(Ruimtestaat[[#This Row],[Ruimte code]],"-",Ruimtestaat[[#This Row],[Frequentie weekend]]," ",Ruimtestaat[[#This Row],[Vloer code]]))</f>
        <v/>
      </c>
      <c r="BE175" s="247" t="str">
        <f>_xlfn.IFNA(VLOOKUP(Ruimtestaat[[#This Row],[Code Weekend]],Programma!$F$4:$Y$36148,2,0),"_")</f>
        <v>_</v>
      </c>
      <c r="BF175" s="247" t="str">
        <f>_xlfn.IFNA(VLOOKUP(Ruimtestaat[[#This Row],[Code Weekend]],Programma!$F$4:$Y$36148,3,0),"_")</f>
        <v>_</v>
      </c>
      <c r="BG175" s="247" t="str">
        <f>_xlfn.IFNA(VLOOKUP(Ruimtestaat[[#This Row],[Code Weekend]],Programma!$F$4:$Y$36148,4,0),"_")</f>
        <v>_</v>
      </c>
      <c r="BH175" s="247" t="str">
        <f>_xlfn.IFNA(VLOOKUP(Ruimtestaat[[#This Row],[Code Weekend]],Programma!$F$4:$Y$36148,5,0),"_")</f>
        <v>_</v>
      </c>
      <c r="BI175" s="247" t="str">
        <f>_xlfn.IFNA(VLOOKUP(Ruimtestaat[[#This Row],[Code Weekend]],Programma!$F$4:$Y$36148,6,0),"_")</f>
        <v>_</v>
      </c>
      <c r="BJ175" s="247" t="str">
        <f>_xlfn.IFNA(VLOOKUP(Ruimtestaat[[#This Row],[Code Weekend]],Programma!$F$4:$Y$36148,7,0),"_")</f>
        <v>_</v>
      </c>
      <c r="BK175" s="247" t="str">
        <f>_xlfn.IFNA(VLOOKUP(Ruimtestaat[[#This Row],[Code Weekend]],Programma!$F$4:$Y$36148,8,0),"_")</f>
        <v>_</v>
      </c>
      <c r="BL175" s="247" t="str">
        <f>_xlfn.IFNA(VLOOKUP(Ruimtestaat[[#This Row],[Code Weekend]],Programma!$F$4:$Y$36148,9,0),"_")</f>
        <v>_</v>
      </c>
      <c r="BM175" s="248" t="str">
        <f>_xlfn.IFNA(VLOOKUP(Ruimtestaat[[#This Row],[Code Weekend]],Programma!$F$4:$Y$36148,10,0),"_")</f>
        <v>_</v>
      </c>
      <c r="BN175" s="248" t="str">
        <f>_xlfn.IFNA(VLOOKUP(Ruimtestaat[[#This Row],[Code Weekend]],Programma!$F$4:$Y$36148,11,0),"_")</f>
        <v>_</v>
      </c>
      <c r="BO175" s="248" t="str">
        <f>_xlfn.IFNA(VLOOKUP(Ruimtestaat[[#This Row],[Code Weekend]],Programma!$F$4:$Y$36148,12,0),"_")</f>
        <v>_</v>
      </c>
      <c r="BP175" s="248" t="str">
        <f>_xlfn.IFNA(VLOOKUP(Ruimtestaat[[#This Row],[Code Weekend]],Programma!$F$4:$Y$36148,13,0),"_")</f>
        <v>_</v>
      </c>
      <c r="BQ175" s="248" t="str">
        <f>_xlfn.IFNA(VLOOKUP(Ruimtestaat[[#This Row],[Code Weekend]],Programma!$F$4:$Y$36148,14,0),"_")</f>
        <v>_</v>
      </c>
      <c r="BR175" s="248" t="str">
        <f>_xlfn.IFNA(VLOOKUP(Ruimtestaat[[#This Row],[Code Weekend]],Programma!$F$4:$Y$36148,15,0),"_")</f>
        <v>_</v>
      </c>
      <c r="BS175" s="248" t="str">
        <f>_xlfn.IFNA(VLOOKUP(Ruimtestaat[[#This Row],[Code Weekend]],Programma!$F$4:$Y$36148,16,0),"_")</f>
        <v>_</v>
      </c>
      <c r="BT175" s="248" t="str">
        <f>_xlfn.IFNA(VLOOKUP(Ruimtestaat[[#This Row],[Code Weekend]],Programma!$F$4:$Y$36148,17,0),"_")</f>
        <v>_</v>
      </c>
      <c r="BU175" s="249" t="str">
        <f>_xlfn.IFNA(VLOOKUP(Ruimtestaat[[#This Row],[Code Weekend]],Programma!$F$4:$Y$36148,18,0),"_")</f>
        <v>_</v>
      </c>
      <c r="BV175" s="249" t="str">
        <f>_xlfn.IFNA(VLOOKUP(Ruimtestaat[[#This Row],[Code Weekend]],Programma!$F$4:$Y$36148,19,0),"_")</f>
        <v>_</v>
      </c>
      <c r="BW175" s="249" t="str">
        <f>_xlfn.IFNA(VLOOKUP(Ruimtestaat[[#This Row],[Code Weekend]],Programma!$F$4:$Y$36148,20,0),"_")</f>
        <v>_</v>
      </c>
    </row>
    <row r="176" spans="1:75" ht="12.75" customHeight="1">
      <c r="A176" s="334">
        <v>1</v>
      </c>
      <c r="B176" s="334" t="str">
        <f>VLOOKUP(Ruimtestaat[[#This Row],[Code]],Locaties[#All],2,FALSE)</f>
        <v>ESH Secondary School</v>
      </c>
      <c r="C176" s="212" t="str">
        <f>VLOOKUP(Ruimtestaat[[#This Row],[Code]],Locaties[#All],4,FALSE)</f>
        <v>Oostduinlaan 50</v>
      </c>
      <c r="D176" s="212" t="str">
        <f>VLOOKUP(Ruimtestaat[[#This Row],[Code]],Locaties[#All],5,FALSE)</f>
        <v>2596 JP</v>
      </c>
      <c r="E176" s="212" t="str">
        <f>VLOOKUP(Ruimtestaat[[#This Row],[Code]],Locaties[#All],6,FALSE)</f>
        <v>Den Haag</v>
      </c>
      <c r="F176" s="335"/>
      <c r="G176" s="334" t="s">
        <v>1677</v>
      </c>
      <c r="H176" s="334" t="s">
        <v>1670</v>
      </c>
      <c r="I176" s="335" t="s">
        <v>1485</v>
      </c>
      <c r="J176" s="333">
        <v>21</v>
      </c>
      <c r="K176" s="336" t="str">
        <f>VLOOKUP(J176,Ruimtegroepen[],2,FALSE)</f>
        <v>Niet in onderhoud</v>
      </c>
      <c r="L176" s="212"/>
      <c r="M176" s="334"/>
      <c r="N176" s="337"/>
      <c r="O176" s="331">
        <v>5</v>
      </c>
      <c r="P176" s="332" t="str">
        <f>VLOOKUP(Ruimtestaat[[#This Row],[Ruimte code]],Ruimtegroepen[],4,FALSE)</f>
        <v>NIO</v>
      </c>
      <c r="Q176" s="332"/>
      <c r="R176" s="333"/>
      <c r="S176" s="333"/>
      <c r="T176" s="37"/>
      <c r="U176" s="37">
        <f>IF(R176&gt;0,IF(RIGHT(Ruimtestaat[[#This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176" s="37">
        <f>IF(U176&gt;0,VLOOKUP($J176,Ruimtegroepen[],3,FALSE)*VLOOKUP($L176,Vloersoorten[],3,FALSE)*VLOOKUP($S176,Frequenties[],3,FALSE)*VLOOKUP($A176,Locaties[],3,FALSE),0)</f>
        <v>0</v>
      </c>
      <c r="W176" s="37">
        <f>Ruimtestaat[[#This Row],[Uitvoeringen werkdagen]]*Ruimtestaat[[#This Row],[Oppervlak (netto)]]</f>
        <v>0</v>
      </c>
      <c r="X176" s="37">
        <f>IF(V176&gt;0,Ruimtestaat[[#This Row],[Prest. (m2 /jaar) werkdagen]]/Ruimtestaat[[#This Row],[Norm (m2/uur) werkdagen]],0)</f>
        <v>0</v>
      </c>
      <c r="Y176" s="37">
        <f>Ruimtestaat[[#This Row],[uren / jaar werkdagen]]*Tariefsopbouw!$D$38</f>
        <v>0</v>
      </c>
      <c r="Z176" s="37">
        <f>IF(Ruimtestaat[[#This Row],[Frequentie weekend]]&gt;0,VALUE(LEFT(T176,1))*R176,0)</f>
        <v>0</v>
      </c>
      <c r="AA176" s="37">
        <f>IF($Z176&gt;0,VLOOKUP($J176,Ruimtegroepen[],3,FALSE)*VLOOKUP($L176,Vloersoorten[],3,FALSE)*VLOOKUP($T176,Frequenties[],3,FALSE)*VLOOKUP($A176,Locaties[],3,FALSE),0)</f>
        <v>0</v>
      </c>
      <c r="AB176" s="37">
        <f>Ruimtestaat[[#This Row],[Uitvoeringen weekend]]*Ruimtestaat[[#This Row],[Oppervlak (netto)]]</f>
        <v>0</v>
      </c>
      <c r="AC176" s="37">
        <f>IF(AA176&gt;0,Ruimtestaat[[#This Row],[Prest. (m2 /jaar) weekend]]/Ruimtestaat[[#This Row],[Norm (m2/uur) weekend]],0)</f>
        <v>0</v>
      </c>
      <c r="AD176" s="37">
        <f>Ruimtestaat[[#This Row],[uren / jaar weekend]]*Tariefsopbouw!$D$40</f>
        <v>0</v>
      </c>
      <c r="AE176" s="89">
        <f>Ruimtestaat[[#This Row],[Prest. (m2 /jaar) weekend]]+Ruimtestaat[[#This Row],[Prest. (m2 /jaar) werkdagen]]</f>
        <v>0</v>
      </c>
      <c r="AF176" s="89">
        <f>Ruimtestaat[[#This Row],[uren / jaar weekend]]+Ruimtestaat[[#This Row],[uren / jaar werkdagen]]</f>
        <v>0</v>
      </c>
      <c r="AG176" s="90">
        <f>Ruimtestaat[[#This Row],[kosten / jaar weekend]]+Ruimtestaat[[#This Row],[kosten / jaar werkdagen]]</f>
        <v>0</v>
      </c>
      <c r="AH176" s="253"/>
      <c r="AI176" s="252" t="str">
        <f>IF(Ruimtestaat[[#This Row],[Frequentie werkdagen]]="","",_xlfn.CONCAT(Ruimtestaat[[#This Row],[Ruimte code]],"-",Ruimtestaat[[#This Row],[Frequentie werkdagen]]," ",Ruimtestaat[[#This Row],[Vloer code]]))</f>
        <v/>
      </c>
      <c r="AJ176" s="247" t="str">
        <f>_xlfn.IFNA(VLOOKUP(Ruimtestaat[[#This Row],[Programmacode
Regulier]],Programma!$F$4:$Y$36148,2,0),"_")</f>
        <v>_</v>
      </c>
      <c r="AK176" s="247" t="str">
        <f>_xlfn.IFNA(VLOOKUP(Ruimtestaat[[#This Row],[Programmacode
Regulier]],Programma!$F$4:$Y$36148,3,0),"_")</f>
        <v>_</v>
      </c>
      <c r="AL176" s="247" t="str">
        <f>_xlfn.IFNA(VLOOKUP(Ruimtestaat[[#This Row],[Programmacode
Regulier]],Programma!$F$4:$Y$36148,4,0),"_")</f>
        <v>_</v>
      </c>
      <c r="AM176" s="247" t="str">
        <f>_xlfn.IFNA(VLOOKUP(Ruimtestaat[[#This Row],[Programmacode
Regulier]],Programma!$F$4:$Y$36148,5,0),"_")</f>
        <v>_</v>
      </c>
      <c r="AN176" s="247" t="str">
        <f>_xlfn.IFNA(VLOOKUP(Ruimtestaat[[#This Row],[Programmacode
Regulier]],Programma!$F$4:$Y$36148,6,0),"_")</f>
        <v>_</v>
      </c>
      <c r="AO176" s="247" t="str">
        <f>_xlfn.IFNA(VLOOKUP(Ruimtestaat[[#This Row],[Programmacode
Regulier]],Programma!$F$4:$Y$36148,7,0),"_")</f>
        <v>_</v>
      </c>
      <c r="AP176" s="247" t="str">
        <f>_xlfn.IFNA(VLOOKUP(Ruimtestaat[[#This Row],[Programmacode
Regulier]],Programma!$F$4:$Y$36148,8,0),"_")</f>
        <v>_</v>
      </c>
      <c r="AQ176" s="247" t="str">
        <f>_xlfn.IFNA(VLOOKUP(Ruimtestaat[[#This Row],[Programmacode
Regulier]],Programma!$F$4:$Y$36148,9,0),"_")</f>
        <v>_</v>
      </c>
      <c r="AR176" s="248" t="str">
        <f>_xlfn.IFNA(VLOOKUP(Ruimtestaat[[#This Row],[Programmacode
Regulier]],Programma!$F$4:$Y$36148,10,0),"_")</f>
        <v>_</v>
      </c>
      <c r="AS176" s="248" t="str">
        <f>_xlfn.IFNA(VLOOKUP(Ruimtestaat[[#This Row],[Programmacode
Regulier]],Programma!$F$4:$Y$36148,11,0),"_")</f>
        <v>_</v>
      </c>
      <c r="AT176" s="248" t="str">
        <f>_xlfn.IFNA(VLOOKUP(Ruimtestaat[[#This Row],[Programmacode
Regulier]],Programma!$F$4:$Y$36148,12,0),"_")</f>
        <v>_</v>
      </c>
      <c r="AU176" s="248" t="str">
        <f>_xlfn.IFNA(VLOOKUP(Ruimtestaat[[#This Row],[Programmacode
Regulier]],Programma!$F$4:$Y$36148,13,0),"_")</f>
        <v>_</v>
      </c>
      <c r="AV176" s="248" t="str">
        <f>_xlfn.IFNA(VLOOKUP(Ruimtestaat[[#This Row],[Programmacode
Regulier]],Programma!$F$4:$Y$36148,14,0),"_")</f>
        <v>_</v>
      </c>
      <c r="AW176" s="248" t="str">
        <f>_xlfn.IFNA(VLOOKUP(Ruimtestaat[[#This Row],[Programmacode
Regulier]],Programma!$F$4:$Y$36148,15,0),"_")</f>
        <v>_</v>
      </c>
      <c r="AX176" s="248" t="str">
        <f>_xlfn.IFNA(VLOOKUP(Ruimtestaat[[#This Row],[Programmacode
Regulier]],Programma!$F$4:$Y$36148,16,0),"_")</f>
        <v>_</v>
      </c>
      <c r="AY176" s="248" t="str">
        <f>_xlfn.IFNA(VLOOKUP(Ruimtestaat[[#This Row],[Programmacode
Regulier]],Programma!$F$4:$Y$36148,17,0),"_")</f>
        <v>_</v>
      </c>
      <c r="AZ176" s="249" t="str">
        <f>_xlfn.IFNA(VLOOKUP(Ruimtestaat[[#This Row],[Programmacode
Regulier]],Programma!$F$4:$Y$36148,18,0),"_")</f>
        <v>_</v>
      </c>
      <c r="BA176" s="249" t="str">
        <f>_xlfn.IFNA(VLOOKUP(Ruimtestaat[[#This Row],[Programmacode
Regulier]],Programma!$F$4:$Y$36148,19,0),"_")</f>
        <v>_</v>
      </c>
      <c r="BB176" s="249" t="str">
        <f>_xlfn.IFNA(VLOOKUP(Ruimtestaat[[#This Row],[Programmacode
Regulier]],Programma!$F$4:$Y$36148,20,0),"_")</f>
        <v>_</v>
      </c>
      <c r="BC176" s="250"/>
      <c r="BD176" s="212" t="str">
        <f>IF(Ruimtestaat[[#This Row],[Frequentie weekend]]="","",_xlfn.CONCAT(Ruimtestaat[[#This Row],[Ruimte code]],"-",Ruimtestaat[[#This Row],[Frequentie weekend]]," ",Ruimtestaat[[#This Row],[Vloer code]]))</f>
        <v/>
      </c>
      <c r="BE176" s="247" t="str">
        <f>_xlfn.IFNA(VLOOKUP(Ruimtestaat[[#This Row],[Code Weekend]],Programma!$F$4:$Y$36148,2,0),"_")</f>
        <v>_</v>
      </c>
      <c r="BF176" s="247" t="str">
        <f>_xlfn.IFNA(VLOOKUP(Ruimtestaat[[#This Row],[Code Weekend]],Programma!$F$4:$Y$36148,3,0),"_")</f>
        <v>_</v>
      </c>
      <c r="BG176" s="247" t="str">
        <f>_xlfn.IFNA(VLOOKUP(Ruimtestaat[[#This Row],[Code Weekend]],Programma!$F$4:$Y$36148,4,0),"_")</f>
        <v>_</v>
      </c>
      <c r="BH176" s="247" t="str">
        <f>_xlfn.IFNA(VLOOKUP(Ruimtestaat[[#This Row],[Code Weekend]],Programma!$F$4:$Y$36148,5,0),"_")</f>
        <v>_</v>
      </c>
      <c r="BI176" s="247" t="str">
        <f>_xlfn.IFNA(VLOOKUP(Ruimtestaat[[#This Row],[Code Weekend]],Programma!$F$4:$Y$36148,6,0),"_")</f>
        <v>_</v>
      </c>
      <c r="BJ176" s="247" t="str">
        <f>_xlfn.IFNA(VLOOKUP(Ruimtestaat[[#This Row],[Code Weekend]],Programma!$F$4:$Y$36148,7,0),"_")</f>
        <v>_</v>
      </c>
      <c r="BK176" s="247" t="str">
        <f>_xlfn.IFNA(VLOOKUP(Ruimtestaat[[#This Row],[Code Weekend]],Programma!$F$4:$Y$36148,8,0),"_")</f>
        <v>_</v>
      </c>
      <c r="BL176" s="247" t="str">
        <f>_xlfn.IFNA(VLOOKUP(Ruimtestaat[[#This Row],[Code Weekend]],Programma!$F$4:$Y$36148,9,0),"_")</f>
        <v>_</v>
      </c>
      <c r="BM176" s="248" t="str">
        <f>_xlfn.IFNA(VLOOKUP(Ruimtestaat[[#This Row],[Code Weekend]],Programma!$F$4:$Y$36148,10,0),"_")</f>
        <v>_</v>
      </c>
      <c r="BN176" s="248" t="str">
        <f>_xlfn.IFNA(VLOOKUP(Ruimtestaat[[#This Row],[Code Weekend]],Programma!$F$4:$Y$36148,11,0),"_")</f>
        <v>_</v>
      </c>
      <c r="BO176" s="248" t="str">
        <f>_xlfn.IFNA(VLOOKUP(Ruimtestaat[[#This Row],[Code Weekend]],Programma!$F$4:$Y$36148,12,0),"_")</f>
        <v>_</v>
      </c>
      <c r="BP176" s="248" t="str">
        <f>_xlfn.IFNA(VLOOKUP(Ruimtestaat[[#This Row],[Code Weekend]],Programma!$F$4:$Y$36148,13,0),"_")</f>
        <v>_</v>
      </c>
      <c r="BQ176" s="248" t="str">
        <f>_xlfn.IFNA(VLOOKUP(Ruimtestaat[[#This Row],[Code Weekend]],Programma!$F$4:$Y$36148,14,0),"_")</f>
        <v>_</v>
      </c>
      <c r="BR176" s="248" t="str">
        <f>_xlfn.IFNA(VLOOKUP(Ruimtestaat[[#This Row],[Code Weekend]],Programma!$F$4:$Y$36148,15,0),"_")</f>
        <v>_</v>
      </c>
      <c r="BS176" s="248" t="str">
        <f>_xlfn.IFNA(VLOOKUP(Ruimtestaat[[#This Row],[Code Weekend]],Programma!$F$4:$Y$36148,16,0),"_")</f>
        <v>_</v>
      </c>
      <c r="BT176" s="248" t="str">
        <f>_xlfn.IFNA(VLOOKUP(Ruimtestaat[[#This Row],[Code Weekend]],Programma!$F$4:$Y$36148,17,0),"_")</f>
        <v>_</v>
      </c>
      <c r="BU176" s="249" t="str">
        <f>_xlfn.IFNA(VLOOKUP(Ruimtestaat[[#This Row],[Code Weekend]],Programma!$F$4:$Y$36148,18,0),"_")</f>
        <v>_</v>
      </c>
      <c r="BV176" s="249" t="str">
        <f>_xlfn.IFNA(VLOOKUP(Ruimtestaat[[#This Row],[Code Weekend]],Programma!$F$4:$Y$36148,19,0),"_")</f>
        <v>_</v>
      </c>
      <c r="BW176" s="249" t="str">
        <f>_xlfn.IFNA(VLOOKUP(Ruimtestaat[[#This Row],[Code Weekend]],Programma!$F$4:$Y$36148,20,0),"_")</f>
        <v>_</v>
      </c>
    </row>
    <row r="177" spans="1:75" ht="12.75" customHeight="1">
      <c r="A177" s="334">
        <v>1</v>
      </c>
      <c r="B177" s="334" t="str">
        <f>VLOOKUP(Ruimtestaat[[#This Row],[Code]],Locaties[#All],2,FALSE)</f>
        <v>ESH Secondary School</v>
      </c>
      <c r="C177" s="212" t="str">
        <f>VLOOKUP(Ruimtestaat[[#This Row],[Code]],Locaties[#All],4,FALSE)</f>
        <v>Oostduinlaan 50</v>
      </c>
      <c r="D177" s="212" t="str">
        <f>VLOOKUP(Ruimtestaat[[#This Row],[Code]],Locaties[#All],5,FALSE)</f>
        <v>2596 JP</v>
      </c>
      <c r="E177" s="212" t="str">
        <f>VLOOKUP(Ruimtestaat[[#This Row],[Code]],Locaties[#All],6,FALSE)</f>
        <v>Den Haag</v>
      </c>
      <c r="F177" s="335"/>
      <c r="G177" s="334" t="s">
        <v>1677</v>
      </c>
      <c r="H177" s="334" t="s">
        <v>1671</v>
      </c>
      <c r="I177" s="335" t="s">
        <v>1784</v>
      </c>
      <c r="J177" s="333">
        <v>16</v>
      </c>
      <c r="K177" s="336" t="str">
        <f>VLOOKUP(J177,Ruimtegroepen[],2,FALSE)</f>
        <v>Leslokalen</v>
      </c>
      <c r="L177" s="212" t="s">
        <v>123</v>
      </c>
      <c r="M177" s="334" t="s">
        <v>144</v>
      </c>
      <c r="N177" s="337">
        <v>59</v>
      </c>
      <c r="O177" s="331"/>
      <c r="P177" s="332" t="str">
        <f>VLOOKUP(Ruimtestaat[[#This Row],[Ruimte code]],Ruimtegroepen[],4,FALSE)</f>
        <v>L  (Lesruimte)</v>
      </c>
      <c r="Q177" s="332"/>
      <c r="R177" s="333">
        <v>40</v>
      </c>
      <c r="S177" s="333" t="s">
        <v>2</v>
      </c>
      <c r="T177" s="37"/>
      <c r="U177" s="37">
        <f>IF(R177&gt;0,IF(RIGHT(Ruimtestaat[[#This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77" s="37">
        <f>IF(U177&gt;0,VLOOKUP($J177,Ruimtegroepen[],3,FALSE)*VLOOKUP($L177,Vloersoorten[],3,FALSE)*VLOOKUP($S177,Frequenties[],3,FALSE)*VLOOKUP($A177,Locaties[],3,FALSE),0)</f>
        <v>0</v>
      </c>
      <c r="W177" s="37">
        <f>Ruimtestaat[[#This Row],[Uitvoeringen werkdagen]]*Ruimtestaat[[#This Row],[Oppervlak (netto)]]</f>
        <v>11800</v>
      </c>
      <c r="X177" s="37">
        <f>IF(V177&gt;0,Ruimtestaat[[#This Row],[Prest. (m2 /jaar) werkdagen]]/Ruimtestaat[[#This Row],[Norm (m2/uur) werkdagen]],0)</f>
        <v>0</v>
      </c>
      <c r="Y177" s="37">
        <f>Ruimtestaat[[#This Row],[uren / jaar werkdagen]]*Tariefsopbouw!$D$38</f>
        <v>0</v>
      </c>
      <c r="Z177" s="37">
        <f>IF(Ruimtestaat[[#This Row],[Frequentie weekend]]&gt;0,VALUE(LEFT(T177,1))*R177,0)</f>
        <v>0</v>
      </c>
      <c r="AA177" s="37">
        <f>IF($Z177&gt;0,VLOOKUP($J177,Ruimtegroepen[],3,FALSE)*VLOOKUP($L177,Vloersoorten[],3,FALSE)*VLOOKUP($T177,Frequenties[],3,FALSE)*VLOOKUP($A177,Locaties[],3,FALSE),0)</f>
        <v>0</v>
      </c>
      <c r="AB177" s="37">
        <f>Ruimtestaat[[#This Row],[Uitvoeringen weekend]]*Ruimtestaat[[#This Row],[Oppervlak (netto)]]</f>
        <v>0</v>
      </c>
      <c r="AC177" s="37">
        <f>IF(AA177&gt;0,Ruimtestaat[[#This Row],[Prest. (m2 /jaar) weekend]]/Ruimtestaat[[#This Row],[Norm (m2/uur) weekend]],0)</f>
        <v>0</v>
      </c>
      <c r="AD177" s="37">
        <f>Ruimtestaat[[#This Row],[uren / jaar weekend]]*Tariefsopbouw!$D$40</f>
        <v>0</v>
      </c>
      <c r="AE177" s="89">
        <f>Ruimtestaat[[#This Row],[Prest. (m2 /jaar) weekend]]+Ruimtestaat[[#This Row],[Prest. (m2 /jaar) werkdagen]]</f>
        <v>11800</v>
      </c>
      <c r="AF177" s="89">
        <f>Ruimtestaat[[#This Row],[uren / jaar weekend]]+Ruimtestaat[[#This Row],[uren / jaar werkdagen]]</f>
        <v>0</v>
      </c>
      <c r="AG177" s="90">
        <f>Ruimtestaat[[#This Row],[kosten / jaar weekend]]+Ruimtestaat[[#This Row],[kosten / jaar werkdagen]]</f>
        <v>0</v>
      </c>
      <c r="AH177" s="253"/>
      <c r="AI177" s="252" t="str">
        <f>IF(Ruimtestaat[[#This Row],[Frequentie werkdagen]]="","",_xlfn.CONCAT(Ruimtestaat[[#This Row],[Ruimte code]],"-",Ruimtestaat[[#This Row],[Frequentie werkdagen]]," ",Ruimtestaat[[#This Row],[Vloer code]]))</f>
        <v>16-5w P</v>
      </c>
      <c r="AJ177" s="247" t="str">
        <f>_xlfn.IFNA(VLOOKUP(Ruimtestaat[[#This Row],[Programmacode
Regulier]],Programma!$F$4:$Y$36148,2,0),"_")</f>
        <v>_</v>
      </c>
      <c r="AK177" s="247" t="str">
        <f>_xlfn.IFNA(VLOOKUP(Ruimtestaat[[#This Row],[Programmacode
Regulier]],Programma!$F$4:$Y$36148,3,0),"_")</f>
        <v>_</v>
      </c>
      <c r="AL177" s="247" t="str">
        <f>_xlfn.IFNA(VLOOKUP(Ruimtestaat[[#This Row],[Programmacode
Regulier]],Programma!$F$4:$Y$36148,4,0),"_")</f>
        <v>5w</v>
      </c>
      <c r="AM177" s="247" t="str">
        <f>_xlfn.IFNA(VLOOKUP(Ruimtestaat[[#This Row],[Programmacode
Regulier]],Programma!$F$4:$Y$36148,5,0),"_")</f>
        <v>1w</v>
      </c>
      <c r="AN177" s="247" t="str">
        <f>_xlfn.IFNA(VLOOKUP(Ruimtestaat[[#This Row],[Programmacode
Regulier]],Programma!$F$4:$Y$36148,6,0),"_")</f>
        <v>1m</v>
      </c>
      <c r="AO177" s="247" t="str">
        <f>_xlfn.IFNA(VLOOKUP(Ruimtestaat[[#This Row],[Programmacode
Regulier]],Programma!$F$4:$Y$36148,7,0),"_")</f>
        <v>_</v>
      </c>
      <c r="AP177" s="247" t="str">
        <f>_xlfn.IFNA(VLOOKUP(Ruimtestaat[[#This Row],[Programmacode
Regulier]],Programma!$F$4:$Y$36148,8,0),"_")</f>
        <v>_</v>
      </c>
      <c r="AQ177" s="247" t="str">
        <f>_xlfn.IFNA(VLOOKUP(Ruimtestaat[[#This Row],[Programmacode
Regulier]],Programma!$F$4:$Y$36148,9,0),"_")</f>
        <v>_</v>
      </c>
      <c r="AR177" s="248" t="str">
        <f>_xlfn.IFNA(VLOOKUP(Ruimtestaat[[#This Row],[Programmacode
Regulier]],Programma!$F$4:$Y$36148,10,0),"_")</f>
        <v>5w</v>
      </c>
      <c r="AS177" s="248" t="str">
        <f>_xlfn.IFNA(VLOOKUP(Ruimtestaat[[#This Row],[Programmacode
Regulier]],Programma!$F$4:$Y$36148,11,0),"_")</f>
        <v>5w</v>
      </c>
      <c r="AT177" s="248" t="str">
        <f>_xlfn.IFNA(VLOOKUP(Ruimtestaat[[#This Row],[Programmacode
Regulier]],Programma!$F$4:$Y$36148,12,0),"_")</f>
        <v>1w</v>
      </c>
      <c r="AU177" s="248" t="str">
        <f>_xlfn.IFNA(VLOOKUP(Ruimtestaat[[#This Row],[Programmacode
Regulier]],Programma!$F$4:$Y$36148,13,0),"_")</f>
        <v>1w</v>
      </c>
      <c r="AV177" s="248" t="str">
        <f>_xlfn.IFNA(VLOOKUP(Ruimtestaat[[#This Row],[Programmacode
Regulier]],Programma!$F$4:$Y$36148,14,0),"_")</f>
        <v>1m</v>
      </c>
      <c r="AW177" s="248" t="str">
        <f>_xlfn.IFNA(VLOOKUP(Ruimtestaat[[#This Row],[Programmacode
Regulier]],Programma!$F$4:$Y$36148,15,0),"_")</f>
        <v>2j</v>
      </c>
      <c r="AX177" s="248" t="str">
        <f>_xlfn.IFNA(VLOOKUP(Ruimtestaat[[#This Row],[Programmacode
Regulier]],Programma!$F$4:$Y$36148,16,0),"_")</f>
        <v>1j</v>
      </c>
      <c r="AY177" s="248" t="str">
        <f>_xlfn.IFNA(VLOOKUP(Ruimtestaat[[#This Row],[Programmacode
Regulier]],Programma!$F$4:$Y$36148,17,0),"_")</f>
        <v>_</v>
      </c>
      <c r="AZ177" s="249" t="str">
        <f>_xlfn.IFNA(VLOOKUP(Ruimtestaat[[#This Row],[Programmacode
Regulier]],Programma!$F$4:$Y$36148,18,0),"_")</f>
        <v>_</v>
      </c>
      <c r="BA177" s="249" t="str">
        <f>_xlfn.IFNA(VLOOKUP(Ruimtestaat[[#This Row],[Programmacode
Regulier]],Programma!$F$4:$Y$36148,19,0),"_")</f>
        <v>_</v>
      </c>
      <c r="BB177" s="249" t="str">
        <f>_xlfn.IFNA(VLOOKUP(Ruimtestaat[[#This Row],[Programmacode
Regulier]],Programma!$F$4:$Y$36148,20,0),"_")</f>
        <v>_</v>
      </c>
      <c r="BC177" s="250"/>
      <c r="BD177" s="212" t="str">
        <f>IF(Ruimtestaat[[#This Row],[Frequentie weekend]]="","",_xlfn.CONCAT(Ruimtestaat[[#This Row],[Ruimte code]],"-",Ruimtestaat[[#This Row],[Frequentie weekend]]," ",Ruimtestaat[[#This Row],[Vloer code]]))</f>
        <v/>
      </c>
      <c r="BE177" s="247" t="str">
        <f>_xlfn.IFNA(VLOOKUP(Ruimtestaat[[#This Row],[Code Weekend]],Programma!$F$4:$Y$36148,2,0),"_")</f>
        <v>_</v>
      </c>
      <c r="BF177" s="247" t="str">
        <f>_xlfn.IFNA(VLOOKUP(Ruimtestaat[[#This Row],[Code Weekend]],Programma!$F$4:$Y$36148,3,0),"_")</f>
        <v>_</v>
      </c>
      <c r="BG177" s="247" t="str">
        <f>_xlfn.IFNA(VLOOKUP(Ruimtestaat[[#This Row],[Code Weekend]],Programma!$F$4:$Y$36148,4,0),"_")</f>
        <v>_</v>
      </c>
      <c r="BH177" s="247" t="str">
        <f>_xlfn.IFNA(VLOOKUP(Ruimtestaat[[#This Row],[Code Weekend]],Programma!$F$4:$Y$36148,5,0),"_")</f>
        <v>_</v>
      </c>
      <c r="BI177" s="247" t="str">
        <f>_xlfn.IFNA(VLOOKUP(Ruimtestaat[[#This Row],[Code Weekend]],Programma!$F$4:$Y$36148,6,0),"_")</f>
        <v>_</v>
      </c>
      <c r="BJ177" s="247" t="str">
        <f>_xlfn.IFNA(VLOOKUP(Ruimtestaat[[#This Row],[Code Weekend]],Programma!$F$4:$Y$36148,7,0),"_")</f>
        <v>_</v>
      </c>
      <c r="BK177" s="247" t="str">
        <f>_xlfn.IFNA(VLOOKUP(Ruimtestaat[[#This Row],[Code Weekend]],Programma!$F$4:$Y$36148,8,0),"_")</f>
        <v>_</v>
      </c>
      <c r="BL177" s="247" t="str">
        <f>_xlfn.IFNA(VLOOKUP(Ruimtestaat[[#This Row],[Code Weekend]],Programma!$F$4:$Y$36148,9,0),"_")</f>
        <v>_</v>
      </c>
      <c r="BM177" s="248" t="str">
        <f>_xlfn.IFNA(VLOOKUP(Ruimtestaat[[#This Row],[Code Weekend]],Programma!$F$4:$Y$36148,10,0),"_")</f>
        <v>_</v>
      </c>
      <c r="BN177" s="248" t="str">
        <f>_xlfn.IFNA(VLOOKUP(Ruimtestaat[[#This Row],[Code Weekend]],Programma!$F$4:$Y$36148,11,0),"_")</f>
        <v>_</v>
      </c>
      <c r="BO177" s="248" t="str">
        <f>_xlfn.IFNA(VLOOKUP(Ruimtestaat[[#This Row],[Code Weekend]],Programma!$F$4:$Y$36148,12,0),"_")</f>
        <v>_</v>
      </c>
      <c r="BP177" s="248" t="str">
        <f>_xlfn.IFNA(VLOOKUP(Ruimtestaat[[#This Row],[Code Weekend]],Programma!$F$4:$Y$36148,13,0),"_")</f>
        <v>_</v>
      </c>
      <c r="BQ177" s="248" t="str">
        <f>_xlfn.IFNA(VLOOKUP(Ruimtestaat[[#This Row],[Code Weekend]],Programma!$F$4:$Y$36148,14,0),"_")</f>
        <v>_</v>
      </c>
      <c r="BR177" s="248" t="str">
        <f>_xlfn.IFNA(VLOOKUP(Ruimtestaat[[#This Row],[Code Weekend]],Programma!$F$4:$Y$36148,15,0),"_")</f>
        <v>_</v>
      </c>
      <c r="BS177" s="248" t="str">
        <f>_xlfn.IFNA(VLOOKUP(Ruimtestaat[[#This Row],[Code Weekend]],Programma!$F$4:$Y$36148,16,0),"_")</f>
        <v>_</v>
      </c>
      <c r="BT177" s="248" t="str">
        <f>_xlfn.IFNA(VLOOKUP(Ruimtestaat[[#This Row],[Code Weekend]],Programma!$F$4:$Y$36148,17,0),"_")</f>
        <v>_</v>
      </c>
      <c r="BU177" s="249" t="str">
        <f>_xlfn.IFNA(VLOOKUP(Ruimtestaat[[#This Row],[Code Weekend]],Programma!$F$4:$Y$36148,18,0),"_")</f>
        <v>_</v>
      </c>
      <c r="BV177" s="249" t="str">
        <f>_xlfn.IFNA(VLOOKUP(Ruimtestaat[[#This Row],[Code Weekend]],Programma!$F$4:$Y$36148,19,0),"_")</f>
        <v>_</v>
      </c>
      <c r="BW177" s="249" t="str">
        <f>_xlfn.IFNA(VLOOKUP(Ruimtestaat[[#This Row],[Code Weekend]],Programma!$F$4:$Y$36148,20,0),"_")</f>
        <v>_</v>
      </c>
    </row>
    <row r="178" spans="1:75" ht="12.75" customHeight="1">
      <c r="A178" s="334">
        <v>1</v>
      </c>
      <c r="B178" s="334" t="str">
        <f>VLOOKUP(Ruimtestaat[[#This Row],[Code]],Locaties[#All],2,FALSE)</f>
        <v>ESH Secondary School</v>
      </c>
      <c r="C178" s="212" t="str">
        <f>VLOOKUP(Ruimtestaat[[#This Row],[Code]],Locaties[#All],4,FALSE)</f>
        <v>Oostduinlaan 50</v>
      </c>
      <c r="D178" s="212" t="str">
        <f>VLOOKUP(Ruimtestaat[[#This Row],[Code]],Locaties[#All],5,FALSE)</f>
        <v>2596 JP</v>
      </c>
      <c r="E178" s="212" t="str">
        <f>VLOOKUP(Ruimtestaat[[#This Row],[Code]],Locaties[#All],6,FALSE)</f>
        <v>Den Haag</v>
      </c>
      <c r="F178" s="335"/>
      <c r="G178" s="334" t="s">
        <v>1677</v>
      </c>
      <c r="H178" s="334" t="s">
        <v>1672</v>
      </c>
      <c r="I178" s="335" t="s">
        <v>1688</v>
      </c>
      <c r="J178" s="333">
        <v>16</v>
      </c>
      <c r="K178" s="336" t="str">
        <f>VLOOKUP(J178,Ruimtegroepen[],2,FALSE)</f>
        <v>Leslokalen</v>
      </c>
      <c r="L178" s="212" t="s">
        <v>123</v>
      </c>
      <c r="M178" s="334" t="s">
        <v>144</v>
      </c>
      <c r="N178" s="337">
        <v>39</v>
      </c>
      <c r="O178" s="331"/>
      <c r="P178" s="332" t="str">
        <f>VLOOKUP(Ruimtestaat[[#This Row],[Ruimte code]],Ruimtegroepen[],4,FALSE)</f>
        <v>L  (Lesruimte)</v>
      </c>
      <c r="Q178" s="332"/>
      <c r="R178" s="333">
        <v>40</v>
      </c>
      <c r="S178" s="333" t="s">
        <v>2</v>
      </c>
      <c r="T178" s="37"/>
      <c r="U178" s="37">
        <f>IF(R178&gt;0,IF(RIGHT(Ruimtestaat[[#This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78" s="37">
        <f>IF(U178&gt;0,VLOOKUP($J178,Ruimtegroepen[],3,FALSE)*VLOOKUP($L178,Vloersoorten[],3,FALSE)*VLOOKUP($S178,Frequenties[],3,FALSE)*VLOOKUP($A178,Locaties[],3,FALSE),0)</f>
        <v>0</v>
      </c>
      <c r="W178" s="37">
        <f>Ruimtestaat[[#This Row],[Uitvoeringen werkdagen]]*Ruimtestaat[[#This Row],[Oppervlak (netto)]]</f>
        <v>7800</v>
      </c>
      <c r="X178" s="37">
        <f>IF(V178&gt;0,Ruimtestaat[[#This Row],[Prest. (m2 /jaar) werkdagen]]/Ruimtestaat[[#This Row],[Norm (m2/uur) werkdagen]],0)</f>
        <v>0</v>
      </c>
      <c r="Y178" s="37">
        <f>Ruimtestaat[[#This Row],[uren / jaar werkdagen]]*Tariefsopbouw!$D$38</f>
        <v>0</v>
      </c>
      <c r="Z178" s="37">
        <f>IF(Ruimtestaat[[#This Row],[Frequentie weekend]]&gt;0,VALUE(LEFT(T178,1))*R178,0)</f>
        <v>0</v>
      </c>
      <c r="AA178" s="37">
        <f>IF($Z178&gt;0,VLOOKUP($J178,Ruimtegroepen[],3,FALSE)*VLOOKUP($L178,Vloersoorten[],3,FALSE)*VLOOKUP($T178,Frequenties[],3,FALSE)*VLOOKUP($A178,Locaties[],3,FALSE),0)</f>
        <v>0</v>
      </c>
      <c r="AB178" s="37">
        <f>Ruimtestaat[[#This Row],[Uitvoeringen weekend]]*Ruimtestaat[[#This Row],[Oppervlak (netto)]]</f>
        <v>0</v>
      </c>
      <c r="AC178" s="37">
        <f>IF(AA178&gt;0,Ruimtestaat[[#This Row],[Prest. (m2 /jaar) weekend]]/Ruimtestaat[[#This Row],[Norm (m2/uur) weekend]],0)</f>
        <v>0</v>
      </c>
      <c r="AD178" s="37">
        <f>Ruimtestaat[[#This Row],[uren / jaar weekend]]*Tariefsopbouw!$D$40</f>
        <v>0</v>
      </c>
      <c r="AE178" s="89">
        <f>Ruimtestaat[[#This Row],[Prest. (m2 /jaar) weekend]]+Ruimtestaat[[#This Row],[Prest. (m2 /jaar) werkdagen]]</f>
        <v>7800</v>
      </c>
      <c r="AF178" s="89">
        <f>Ruimtestaat[[#This Row],[uren / jaar weekend]]+Ruimtestaat[[#This Row],[uren / jaar werkdagen]]</f>
        <v>0</v>
      </c>
      <c r="AG178" s="90">
        <f>Ruimtestaat[[#This Row],[kosten / jaar weekend]]+Ruimtestaat[[#This Row],[kosten / jaar werkdagen]]</f>
        <v>0</v>
      </c>
      <c r="AH178" s="253"/>
      <c r="AI178" s="252" t="str">
        <f>IF(Ruimtestaat[[#This Row],[Frequentie werkdagen]]="","",_xlfn.CONCAT(Ruimtestaat[[#This Row],[Ruimte code]],"-",Ruimtestaat[[#This Row],[Frequentie werkdagen]]," ",Ruimtestaat[[#This Row],[Vloer code]]))</f>
        <v>16-5w P</v>
      </c>
      <c r="AJ178" s="247" t="str">
        <f>_xlfn.IFNA(VLOOKUP(Ruimtestaat[[#This Row],[Programmacode
Regulier]],Programma!$F$4:$Y$36148,2,0),"_")</f>
        <v>_</v>
      </c>
      <c r="AK178" s="247" t="str">
        <f>_xlfn.IFNA(VLOOKUP(Ruimtestaat[[#This Row],[Programmacode
Regulier]],Programma!$F$4:$Y$36148,3,0),"_")</f>
        <v>_</v>
      </c>
      <c r="AL178" s="247" t="str">
        <f>_xlfn.IFNA(VLOOKUP(Ruimtestaat[[#This Row],[Programmacode
Regulier]],Programma!$F$4:$Y$36148,4,0),"_")</f>
        <v>5w</v>
      </c>
      <c r="AM178" s="247" t="str">
        <f>_xlfn.IFNA(VLOOKUP(Ruimtestaat[[#This Row],[Programmacode
Regulier]],Programma!$F$4:$Y$36148,5,0),"_")</f>
        <v>1w</v>
      </c>
      <c r="AN178" s="247" t="str">
        <f>_xlfn.IFNA(VLOOKUP(Ruimtestaat[[#This Row],[Programmacode
Regulier]],Programma!$F$4:$Y$36148,6,0),"_")</f>
        <v>1m</v>
      </c>
      <c r="AO178" s="247" t="str">
        <f>_xlfn.IFNA(VLOOKUP(Ruimtestaat[[#This Row],[Programmacode
Regulier]],Programma!$F$4:$Y$36148,7,0),"_")</f>
        <v>_</v>
      </c>
      <c r="AP178" s="247" t="str">
        <f>_xlfn.IFNA(VLOOKUP(Ruimtestaat[[#This Row],[Programmacode
Regulier]],Programma!$F$4:$Y$36148,8,0),"_")</f>
        <v>_</v>
      </c>
      <c r="AQ178" s="247" t="str">
        <f>_xlfn.IFNA(VLOOKUP(Ruimtestaat[[#This Row],[Programmacode
Regulier]],Programma!$F$4:$Y$36148,9,0),"_")</f>
        <v>_</v>
      </c>
      <c r="AR178" s="248" t="str">
        <f>_xlfn.IFNA(VLOOKUP(Ruimtestaat[[#This Row],[Programmacode
Regulier]],Programma!$F$4:$Y$36148,10,0),"_")</f>
        <v>5w</v>
      </c>
      <c r="AS178" s="248" t="str">
        <f>_xlfn.IFNA(VLOOKUP(Ruimtestaat[[#This Row],[Programmacode
Regulier]],Programma!$F$4:$Y$36148,11,0),"_")</f>
        <v>5w</v>
      </c>
      <c r="AT178" s="248" t="str">
        <f>_xlfn.IFNA(VLOOKUP(Ruimtestaat[[#This Row],[Programmacode
Regulier]],Programma!$F$4:$Y$36148,12,0),"_")</f>
        <v>1w</v>
      </c>
      <c r="AU178" s="248" t="str">
        <f>_xlfn.IFNA(VLOOKUP(Ruimtestaat[[#This Row],[Programmacode
Regulier]],Programma!$F$4:$Y$36148,13,0),"_")</f>
        <v>1w</v>
      </c>
      <c r="AV178" s="248" t="str">
        <f>_xlfn.IFNA(VLOOKUP(Ruimtestaat[[#This Row],[Programmacode
Regulier]],Programma!$F$4:$Y$36148,14,0),"_")</f>
        <v>1m</v>
      </c>
      <c r="AW178" s="248" t="str">
        <f>_xlfn.IFNA(VLOOKUP(Ruimtestaat[[#This Row],[Programmacode
Regulier]],Programma!$F$4:$Y$36148,15,0),"_")</f>
        <v>2j</v>
      </c>
      <c r="AX178" s="248" t="str">
        <f>_xlfn.IFNA(VLOOKUP(Ruimtestaat[[#This Row],[Programmacode
Regulier]],Programma!$F$4:$Y$36148,16,0),"_")</f>
        <v>1j</v>
      </c>
      <c r="AY178" s="248" t="str">
        <f>_xlfn.IFNA(VLOOKUP(Ruimtestaat[[#This Row],[Programmacode
Regulier]],Programma!$F$4:$Y$36148,17,0),"_")</f>
        <v>_</v>
      </c>
      <c r="AZ178" s="249" t="str">
        <f>_xlfn.IFNA(VLOOKUP(Ruimtestaat[[#This Row],[Programmacode
Regulier]],Programma!$F$4:$Y$36148,18,0),"_")</f>
        <v>_</v>
      </c>
      <c r="BA178" s="249" t="str">
        <f>_xlfn.IFNA(VLOOKUP(Ruimtestaat[[#This Row],[Programmacode
Regulier]],Programma!$F$4:$Y$36148,19,0),"_")</f>
        <v>_</v>
      </c>
      <c r="BB178" s="249" t="str">
        <f>_xlfn.IFNA(VLOOKUP(Ruimtestaat[[#This Row],[Programmacode
Regulier]],Programma!$F$4:$Y$36148,20,0),"_")</f>
        <v>_</v>
      </c>
      <c r="BC178" s="250"/>
      <c r="BD178" s="212" t="str">
        <f>IF(Ruimtestaat[[#This Row],[Frequentie weekend]]="","",_xlfn.CONCAT(Ruimtestaat[[#This Row],[Ruimte code]],"-",Ruimtestaat[[#This Row],[Frequentie weekend]]," ",Ruimtestaat[[#This Row],[Vloer code]]))</f>
        <v/>
      </c>
      <c r="BE178" s="247" t="str">
        <f>_xlfn.IFNA(VLOOKUP(Ruimtestaat[[#This Row],[Code Weekend]],Programma!$F$4:$Y$36148,2,0),"_")</f>
        <v>_</v>
      </c>
      <c r="BF178" s="247" t="str">
        <f>_xlfn.IFNA(VLOOKUP(Ruimtestaat[[#This Row],[Code Weekend]],Programma!$F$4:$Y$36148,3,0),"_")</f>
        <v>_</v>
      </c>
      <c r="BG178" s="247" t="str">
        <f>_xlfn.IFNA(VLOOKUP(Ruimtestaat[[#This Row],[Code Weekend]],Programma!$F$4:$Y$36148,4,0),"_")</f>
        <v>_</v>
      </c>
      <c r="BH178" s="247" t="str">
        <f>_xlfn.IFNA(VLOOKUP(Ruimtestaat[[#This Row],[Code Weekend]],Programma!$F$4:$Y$36148,5,0),"_")</f>
        <v>_</v>
      </c>
      <c r="BI178" s="247" t="str">
        <f>_xlfn.IFNA(VLOOKUP(Ruimtestaat[[#This Row],[Code Weekend]],Programma!$F$4:$Y$36148,6,0),"_")</f>
        <v>_</v>
      </c>
      <c r="BJ178" s="247" t="str">
        <f>_xlfn.IFNA(VLOOKUP(Ruimtestaat[[#This Row],[Code Weekend]],Programma!$F$4:$Y$36148,7,0),"_")</f>
        <v>_</v>
      </c>
      <c r="BK178" s="247" t="str">
        <f>_xlfn.IFNA(VLOOKUP(Ruimtestaat[[#This Row],[Code Weekend]],Programma!$F$4:$Y$36148,8,0),"_")</f>
        <v>_</v>
      </c>
      <c r="BL178" s="247" t="str">
        <f>_xlfn.IFNA(VLOOKUP(Ruimtestaat[[#This Row],[Code Weekend]],Programma!$F$4:$Y$36148,9,0),"_")</f>
        <v>_</v>
      </c>
      <c r="BM178" s="248" t="str">
        <f>_xlfn.IFNA(VLOOKUP(Ruimtestaat[[#This Row],[Code Weekend]],Programma!$F$4:$Y$36148,10,0),"_")</f>
        <v>_</v>
      </c>
      <c r="BN178" s="248" t="str">
        <f>_xlfn.IFNA(VLOOKUP(Ruimtestaat[[#This Row],[Code Weekend]],Programma!$F$4:$Y$36148,11,0),"_")</f>
        <v>_</v>
      </c>
      <c r="BO178" s="248" t="str">
        <f>_xlfn.IFNA(VLOOKUP(Ruimtestaat[[#This Row],[Code Weekend]],Programma!$F$4:$Y$36148,12,0),"_")</f>
        <v>_</v>
      </c>
      <c r="BP178" s="248" t="str">
        <f>_xlfn.IFNA(VLOOKUP(Ruimtestaat[[#This Row],[Code Weekend]],Programma!$F$4:$Y$36148,13,0),"_")</f>
        <v>_</v>
      </c>
      <c r="BQ178" s="248" t="str">
        <f>_xlfn.IFNA(VLOOKUP(Ruimtestaat[[#This Row],[Code Weekend]],Programma!$F$4:$Y$36148,14,0),"_")</f>
        <v>_</v>
      </c>
      <c r="BR178" s="248" t="str">
        <f>_xlfn.IFNA(VLOOKUP(Ruimtestaat[[#This Row],[Code Weekend]],Programma!$F$4:$Y$36148,15,0),"_")</f>
        <v>_</v>
      </c>
      <c r="BS178" s="248" t="str">
        <f>_xlfn.IFNA(VLOOKUP(Ruimtestaat[[#This Row],[Code Weekend]],Programma!$F$4:$Y$36148,16,0),"_")</f>
        <v>_</v>
      </c>
      <c r="BT178" s="248" t="str">
        <f>_xlfn.IFNA(VLOOKUP(Ruimtestaat[[#This Row],[Code Weekend]],Programma!$F$4:$Y$36148,17,0),"_")</f>
        <v>_</v>
      </c>
      <c r="BU178" s="249" t="str">
        <f>_xlfn.IFNA(VLOOKUP(Ruimtestaat[[#This Row],[Code Weekend]],Programma!$F$4:$Y$36148,18,0),"_")</f>
        <v>_</v>
      </c>
      <c r="BV178" s="249" t="str">
        <f>_xlfn.IFNA(VLOOKUP(Ruimtestaat[[#This Row],[Code Weekend]],Programma!$F$4:$Y$36148,19,0),"_")</f>
        <v>_</v>
      </c>
      <c r="BW178" s="249" t="str">
        <f>_xlfn.IFNA(VLOOKUP(Ruimtestaat[[#This Row],[Code Weekend]],Programma!$F$4:$Y$36148,20,0),"_")</f>
        <v>_</v>
      </c>
    </row>
    <row r="179" spans="1:75" ht="12.75" customHeight="1">
      <c r="A179" s="334">
        <v>1</v>
      </c>
      <c r="B179" s="334" t="str">
        <f>VLOOKUP(Ruimtestaat[[#This Row],[Code]],Locaties[#All],2,FALSE)</f>
        <v>ESH Secondary School</v>
      </c>
      <c r="C179" s="212" t="str">
        <f>VLOOKUP(Ruimtestaat[[#This Row],[Code]],Locaties[#All],4,FALSE)</f>
        <v>Oostduinlaan 50</v>
      </c>
      <c r="D179" s="212" t="str">
        <f>VLOOKUP(Ruimtestaat[[#This Row],[Code]],Locaties[#All],5,FALSE)</f>
        <v>2596 JP</v>
      </c>
      <c r="E179" s="212" t="str">
        <f>VLOOKUP(Ruimtestaat[[#This Row],[Code]],Locaties[#All],6,FALSE)</f>
        <v>Den Haag</v>
      </c>
      <c r="F179" s="335"/>
      <c r="G179" s="334" t="s">
        <v>1677</v>
      </c>
      <c r="H179" s="334" t="s">
        <v>1673</v>
      </c>
      <c r="I179" s="335" t="s">
        <v>1689</v>
      </c>
      <c r="J179" s="333">
        <v>16</v>
      </c>
      <c r="K179" s="336" t="str">
        <f>VLOOKUP(J179,Ruimtegroepen[],2,FALSE)</f>
        <v>Leslokalen</v>
      </c>
      <c r="L179" s="212" t="s">
        <v>123</v>
      </c>
      <c r="M179" s="334" t="s">
        <v>144</v>
      </c>
      <c r="N179" s="337">
        <v>37</v>
      </c>
      <c r="O179" s="331"/>
      <c r="P179" s="332" t="str">
        <f>VLOOKUP(Ruimtestaat[[#This Row],[Ruimte code]],Ruimtegroepen[],4,FALSE)</f>
        <v>L  (Lesruimte)</v>
      </c>
      <c r="Q179" s="332"/>
      <c r="R179" s="333">
        <v>40</v>
      </c>
      <c r="S179" s="333" t="s">
        <v>2</v>
      </c>
      <c r="T179" s="37"/>
      <c r="U179" s="37">
        <f>IF(R179&gt;0,IF(RIGHT(Ruimtestaat[[#This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79" s="37">
        <f>IF(U179&gt;0,VLOOKUP($J179,Ruimtegroepen[],3,FALSE)*VLOOKUP($L179,Vloersoorten[],3,FALSE)*VLOOKUP($S179,Frequenties[],3,FALSE)*VLOOKUP($A179,Locaties[],3,FALSE),0)</f>
        <v>0</v>
      </c>
      <c r="W179" s="37">
        <f>Ruimtestaat[[#This Row],[Uitvoeringen werkdagen]]*Ruimtestaat[[#This Row],[Oppervlak (netto)]]</f>
        <v>7400</v>
      </c>
      <c r="X179" s="37">
        <f>IF(V179&gt;0,Ruimtestaat[[#This Row],[Prest. (m2 /jaar) werkdagen]]/Ruimtestaat[[#This Row],[Norm (m2/uur) werkdagen]],0)</f>
        <v>0</v>
      </c>
      <c r="Y179" s="37">
        <f>Ruimtestaat[[#This Row],[uren / jaar werkdagen]]*Tariefsopbouw!$D$38</f>
        <v>0</v>
      </c>
      <c r="Z179" s="37">
        <f>IF(Ruimtestaat[[#This Row],[Frequentie weekend]]&gt;0,VALUE(LEFT(T179,1))*R179,0)</f>
        <v>0</v>
      </c>
      <c r="AA179" s="37">
        <f>IF($Z179&gt;0,VLOOKUP($J179,Ruimtegroepen[],3,FALSE)*VLOOKUP($L179,Vloersoorten[],3,FALSE)*VLOOKUP($T179,Frequenties[],3,FALSE)*VLOOKUP($A179,Locaties[],3,FALSE),0)</f>
        <v>0</v>
      </c>
      <c r="AB179" s="37">
        <f>Ruimtestaat[[#This Row],[Uitvoeringen weekend]]*Ruimtestaat[[#This Row],[Oppervlak (netto)]]</f>
        <v>0</v>
      </c>
      <c r="AC179" s="37">
        <f>IF(AA179&gt;0,Ruimtestaat[[#This Row],[Prest. (m2 /jaar) weekend]]/Ruimtestaat[[#This Row],[Norm (m2/uur) weekend]],0)</f>
        <v>0</v>
      </c>
      <c r="AD179" s="37">
        <f>Ruimtestaat[[#This Row],[uren / jaar weekend]]*Tariefsopbouw!$D$40</f>
        <v>0</v>
      </c>
      <c r="AE179" s="89">
        <f>Ruimtestaat[[#This Row],[Prest. (m2 /jaar) weekend]]+Ruimtestaat[[#This Row],[Prest. (m2 /jaar) werkdagen]]</f>
        <v>7400</v>
      </c>
      <c r="AF179" s="89">
        <f>Ruimtestaat[[#This Row],[uren / jaar weekend]]+Ruimtestaat[[#This Row],[uren / jaar werkdagen]]</f>
        <v>0</v>
      </c>
      <c r="AG179" s="90">
        <f>Ruimtestaat[[#This Row],[kosten / jaar weekend]]+Ruimtestaat[[#This Row],[kosten / jaar werkdagen]]</f>
        <v>0</v>
      </c>
      <c r="AH179" s="253"/>
      <c r="AI179" s="252" t="str">
        <f>IF(Ruimtestaat[[#This Row],[Frequentie werkdagen]]="","",_xlfn.CONCAT(Ruimtestaat[[#This Row],[Ruimte code]],"-",Ruimtestaat[[#This Row],[Frequentie werkdagen]]," ",Ruimtestaat[[#This Row],[Vloer code]]))</f>
        <v>16-5w P</v>
      </c>
      <c r="AJ179" s="247" t="str">
        <f>_xlfn.IFNA(VLOOKUP(Ruimtestaat[[#This Row],[Programmacode
Regulier]],Programma!$F$4:$Y$36148,2,0),"_")</f>
        <v>_</v>
      </c>
      <c r="AK179" s="247" t="str">
        <f>_xlfn.IFNA(VLOOKUP(Ruimtestaat[[#This Row],[Programmacode
Regulier]],Programma!$F$4:$Y$36148,3,0),"_")</f>
        <v>_</v>
      </c>
      <c r="AL179" s="247" t="str">
        <f>_xlfn.IFNA(VLOOKUP(Ruimtestaat[[#This Row],[Programmacode
Regulier]],Programma!$F$4:$Y$36148,4,0),"_")</f>
        <v>5w</v>
      </c>
      <c r="AM179" s="247" t="str">
        <f>_xlfn.IFNA(VLOOKUP(Ruimtestaat[[#This Row],[Programmacode
Regulier]],Programma!$F$4:$Y$36148,5,0),"_")</f>
        <v>1w</v>
      </c>
      <c r="AN179" s="247" t="str">
        <f>_xlfn.IFNA(VLOOKUP(Ruimtestaat[[#This Row],[Programmacode
Regulier]],Programma!$F$4:$Y$36148,6,0),"_")</f>
        <v>1m</v>
      </c>
      <c r="AO179" s="247" t="str">
        <f>_xlfn.IFNA(VLOOKUP(Ruimtestaat[[#This Row],[Programmacode
Regulier]],Programma!$F$4:$Y$36148,7,0),"_")</f>
        <v>_</v>
      </c>
      <c r="AP179" s="247" t="str">
        <f>_xlfn.IFNA(VLOOKUP(Ruimtestaat[[#This Row],[Programmacode
Regulier]],Programma!$F$4:$Y$36148,8,0),"_")</f>
        <v>_</v>
      </c>
      <c r="AQ179" s="247" t="str">
        <f>_xlfn.IFNA(VLOOKUP(Ruimtestaat[[#This Row],[Programmacode
Regulier]],Programma!$F$4:$Y$36148,9,0),"_")</f>
        <v>_</v>
      </c>
      <c r="AR179" s="248" t="str">
        <f>_xlfn.IFNA(VLOOKUP(Ruimtestaat[[#This Row],[Programmacode
Regulier]],Programma!$F$4:$Y$36148,10,0),"_")</f>
        <v>5w</v>
      </c>
      <c r="AS179" s="248" t="str">
        <f>_xlfn.IFNA(VLOOKUP(Ruimtestaat[[#This Row],[Programmacode
Regulier]],Programma!$F$4:$Y$36148,11,0),"_")</f>
        <v>5w</v>
      </c>
      <c r="AT179" s="248" t="str">
        <f>_xlfn.IFNA(VLOOKUP(Ruimtestaat[[#This Row],[Programmacode
Regulier]],Programma!$F$4:$Y$36148,12,0),"_")</f>
        <v>1w</v>
      </c>
      <c r="AU179" s="248" t="str">
        <f>_xlfn.IFNA(VLOOKUP(Ruimtestaat[[#This Row],[Programmacode
Regulier]],Programma!$F$4:$Y$36148,13,0),"_")</f>
        <v>1w</v>
      </c>
      <c r="AV179" s="248" t="str">
        <f>_xlfn.IFNA(VLOOKUP(Ruimtestaat[[#This Row],[Programmacode
Regulier]],Programma!$F$4:$Y$36148,14,0),"_")</f>
        <v>1m</v>
      </c>
      <c r="AW179" s="248" t="str">
        <f>_xlfn.IFNA(VLOOKUP(Ruimtestaat[[#This Row],[Programmacode
Regulier]],Programma!$F$4:$Y$36148,15,0),"_")</f>
        <v>2j</v>
      </c>
      <c r="AX179" s="248" t="str">
        <f>_xlfn.IFNA(VLOOKUP(Ruimtestaat[[#This Row],[Programmacode
Regulier]],Programma!$F$4:$Y$36148,16,0),"_")</f>
        <v>1j</v>
      </c>
      <c r="AY179" s="248" t="str">
        <f>_xlfn.IFNA(VLOOKUP(Ruimtestaat[[#This Row],[Programmacode
Regulier]],Programma!$F$4:$Y$36148,17,0),"_")</f>
        <v>_</v>
      </c>
      <c r="AZ179" s="249" t="str">
        <f>_xlfn.IFNA(VLOOKUP(Ruimtestaat[[#This Row],[Programmacode
Regulier]],Programma!$F$4:$Y$36148,18,0),"_")</f>
        <v>_</v>
      </c>
      <c r="BA179" s="249" t="str">
        <f>_xlfn.IFNA(VLOOKUP(Ruimtestaat[[#This Row],[Programmacode
Regulier]],Programma!$F$4:$Y$36148,19,0),"_")</f>
        <v>_</v>
      </c>
      <c r="BB179" s="249" t="str">
        <f>_xlfn.IFNA(VLOOKUP(Ruimtestaat[[#This Row],[Programmacode
Regulier]],Programma!$F$4:$Y$36148,20,0),"_")</f>
        <v>_</v>
      </c>
      <c r="BC179" s="250"/>
      <c r="BD179" s="212" t="str">
        <f>IF(Ruimtestaat[[#This Row],[Frequentie weekend]]="","",_xlfn.CONCAT(Ruimtestaat[[#This Row],[Ruimte code]],"-",Ruimtestaat[[#This Row],[Frequentie weekend]]," ",Ruimtestaat[[#This Row],[Vloer code]]))</f>
        <v/>
      </c>
      <c r="BE179" s="247" t="str">
        <f>_xlfn.IFNA(VLOOKUP(Ruimtestaat[[#This Row],[Code Weekend]],Programma!$F$4:$Y$36148,2,0),"_")</f>
        <v>_</v>
      </c>
      <c r="BF179" s="247" t="str">
        <f>_xlfn.IFNA(VLOOKUP(Ruimtestaat[[#This Row],[Code Weekend]],Programma!$F$4:$Y$36148,3,0),"_")</f>
        <v>_</v>
      </c>
      <c r="BG179" s="247" t="str">
        <f>_xlfn.IFNA(VLOOKUP(Ruimtestaat[[#This Row],[Code Weekend]],Programma!$F$4:$Y$36148,4,0),"_")</f>
        <v>_</v>
      </c>
      <c r="BH179" s="247" t="str">
        <f>_xlfn.IFNA(VLOOKUP(Ruimtestaat[[#This Row],[Code Weekend]],Programma!$F$4:$Y$36148,5,0),"_")</f>
        <v>_</v>
      </c>
      <c r="BI179" s="247" t="str">
        <f>_xlfn.IFNA(VLOOKUP(Ruimtestaat[[#This Row],[Code Weekend]],Programma!$F$4:$Y$36148,6,0),"_")</f>
        <v>_</v>
      </c>
      <c r="BJ179" s="247" t="str">
        <f>_xlfn.IFNA(VLOOKUP(Ruimtestaat[[#This Row],[Code Weekend]],Programma!$F$4:$Y$36148,7,0),"_")</f>
        <v>_</v>
      </c>
      <c r="BK179" s="247" t="str">
        <f>_xlfn.IFNA(VLOOKUP(Ruimtestaat[[#This Row],[Code Weekend]],Programma!$F$4:$Y$36148,8,0),"_")</f>
        <v>_</v>
      </c>
      <c r="BL179" s="247" t="str">
        <f>_xlfn.IFNA(VLOOKUP(Ruimtestaat[[#This Row],[Code Weekend]],Programma!$F$4:$Y$36148,9,0),"_")</f>
        <v>_</v>
      </c>
      <c r="BM179" s="248" t="str">
        <f>_xlfn.IFNA(VLOOKUP(Ruimtestaat[[#This Row],[Code Weekend]],Programma!$F$4:$Y$36148,10,0),"_")</f>
        <v>_</v>
      </c>
      <c r="BN179" s="248" t="str">
        <f>_xlfn.IFNA(VLOOKUP(Ruimtestaat[[#This Row],[Code Weekend]],Programma!$F$4:$Y$36148,11,0),"_")</f>
        <v>_</v>
      </c>
      <c r="BO179" s="248" t="str">
        <f>_xlfn.IFNA(VLOOKUP(Ruimtestaat[[#This Row],[Code Weekend]],Programma!$F$4:$Y$36148,12,0),"_")</f>
        <v>_</v>
      </c>
      <c r="BP179" s="248" t="str">
        <f>_xlfn.IFNA(VLOOKUP(Ruimtestaat[[#This Row],[Code Weekend]],Programma!$F$4:$Y$36148,13,0),"_")</f>
        <v>_</v>
      </c>
      <c r="BQ179" s="248" t="str">
        <f>_xlfn.IFNA(VLOOKUP(Ruimtestaat[[#This Row],[Code Weekend]],Programma!$F$4:$Y$36148,14,0),"_")</f>
        <v>_</v>
      </c>
      <c r="BR179" s="248" t="str">
        <f>_xlfn.IFNA(VLOOKUP(Ruimtestaat[[#This Row],[Code Weekend]],Programma!$F$4:$Y$36148,15,0),"_")</f>
        <v>_</v>
      </c>
      <c r="BS179" s="248" t="str">
        <f>_xlfn.IFNA(VLOOKUP(Ruimtestaat[[#This Row],[Code Weekend]],Programma!$F$4:$Y$36148,16,0),"_")</f>
        <v>_</v>
      </c>
      <c r="BT179" s="248" t="str">
        <f>_xlfn.IFNA(VLOOKUP(Ruimtestaat[[#This Row],[Code Weekend]],Programma!$F$4:$Y$36148,17,0),"_")</f>
        <v>_</v>
      </c>
      <c r="BU179" s="249" t="str">
        <f>_xlfn.IFNA(VLOOKUP(Ruimtestaat[[#This Row],[Code Weekend]],Programma!$F$4:$Y$36148,18,0),"_")</f>
        <v>_</v>
      </c>
      <c r="BV179" s="249" t="str">
        <f>_xlfn.IFNA(VLOOKUP(Ruimtestaat[[#This Row],[Code Weekend]],Programma!$F$4:$Y$36148,19,0),"_")</f>
        <v>_</v>
      </c>
      <c r="BW179" s="249" t="str">
        <f>_xlfn.IFNA(VLOOKUP(Ruimtestaat[[#This Row],[Code Weekend]],Programma!$F$4:$Y$36148,20,0),"_")</f>
        <v>_</v>
      </c>
    </row>
    <row r="180" spans="1:75" ht="12.75" customHeight="1">
      <c r="A180" s="334">
        <v>1</v>
      </c>
      <c r="B180" s="334" t="str">
        <f>VLOOKUP(Ruimtestaat[[#This Row],[Code]],Locaties[#All],2,FALSE)</f>
        <v>ESH Secondary School</v>
      </c>
      <c r="C180" s="212" t="str">
        <f>VLOOKUP(Ruimtestaat[[#This Row],[Code]],Locaties[#All],4,FALSE)</f>
        <v>Oostduinlaan 50</v>
      </c>
      <c r="D180" s="212" t="str">
        <f>VLOOKUP(Ruimtestaat[[#This Row],[Code]],Locaties[#All],5,FALSE)</f>
        <v>2596 JP</v>
      </c>
      <c r="E180" s="212" t="str">
        <f>VLOOKUP(Ruimtestaat[[#This Row],[Code]],Locaties[#All],6,FALSE)</f>
        <v>Den Haag</v>
      </c>
      <c r="F180" s="335"/>
      <c r="G180" s="334" t="s">
        <v>1677</v>
      </c>
      <c r="H180" s="334" t="s">
        <v>1674</v>
      </c>
      <c r="I180" s="335" t="s">
        <v>1785</v>
      </c>
      <c r="J180" s="328">
        <v>16</v>
      </c>
      <c r="K180" s="336" t="str">
        <f>VLOOKUP(J180,Ruimtegroepen[],2,FALSE)</f>
        <v>Leslokalen</v>
      </c>
      <c r="L180" s="212" t="s">
        <v>123</v>
      </c>
      <c r="M180" s="334" t="s">
        <v>144</v>
      </c>
      <c r="N180" s="337">
        <v>36</v>
      </c>
      <c r="O180" s="331"/>
      <c r="P180" s="332" t="str">
        <f>VLOOKUP(Ruimtestaat[[#This Row],[Ruimte code]],Ruimtegroepen[],4,FALSE)</f>
        <v>L  (Lesruimte)</v>
      </c>
      <c r="Q180" s="332"/>
      <c r="R180" s="333">
        <v>40</v>
      </c>
      <c r="S180" s="333" t="s">
        <v>2</v>
      </c>
      <c r="T180" s="37"/>
      <c r="U180" s="37">
        <f>IF(R180&gt;0,IF(RIGHT(Ruimtestaat[[#This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80" s="37">
        <f>IF(U180&gt;0,VLOOKUP($J180,Ruimtegroepen[],3,FALSE)*VLOOKUP($L180,Vloersoorten[],3,FALSE)*VLOOKUP($S180,Frequenties[],3,FALSE)*VLOOKUP($A180,Locaties[],3,FALSE),0)</f>
        <v>0</v>
      </c>
      <c r="W180" s="37">
        <f>Ruimtestaat[[#This Row],[Uitvoeringen werkdagen]]*Ruimtestaat[[#This Row],[Oppervlak (netto)]]</f>
        <v>7200</v>
      </c>
      <c r="X180" s="37">
        <f>IF(V180&gt;0,Ruimtestaat[[#This Row],[Prest. (m2 /jaar) werkdagen]]/Ruimtestaat[[#This Row],[Norm (m2/uur) werkdagen]],0)</f>
        <v>0</v>
      </c>
      <c r="Y180" s="37">
        <f>Ruimtestaat[[#This Row],[uren / jaar werkdagen]]*Tariefsopbouw!$D$38</f>
        <v>0</v>
      </c>
      <c r="Z180" s="37">
        <f>IF(Ruimtestaat[[#This Row],[Frequentie weekend]]&gt;0,VALUE(LEFT(T180,1))*R180,0)</f>
        <v>0</v>
      </c>
      <c r="AA180" s="37">
        <f>IF($Z180&gt;0,VLOOKUP($J180,Ruimtegroepen[],3,FALSE)*VLOOKUP($L180,Vloersoorten[],3,FALSE)*VLOOKUP($T180,Frequenties[],3,FALSE)*VLOOKUP($A180,Locaties[],3,FALSE),0)</f>
        <v>0</v>
      </c>
      <c r="AB180" s="37">
        <f>Ruimtestaat[[#This Row],[Uitvoeringen weekend]]*Ruimtestaat[[#This Row],[Oppervlak (netto)]]</f>
        <v>0</v>
      </c>
      <c r="AC180" s="37">
        <f>IF(AA180&gt;0,Ruimtestaat[[#This Row],[Prest. (m2 /jaar) weekend]]/Ruimtestaat[[#This Row],[Norm (m2/uur) weekend]],0)</f>
        <v>0</v>
      </c>
      <c r="AD180" s="37">
        <f>Ruimtestaat[[#This Row],[uren / jaar weekend]]*Tariefsopbouw!$D$40</f>
        <v>0</v>
      </c>
      <c r="AE180" s="89">
        <f>Ruimtestaat[[#This Row],[Prest. (m2 /jaar) weekend]]+Ruimtestaat[[#This Row],[Prest. (m2 /jaar) werkdagen]]</f>
        <v>7200</v>
      </c>
      <c r="AF180" s="89">
        <f>Ruimtestaat[[#This Row],[uren / jaar weekend]]+Ruimtestaat[[#This Row],[uren / jaar werkdagen]]</f>
        <v>0</v>
      </c>
      <c r="AG180" s="90">
        <f>Ruimtestaat[[#This Row],[kosten / jaar weekend]]+Ruimtestaat[[#This Row],[kosten / jaar werkdagen]]</f>
        <v>0</v>
      </c>
      <c r="AH180" s="253"/>
      <c r="AI180" s="252" t="str">
        <f>IF(Ruimtestaat[[#This Row],[Frequentie werkdagen]]="","",_xlfn.CONCAT(Ruimtestaat[[#This Row],[Ruimte code]],"-",Ruimtestaat[[#This Row],[Frequentie werkdagen]]," ",Ruimtestaat[[#This Row],[Vloer code]]))</f>
        <v>16-5w P</v>
      </c>
      <c r="AJ180" s="247" t="str">
        <f>_xlfn.IFNA(VLOOKUP(Ruimtestaat[[#This Row],[Programmacode
Regulier]],Programma!$F$4:$Y$36148,2,0),"_")</f>
        <v>_</v>
      </c>
      <c r="AK180" s="247" t="str">
        <f>_xlfn.IFNA(VLOOKUP(Ruimtestaat[[#This Row],[Programmacode
Regulier]],Programma!$F$4:$Y$36148,3,0),"_")</f>
        <v>_</v>
      </c>
      <c r="AL180" s="247" t="str">
        <f>_xlfn.IFNA(VLOOKUP(Ruimtestaat[[#This Row],[Programmacode
Regulier]],Programma!$F$4:$Y$36148,4,0),"_")</f>
        <v>5w</v>
      </c>
      <c r="AM180" s="247" t="str">
        <f>_xlfn.IFNA(VLOOKUP(Ruimtestaat[[#This Row],[Programmacode
Regulier]],Programma!$F$4:$Y$36148,5,0),"_")</f>
        <v>1w</v>
      </c>
      <c r="AN180" s="247" t="str">
        <f>_xlfn.IFNA(VLOOKUP(Ruimtestaat[[#This Row],[Programmacode
Regulier]],Programma!$F$4:$Y$36148,6,0),"_")</f>
        <v>1m</v>
      </c>
      <c r="AO180" s="247" t="str">
        <f>_xlfn.IFNA(VLOOKUP(Ruimtestaat[[#This Row],[Programmacode
Regulier]],Programma!$F$4:$Y$36148,7,0),"_")</f>
        <v>_</v>
      </c>
      <c r="AP180" s="247" t="str">
        <f>_xlfn.IFNA(VLOOKUP(Ruimtestaat[[#This Row],[Programmacode
Regulier]],Programma!$F$4:$Y$36148,8,0),"_")</f>
        <v>_</v>
      </c>
      <c r="AQ180" s="247" t="str">
        <f>_xlfn.IFNA(VLOOKUP(Ruimtestaat[[#This Row],[Programmacode
Regulier]],Programma!$F$4:$Y$36148,9,0),"_")</f>
        <v>_</v>
      </c>
      <c r="AR180" s="248" t="str">
        <f>_xlfn.IFNA(VLOOKUP(Ruimtestaat[[#This Row],[Programmacode
Regulier]],Programma!$F$4:$Y$36148,10,0),"_")</f>
        <v>5w</v>
      </c>
      <c r="AS180" s="248" t="str">
        <f>_xlfn.IFNA(VLOOKUP(Ruimtestaat[[#This Row],[Programmacode
Regulier]],Programma!$F$4:$Y$36148,11,0),"_")</f>
        <v>5w</v>
      </c>
      <c r="AT180" s="248" t="str">
        <f>_xlfn.IFNA(VLOOKUP(Ruimtestaat[[#This Row],[Programmacode
Regulier]],Programma!$F$4:$Y$36148,12,0),"_")</f>
        <v>1w</v>
      </c>
      <c r="AU180" s="248" t="str">
        <f>_xlfn.IFNA(VLOOKUP(Ruimtestaat[[#This Row],[Programmacode
Regulier]],Programma!$F$4:$Y$36148,13,0),"_")</f>
        <v>1w</v>
      </c>
      <c r="AV180" s="248" t="str">
        <f>_xlfn.IFNA(VLOOKUP(Ruimtestaat[[#This Row],[Programmacode
Regulier]],Programma!$F$4:$Y$36148,14,0),"_")</f>
        <v>1m</v>
      </c>
      <c r="AW180" s="248" t="str">
        <f>_xlfn.IFNA(VLOOKUP(Ruimtestaat[[#This Row],[Programmacode
Regulier]],Programma!$F$4:$Y$36148,15,0),"_")</f>
        <v>2j</v>
      </c>
      <c r="AX180" s="248" t="str">
        <f>_xlfn.IFNA(VLOOKUP(Ruimtestaat[[#This Row],[Programmacode
Regulier]],Programma!$F$4:$Y$36148,16,0),"_")</f>
        <v>1j</v>
      </c>
      <c r="AY180" s="248" t="str">
        <f>_xlfn.IFNA(VLOOKUP(Ruimtestaat[[#This Row],[Programmacode
Regulier]],Programma!$F$4:$Y$36148,17,0),"_")</f>
        <v>_</v>
      </c>
      <c r="AZ180" s="249" t="str">
        <f>_xlfn.IFNA(VLOOKUP(Ruimtestaat[[#This Row],[Programmacode
Regulier]],Programma!$F$4:$Y$36148,18,0),"_")</f>
        <v>_</v>
      </c>
      <c r="BA180" s="249" t="str">
        <f>_xlfn.IFNA(VLOOKUP(Ruimtestaat[[#This Row],[Programmacode
Regulier]],Programma!$F$4:$Y$36148,19,0),"_")</f>
        <v>_</v>
      </c>
      <c r="BB180" s="249" t="str">
        <f>_xlfn.IFNA(VLOOKUP(Ruimtestaat[[#This Row],[Programmacode
Regulier]],Programma!$F$4:$Y$36148,20,0),"_")</f>
        <v>_</v>
      </c>
      <c r="BC180" s="250"/>
      <c r="BD180" s="212" t="str">
        <f>IF(Ruimtestaat[[#This Row],[Frequentie weekend]]="","",_xlfn.CONCAT(Ruimtestaat[[#This Row],[Ruimte code]],"-",Ruimtestaat[[#This Row],[Frequentie weekend]]," ",Ruimtestaat[[#This Row],[Vloer code]]))</f>
        <v/>
      </c>
      <c r="BE180" s="247" t="str">
        <f>_xlfn.IFNA(VLOOKUP(Ruimtestaat[[#This Row],[Code Weekend]],Programma!$F$4:$Y$36148,2,0),"_")</f>
        <v>_</v>
      </c>
      <c r="BF180" s="247" t="str">
        <f>_xlfn.IFNA(VLOOKUP(Ruimtestaat[[#This Row],[Code Weekend]],Programma!$F$4:$Y$36148,3,0),"_")</f>
        <v>_</v>
      </c>
      <c r="BG180" s="247" t="str">
        <f>_xlfn.IFNA(VLOOKUP(Ruimtestaat[[#This Row],[Code Weekend]],Programma!$F$4:$Y$36148,4,0),"_")</f>
        <v>_</v>
      </c>
      <c r="BH180" s="247" t="str">
        <f>_xlfn.IFNA(VLOOKUP(Ruimtestaat[[#This Row],[Code Weekend]],Programma!$F$4:$Y$36148,5,0),"_")</f>
        <v>_</v>
      </c>
      <c r="BI180" s="247" t="str">
        <f>_xlfn.IFNA(VLOOKUP(Ruimtestaat[[#This Row],[Code Weekend]],Programma!$F$4:$Y$36148,6,0),"_")</f>
        <v>_</v>
      </c>
      <c r="BJ180" s="247" t="str">
        <f>_xlfn.IFNA(VLOOKUP(Ruimtestaat[[#This Row],[Code Weekend]],Programma!$F$4:$Y$36148,7,0),"_")</f>
        <v>_</v>
      </c>
      <c r="BK180" s="247" t="str">
        <f>_xlfn.IFNA(VLOOKUP(Ruimtestaat[[#This Row],[Code Weekend]],Programma!$F$4:$Y$36148,8,0),"_")</f>
        <v>_</v>
      </c>
      <c r="BL180" s="247" t="str">
        <f>_xlfn.IFNA(VLOOKUP(Ruimtestaat[[#This Row],[Code Weekend]],Programma!$F$4:$Y$36148,9,0),"_")</f>
        <v>_</v>
      </c>
      <c r="BM180" s="248" t="str">
        <f>_xlfn.IFNA(VLOOKUP(Ruimtestaat[[#This Row],[Code Weekend]],Programma!$F$4:$Y$36148,10,0),"_")</f>
        <v>_</v>
      </c>
      <c r="BN180" s="248" t="str">
        <f>_xlfn.IFNA(VLOOKUP(Ruimtestaat[[#This Row],[Code Weekend]],Programma!$F$4:$Y$36148,11,0),"_")</f>
        <v>_</v>
      </c>
      <c r="BO180" s="248" t="str">
        <f>_xlfn.IFNA(VLOOKUP(Ruimtestaat[[#This Row],[Code Weekend]],Programma!$F$4:$Y$36148,12,0),"_")</f>
        <v>_</v>
      </c>
      <c r="BP180" s="248" t="str">
        <f>_xlfn.IFNA(VLOOKUP(Ruimtestaat[[#This Row],[Code Weekend]],Programma!$F$4:$Y$36148,13,0),"_")</f>
        <v>_</v>
      </c>
      <c r="BQ180" s="248" t="str">
        <f>_xlfn.IFNA(VLOOKUP(Ruimtestaat[[#This Row],[Code Weekend]],Programma!$F$4:$Y$36148,14,0),"_")</f>
        <v>_</v>
      </c>
      <c r="BR180" s="248" t="str">
        <f>_xlfn.IFNA(VLOOKUP(Ruimtestaat[[#This Row],[Code Weekend]],Programma!$F$4:$Y$36148,15,0),"_")</f>
        <v>_</v>
      </c>
      <c r="BS180" s="248" t="str">
        <f>_xlfn.IFNA(VLOOKUP(Ruimtestaat[[#This Row],[Code Weekend]],Programma!$F$4:$Y$36148,16,0),"_")</f>
        <v>_</v>
      </c>
      <c r="BT180" s="248" t="str">
        <f>_xlfn.IFNA(VLOOKUP(Ruimtestaat[[#This Row],[Code Weekend]],Programma!$F$4:$Y$36148,17,0),"_")</f>
        <v>_</v>
      </c>
      <c r="BU180" s="249" t="str">
        <f>_xlfn.IFNA(VLOOKUP(Ruimtestaat[[#This Row],[Code Weekend]],Programma!$F$4:$Y$36148,18,0),"_")</f>
        <v>_</v>
      </c>
      <c r="BV180" s="249" t="str">
        <f>_xlfn.IFNA(VLOOKUP(Ruimtestaat[[#This Row],[Code Weekend]],Programma!$F$4:$Y$36148,19,0),"_")</f>
        <v>_</v>
      </c>
      <c r="BW180" s="249" t="str">
        <f>_xlfn.IFNA(VLOOKUP(Ruimtestaat[[#This Row],[Code Weekend]],Programma!$F$4:$Y$36148,20,0),"_")</f>
        <v>_</v>
      </c>
    </row>
    <row r="181" spans="1:75" ht="12.75" customHeight="1">
      <c r="A181" s="334">
        <v>1</v>
      </c>
      <c r="B181" s="334" t="str">
        <f>VLOOKUP(Ruimtestaat[[#This Row],[Code]],Locaties[#All],2,FALSE)</f>
        <v>ESH Secondary School</v>
      </c>
      <c r="C181" s="212" t="str">
        <f>VLOOKUP(Ruimtestaat[[#This Row],[Code]],Locaties[#All],4,FALSE)</f>
        <v>Oostduinlaan 50</v>
      </c>
      <c r="D181" s="212" t="str">
        <f>VLOOKUP(Ruimtestaat[[#This Row],[Code]],Locaties[#All],5,FALSE)</f>
        <v>2596 JP</v>
      </c>
      <c r="E181" s="212" t="str">
        <f>VLOOKUP(Ruimtestaat[[#This Row],[Code]],Locaties[#All],6,FALSE)</f>
        <v>Den Haag</v>
      </c>
      <c r="F181" s="335"/>
      <c r="G181" s="334" t="s">
        <v>1677</v>
      </c>
      <c r="H181" s="334" t="s">
        <v>1675</v>
      </c>
      <c r="I181" s="335" t="s">
        <v>1395</v>
      </c>
      <c r="J181" s="252" t="s">
        <v>1422</v>
      </c>
      <c r="K181" s="336" t="str">
        <f>VLOOKUP(J181,Ruimtegroepen[],2,FALSE)</f>
        <v>Gangen/hallen andere verdiepingen</v>
      </c>
      <c r="L181" s="212" t="s">
        <v>122</v>
      </c>
      <c r="M181" s="334" t="s">
        <v>143</v>
      </c>
      <c r="N181" s="337">
        <v>64</v>
      </c>
      <c r="O181" s="331"/>
      <c r="P181" s="332" t="str">
        <f>VLOOKUP(Ruimtestaat[[#This Row],[Ruimte code]],Ruimtegroepen[],4,FALSE)</f>
        <v>V  (Verkeersruimte)</v>
      </c>
      <c r="Q181" s="332"/>
      <c r="R181" s="333">
        <v>40</v>
      </c>
      <c r="S181" s="333" t="s">
        <v>2</v>
      </c>
      <c r="T181" s="37"/>
      <c r="U181" s="37">
        <f>IF(R181&gt;0,IF(RIGHT(Ruimtestaat[[#This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81" s="37">
        <f>IF(U181&gt;0,VLOOKUP($J181,Ruimtegroepen[],3,FALSE)*VLOOKUP($L181,Vloersoorten[],3,FALSE)*VLOOKUP($S181,Frequenties[],3,FALSE)*VLOOKUP($A181,Locaties[],3,FALSE),0)</f>
        <v>0</v>
      </c>
      <c r="W181" s="37">
        <f>Ruimtestaat[[#This Row],[Uitvoeringen werkdagen]]*Ruimtestaat[[#This Row],[Oppervlak (netto)]]</f>
        <v>12800</v>
      </c>
      <c r="X181" s="37">
        <f>IF(V181&gt;0,Ruimtestaat[[#This Row],[Prest. (m2 /jaar) werkdagen]]/Ruimtestaat[[#This Row],[Norm (m2/uur) werkdagen]],0)</f>
        <v>0</v>
      </c>
      <c r="Y181" s="37">
        <f>Ruimtestaat[[#This Row],[uren / jaar werkdagen]]*Tariefsopbouw!$D$38</f>
        <v>0</v>
      </c>
      <c r="Z181" s="37">
        <f>IF(Ruimtestaat[[#This Row],[Frequentie weekend]]&gt;0,VALUE(LEFT(T181,1))*R181,0)</f>
        <v>0</v>
      </c>
      <c r="AA181" s="37">
        <f>IF($Z181&gt;0,VLOOKUP($J181,Ruimtegroepen[],3,FALSE)*VLOOKUP($L181,Vloersoorten[],3,FALSE)*VLOOKUP($T181,Frequenties[],3,FALSE)*VLOOKUP($A181,Locaties[],3,FALSE),0)</f>
        <v>0</v>
      </c>
      <c r="AB181" s="37">
        <f>Ruimtestaat[[#This Row],[Uitvoeringen weekend]]*Ruimtestaat[[#This Row],[Oppervlak (netto)]]</f>
        <v>0</v>
      </c>
      <c r="AC181" s="37">
        <f>IF(AA181&gt;0,Ruimtestaat[[#This Row],[Prest. (m2 /jaar) weekend]]/Ruimtestaat[[#This Row],[Norm (m2/uur) weekend]],0)</f>
        <v>0</v>
      </c>
      <c r="AD181" s="37">
        <f>Ruimtestaat[[#This Row],[uren / jaar weekend]]*Tariefsopbouw!$D$40</f>
        <v>0</v>
      </c>
      <c r="AE181" s="89">
        <f>Ruimtestaat[[#This Row],[Prest. (m2 /jaar) weekend]]+Ruimtestaat[[#This Row],[Prest. (m2 /jaar) werkdagen]]</f>
        <v>12800</v>
      </c>
      <c r="AF181" s="89">
        <f>Ruimtestaat[[#This Row],[uren / jaar weekend]]+Ruimtestaat[[#This Row],[uren / jaar werkdagen]]</f>
        <v>0</v>
      </c>
      <c r="AG181" s="90">
        <f>Ruimtestaat[[#This Row],[kosten / jaar weekend]]+Ruimtestaat[[#This Row],[kosten / jaar werkdagen]]</f>
        <v>0</v>
      </c>
      <c r="AH181" s="253"/>
      <c r="AI181" s="252" t="str">
        <f>IF(Ruimtestaat[[#This Row],[Frequentie werkdagen]]="","",_xlfn.CONCAT(Ruimtestaat[[#This Row],[Ruimte code]],"-",Ruimtestaat[[#This Row],[Frequentie werkdagen]]," ",Ruimtestaat[[#This Row],[Vloer code]]))</f>
        <v>6a-5w S</v>
      </c>
      <c r="AJ181" s="247" t="str">
        <f>_xlfn.IFNA(VLOOKUP(Ruimtestaat[[#This Row],[Programmacode
Regulier]],Programma!$F$4:$Y$36148,2,0),"_")</f>
        <v>_</v>
      </c>
      <c r="AK181" s="247" t="str">
        <f>_xlfn.IFNA(VLOOKUP(Ruimtestaat[[#This Row],[Programmacode
Regulier]],Programma!$F$4:$Y$36148,3,0),"_")</f>
        <v>_</v>
      </c>
      <c r="AL181" s="247" t="str">
        <f>_xlfn.IFNA(VLOOKUP(Ruimtestaat[[#This Row],[Programmacode
Regulier]],Programma!$F$4:$Y$36148,4,0),"_")</f>
        <v>5w</v>
      </c>
      <c r="AM181" s="247" t="str">
        <f>_xlfn.IFNA(VLOOKUP(Ruimtestaat[[#This Row],[Programmacode
Regulier]],Programma!$F$4:$Y$36148,5,0),"_")</f>
        <v>4w</v>
      </c>
      <c r="AN181" s="247" t="str">
        <f>_xlfn.IFNA(VLOOKUP(Ruimtestaat[[#This Row],[Programmacode
Regulier]],Programma!$F$4:$Y$36148,6,0),"_")</f>
        <v>1w</v>
      </c>
      <c r="AO181" s="247" t="str">
        <f>_xlfn.IFNA(VLOOKUP(Ruimtestaat[[#This Row],[Programmacode
Regulier]],Programma!$F$4:$Y$36148,7,0),"_")</f>
        <v>_</v>
      </c>
      <c r="AP181" s="247" t="str">
        <f>_xlfn.IFNA(VLOOKUP(Ruimtestaat[[#This Row],[Programmacode
Regulier]],Programma!$F$4:$Y$36148,8,0),"_")</f>
        <v>_</v>
      </c>
      <c r="AQ181" s="247" t="str">
        <f>_xlfn.IFNA(VLOOKUP(Ruimtestaat[[#This Row],[Programmacode
Regulier]],Programma!$F$4:$Y$36148,9,0),"_")</f>
        <v>_</v>
      </c>
      <c r="AR181" s="248" t="str">
        <f>_xlfn.IFNA(VLOOKUP(Ruimtestaat[[#This Row],[Programmacode
Regulier]],Programma!$F$4:$Y$36148,10,0),"_")</f>
        <v>5w</v>
      </c>
      <c r="AS181" s="248" t="str">
        <f>_xlfn.IFNA(VLOOKUP(Ruimtestaat[[#This Row],[Programmacode
Regulier]],Programma!$F$4:$Y$36148,11,0),"_")</f>
        <v>5w</v>
      </c>
      <c r="AT181" s="248" t="str">
        <f>_xlfn.IFNA(VLOOKUP(Ruimtestaat[[#This Row],[Programmacode
Regulier]],Programma!$F$4:$Y$36148,12,0),"_")</f>
        <v>1w</v>
      </c>
      <c r="AU181" s="248" t="str">
        <f>_xlfn.IFNA(VLOOKUP(Ruimtestaat[[#This Row],[Programmacode
Regulier]],Programma!$F$4:$Y$36148,13,0),"_")</f>
        <v>1w</v>
      </c>
      <c r="AV181" s="248" t="str">
        <f>_xlfn.IFNA(VLOOKUP(Ruimtestaat[[#This Row],[Programmacode
Regulier]],Programma!$F$4:$Y$36148,14,0),"_")</f>
        <v>1m</v>
      </c>
      <c r="AW181" s="248" t="str">
        <f>_xlfn.IFNA(VLOOKUP(Ruimtestaat[[#This Row],[Programmacode
Regulier]],Programma!$F$4:$Y$36148,15,0),"_")</f>
        <v>2j</v>
      </c>
      <c r="AX181" s="248" t="str">
        <f>_xlfn.IFNA(VLOOKUP(Ruimtestaat[[#This Row],[Programmacode
Regulier]],Programma!$F$4:$Y$36148,16,0),"_")</f>
        <v>1j</v>
      </c>
      <c r="AY181" s="248" t="str">
        <f>_xlfn.IFNA(VLOOKUP(Ruimtestaat[[#This Row],[Programmacode
Regulier]],Programma!$F$4:$Y$36148,17,0),"_")</f>
        <v>_</v>
      </c>
      <c r="AZ181" s="249" t="str">
        <f>_xlfn.IFNA(VLOOKUP(Ruimtestaat[[#This Row],[Programmacode
Regulier]],Programma!$F$4:$Y$36148,18,0),"_")</f>
        <v>_</v>
      </c>
      <c r="BA181" s="249" t="str">
        <f>_xlfn.IFNA(VLOOKUP(Ruimtestaat[[#This Row],[Programmacode
Regulier]],Programma!$F$4:$Y$36148,19,0),"_")</f>
        <v>_</v>
      </c>
      <c r="BB181" s="249" t="str">
        <f>_xlfn.IFNA(VLOOKUP(Ruimtestaat[[#This Row],[Programmacode
Regulier]],Programma!$F$4:$Y$36148,20,0),"_")</f>
        <v>_</v>
      </c>
      <c r="BC181" s="250"/>
      <c r="BD181" s="212" t="str">
        <f>IF(Ruimtestaat[[#This Row],[Frequentie weekend]]="","",_xlfn.CONCAT(Ruimtestaat[[#This Row],[Ruimte code]],"-",Ruimtestaat[[#This Row],[Frequentie weekend]]," ",Ruimtestaat[[#This Row],[Vloer code]]))</f>
        <v/>
      </c>
      <c r="BE181" s="247" t="str">
        <f>_xlfn.IFNA(VLOOKUP(Ruimtestaat[[#This Row],[Code Weekend]],Programma!$F$4:$Y$36148,2,0),"_")</f>
        <v>_</v>
      </c>
      <c r="BF181" s="247" t="str">
        <f>_xlfn.IFNA(VLOOKUP(Ruimtestaat[[#This Row],[Code Weekend]],Programma!$F$4:$Y$36148,3,0),"_")</f>
        <v>_</v>
      </c>
      <c r="BG181" s="247" t="str">
        <f>_xlfn.IFNA(VLOOKUP(Ruimtestaat[[#This Row],[Code Weekend]],Programma!$F$4:$Y$36148,4,0),"_")</f>
        <v>_</v>
      </c>
      <c r="BH181" s="247" t="str">
        <f>_xlfn.IFNA(VLOOKUP(Ruimtestaat[[#This Row],[Code Weekend]],Programma!$F$4:$Y$36148,5,0),"_")</f>
        <v>_</v>
      </c>
      <c r="BI181" s="247" t="str">
        <f>_xlfn.IFNA(VLOOKUP(Ruimtestaat[[#This Row],[Code Weekend]],Programma!$F$4:$Y$36148,6,0),"_")</f>
        <v>_</v>
      </c>
      <c r="BJ181" s="247" t="str">
        <f>_xlfn.IFNA(VLOOKUP(Ruimtestaat[[#This Row],[Code Weekend]],Programma!$F$4:$Y$36148,7,0),"_")</f>
        <v>_</v>
      </c>
      <c r="BK181" s="247" t="str">
        <f>_xlfn.IFNA(VLOOKUP(Ruimtestaat[[#This Row],[Code Weekend]],Programma!$F$4:$Y$36148,8,0),"_")</f>
        <v>_</v>
      </c>
      <c r="BL181" s="247" t="str">
        <f>_xlfn.IFNA(VLOOKUP(Ruimtestaat[[#This Row],[Code Weekend]],Programma!$F$4:$Y$36148,9,0),"_")</f>
        <v>_</v>
      </c>
      <c r="BM181" s="248" t="str">
        <f>_xlfn.IFNA(VLOOKUP(Ruimtestaat[[#This Row],[Code Weekend]],Programma!$F$4:$Y$36148,10,0),"_")</f>
        <v>_</v>
      </c>
      <c r="BN181" s="248" t="str">
        <f>_xlfn.IFNA(VLOOKUP(Ruimtestaat[[#This Row],[Code Weekend]],Programma!$F$4:$Y$36148,11,0),"_")</f>
        <v>_</v>
      </c>
      <c r="BO181" s="248" t="str">
        <f>_xlfn.IFNA(VLOOKUP(Ruimtestaat[[#This Row],[Code Weekend]],Programma!$F$4:$Y$36148,12,0),"_")</f>
        <v>_</v>
      </c>
      <c r="BP181" s="248" t="str">
        <f>_xlfn.IFNA(VLOOKUP(Ruimtestaat[[#This Row],[Code Weekend]],Programma!$F$4:$Y$36148,13,0),"_")</f>
        <v>_</v>
      </c>
      <c r="BQ181" s="248" t="str">
        <f>_xlfn.IFNA(VLOOKUP(Ruimtestaat[[#This Row],[Code Weekend]],Programma!$F$4:$Y$36148,14,0),"_")</f>
        <v>_</v>
      </c>
      <c r="BR181" s="248" t="str">
        <f>_xlfn.IFNA(VLOOKUP(Ruimtestaat[[#This Row],[Code Weekend]],Programma!$F$4:$Y$36148,15,0),"_")</f>
        <v>_</v>
      </c>
      <c r="BS181" s="248" t="str">
        <f>_xlfn.IFNA(VLOOKUP(Ruimtestaat[[#This Row],[Code Weekend]],Programma!$F$4:$Y$36148,16,0),"_")</f>
        <v>_</v>
      </c>
      <c r="BT181" s="248" t="str">
        <f>_xlfn.IFNA(VLOOKUP(Ruimtestaat[[#This Row],[Code Weekend]],Programma!$F$4:$Y$36148,17,0),"_")</f>
        <v>_</v>
      </c>
      <c r="BU181" s="249" t="str">
        <f>_xlfn.IFNA(VLOOKUP(Ruimtestaat[[#This Row],[Code Weekend]],Programma!$F$4:$Y$36148,18,0),"_")</f>
        <v>_</v>
      </c>
      <c r="BV181" s="249" t="str">
        <f>_xlfn.IFNA(VLOOKUP(Ruimtestaat[[#This Row],[Code Weekend]],Programma!$F$4:$Y$36148,19,0),"_")</f>
        <v>_</v>
      </c>
      <c r="BW181" s="249" t="str">
        <f>_xlfn.IFNA(VLOOKUP(Ruimtestaat[[#This Row],[Code Weekend]],Programma!$F$4:$Y$36148,20,0),"_")</f>
        <v>_</v>
      </c>
    </row>
    <row r="182" spans="1:75" ht="12.75" customHeight="1">
      <c r="A182" s="334">
        <v>1</v>
      </c>
      <c r="B182" s="334" t="str">
        <f>VLOOKUP(Ruimtestaat[[#This Row],[Code]],Locaties[#All],2,FALSE)</f>
        <v>ESH Secondary School</v>
      </c>
      <c r="C182" s="212" t="str">
        <f>VLOOKUP(Ruimtestaat[[#This Row],[Code]],Locaties[#All],4,FALSE)</f>
        <v>Oostduinlaan 50</v>
      </c>
      <c r="D182" s="212" t="str">
        <f>VLOOKUP(Ruimtestaat[[#This Row],[Code]],Locaties[#All],5,FALSE)</f>
        <v>2596 JP</v>
      </c>
      <c r="E182" s="212" t="str">
        <f>VLOOKUP(Ruimtestaat[[#This Row],[Code]],Locaties[#All],6,FALSE)</f>
        <v>Den Haag</v>
      </c>
      <c r="F182" s="335"/>
      <c r="G182" s="334" t="s">
        <v>1677</v>
      </c>
      <c r="H182" s="334" t="s">
        <v>1676</v>
      </c>
      <c r="I182" s="335" t="s">
        <v>1394</v>
      </c>
      <c r="J182" s="333">
        <v>10</v>
      </c>
      <c r="K182" s="336" t="str">
        <f>VLOOKUP(J182,Ruimtegroepen[],2,FALSE)</f>
        <v>Trappenhuizen/lift</v>
      </c>
      <c r="L182" s="212" t="s">
        <v>122</v>
      </c>
      <c r="M182" s="334" t="s">
        <v>143</v>
      </c>
      <c r="N182" s="337">
        <v>26</v>
      </c>
      <c r="O182" s="331"/>
      <c r="P182" s="332" t="str">
        <f>VLOOKUP(Ruimtestaat[[#This Row],[Ruimte code]],Ruimtegroepen[],4,FALSE)</f>
        <v>V  (Verkeersruimte)</v>
      </c>
      <c r="Q182" s="332"/>
      <c r="R182" s="333">
        <v>40</v>
      </c>
      <c r="S182" s="333" t="s">
        <v>2</v>
      </c>
      <c r="T182" s="37"/>
      <c r="U182" s="37">
        <f>IF(R182&gt;0,IF(RIGHT(Ruimtestaat[[#This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82" s="37">
        <f>IF(U182&gt;0,VLOOKUP($J182,Ruimtegroepen[],3,FALSE)*VLOOKUP($L182,Vloersoorten[],3,FALSE)*VLOOKUP($S182,Frequenties[],3,FALSE)*VLOOKUP($A182,Locaties[],3,FALSE),0)</f>
        <v>0</v>
      </c>
      <c r="W182" s="37">
        <f>Ruimtestaat[[#This Row],[Uitvoeringen werkdagen]]*Ruimtestaat[[#This Row],[Oppervlak (netto)]]</f>
        <v>5200</v>
      </c>
      <c r="X182" s="37">
        <f>IF(V182&gt;0,Ruimtestaat[[#This Row],[Prest. (m2 /jaar) werkdagen]]/Ruimtestaat[[#This Row],[Norm (m2/uur) werkdagen]],0)</f>
        <v>0</v>
      </c>
      <c r="Y182" s="37">
        <f>Ruimtestaat[[#This Row],[uren / jaar werkdagen]]*Tariefsopbouw!$D$38</f>
        <v>0</v>
      </c>
      <c r="Z182" s="37">
        <f>IF(Ruimtestaat[[#This Row],[Frequentie weekend]]&gt;0,VALUE(LEFT(T182,1))*R182,0)</f>
        <v>0</v>
      </c>
      <c r="AA182" s="37">
        <f>IF($Z182&gt;0,VLOOKUP($J182,Ruimtegroepen[],3,FALSE)*VLOOKUP($L182,Vloersoorten[],3,FALSE)*VLOOKUP($T182,Frequenties[],3,FALSE)*VLOOKUP($A182,Locaties[],3,FALSE),0)</f>
        <v>0</v>
      </c>
      <c r="AB182" s="37">
        <f>Ruimtestaat[[#This Row],[Uitvoeringen weekend]]*Ruimtestaat[[#This Row],[Oppervlak (netto)]]</f>
        <v>0</v>
      </c>
      <c r="AC182" s="37">
        <f>IF(AA182&gt;0,Ruimtestaat[[#This Row],[Prest. (m2 /jaar) weekend]]/Ruimtestaat[[#This Row],[Norm (m2/uur) weekend]],0)</f>
        <v>0</v>
      </c>
      <c r="AD182" s="37">
        <f>Ruimtestaat[[#This Row],[uren / jaar weekend]]*Tariefsopbouw!$D$40</f>
        <v>0</v>
      </c>
      <c r="AE182" s="89">
        <f>Ruimtestaat[[#This Row],[Prest. (m2 /jaar) weekend]]+Ruimtestaat[[#This Row],[Prest. (m2 /jaar) werkdagen]]</f>
        <v>5200</v>
      </c>
      <c r="AF182" s="89">
        <f>Ruimtestaat[[#This Row],[uren / jaar weekend]]+Ruimtestaat[[#This Row],[uren / jaar werkdagen]]</f>
        <v>0</v>
      </c>
      <c r="AG182" s="90">
        <f>Ruimtestaat[[#This Row],[kosten / jaar weekend]]+Ruimtestaat[[#This Row],[kosten / jaar werkdagen]]</f>
        <v>0</v>
      </c>
      <c r="AH182" s="253"/>
      <c r="AI182" s="252" t="str">
        <f>IF(Ruimtestaat[[#This Row],[Frequentie werkdagen]]="","",_xlfn.CONCAT(Ruimtestaat[[#This Row],[Ruimte code]],"-",Ruimtestaat[[#This Row],[Frequentie werkdagen]]," ",Ruimtestaat[[#This Row],[Vloer code]]))</f>
        <v>10-5w S</v>
      </c>
      <c r="AJ182" s="247" t="str">
        <f>_xlfn.IFNA(VLOOKUP(Ruimtestaat[[#This Row],[Programmacode
Regulier]],Programma!$F$4:$Y$36148,2,0),"_")</f>
        <v>_</v>
      </c>
      <c r="AK182" s="247" t="str">
        <f>_xlfn.IFNA(VLOOKUP(Ruimtestaat[[#This Row],[Programmacode
Regulier]],Programma!$F$4:$Y$36148,3,0),"_")</f>
        <v>5w</v>
      </c>
      <c r="AL182" s="247" t="str">
        <f>_xlfn.IFNA(VLOOKUP(Ruimtestaat[[#This Row],[Programmacode
Regulier]],Programma!$F$4:$Y$36148,4,0),"_")</f>
        <v>_</v>
      </c>
      <c r="AM182" s="247" t="str">
        <f>_xlfn.IFNA(VLOOKUP(Ruimtestaat[[#This Row],[Programmacode
Regulier]],Programma!$F$4:$Y$36148,5,0),"_")</f>
        <v>5w</v>
      </c>
      <c r="AN182" s="247" t="str">
        <f>_xlfn.IFNA(VLOOKUP(Ruimtestaat[[#This Row],[Programmacode
Regulier]],Programma!$F$4:$Y$36148,6,0),"_")</f>
        <v>1m</v>
      </c>
      <c r="AO182" s="247" t="str">
        <f>_xlfn.IFNA(VLOOKUP(Ruimtestaat[[#This Row],[Programmacode
Regulier]],Programma!$F$4:$Y$36148,7,0),"_")</f>
        <v>_</v>
      </c>
      <c r="AP182" s="247" t="str">
        <f>_xlfn.IFNA(VLOOKUP(Ruimtestaat[[#This Row],[Programmacode
Regulier]],Programma!$F$4:$Y$36148,8,0),"_")</f>
        <v>_</v>
      </c>
      <c r="AQ182" s="247" t="str">
        <f>_xlfn.IFNA(VLOOKUP(Ruimtestaat[[#This Row],[Programmacode
Regulier]],Programma!$F$4:$Y$36148,9,0),"_")</f>
        <v>_</v>
      </c>
      <c r="AR182" s="248" t="str">
        <f>_xlfn.IFNA(VLOOKUP(Ruimtestaat[[#This Row],[Programmacode
Regulier]],Programma!$F$4:$Y$36148,10,0),"_")</f>
        <v>5w</v>
      </c>
      <c r="AS182" s="248" t="str">
        <f>_xlfn.IFNA(VLOOKUP(Ruimtestaat[[#This Row],[Programmacode
Regulier]],Programma!$F$4:$Y$36148,11,0),"_")</f>
        <v>5w</v>
      </c>
      <c r="AT182" s="248" t="str">
        <f>_xlfn.IFNA(VLOOKUP(Ruimtestaat[[#This Row],[Programmacode
Regulier]],Programma!$F$4:$Y$36148,12,0),"_")</f>
        <v>1w</v>
      </c>
      <c r="AU182" s="248" t="str">
        <f>_xlfn.IFNA(VLOOKUP(Ruimtestaat[[#This Row],[Programmacode
Regulier]],Programma!$F$4:$Y$36148,13,0),"_")</f>
        <v>1w</v>
      </c>
      <c r="AV182" s="248" t="str">
        <f>_xlfn.IFNA(VLOOKUP(Ruimtestaat[[#This Row],[Programmacode
Regulier]],Programma!$F$4:$Y$36148,14,0),"_")</f>
        <v>1m</v>
      </c>
      <c r="AW182" s="248" t="str">
        <f>_xlfn.IFNA(VLOOKUP(Ruimtestaat[[#This Row],[Programmacode
Regulier]],Programma!$F$4:$Y$36148,15,0),"_")</f>
        <v>2j</v>
      </c>
      <c r="AX182" s="248" t="str">
        <f>_xlfn.IFNA(VLOOKUP(Ruimtestaat[[#This Row],[Programmacode
Regulier]],Programma!$F$4:$Y$36148,16,0),"_")</f>
        <v>1j</v>
      </c>
      <c r="AY182" s="248" t="str">
        <f>_xlfn.IFNA(VLOOKUP(Ruimtestaat[[#This Row],[Programmacode
Regulier]],Programma!$F$4:$Y$36148,17,0),"_")</f>
        <v>_</v>
      </c>
      <c r="AZ182" s="249" t="str">
        <f>_xlfn.IFNA(VLOOKUP(Ruimtestaat[[#This Row],[Programmacode
Regulier]],Programma!$F$4:$Y$36148,18,0),"_")</f>
        <v>_</v>
      </c>
      <c r="BA182" s="249" t="str">
        <f>_xlfn.IFNA(VLOOKUP(Ruimtestaat[[#This Row],[Programmacode
Regulier]],Programma!$F$4:$Y$36148,19,0),"_")</f>
        <v>_</v>
      </c>
      <c r="BB182" s="249" t="str">
        <f>_xlfn.IFNA(VLOOKUP(Ruimtestaat[[#This Row],[Programmacode
Regulier]],Programma!$F$4:$Y$36148,20,0),"_")</f>
        <v>_</v>
      </c>
      <c r="BC182" s="250"/>
      <c r="BD182" s="212" t="str">
        <f>IF(Ruimtestaat[[#This Row],[Frequentie weekend]]="","",_xlfn.CONCAT(Ruimtestaat[[#This Row],[Ruimte code]],"-",Ruimtestaat[[#This Row],[Frequentie weekend]]," ",Ruimtestaat[[#This Row],[Vloer code]]))</f>
        <v/>
      </c>
      <c r="BE182" s="247" t="str">
        <f>_xlfn.IFNA(VLOOKUP(Ruimtestaat[[#This Row],[Code Weekend]],Programma!$F$4:$Y$36148,2,0),"_")</f>
        <v>_</v>
      </c>
      <c r="BF182" s="247" t="str">
        <f>_xlfn.IFNA(VLOOKUP(Ruimtestaat[[#This Row],[Code Weekend]],Programma!$F$4:$Y$36148,3,0),"_")</f>
        <v>_</v>
      </c>
      <c r="BG182" s="247" t="str">
        <f>_xlfn.IFNA(VLOOKUP(Ruimtestaat[[#This Row],[Code Weekend]],Programma!$F$4:$Y$36148,4,0),"_")</f>
        <v>_</v>
      </c>
      <c r="BH182" s="247" t="str">
        <f>_xlfn.IFNA(VLOOKUP(Ruimtestaat[[#This Row],[Code Weekend]],Programma!$F$4:$Y$36148,5,0),"_")</f>
        <v>_</v>
      </c>
      <c r="BI182" s="247" t="str">
        <f>_xlfn.IFNA(VLOOKUP(Ruimtestaat[[#This Row],[Code Weekend]],Programma!$F$4:$Y$36148,6,0),"_")</f>
        <v>_</v>
      </c>
      <c r="BJ182" s="247" t="str">
        <f>_xlfn.IFNA(VLOOKUP(Ruimtestaat[[#This Row],[Code Weekend]],Programma!$F$4:$Y$36148,7,0),"_")</f>
        <v>_</v>
      </c>
      <c r="BK182" s="247" t="str">
        <f>_xlfn.IFNA(VLOOKUP(Ruimtestaat[[#This Row],[Code Weekend]],Programma!$F$4:$Y$36148,8,0),"_")</f>
        <v>_</v>
      </c>
      <c r="BL182" s="247" t="str">
        <f>_xlfn.IFNA(VLOOKUP(Ruimtestaat[[#This Row],[Code Weekend]],Programma!$F$4:$Y$36148,9,0),"_")</f>
        <v>_</v>
      </c>
      <c r="BM182" s="248" t="str">
        <f>_xlfn.IFNA(VLOOKUP(Ruimtestaat[[#This Row],[Code Weekend]],Programma!$F$4:$Y$36148,10,0),"_")</f>
        <v>_</v>
      </c>
      <c r="BN182" s="248" t="str">
        <f>_xlfn.IFNA(VLOOKUP(Ruimtestaat[[#This Row],[Code Weekend]],Programma!$F$4:$Y$36148,11,0),"_")</f>
        <v>_</v>
      </c>
      <c r="BO182" s="248" t="str">
        <f>_xlfn.IFNA(VLOOKUP(Ruimtestaat[[#This Row],[Code Weekend]],Programma!$F$4:$Y$36148,12,0),"_")</f>
        <v>_</v>
      </c>
      <c r="BP182" s="248" t="str">
        <f>_xlfn.IFNA(VLOOKUP(Ruimtestaat[[#This Row],[Code Weekend]],Programma!$F$4:$Y$36148,13,0),"_")</f>
        <v>_</v>
      </c>
      <c r="BQ182" s="248" t="str">
        <f>_xlfn.IFNA(VLOOKUP(Ruimtestaat[[#This Row],[Code Weekend]],Programma!$F$4:$Y$36148,14,0),"_")</f>
        <v>_</v>
      </c>
      <c r="BR182" s="248" t="str">
        <f>_xlfn.IFNA(VLOOKUP(Ruimtestaat[[#This Row],[Code Weekend]],Programma!$F$4:$Y$36148,15,0),"_")</f>
        <v>_</v>
      </c>
      <c r="BS182" s="248" t="str">
        <f>_xlfn.IFNA(VLOOKUP(Ruimtestaat[[#This Row],[Code Weekend]],Programma!$F$4:$Y$36148,16,0),"_")</f>
        <v>_</v>
      </c>
      <c r="BT182" s="248" t="str">
        <f>_xlfn.IFNA(VLOOKUP(Ruimtestaat[[#This Row],[Code Weekend]],Programma!$F$4:$Y$36148,17,0),"_")</f>
        <v>_</v>
      </c>
      <c r="BU182" s="249" t="str">
        <f>_xlfn.IFNA(VLOOKUP(Ruimtestaat[[#This Row],[Code Weekend]],Programma!$F$4:$Y$36148,18,0),"_")</f>
        <v>_</v>
      </c>
      <c r="BV182" s="249" t="str">
        <f>_xlfn.IFNA(VLOOKUP(Ruimtestaat[[#This Row],[Code Weekend]],Programma!$F$4:$Y$36148,19,0),"_")</f>
        <v>_</v>
      </c>
      <c r="BW182" s="249" t="str">
        <f>_xlfn.IFNA(VLOOKUP(Ruimtestaat[[#This Row],[Code Weekend]],Programma!$F$4:$Y$36148,20,0),"_")</f>
        <v>_</v>
      </c>
    </row>
    <row r="183" spans="1:75" ht="12.75" customHeight="1">
      <c r="A183" s="334">
        <v>1</v>
      </c>
      <c r="B183" s="334" t="str">
        <f>VLOOKUP(Ruimtestaat[[#This Row],[Code]],Locaties[#All],2,FALSE)</f>
        <v>ESH Secondary School</v>
      </c>
      <c r="C183" s="212" t="str">
        <f>VLOOKUP(Ruimtestaat[[#This Row],[Code]],Locaties[#All],4,FALSE)</f>
        <v>Oostduinlaan 50</v>
      </c>
      <c r="D183" s="212" t="str">
        <f>VLOOKUP(Ruimtestaat[[#This Row],[Code]],Locaties[#All],5,FALSE)</f>
        <v>2596 JP</v>
      </c>
      <c r="E183" s="212" t="str">
        <f>VLOOKUP(Ruimtestaat[[#This Row],[Code]],Locaties[#All],6,FALSE)</f>
        <v>Den Haag</v>
      </c>
      <c r="F183" s="335"/>
      <c r="G183" s="334" t="s">
        <v>1737</v>
      </c>
      <c r="H183" s="334" t="s">
        <v>1690</v>
      </c>
      <c r="I183" s="335" t="s">
        <v>1728</v>
      </c>
      <c r="J183" s="328">
        <v>2</v>
      </c>
      <c r="K183" s="336" t="str">
        <f>VLOOKUP(J183,Ruimtegroepen[],2,FALSE)</f>
        <v>Kantoren</v>
      </c>
      <c r="L183" s="212" t="s">
        <v>123</v>
      </c>
      <c r="M183" s="334" t="s">
        <v>144</v>
      </c>
      <c r="N183" s="337">
        <v>19</v>
      </c>
      <c r="O183" s="331"/>
      <c r="P183" s="332" t="str">
        <f>VLOOKUP(Ruimtestaat[[#This Row],[Ruimte code]],Ruimtegroepen[],4,FALSE)</f>
        <v>B  (Bureauruimte)</v>
      </c>
      <c r="Q183" s="332"/>
      <c r="R183" s="333">
        <v>40</v>
      </c>
      <c r="S183" s="333" t="s">
        <v>2</v>
      </c>
      <c r="T183" s="37"/>
      <c r="U183" s="37">
        <f>IF(R183&gt;0,IF(RIGHT(Ruimtestaat[[#This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83" s="37">
        <f>IF(U183&gt;0,VLOOKUP($J183,Ruimtegroepen[],3,FALSE)*VLOOKUP($L183,Vloersoorten[],3,FALSE)*VLOOKUP($S183,Frequenties[],3,FALSE)*VLOOKUP($A183,Locaties[],3,FALSE),0)</f>
        <v>0</v>
      </c>
      <c r="W183" s="37">
        <f>Ruimtestaat[[#This Row],[Uitvoeringen werkdagen]]*Ruimtestaat[[#This Row],[Oppervlak (netto)]]</f>
        <v>3800</v>
      </c>
      <c r="X183" s="37">
        <f>IF(V183&gt;0,Ruimtestaat[[#This Row],[Prest. (m2 /jaar) werkdagen]]/Ruimtestaat[[#This Row],[Norm (m2/uur) werkdagen]],0)</f>
        <v>0</v>
      </c>
      <c r="Y183" s="37">
        <f>Ruimtestaat[[#This Row],[uren / jaar werkdagen]]*Tariefsopbouw!$D$38</f>
        <v>0</v>
      </c>
      <c r="Z183" s="37">
        <f>IF(Ruimtestaat[[#This Row],[Frequentie weekend]]&gt;0,VALUE(LEFT(T183,1))*R183,0)</f>
        <v>0</v>
      </c>
      <c r="AA183" s="37">
        <f>IF($Z183&gt;0,VLOOKUP($J183,Ruimtegroepen[],3,FALSE)*VLOOKUP($L183,Vloersoorten[],3,FALSE)*VLOOKUP($T183,Frequenties[],3,FALSE)*VLOOKUP($A183,Locaties[],3,FALSE),0)</f>
        <v>0</v>
      </c>
      <c r="AB183" s="37">
        <f>Ruimtestaat[[#This Row],[Uitvoeringen weekend]]*Ruimtestaat[[#This Row],[Oppervlak (netto)]]</f>
        <v>0</v>
      </c>
      <c r="AC183" s="37">
        <f>IF(AA183&gt;0,Ruimtestaat[[#This Row],[Prest. (m2 /jaar) weekend]]/Ruimtestaat[[#This Row],[Norm (m2/uur) weekend]],0)</f>
        <v>0</v>
      </c>
      <c r="AD183" s="37">
        <f>Ruimtestaat[[#This Row],[uren / jaar weekend]]*Tariefsopbouw!$D$40</f>
        <v>0</v>
      </c>
      <c r="AE183" s="89">
        <f>Ruimtestaat[[#This Row],[Prest. (m2 /jaar) weekend]]+Ruimtestaat[[#This Row],[Prest. (m2 /jaar) werkdagen]]</f>
        <v>3800</v>
      </c>
      <c r="AF183" s="89">
        <f>Ruimtestaat[[#This Row],[uren / jaar weekend]]+Ruimtestaat[[#This Row],[uren / jaar werkdagen]]</f>
        <v>0</v>
      </c>
      <c r="AG183" s="90">
        <f>Ruimtestaat[[#This Row],[kosten / jaar weekend]]+Ruimtestaat[[#This Row],[kosten / jaar werkdagen]]</f>
        <v>0</v>
      </c>
      <c r="AH183" s="253"/>
      <c r="AI183" s="252" t="str">
        <f>IF(Ruimtestaat[[#This Row],[Frequentie werkdagen]]="","",_xlfn.CONCAT(Ruimtestaat[[#This Row],[Ruimte code]],"-",Ruimtestaat[[#This Row],[Frequentie werkdagen]]," ",Ruimtestaat[[#This Row],[Vloer code]]))</f>
        <v>2-5w P</v>
      </c>
      <c r="AJ183" s="247" t="str">
        <f>_xlfn.IFNA(VLOOKUP(Ruimtestaat[[#This Row],[Programmacode
Regulier]],Programma!$F$4:$Y$36148,2,0),"_")</f>
        <v>_</v>
      </c>
      <c r="AK183" s="247" t="str">
        <f>_xlfn.IFNA(VLOOKUP(Ruimtestaat[[#This Row],[Programmacode
Regulier]],Programma!$F$4:$Y$36148,3,0),"_")</f>
        <v>_</v>
      </c>
      <c r="AL183" s="247" t="str">
        <f>_xlfn.IFNA(VLOOKUP(Ruimtestaat[[#This Row],[Programmacode
Regulier]],Programma!$F$4:$Y$36148,4,0),"_")</f>
        <v>5w</v>
      </c>
      <c r="AM183" s="247" t="str">
        <f>_xlfn.IFNA(VLOOKUP(Ruimtestaat[[#This Row],[Programmacode
Regulier]],Programma!$F$4:$Y$36148,5,0),"_")</f>
        <v>1w</v>
      </c>
      <c r="AN183" s="247" t="str">
        <f>_xlfn.IFNA(VLOOKUP(Ruimtestaat[[#This Row],[Programmacode
Regulier]],Programma!$F$4:$Y$36148,6,0),"_")</f>
        <v>1m</v>
      </c>
      <c r="AO183" s="247" t="str">
        <f>_xlfn.IFNA(VLOOKUP(Ruimtestaat[[#This Row],[Programmacode
Regulier]],Programma!$F$4:$Y$36148,7,0),"_")</f>
        <v>_</v>
      </c>
      <c r="AP183" s="247" t="str">
        <f>_xlfn.IFNA(VLOOKUP(Ruimtestaat[[#This Row],[Programmacode
Regulier]],Programma!$F$4:$Y$36148,8,0),"_")</f>
        <v>_</v>
      </c>
      <c r="AQ183" s="247" t="str">
        <f>_xlfn.IFNA(VLOOKUP(Ruimtestaat[[#This Row],[Programmacode
Regulier]],Programma!$F$4:$Y$36148,9,0),"_")</f>
        <v>_</v>
      </c>
      <c r="AR183" s="248" t="str">
        <f>_xlfn.IFNA(VLOOKUP(Ruimtestaat[[#This Row],[Programmacode
Regulier]],Programma!$F$4:$Y$36148,10,0),"_")</f>
        <v>5w</v>
      </c>
      <c r="AS183" s="248" t="str">
        <f>_xlfn.IFNA(VLOOKUP(Ruimtestaat[[#This Row],[Programmacode
Regulier]],Programma!$F$4:$Y$36148,11,0),"_")</f>
        <v>5w</v>
      </c>
      <c r="AT183" s="248" t="str">
        <f>_xlfn.IFNA(VLOOKUP(Ruimtestaat[[#This Row],[Programmacode
Regulier]],Programma!$F$4:$Y$36148,12,0),"_")</f>
        <v>1w</v>
      </c>
      <c r="AU183" s="248" t="str">
        <f>_xlfn.IFNA(VLOOKUP(Ruimtestaat[[#This Row],[Programmacode
Regulier]],Programma!$F$4:$Y$36148,13,0),"_")</f>
        <v>1w</v>
      </c>
      <c r="AV183" s="248" t="str">
        <f>_xlfn.IFNA(VLOOKUP(Ruimtestaat[[#This Row],[Programmacode
Regulier]],Programma!$F$4:$Y$36148,14,0),"_")</f>
        <v>1m</v>
      </c>
      <c r="AW183" s="248" t="str">
        <f>_xlfn.IFNA(VLOOKUP(Ruimtestaat[[#This Row],[Programmacode
Regulier]],Programma!$F$4:$Y$36148,15,0),"_")</f>
        <v>2j</v>
      </c>
      <c r="AX183" s="248" t="str">
        <f>_xlfn.IFNA(VLOOKUP(Ruimtestaat[[#This Row],[Programmacode
Regulier]],Programma!$F$4:$Y$36148,16,0),"_")</f>
        <v>1j</v>
      </c>
      <c r="AY183" s="248" t="str">
        <f>_xlfn.IFNA(VLOOKUP(Ruimtestaat[[#This Row],[Programmacode
Regulier]],Programma!$F$4:$Y$36148,17,0),"_")</f>
        <v>_</v>
      </c>
      <c r="AZ183" s="249" t="str">
        <f>_xlfn.IFNA(VLOOKUP(Ruimtestaat[[#This Row],[Programmacode
Regulier]],Programma!$F$4:$Y$36148,18,0),"_")</f>
        <v>_</v>
      </c>
      <c r="BA183" s="249" t="str">
        <f>_xlfn.IFNA(VLOOKUP(Ruimtestaat[[#This Row],[Programmacode
Regulier]],Programma!$F$4:$Y$36148,19,0),"_")</f>
        <v>_</v>
      </c>
      <c r="BB183" s="249" t="str">
        <f>_xlfn.IFNA(VLOOKUP(Ruimtestaat[[#This Row],[Programmacode
Regulier]],Programma!$F$4:$Y$36148,20,0),"_")</f>
        <v>_</v>
      </c>
      <c r="BC183" s="250"/>
      <c r="BD183" s="212" t="str">
        <f>IF(Ruimtestaat[[#This Row],[Frequentie weekend]]="","",_xlfn.CONCAT(Ruimtestaat[[#This Row],[Ruimte code]],"-",Ruimtestaat[[#This Row],[Frequentie weekend]]," ",Ruimtestaat[[#This Row],[Vloer code]]))</f>
        <v/>
      </c>
      <c r="BE183" s="247" t="str">
        <f>_xlfn.IFNA(VLOOKUP(Ruimtestaat[[#This Row],[Code Weekend]],Programma!$F$4:$Y$36148,2,0),"_")</f>
        <v>_</v>
      </c>
      <c r="BF183" s="247" t="str">
        <f>_xlfn.IFNA(VLOOKUP(Ruimtestaat[[#This Row],[Code Weekend]],Programma!$F$4:$Y$36148,3,0),"_")</f>
        <v>_</v>
      </c>
      <c r="BG183" s="247" t="str">
        <f>_xlfn.IFNA(VLOOKUP(Ruimtestaat[[#This Row],[Code Weekend]],Programma!$F$4:$Y$36148,4,0),"_")</f>
        <v>_</v>
      </c>
      <c r="BH183" s="247" t="str">
        <f>_xlfn.IFNA(VLOOKUP(Ruimtestaat[[#This Row],[Code Weekend]],Programma!$F$4:$Y$36148,5,0),"_")</f>
        <v>_</v>
      </c>
      <c r="BI183" s="247" t="str">
        <f>_xlfn.IFNA(VLOOKUP(Ruimtestaat[[#This Row],[Code Weekend]],Programma!$F$4:$Y$36148,6,0),"_")</f>
        <v>_</v>
      </c>
      <c r="BJ183" s="247" t="str">
        <f>_xlfn.IFNA(VLOOKUP(Ruimtestaat[[#This Row],[Code Weekend]],Programma!$F$4:$Y$36148,7,0),"_")</f>
        <v>_</v>
      </c>
      <c r="BK183" s="247" t="str">
        <f>_xlfn.IFNA(VLOOKUP(Ruimtestaat[[#This Row],[Code Weekend]],Programma!$F$4:$Y$36148,8,0),"_")</f>
        <v>_</v>
      </c>
      <c r="BL183" s="247" t="str">
        <f>_xlfn.IFNA(VLOOKUP(Ruimtestaat[[#This Row],[Code Weekend]],Programma!$F$4:$Y$36148,9,0),"_")</f>
        <v>_</v>
      </c>
      <c r="BM183" s="248" t="str">
        <f>_xlfn.IFNA(VLOOKUP(Ruimtestaat[[#This Row],[Code Weekend]],Programma!$F$4:$Y$36148,10,0),"_")</f>
        <v>_</v>
      </c>
      <c r="BN183" s="248" t="str">
        <f>_xlfn.IFNA(VLOOKUP(Ruimtestaat[[#This Row],[Code Weekend]],Programma!$F$4:$Y$36148,11,0),"_")</f>
        <v>_</v>
      </c>
      <c r="BO183" s="248" t="str">
        <f>_xlfn.IFNA(VLOOKUP(Ruimtestaat[[#This Row],[Code Weekend]],Programma!$F$4:$Y$36148,12,0),"_")</f>
        <v>_</v>
      </c>
      <c r="BP183" s="248" t="str">
        <f>_xlfn.IFNA(VLOOKUP(Ruimtestaat[[#This Row],[Code Weekend]],Programma!$F$4:$Y$36148,13,0),"_")</f>
        <v>_</v>
      </c>
      <c r="BQ183" s="248" t="str">
        <f>_xlfn.IFNA(VLOOKUP(Ruimtestaat[[#This Row],[Code Weekend]],Programma!$F$4:$Y$36148,14,0),"_")</f>
        <v>_</v>
      </c>
      <c r="BR183" s="248" t="str">
        <f>_xlfn.IFNA(VLOOKUP(Ruimtestaat[[#This Row],[Code Weekend]],Programma!$F$4:$Y$36148,15,0),"_")</f>
        <v>_</v>
      </c>
      <c r="BS183" s="248" t="str">
        <f>_xlfn.IFNA(VLOOKUP(Ruimtestaat[[#This Row],[Code Weekend]],Programma!$F$4:$Y$36148,16,0),"_")</f>
        <v>_</v>
      </c>
      <c r="BT183" s="248" t="str">
        <f>_xlfn.IFNA(VLOOKUP(Ruimtestaat[[#This Row],[Code Weekend]],Programma!$F$4:$Y$36148,17,0),"_")</f>
        <v>_</v>
      </c>
      <c r="BU183" s="249" t="str">
        <f>_xlfn.IFNA(VLOOKUP(Ruimtestaat[[#This Row],[Code Weekend]],Programma!$F$4:$Y$36148,18,0),"_")</f>
        <v>_</v>
      </c>
      <c r="BV183" s="249" t="str">
        <f>_xlfn.IFNA(VLOOKUP(Ruimtestaat[[#This Row],[Code Weekend]],Programma!$F$4:$Y$36148,19,0),"_")</f>
        <v>_</v>
      </c>
      <c r="BW183" s="249" t="str">
        <f>_xlfn.IFNA(VLOOKUP(Ruimtestaat[[#This Row],[Code Weekend]],Programma!$F$4:$Y$36148,20,0),"_")</f>
        <v>_</v>
      </c>
    </row>
    <row r="184" spans="1:75" ht="12.75" customHeight="1">
      <c r="A184" s="334">
        <v>1</v>
      </c>
      <c r="B184" s="334" t="str">
        <f>VLOOKUP(Ruimtestaat[[#This Row],[Code]],Locaties[#All],2,FALSE)</f>
        <v>ESH Secondary School</v>
      </c>
      <c r="C184" s="212" t="str">
        <f>VLOOKUP(Ruimtestaat[[#This Row],[Code]],Locaties[#All],4,FALSE)</f>
        <v>Oostduinlaan 50</v>
      </c>
      <c r="D184" s="212" t="str">
        <f>VLOOKUP(Ruimtestaat[[#This Row],[Code]],Locaties[#All],5,FALSE)</f>
        <v>2596 JP</v>
      </c>
      <c r="E184" s="212" t="str">
        <f>VLOOKUP(Ruimtestaat[[#This Row],[Code]],Locaties[#All],6,FALSE)</f>
        <v>Den Haag</v>
      </c>
      <c r="F184" s="335"/>
      <c r="G184" s="334" t="s">
        <v>1737</v>
      </c>
      <c r="H184" s="334" t="s">
        <v>1691</v>
      </c>
      <c r="I184" s="335" t="s">
        <v>1728</v>
      </c>
      <c r="J184" s="328">
        <v>2</v>
      </c>
      <c r="K184" s="336" t="str">
        <f>VLOOKUP(J184,Ruimtegroepen[],2,FALSE)</f>
        <v>Kantoren</v>
      </c>
      <c r="L184" s="212" t="s">
        <v>123</v>
      </c>
      <c r="M184" s="334" t="s">
        <v>144</v>
      </c>
      <c r="N184" s="337">
        <v>14</v>
      </c>
      <c r="O184" s="331"/>
      <c r="P184" s="332" t="str">
        <f>VLOOKUP(Ruimtestaat[[#This Row],[Ruimte code]],Ruimtegroepen[],4,FALSE)</f>
        <v>B  (Bureauruimte)</v>
      </c>
      <c r="Q184" s="332"/>
      <c r="R184" s="333">
        <v>40</v>
      </c>
      <c r="S184" s="333" t="s">
        <v>2</v>
      </c>
      <c r="T184" s="37"/>
      <c r="U184" s="37">
        <f>IF(R184&gt;0,IF(RIGHT(Ruimtestaat[[#This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84" s="37">
        <f>IF(U184&gt;0,VLOOKUP($J184,Ruimtegroepen[],3,FALSE)*VLOOKUP($L184,Vloersoorten[],3,FALSE)*VLOOKUP($S184,Frequenties[],3,FALSE)*VLOOKUP($A184,Locaties[],3,FALSE),0)</f>
        <v>0</v>
      </c>
      <c r="W184" s="37">
        <f>Ruimtestaat[[#This Row],[Uitvoeringen werkdagen]]*Ruimtestaat[[#This Row],[Oppervlak (netto)]]</f>
        <v>2800</v>
      </c>
      <c r="X184" s="37">
        <f>IF(V184&gt;0,Ruimtestaat[[#This Row],[Prest. (m2 /jaar) werkdagen]]/Ruimtestaat[[#This Row],[Norm (m2/uur) werkdagen]],0)</f>
        <v>0</v>
      </c>
      <c r="Y184" s="37">
        <f>Ruimtestaat[[#This Row],[uren / jaar werkdagen]]*Tariefsopbouw!$D$38</f>
        <v>0</v>
      </c>
      <c r="Z184" s="37">
        <f>IF(Ruimtestaat[[#This Row],[Frequentie weekend]]&gt;0,VALUE(LEFT(T184,1))*R184,0)</f>
        <v>0</v>
      </c>
      <c r="AA184" s="37">
        <f>IF($Z184&gt;0,VLOOKUP($J184,Ruimtegroepen[],3,FALSE)*VLOOKUP($L184,Vloersoorten[],3,FALSE)*VLOOKUP($T184,Frequenties[],3,FALSE)*VLOOKUP($A184,Locaties[],3,FALSE),0)</f>
        <v>0</v>
      </c>
      <c r="AB184" s="37">
        <f>Ruimtestaat[[#This Row],[Uitvoeringen weekend]]*Ruimtestaat[[#This Row],[Oppervlak (netto)]]</f>
        <v>0</v>
      </c>
      <c r="AC184" s="37">
        <f>IF(AA184&gt;0,Ruimtestaat[[#This Row],[Prest. (m2 /jaar) weekend]]/Ruimtestaat[[#This Row],[Norm (m2/uur) weekend]],0)</f>
        <v>0</v>
      </c>
      <c r="AD184" s="37">
        <f>Ruimtestaat[[#This Row],[uren / jaar weekend]]*Tariefsopbouw!$D$40</f>
        <v>0</v>
      </c>
      <c r="AE184" s="89">
        <f>Ruimtestaat[[#This Row],[Prest. (m2 /jaar) weekend]]+Ruimtestaat[[#This Row],[Prest. (m2 /jaar) werkdagen]]</f>
        <v>2800</v>
      </c>
      <c r="AF184" s="89">
        <f>Ruimtestaat[[#This Row],[uren / jaar weekend]]+Ruimtestaat[[#This Row],[uren / jaar werkdagen]]</f>
        <v>0</v>
      </c>
      <c r="AG184" s="90">
        <f>Ruimtestaat[[#This Row],[kosten / jaar weekend]]+Ruimtestaat[[#This Row],[kosten / jaar werkdagen]]</f>
        <v>0</v>
      </c>
      <c r="AH184" s="253"/>
      <c r="AI184" s="252" t="str">
        <f>IF(Ruimtestaat[[#This Row],[Frequentie werkdagen]]="","",_xlfn.CONCAT(Ruimtestaat[[#This Row],[Ruimte code]],"-",Ruimtestaat[[#This Row],[Frequentie werkdagen]]," ",Ruimtestaat[[#This Row],[Vloer code]]))</f>
        <v>2-5w P</v>
      </c>
      <c r="AJ184" s="247" t="str">
        <f>_xlfn.IFNA(VLOOKUP(Ruimtestaat[[#This Row],[Programmacode
Regulier]],Programma!$F$4:$Y$36148,2,0),"_")</f>
        <v>_</v>
      </c>
      <c r="AK184" s="247" t="str">
        <f>_xlfn.IFNA(VLOOKUP(Ruimtestaat[[#This Row],[Programmacode
Regulier]],Programma!$F$4:$Y$36148,3,0),"_")</f>
        <v>_</v>
      </c>
      <c r="AL184" s="247" t="str">
        <f>_xlfn.IFNA(VLOOKUP(Ruimtestaat[[#This Row],[Programmacode
Regulier]],Programma!$F$4:$Y$36148,4,0),"_")</f>
        <v>5w</v>
      </c>
      <c r="AM184" s="247" t="str">
        <f>_xlfn.IFNA(VLOOKUP(Ruimtestaat[[#This Row],[Programmacode
Regulier]],Programma!$F$4:$Y$36148,5,0),"_")</f>
        <v>1w</v>
      </c>
      <c r="AN184" s="247" t="str">
        <f>_xlfn.IFNA(VLOOKUP(Ruimtestaat[[#This Row],[Programmacode
Regulier]],Programma!$F$4:$Y$36148,6,0),"_")</f>
        <v>1m</v>
      </c>
      <c r="AO184" s="247" t="str">
        <f>_xlfn.IFNA(VLOOKUP(Ruimtestaat[[#This Row],[Programmacode
Regulier]],Programma!$F$4:$Y$36148,7,0),"_")</f>
        <v>_</v>
      </c>
      <c r="AP184" s="247" t="str">
        <f>_xlfn.IFNA(VLOOKUP(Ruimtestaat[[#This Row],[Programmacode
Regulier]],Programma!$F$4:$Y$36148,8,0),"_")</f>
        <v>_</v>
      </c>
      <c r="AQ184" s="247" t="str">
        <f>_xlfn.IFNA(VLOOKUP(Ruimtestaat[[#This Row],[Programmacode
Regulier]],Programma!$F$4:$Y$36148,9,0),"_")</f>
        <v>_</v>
      </c>
      <c r="AR184" s="248" t="str">
        <f>_xlfn.IFNA(VLOOKUP(Ruimtestaat[[#This Row],[Programmacode
Regulier]],Programma!$F$4:$Y$36148,10,0),"_")</f>
        <v>5w</v>
      </c>
      <c r="AS184" s="248" t="str">
        <f>_xlfn.IFNA(VLOOKUP(Ruimtestaat[[#This Row],[Programmacode
Regulier]],Programma!$F$4:$Y$36148,11,0),"_")</f>
        <v>5w</v>
      </c>
      <c r="AT184" s="248" t="str">
        <f>_xlfn.IFNA(VLOOKUP(Ruimtestaat[[#This Row],[Programmacode
Regulier]],Programma!$F$4:$Y$36148,12,0),"_")</f>
        <v>1w</v>
      </c>
      <c r="AU184" s="248" t="str">
        <f>_xlfn.IFNA(VLOOKUP(Ruimtestaat[[#This Row],[Programmacode
Regulier]],Programma!$F$4:$Y$36148,13,0),"_")</f>
        <v>1w</v>
      </c>
      <c r="AV184" s="248" t="str">
        <f>_xlfn.IFNA(VLOOKUP(Ruimtestaat[[#This Row],[Programmacode
Regulier]],Programma!$F$4:$Y$36148,14,0),"_")</f>
        <v>1m</v>
      </c>
      <c r="AW184" s="248" t="str">
        <f>_xlfn.IFNA(VLOOKUP(Ruimtestaat[[#This Row],[Programmacode
Regulier]],Programma!$F$4:$Y$36148,15,0),"_")</f>
        <v>2j</v>
      </c>
      <c r="AX184" s="248" t="str">
        <f>_xlfn.IFNA(VLOOKUP(Ruimtestaat[[#This Row],[Programmacode
Regulier]],Programma!$F$4:$Y$36148,16,0),"_")</f>
        <v>1j</v>
      </c>
      <c r="AY184" s="248" t="str">
        <f>_xlfn.IFNA(VLOOKUP(Ruimtestaat[[#This Row],[Programmacode
Regulier]],Programma!$F$4:$Y$36148,17,0),"_")</f>
        <v>_</v>
      </c>
      <c r="AZ184" s="249" t="str">
        <f>_xlfn.IFNA(VLOOKUP(Ruimtestaat[[#This Row],[Programmacode
Regulier]],Programma!$F$4:$Y$36148,18,0),"_")</f>
        <v>_</v>
      </c>
      <c r="BA184" s="249" t="str">
        <f>_xlfn.IFNA(VLOOKUP(Ruimtestaat[[#This Row],[Programmacode
Regulier]],Programma!$F$4:$Y$36148,19,0),"_")</f>
        <v>_</v>
      </c>
      <c r="BB184" s="249" t="str">
        <f>_xlfn.IFNA(VLOOKUP(Ruimtestaat[[#This Row],[Programmacode
Regulier]],Programma!$F$4:$Y$36148,20,0),"_")</f>
        <v>_</v>
      </c>
      <c r="BC184" s="250"/>
      <c r="BD184" s="212" t="str">
        <f>IF(Ruimtestaat[[#This Row],[Frequentie weekend]]="","",_xlfn.CONCAT(Ruimtestaat[[#This Row],[Ruimte code]],"-",Ruimtestaat[[#This Row],[Frequentie weekend]]," ",Ruimtestaat[[#This Row],[Vloer code]]))</f>
        <v/>
      </c>
      <c r="BE184" s="247" t="str">
        <f>_xlfn.IFNA(VLOOKUP(Ruimtestaat[[#This Row],[Code Weekend]],Programma!$F$4:$Y$36148,2,0),"_")</f>
        <v>_</v>
      </c>
      <c r="BF184" s="247" t="str">
        <f>_xlfn.IFNA(VLOOKUP(Ruimtestaat[[#This Row],[Code Weekend]],Programma!$F$4:$Y$36148,3,0),"_")</f>
        <v>_</v>
      </c>
      <c r="BG184" s="247" t="str">
        <f>_xlfn.IFNA(VLOOKUP(Ruimtestaat[[#This Row],[Code Weekend]],Programma!$F$4:$Y$36148,4,0),"_")</f>
        <v>_</v>
      </c>
      <c r="BH184" s="247" t="str">
        <f>_xlfn.IFNA(VLOOKUP(Ruimtestaat[[#This Row],[Code Weekend]],Programma!$F$4:$Y$36148,5,0),"_")</f>
        <v>_</v>
      </c>
      <c r="BI184" s="247" t="str">
        <f>_xlfn.IFNA(VLOOKUP(Ruimtestaat[[#This Row],[Code Weekend]],Programma!$F$4:$Y$36148,6,0),"_")</f>
        <v>_</v>
      </c>
      <c r="BJ184" s="247" t="str">
        <f>_xlfn.IFNA(VLOOKUP(Ruimtestaat[[#This Row],[Code Weekend]],Programma!$F$4:$Y$36148,7,0),"_")</f>
        <v>_</v>
      </c>
      <c r="BK184" s="247" t="str">
        <f>_xlfn.IFNA(VLOOKUP(Ruimtestaat[[#This Row],[Code Weekend]],Programma!$F$4:$Y$36148,8,0),"_")</f>
        <v>_</v>
      </c>
      <c r="BL184" s="247" t="str">
        <f>_xlfn.IFNA(VLOOKUP(Ruimtestaat[[#This Row],[Code Weekend]],Programma!$F$4:$Y$36148,9,0),"_")</f>
        <v>_</v>
      </c>
      <c r="BM184" s="248" t="str">
        <f>_xlfn.IFNA(VLOOKUP(Ruimtestaat[[#This Row],[Code Weekend]],Programma!$F$4:$Y$36148,10,0),"_")</f>
        <v>_</v>
      </c>
      <c r="BN184" s="248" t="str">
        <f>_xlfn.IFNA(VLOOKUP(Ruimtestaat[[#This Row],[Code Weekend]],Programma!$F$4:$Y$36148,11,0),"_")</f>
        <v>_</v>
      </c>
      <c r="BO184" s="248" t="str">
        <f>_xlfn.IFNA(VLOOKUP(Ruimtestaat[[#This Row],[Code Weekend]],Programma!$F$4:$Y$36148,12,0),"_")</f>
        <v>_</v>
      </c>
      <c r="BP184" s="248" t="str">
        <f>_xlfn.IFNA(VLOOKUP(Ruimtestaat[[#This Row],[Code Weekend]],Programma!$F$4:$Y$36148,13,0),"_")</f>
        <v>_</v>
      </c>
      <c r="BQ184" s="248" t="str">
        <f>_xlfn.IFNA(VLOOKUP(Ruimtestaat[[#This Row],[Code Weekend]],Programma!$F$4:$Y$36148,14,0),"_")</f>
        <v>_</v>
      </c>
      <c r="BR184" s="248" t="str">
        <f>_xlfn.IFNA(VLOOKUP(Ruimtestaat[[#This Row],[Code Weekend]],Programma!$F$4:$Y$36148,15,0),"_")</f>
        <v>_</v>
      </c>
      <c r="BS184" s="248" t="str">
        <f>_xlfn.IFNA(VLOOKUP(Ruimtestaat[[#This Row],[Code Weekend]],Programma!$F$4:$Y$36148,16,0),"_")</f>
        <v>_</v>
      </c>
      <c r="BT184" s="248" t="str">
        <f>_xlfn.IFNA(VLOOKUP(Ruimtestaat[[#This Row],[Code Weekend]],Programma!$F$4:$Y$36148,17,0),"_")</f>
        <v>_</v>
      </c>
      <c r="BU184" s="249" t="str">
        <f>_xlfn.IFNA(VLOOKUP(Ruimtestaat[[#This Row],[Code Weekend]],Programma!$F$4:$Y$36148,18,0),"_")</f>
        <v>_</v>
      </c>
      <c r="BV184" s="249" t="str">
        <f>_xlfn.IFNA(VLOOKUP(Ruimtestaat[[#This Row],[Code Weekend]],Programma!$F$4:$Y$36148,19,0),"_")</f>
        <v>_</v>
      </c>
      <c r="BW184" s="249" t="str">
        <f>_xlfn.IFNA(VLOOKUP(Ruimtestaat[[#This Row],[Code Weekend]],Programma!$F$4:$Y$36148,20,0),"_")</f>
        <v>_</v>
      </c>
    </row>
    <row r="185" spans="1:75" ht="12.75" customHeight="1">
      <c r="A185" s="334">
        <v>1</v>
      </c>
      <c r="B185" s="334" t="str">
        <f>VLOOKUP(Ruimtestaat[[#This Row],[Code]],Locaties[#All],2,FALSE)</f>
        <v>ESH Secondary School</v>
      </c>
      <c r="C185" s="212" t="str">
        <f>VLOOKUP(Ruimtestaat[[#This Row],[Code]],Locaties[#All],4,FALSE)</f>
        <v>Oostduinlaan 50</v>
      </c>
      <c r="D185" s="212" t="str">
        <f>VLOOKUP(Ruimtestaat[[#This Row],[Code]],Locaties[#All],5,FALSE)</f>
        <v>2596 JP</v>
      </c>
      <c r="E185" s="212" t="str">
        <f>VLOOKUP(Ruimtestaat[[#This Row],[Code]],Locaties[#All],6,FALSE)</f>
        <v>Den Haag</v>
      </c>
      <c r="F185" s="335"/>
      <c r="G185" s="334" t="s">
        <v>1737</v>
      </c>
      <c r="H185" s="334" t="s">
        <v>1691</v>
      </c>
      <c r="I185" s="335" t="s">
        <v>1786</v>
      </c>
      <c r="J185" s="252">
        <v>2</v>
      </c>
      <c r="K185" s="336" t="str">
        <f>VLOOKUP(J185,Ruimtegroepen[],2,FALSE)</f>
        <v>Kantoren</v>
      </c>
      <c r="L185" s="212" t="s">
        <v>123</v>
      </c>
      <c r="M185" s="334" t="s">
        <v>144</v>
      </c>
      <c r="N185" s="337">
        <v>11</v>
      </c>
      <c r="O185" s="331"/>
      <c r="P185" s="332" t="str">
        <f>VLOOKUP(Ruimtestaat[[#This Row],[Ruimte code]],Ruimtegroepen[],4,FALSE)</f>
        <v>B  (Bureauruimte)</v>
      </c>
      <c r="Q185" s="332"/>
      <c r="R185" s="333">
        <v>40</v>
      </c>
      <c r="S185" s="333" t="s">
        <v>2</v>
      </c>
      <c r="T185" s="37"/>
      <c r="U185" s="339">
        <f>IF(R185&gt;0,IF(RIGHT(Ruimtestaat[[#This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85" s="340">
        <f>IF(U185&gt;0,VLOOKUP($J185,Ruimtegroepen[],3,FALSE)*VLOOKUP($L185,Vloersoorten[],3,FALSE)*VLOOKUP($S185,Frequenties[],3,FALSE)*VLOOKUP($A185,Locaties[],3,FALSE),0)</f>
        <v>0</v>
      </c>
      <c r="W185" s="341">
        <f>Ruimtestaat[[#This Row],[Uitvoeringen werkdagen]]*Ruimtestaat[[#This Row],[Oppervlak (netto)]]</f>
        <v>2200</v>
      </c>
      <c r="X185" s="342">
        <f>IF(V185&gt;0,Ruimtestaat[[#This Row],[Prest. (m2 /jaar) werkdagen]]/Ruimtestaat[[#This Row],[Norm (m2/uur) werkdagen]],0)</f>
        <v>0</v>
      </c>
      <c r="Y185" s="343">
        <f>Ruimtestaat[[#This Row],[uren / jaar werkdagen]]*Tariefsopbouw!$D$38</f>
        <v>0</v>
      </c>
      <c r="Z185" s="252">
        <f>IF(Ruimtestaat[[#This Row],[Frequentie weekend]]&gt;0,VALUE(LEFT(T185,1))*R185,0)</f>
        <v>0</v>
      </c>
      <c r="AA185" s="341">
        <f>IF($Z185&gt;0,VLOOKUP($J185,Ruimtegroepen[],3,FALSE)*VLOOKUP($L185,Vloersoorten[],3,FALSE)*VLOOKUP(#REF!,Frequenties[],3,FALSE)*VLOOKUP(#REF!,Locaties[],3,FALSE),0)</f>
        <v>0</v>
      </c>
      <c r="AB185" s="344">
        <f>Ruimtestaat[[#This Row],[Uitvoeringen weekend]]*Ruimtestaat[[#This Row],[Oppervlak (netto)]]</f>
        <v>0</v>
      </c>
      <c r="AC185" s="344">
        <f>IF(AA185&gt;0,Ruimtestaat[[#This Row],[Prest. (m2 /jaar) weekend]]/Ruimtestaat[[#This Row],[Norm (m2/uur) weekend]],0)</f>
        <v>0</v>
      </c>
      <c r="AD185" s="333">
        <f>Ruimtestaat[[#This Row],[uren / jaar weekend]]*Tariefsopbouw!$D$40</f>
        <v>0</v>
      </c>
      <c r="AE185" s="345">
        <f>Ruimtestaat[[#This Row],[Prest. (m2 /jaar) weekend]]+Ruimtestaat[[#This Row],[Prest. (m2 /jaar) werkdagen]]</f>
        <v>2200</v>
      </c>
      <c r="AF185" s="345">
        <f>Ruimtestaat[[#This Row],[uren / jaar weekend]]+Ruimtestaat[[#This Row],[uren / jaar werkdagen]]</f>
        <v>0</v>
      </c>
      <c r="AG185" s="213">
        <f>Ruimtestaat[[#This Row],[kosten / jaar weekend]]+Ruimtestaat[[#This Row],[kosten / jaar werkdagen]]</f>
        <v>0</v>
      </c>
      <c r="AH185" s="253"/>
      <c r="AI185" s="252" t="str">
        <f>IF(Ruimtestaat[[#This Row],[Frequentie werkdagen]]="","",_xlfn.CONCAT(Ruimtestaat[[#This Row],[Ruimte code]],"-",Ruimtestaat[[#This Row],[Frequentie werkdagen]]," ",Ruimtestaat[[#This Row],[Vloer code]]))</f>
        <v>2-5w P</v>
      </c>
      <c r="AJ185" s="346" t="str">
        <f>_xlfn.IFNA(VLOOKUP(Ruimtestaat[[#This Row],[Programmacode
Regulier]],Programma!$F$4:$Y$36148,2,0),"_")</f>
        <v>_</v>
      </c>
      <c r="AK185" s="346" t="str">
        <f>_xlfn.IFNA(VLOOKUP(Ruimtestaat[[#This Row],[Programmacode
Regulier]],Programma!$F$4:$Y$36148,3,0),"_")</f>
        <v>_</v>
      </c>
      <c r="AL185" s="346" t="str">
        <f>_xlfn.IFNA(VLOOKUP(Ruimtestaat[[#This Row],[Programmacode
Regulier]],Programma!$F$4:$Y$36148,4,0),"_")</f>
        <v>5w</v>
      </c>
      <c r="AM185" s="346" t="str">
        <f>_xlfn.IFNA(VLOOKUP(Ruimtestaat[[#This Row],[Programmacode
Regulier]],Programma!$F$4:$Y$36148,5,0),"_")</f>
        <v>1w</v>
      </c>
      <c r="AN185" s="346" t="str">
        <f>_xlfn.IFNA(VLOOKUP(Ruimtestaat[[#This Row],[Programmacode
Regulier]],Programma!$F$4:$Y$36148,6,0),"_")</f>
        <v>1m</v>
      </c>
      <c r="AO185" s="346" t="str">
        <f>_xlfn.IFNA(VLOOKUP(Ruimtestaat[[#This Row],[Programmacode
Regulier]],Programma!$F$4:$Y$36148,7,0),"_")</f>
        <v>_</v>
      </c>
      <c r="AP185" s="346" t="str">
        <f>_xlfn.IFNA(VLOOKUP(Ruimtestaat[[#This Row],[Programmacode
Regulier]],Programma!$F$4:$Y$36148,8,0),"_")</f>
        <v>_</v>
      </c>
      <c r="AQ185" s="346" t="str">
        <f>_xlfn.IFNA(VLOOKUP(Ruimtestaat[[#This Row],[Programmacode
Regulier]],Programma!$F$4:$Y$36148,9,0),"_")</f>
        <v>_</v>
      </c>
      <c r="AR185" s="346" t="str">
        <f>_xlfn.IFNA(VLOOKUP(Ruimtestaat[[#This Row],[Programmacode
Regulier]],Programma!$F$4:$Y$36148,10,0),"_")</f>
        <v>5w</v>
      </c>
      <c r="AS185" s="346" t="str">
        <f>_xlfn.IFNA(VLOOKUP(Ruimtestaat[[#This Row],[Programmacode
Regulier]],Programma!$F$4:$Y$36148,11,0),"_")</f>
        <v>5w</v>
      </c>
      <c r="AT185" s="346" t="str">
        <f>_xlfn.IFNA(VLOOKUP(Ruimtestaat[[#This Row],[Programmacode
Regulier]],Programma!$F$4:$Y$36148,12,0),"_")</f>
        <v>1w</v>
      </c>
      <c r="AU185" s="346" t="str">
        <f>_xlfn.IFNA(VLOOKUP(Ruimtestaat[[#This Row],[Programmacode
Regulier]],Programma!$F$4:$Y$36148,13,0),"_")</f>
        <v>1w</v>
      </c>
      <c r="AV185" s="346" t="str">
        <f>_xlfn.IFNA(VLOOKUP(Ruimtestaat[[#This Row],[Programmacode
Regulier]],Programma!$F$4:$Y$36148,14,0),"_")</f>
        <v>1m</v>
      </c>
      <c r="AW185" s="346" t="str">
        <f>_xlfn.IFNA(VLOOKUP(Ruimtestaat[[#This Row],[Programmacode
Regulier]],Programma!$F$4:$Y$36148,15,0),"_")</f>
        <v>2j</v>
      </c>
      <c r="AX185" s="346" t="str">
        <f>_xlfn.IFNA(VLOOKUP(Ruimtestaat[[#This Row],[Programmacode
Regulier]],Programma!$F$4:$Y$36148,16,0),"_")</f>
        <v>1j</v>
      </c>
      <c r="AY185" s="346" t="str">
        <f>_xlfn.IFNA(VLOOKUP(Ruimtestaat[[#This Row],[Programmacode
Regulier]],Programma!$F$4:$Y$36148,17,0),"_")</f>
        <v>_</v>
      </c>
      <c r="AZ185" s="346" t="str">
        <f>_xlfn.IFNA(VLOOKUP(Ruimtestaat[[#This Row],[Programmacode
Regulier]],Programma!$F$4:$Y$36148,18,0),"_")</f>
        <v>_</v>
      </c>
      <c r="BA185" s="346" t="str">
        <f>_xlfn.IFNA(VLOOKUP(Ruimtestaat[[#This Row],[Programmacode
Regulier]],Programma!$F$4:$Y$36148,19,0),"_")</f>
        <v>_</v>
      </c>
      <c r="BB185" s="346" t="str">
        <f>_xlfn.IFNA(VLOOKUP(Ruimtestaat[[#This Row],[Programmacode
Regulier]],Programma!$F$4:$Y$36148,20,0),"_")</f>
        <v>_</v>
      </c>
      <c r="BC185" s="347"/>
      <c r="BD185" s="212" t="str">
        <f>IF(Ruimtestaat[[#This Row],[Frequentie weekend]]="","",_xlfn.CONCAT(Ruimtestaat[[#This Row],[Ruimte code]],"-",Ruimtestaat[[#This Row],[Frequentie weekend]]," ",Ruimtestaat[[#This Row],[Vloer code]]))</f>
        <v/>
      </c>
      <c r="BE185" s="346" t="str">
        <f>_xlfn.IFNA(VLOOKUP(Ruimtestaat[[#This Row],[Code Weekend]],Programma!$F$4:$Y$36148,2,0),"_")</f>
        <v>_</v>
      </c>
      <c r="BF185" s="346" t="str">
        <f>_xlfn.IFNA(VLOOKUP(Ruimtestaat[[#This Row],[Code Weekend]],Programma!$F$4:$Y$36148,3,0),"_")</f>
        <v>_</v>
      </c>
      <c r="BG185" s="346" t="str">
        <f>_xlfn.IFNA(VLOOKUP(Ruimtestaat[[#This Row],[Code Weekend]],Programma!$F$4:$Y$36148,4,0),"_")</f>
        <v>_</v>
      </c>
      <c r="BH185" s="346" t="str">
        <f>_xlfn.IFNA(VLOOKUP(Ruimtestaat[[#This Row],[Code Weekend]],Programma!$F$4:$Y$36148,5,0),"_")</f>
        <v>_</v>
      </c>
      <c r="BI185" s="346"/>
      <c r="BJ185" s="346" t="str">
        <f>_xlfn.IFNA(VLOOKUP(Ruimtestaat[[#This Row],[Code Weekend]],Programma!$F$4:$Y$36148,7,0),"_")</f>
        <v>_</v>
      </c>
      <c r="BK185" s="346" t="str">
        <f>_xlfn.IFNA(VLOOKUP(Ruimtestaat[[#This Row],[Code Weekend]],Programma!$F$4:$Y$36148,8,0),"_")</f>
        <v>_</v>
      </c>
      <c r="BL185" s="346" t="str">
        <f>_xlfn.IFNA(VLOOKUP(Ruimtestaat[[#This Row],[Code Weekend]],Programma!$F$4:$Y$36148,9,0),"_")</f>
        <v>_</v>
      </c>
      <c r="BM185" s="346" t="str">
        <f>_xlfn.IFNA(VLOOKUP(Ruimtestaat[[#This Row],[Code Weekend]],Programma!$F$4:$Y$36148,10,0),"_")</f>
        <v>_</v>
      </c>
      <c r="BN185" s="346" t="str">
        <f>_xlfn.IFNA(VLOOKUP(Ruimtestaat[[#This Row],[Code Weekend]],Programma!$F$4:$Y$36148,11,0),"_")</f>
        <v>_</v>
      </c>
      <c r="BO185" s="346" t="str">
        <f>_xlfn.IFNA(VLOOKUP(Ruimtestaat[[#This Row],[Code Weekend]],Programma!$F$4:$Y$36148,12,0),"_")</f>
        <v>_</v>
      </c>
      <c r="BP185" s="346" t="str">
        <f>_xlfn.IFNA(VLOOKUP(Ruimtestaat[[#This Row],[Code Weekend]],Programma!$F$4:$Y$36148,13,0),"_")</f>
        <v>_</v>
      </c>
      <c r="BQ185" s="346" t="str">
        <f>_xlfn.IFNA(VLOOKUP(Ruimtestaat[[#This Row],[Code Weekend]],Programma!$F$4:$Y$36148,14,0),"_")</f>
        <v>_</v>
      </c>
      <c r="BR185" s="346" t="str">
        <f>_xlfn.IFNA(VLOOKUP(Ruimtestaat[[#This Row],[Code Weekend]],Programma!$F$4:$Y$36148,15,0),"_")</f>
        <v>_</v>
      </c>
      <c r="BS185" s="346" t="str">
        <f>_xlfn.IFNA(VLOOKUP(Ruimtestaat[[#This Row],[Code Weekend]],Programma!$F$4:$Y$36148,16,0),"_")</f>
        <v>_</v>
      </c>
      <c r="BT185" s="346" t="str">
        <f>_xlfn.IFNA(VLOOKUP(Ruimtestaat[[#This Row],[Code Weekend]],Programma!$F$4:$Y$36148,17,0),"_")</f>
        <v>_</v>
      </c>
      <c r="BU185" s="346" t="str">
        <f>_xlfn.IFNA(VLOOKUP(Ruimtestaat[[#This Row],[Code Weekend]],Programma!$F$4:$Y$36148,18,0),"_")</f>
        <v>_</v>
      </c>
      <c r="BV185" s="346" t="str">
        <f>_xlfn.IFNA(VLOOKUP(Ruimtestaat[[#This Row],[Code Weekend]],Programma!$F$4:$Y$36148,19,0),"_")</f>
        <v>_</v>
      </c>
      <c r="BW185" s="346" t="str">
        <f>_xlfn.IFNA(VLOOKUP(Ruimtestaat[[#This Row],[Code Weekend]],Programma!$F$4:$Y$36148,20,0),"_")</f>
        <v>_</v>
      </c>
    </row>
    <row r="186" spans="1:75" ht="12.75" customHeight="1">
      <c r="A186" s="334">
        <v>1</v>
      </c>
      <c r="B186" s="334" t="str">
        <f>VLOOKUP(Ruimtestaat[[#This Row],[Code]],Locaties[#All],2,FALSE)</f>
        <v>ESH Secondary School</v>
      </c>
      <c r="C186" s="212" t="str">
        <f>VLOOKUP(Ruimtestaat[[#This Row],[Code]],Locaties[#All],4,FALSE)</f>
        <v>Oostduinlaan 50</v>
      </c>
      <c r="D186" s="212" t="str">
        <f>VLOOKUP(Ruimtestaat[[#This Row],[Code]],Locaties[#All],5,FALSE)</f>
        <v>2596 JP</v>
      </c>
      <c r="E186" s="212" t="str">
        <f>VLOOKUP(Ruimtestaat[[#This Row],[Code]],Locaties[#All],6,FALSE)</f>
        <v>Den Haag</v>
      </c>
      <c r="F186" s="335"/>
      <c r="G186" s="334" t="s">
        <v>1737</v>
      </c>
      <c r="H186" s="334" t="s">
        <v>1692</v>
      </c>
      <c r="I186" s="335" t="s">
        <v>1729</v>
      </c>
      <c r="J186" s="328">
        <v>4</v>
      </c>
      <c r="K186" s="336" t="str">
        <f>VLOOKUP(J186,Ruimtegroepen[],2,FALSE)</f>
        <v>Vergader/spreekkamers</v>
      </c>
      <c r="L186" s="212" t="s">
        <v>123</v>
      </c>
      <c r="M186" s="334" t="s">
        <v>144</v>
      </c>
      <c r="N186" s="337">
        <v>76</v>
      </c>
      <c r="O186" s="331"/>
      <c r="P186" s="332" t="str">
        <f>VLOOKUP(Ruimtestaat[[#This Row],[Ruimte code]],Ruimtegroepen[],4,FALSE)</f>
        <v>B  (Bureauruimte)</v>
      </c>
      <c r="Q186" s="332"/>
      <c r="R186" s="333">
        <v>40</v>
      </c>
      <c r="S186" s="333" t="s">
        <v>2</v>
      </c>
      <c r="T186" s="37"/>
      <c r="U186" s="37">
        <f>IF(R186&gt;0,IF(RIGHT(Ruimtestaat[[#This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86" s="37">
        <f>IF(U186&gt;0,VLOOKUP($J186,Ruimtegroepen[],3,FALSE)*VLOOKUP($L186,Vloersoorten[],3,FALSE)*VLOOKUP($S186,Frequenties[],3,FALSE)*VLOOKUP($A186,Locaties[],3,FALSE),0)</f>
        <v>0</v>
      </c>
      <c r="W186" s="37">
        <f>Ruimtestaat[[#This Row],[Uitvoeringen werkdagen]]*Ruimtestaat[[#This Row],[Oppervlak (netto)]]</f>
        <v>15200</v>
      </c>
      <c r="X186" s="37">
        <f>IF(V186&gt;0,Ruimtestaat[[#This Row],[Prest. (m2 /jaar) werkdagen]]/Ruimtestaat[[#This Row],[Norm (m2/uur) werkdagen]],0)</f>
        <v>0</v>
      </c>
      <c r="Y186" s="37">
        <f>Ruimtestaat[[#This Row],[uren / jaar werkdagen]]*Tariefsopbouw!$D$38</f>
        <v>0</v>
      </c>
      <c r="Z186" s="37">
        <f>IF(Ruimtestaat[[#This Row],[Frequentie weekend]]&gt;0,VALUE(LEFT(T186,1))*R186,0)</f>
        <v>0</v>
      </c>
      <c r="AA186" s="37">
        <f>IF($Z186&gt;0,VLOOKUP($J186,Ruimtegroepen[],3,FALSE)*VLOOKUP($L186,Vloersoorten[],3,FALSE)*VLOOKUP($T186,Frequenties[],3,FALSE)*VLOOKUP($A186,Locaties[],3,FALSE),0)</f>
        <v>0</v>
      </c>
      <c r="AB186" s="37">
        <f>Ruimtestaat[[#This Row],[Uitvoeringen weekend]]*Ruimtestaat[[#This Row],[Oppervlak (netto)]]</f>
        <v>0</v>
      </c>
      <c r="AC186" s="37">
        <f>IF(AA186&gt;0,Ruimtestaat[[#This Row],[Prest. (m2 /jaar) weekend]]/Ruimtestaat[[#This Row],[Norm (m2/uur) weekend]],0)</f>
        <v>0</v>
      </c>
      <c r="AD186" s="37">
        <f>Ruimtestaat[[#This Row],[uren / jaar weekend]]*Tariefsopbouw!$D$40</f>
        <v>0</v>
      </c>
      <c r="AE186" s="89">
        <f>Ruimtestaat[[#This Row],[Prest. (m2 /jaar) weekend]]+Ruimtestaat[[#This Row],[Prest. (m2 /jaar) werkdagen]]</f>
        <v>15200</v>
      </c>
      <c r="AF186" s="89">
        <f>Ruimtestaat[[#This Row],[uren / jaar weekend]]+Ruimtestaat[[#This Row],[uren / jaar werkdagen]]</f>
        <v>0</v>
      </c>
      <c r="AG186" s="90">
        <f>Ruimtestaat[[#This Row],[kosten / jaar weekend]]+Ruimtestaat[[#This Row],[kosten / jaar werkdagen]]</f>
        <v>0</v>
      </c>
      <c r="AH186" s="253"/>
      <c r="AI186" s="252" t="str">
        <f>IF(Ruimtestaat[[#This Row],[Frequentie werkdagen]]="","",_xlfn.CONCAT(Ruimtestaat[[#This Row],[Ruimte code]],"-",Ruimtestaat[[#This Row],[Frequentie werkdagen]]," ",Ruimtestaat[[#This Row],[Vloer code]]))</f>
        <v>4-5w P</v>
      </c>
      <c r="AJ186" s="247" t="str">
        <f>_xlfn.IFNA(VLOOKUP(Ruimtestaat[[#This Row],[Programmacode
Regulier]],Programma!$F$4:$Y$36148,2,0),"_")</f>
        <v>_</v>
      </c>
      <c r="AK186" s="247" t="str">
        <f>_xlfn.IFNA(VLOOKUP(Ruimtestaat[[#This Row],[Programmacode
Regulier]],Programma!$F$4:$Y$36148,3,0),"_")</f>
        <v>_</v>
      </c>
      <c r="AL186" s="247" t="str">
        <f>_xlfn.IFNA(VLOOKUP(Ruimtestaat[[#This Row],[Programmacode
Regulier]],Programma!$F$4:$Y$36148,4,0),"_")</f>
        <v>5w</v>
      </c>
      <c r="AM186" s="247" t="str">
        <f>_xlfn.IFNA(VLOOKUP(Ruimtestaat[[#This Row],[Programmacode
Regulier]],Programma!$F$4:$Y$36148,5,0),"_")</f>
        <v>1w</v>
      </c>
      <c r="AN186" s="247" t="str">
        <f>_xlfn.IFNA(VLOOKUP(Ruimtestaat[[#This Row],[Programmacode
Regulier]],Programma!$F$4:$Y$36148,6,0),"_")</f>
        <v>1m</v>
      </c>
      <c r="AO186" s="247" t="str">
        <f>_xlfn.IFNA(VLOOKUP(Ruimtestaat[[#This Row],[Programmacode
Regulier]],Programma!$F$4:$Y$36148,7,0),"_")</f>
        <v>_</v>
      </c>
      <c r="AP186" s="247" t="str">
        <f>_xlfn.IFNA(VLOOKUP(Ruimtestaat[[#This Row],[Programmacode
Regulier]],Programma!$F$4:$Y$36148,8,0),"_")</f>
        <v>_</v>
      </c>
      <c r="AQ186" s="247" t="str">
        <f>_xlfn.IFNA(VLOOKUP(Ruimtestaat[[#This Row],[Programmacode
Regulier]],Programma!$F$4:$Y$36148,9,0),"_")</f>
        <v>_</v>
      </c>
      <c r="AR186" s="248" t="str">
        <f>_xlfn.IFNA(VLOOKUP(Ruimtestaat[[#This Row],[Programmacode
Regulier]],Programma!$F$4:$Y$36148,10,0),"_")</f>
        <v>5w</v>
      </c>
      <c r="AS186" s="248" t="str">
        <f>_xlfn.IFNA(VLOOKUP(Ruimtestaat[[#This Row],[Programmacode
Regulier]],Programma!$F$4:$Y$36148,11,0),"_")</f>
        <v>5w</v>
      </c>
      <c r="AT186" s="248" t="str">
        <f>_xlfn.IFNA(VLOOKUP(Ruimtestaat[[#This Row],[Programmacode
Regulier]],Programma!$F$4:$Y$36148,12,0),"_")</f>
        <v>1w</v>
      </c>
      <c r="AU186" s="248" t="str">
        <f>_xlfn.IFNA(VLOOKUP(Ruimtestaat[[#This Row],[Programmacode
Regulier]],Programma!$F$4:$Y$36148,13,0),"_")</f>
        <v>1w</v>
      </c>
      <c r="AV186" s="248" t="str">
        <f>_xlfn.IFNA(VLOOKUP(Ruimtestaat[[#This Row],[Programmacode
Regulier]],Programma!$F$4:$Y$36148,14,0),"_")</f>
        <v>1m</v>
      </c>
      <c r="AW186" s="248" t="str">
        <f>_xlfn.IFNA(VLOOKUP(Ruimtestaat[[#This Row],[Programmacode
Regulier]],Programma!$F$4:$Y$36148,15,0),"_")</f>
        <v>2j</v>
      </c>
      <c r="AX186" s="248" t="str">
        <f>_xlfn.IFNA(VLOOKUP(Ruimtestaat[[#This Row],[Programmacode
Regulier]],Programma!$F$4:$Y$36148,16,0),"_")</f>
        <v>1j</v>
      </c>
      <c r="AY186" s="248" t="str">
        <f>_xlfn.IFNA(VLOOKUP(Ruimtestaat[[#This Row],[Programmacode
Regulier]],Programma!$F$4:$Y$36148,17,0),"_")</f>
        <v>_</v>
      </c>
      <c r="AZ186" s="249" t="str">
        <f>_xlfn.IFNA(VLOOKUP(Ruimtestaat[[#This Row],[Programmacode
Regulier]],Programma!$F$4:$Y$36148,18,0),"_")</f>
        <v>_</v>
      </c>
      <c r="BA186" s="249" t="str">
        <f>_xlfn.IFNA(VLOOKUP(Ruimtestaat[[#This Row],[Programmacode
Regulier]],Programma!$F$4:$Y$36148,19,0),"_")</f>
        <v>_</v>
      </c>
      <c r="BB186" s="249" t="str">
        <f>_xlfn.IFNA(VLOOKUP(Ruimtestaat[[#This Row],[Programmacode
Regulier]],Programma!$F$4:$Y$36148,20,0),"_")</f>
        <v>_</v>
      </c>
      <c r="BC186" s="250"/>
      <c r="BD186" s="212" t="str">
        <f>IF(Ruimtestaat[[#This Row],[Frequentie weekend]]="","",_xlfn.CONCAT(Ruimtestaat[[#This Row],[Ruimte code]],"-",Ruimtestaat[[#This Row],[Frequentie weekend]]," ",Ruimtestaat[[#This Row],[Vloer code]]))</f>
        <v/>
      </c>
      <c r="BE186" s="247" t="str">
        <f>_xlfn.IFNA(VLOOKUP(Ruimtestaat[[#This Row],[Code Weekend]],Programma!$F$4:$Y$36148,2,0),"_")</f>
        <v>_</v>
      </c>
      <c r="BF186" s="247" t="str">
        <f>_xlfn.IFNA(VLOOKUP(Ruimtestaat[[#This Row],[Code Weekend]],Programma!$F$4:$Y$36148,3,0),"_")</f>
        <v>_</v>
      </c>
      <c r="BG186" s="247" t="str">
        <f>_xlfn.IFNA(VLOOKUP(Ruimtestaat[[#This Row],[Code Weekend]],Programma!$F$4:$Y$36148,4,0),"_")</f>
        <v>_</v>
      </c>
      <c r="BH186" s="247" t="str">
        <f>_xlfn.IFNA(VLOOKUP(Ruimtestaat[[#This Row],[Code Weekend]],Programma!$F$4:$Y$36148,5,0),"_")</f>
        <v>_</v>
      </c>
      <c r="BI186" s="247" t="str">
        <f>_xlfn.IFNA(VLOOKUP(Ruimtestaat[[#This Row],[Code Weekend]],Programma!$F$4:$Y$36148,6,0),"_")</f>
        <v>_</v>
      </c>
      <c r="BJ186" s="247" t="str">
        <f>_xlfn.IFNA(VLOOKUP(Ruimtestaat[[#This Row],[Code Weekend]],Programma!$F$4:$Y$36148,7,0),"_")</f>
        <v>_</v>
      </c>
      <c r="BK186" s="247" t="str">
        <f>_xlfn.IFNA(VLOOKUP(Ruimtestaat[[#This Row],[Code Weekend]],Programma!$F$4:$Y$36148,8,0),"_")</f>
        <v>_</v>
      </c>
      <c r="BL186" s="247" t="str">
        <f>_xlfn.IFNA(VLOOKUP(Ruimtestaat[[#This Row],[Code Weekend]],Programma!$F$4:$Y$36148,9,0),"_")</f>
        <v>_</v>
      </c>
      <c r="BM186" s="248" t="str">
        <f>_xlfn.IFNA(VLOOKUP(Ruimtestaat[[#This Row],[Code Weekend]],Programma!$F$4:$Y$36148,10,0),"_")</f>
        <v>_</v>
      </c>
      <c r="BN186" s="248" t="str">
        <f>_xlfn.IFNA(VLOOKUP(Ruimtestaat[[#This Row],[Code Weekend]],Programma!$F$4:$Y$36148,11,0),"_")</f>
        <v>_</v>
      </c>
      <c r="BO186" s="248" t="str">
        <f>_xlfn.IFNA(VLOOKUP(Ruimtestaat[[#This Row],[Code Weekend]],Programma!$F$4:$Y$36148,12,0),"_")</f>
        <v>_</v>
      </c>
      <c r="BP186" s="248" t="str">
        <f>_xlfn.IFNA(VLOOKUP(Ruimtestaat[[#This Row],[Code Weekend]],Programma!$F$4:$Y$36148,13,0),"_")</f>
        <v>_</v>
      </c>
      <c r="BQ186" s="248" t="str">
        <f>_xlfn.IFNA(VLOOKUP(Ruimtestaat[[#This Row],[Code Weekend]],Programma!$F$4:$Y$36148,14,0),"_")</f>
        <v>_</v>
      </c>
      <c r="BR186" s="248" t="str">
        <f>_xlfn.IFNA(VLOOKUP(Ruimtestaat[[#This Row],[Code Weekend]],Programma!$F$4:$Y$36148,15,0),"_")</f>
        <v>_</v>
      </c>
      <c r="BS186" s="248" t="str">
        <f>_xlfn.IFNA(VLOOKUP(Ruimtestaat[[#This Row],[Code Weekend]],Programma!$F$4:$Y$36148,16,0),"_")</f>
        <v>_</v>
      </c>
      <c r="BT186" s="248" t="str">
        <f>_xlfn.IFNA(VLOOKUP(Ruimtestaat[[#This Row],[Code Weekend]],Programma!$F$4:$Y$36148,17,0),"_")</f>
        <v>_</v>
      </c>
      <c r="BU186" s="249" t="str">
        <f>_xlfn.IFNA(VLOOKUP(Ruimtestaat[[#This Row],[Code Weekend]],Programma!$F$4:$Y$36148,18,0),"_")</f>
        <v>_</v>
      </c>
      <c r="BV186" s="249" t="str">
        <f>_xlfn.IFNA(VLOOKUP(Ruimtestaat[[#This Row],[Code Weekend]],Programma!$F$4:$Y$36148,19,0),"_")</f>
        <v>_</v>
      </c>
      <c r="BW186" s="249" t="str">
        <f>_xlfn.IFNA(VLOOKUP(Ruimtestaat[[#This Row],[Code Weekend]],Programma!$F$4:$Y$36148,20,0),"_")</f>
        <v>_</v>
      </c>
    </row>
    <row r="187" spans="1:75" ht="12.75" customHeight="1">
      <c r="A187" s="334">
        <v>1</v>
      </c>
      <c r="B187" s="334" t="str">
        <f>VLOOKUP(Ruimtestaat[[#This Row],[Code]],Locaties[#All],2,FALSE)</f>
        <v>ESH Secondary School</v>
      </c>
      <c r="C187" s="212" t="str">
        <f>VLOOKUP(Ruimtestaat[[#This Row],[Code]],Locaties[#All],4,FALSE)</f>
        <v>Oostduinlaan 50</v>
      </c>
      <c r="D187" s="212" t="str">
        <f>VLOOKUP(Ruimtestaat[[#This Row],[Code]],Locaties[#All],5,FALSE)</f>
        <v>2596 JP</v>
      </c>
      <c r="E187" s="212" t="str">
        <f>VLOOKUP(Ruimtestaat[[#This Row],[Code]],Locaties[#All],6,FALSE)</f>
        <v>Den Haag</v>
      </c>
      <c r="F187" s="335"/>
      <c r="G187" s="334" t="s">
        <v>1737</v>
      </c>
      <c r="H187" s="334" t="s">
        <v>1693</v>
      </c>
      <c r="I187" s="335" t="s">
        <v>1619</v>
      </c>
      <c r="J187" s="212">
        <v>5</v>
      </c>
      <c r="K187" s="336" t="str">
        <f>VLOOKUP(J187,Ruimtegroepen[],2,FALSE)</f>
        <v>Sanitair</v>
      </c>
      <c r="L187" s="212" t="s">
        <v>123</v>
      </c>
      <c r="M187" s="334" t="s">
        <v>144</v>
      </c>
      <c r="N187" s="337">
        <v>37</v>
      </c>
      <c r="O187" s="331"/>
      <c r="P187" s="332" t="str">
        <f>VLOOKUP(Ruimtestaat[[#This Row],[Ruimte code]],Ruimtegroepen[],4,FALSE)</f>
        <v>S  (Sanitair)</v>
      </c>
      <c r="Q187" s="332"/>
      <c r="R187" s="333">
        <v>40</v>
      </c>
      <c r="S187" s="333" t="s">
        <v>19</v>
      </c>
      <c r="T187" s="37"/>
      <c r="U187" s="37">
        <f>IF(R187&gt;0,IF(RIGHT(Ruimtestaat[[#This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187" s="37">
        <f>IF(U187&gt;0,VLOOKUP($J187,Ruimtegroepen[],3,FALSE)*VLOOKUP($L187,Vloersoorten[],3,FALSE)*VLOOKUP($S187,Frequenties[],3,FALSE)*VLOOKUP($A187,Locaties[],3,FALSE),0)</f>
        <v>0</v>
      </c>
      <c r="W187" s="37">
        <f>Ruimtestaat[[#This Row],[Uitvoeringen werkdagen]]*Ruimtestaat[[#This Row],[Oppervlak (netto)]]</f>
        <v>14800</v>
      </c>
      <c r="X187" s="37">
        <f>IF(V187&gt;0,Ruimtestaat[[#This Row],[Prest. (m2 /jaar) werkdagen]]/Ruimtestaat[[#This Row],[Norm (m2/uur) werkdagen]],0)</f>
        <v>0</v>
      </c>
      <c r="Y187" s="37">
        <f>Ruimtestaat[[#This Row],[uren / jaar werkdagen]]*Tariefsopbouw!$D$38</f>
        <v>0</v>
      </c>
      <c r="Z187" s="37">
        <f>IF(Ruimtestaat[[#This Row],[Frequentie weekend]]&gt;0,VALUE(LEFT(T187,1))*R187,0)</f>
        <v>0</v>
      </c>
      <c r="AA187" s="37">
        <f>IF($Z187&gt;0,VLOOKUP($J187,Ruimtegroepen[],3,FALSE)*VLOOKUP($L187,Vloersoorten[],3,FALSE)*VLOOKUP($T187,Frequenties[],3,FALSE)*VLOOKUP($A187,Locaties[],3,FALSE),0)</f>
        <v>0</v>
      </c>
      <c r="AB187" s="37">
        <f>Ruimtestaat[[#This Row],[Uitvoeringen weekend]]*Ruimtestaat[[#This Row],[Oppervlak (netto)]]</f>
        <v>0</v>
      </c>
      <c r="AC187" s="37">
        <f>IF(AA187&gt;0,Ruimtestaat[[#This Row],[Prest. (m2 /jaar) weekend]]/Ruimtestaat[[#This Row],[Norm (m2/uur) weekend]],0)</f>
        <v>0</v>
      </c>
      <c r="AD187" s="37">
        <f>Ruimtestaat[[#This Row],[uren / jaar weekend]]*Tariefsopbouw!$D$40</f>
        <v>0</v>
      </c>
      <c r="AE187" s="89">
        <f>Ruimtestaat[[#This Row],[Prest. (m2 /jaar) weekend]]+Ruimtestaat[[#This Row],[Prest. (m2 /jaar) werkdagen]]</f>
        <v>14800</v>
      </c>
      <c r="AF187" s="89">
        <f>Ruimtestaat[[#This Row],[uren / jaar weekend]]+Ruimtestaat[[#This Row],[uren / jaar werkdagen]]</f>
        <v>0</v>
      </c>
      <c r="AG187" s="90">
        <f>Ruimtestaat[[#This Row],[kosten / jaar weekend]]+Ruimtestaat[[#This Row],[kosten / jaar werkdagen]]</f>
        <v>0</v>
      </c>
      <c r="AH187" s="253"/>
      <c r="AI187" s="252" t="str">
        <f>IF(Ruimtestaat[[#This Row],[Frequentie werkdagen]]="","",_xlfn.CONCAT(Ruimtestaat[[#This Row],[Ruimte code]],"-",Ruimtestaat[[#This Row],[Frequentie werkdagen]]," ",Ruimtestaat[[#This Row],[Vloer code]]))</f>
        <v>5-10w P</v>
      </c>
      <c r="AJ187" s="247" t="str">
        <f>_xlfn.IFNA(VLOOKUP(Ruimtestaat[[#This Row],[Programmacode
Regulier]],Programma!$F$4:$Y$36148,2,0),"_")</f>
        <v>_</v>
      </c>
      <c r="AK187" s="247" t="str">
        <f>_xlfn.IFNA(VLOOKUP(Ruimtestaat[[#This Row],[Programmacode
Regulier]],Programma!$F$4:$Y$36148,3,0),"_")</f>
        <v>_</v>
      </c>
      <c r="AL187" s="247" t="str">
        <f>_xlfn.IFNA(VLOOKUP(Ruimtestaat[[#This Row],[Programmacode
Regulier]],Programma!$F$4:$Y$36148,4,0),"_")</f>
        <v>_</v>
      </c>
      <c r="AM187" s="247" t="str">
        <f>_xlfn.IFNA(VLOOKUP(Ruimtestaat[[#This Row],[Programmacode
Regulier]],Programma!$F$4:$Y$36148,5,0),"_")</f>
        <v>4w</v>
      </c>
      <c r="AN187" s="247" t="str">
        <f>_xlfn.IFNA(VLOOKUP(Ruimtestaat[[#This Row],[Programmacode
Regulier]],Programma!$F$4:$Y$36148,6,0),"_")</f>
        <v>1w</v>
      </c>
      <c r="AO187" s="247" t="str">
        <f>_xlfn.IFNA(VLOOKUP(Ruimtestaat[[#This Row],[Programmacode
Regulier]],Programma!$F$4:$Y$36148,7,0),"_")</f>
        <v>_</v>
      </c>
      <c r="AP187" s="247" t="str">
        <f>_xlfn.IFNA(VLOOKUP(Ruimtestaat[[#This Row],[Programmacode
Regulier]],Programma!$F$4:$Y$36148,8,0),"_")</f>
        <v>_</v>
      </c>
      <c r="AQ187" s="247" t="str">
        <f>_xlfn.IFNA(VLOOKUP(Ruimtestaat[[#This Row],[Programmacode
Regulier]],Programma!$F$4:$Y$36148,9,0),"_")</f>
        <v>5w</v>
      </c>
      <c r="AR187" s="248" t="str">
        <f>_xlfn.IFNA(VLOOKUP(Ruimtestaat[[#This Row],[Programmacode
Regulier]],Programma!$F$4:$Y$36148,10,0),"_")</f>
        <v>_</v>
      </c>
      <c r="AS187" s="248" t="str">
        <f>_xlfn.IFNA(VLOOKUP(Ruimtestaat[[#This Row],[Programmacode
Regulier]],Programma!$F$4:$Y$36148,11,0),"_")</f>
        <v>_</v>
      </c>
      <c r="AT187" s="248" t="str">
        <f>_xlfn.IFNA(VLOOKUP(Ruimtestaat[[#This Row],[Programmacode
Regulier]],Programma!$F$4:$Y$36148,12,0),"_")</f>
        <v>_</v>
      </c>
      <c r="AU187" s="248" t="str">
        <f>_xlfn.IFNA(VLOOKUP(Ruimtestaat[[#This Row],[Programmacode
Regulier]],Programma!$F$4:$Y$36148,13,0),"_")</f>
        <v>_</v>
      </c>
      <c r="AV187" s="248" t="str">
        <f>_xlfn.IFNA(VLOOKUP(Ruimtestaat[[#This Row],[Programmacode
Regulier]],Programma!$F$4:$Y$36148,14,0),"_")</f>
        <v>_</v>
      </c>
      <c r="AW187" s="248" t="str">
        <f>_xlfn.IFNA(VLOOKUP(Ruimtestaat[[#This Row],[Programmacode
Regulier]],Programma!$F$4:$Y$36148,15,0),"_")</f>
        <v>_</v>
      </c>
      <c r="AX187" s="248" t="str">
        <f>_xlfn.IFNA(VLOOKUP(Ruimtestaat[[#This Row],[Programmacode
Regulier]],Programma!$F$4:$Y$36148,16,0),"_")</f>
        <v>_</v>
      </c>
      <c r="AY187" s="248" t="str">
        <f>_xlfn.IFNA(VLOOKUP(Ruimtestaat[[#This Row],[Programmacode
Regulier]],Programma!$F$4:$Y$36148,17,0),"_")</f>
        <v>_</v>
      </c>
      <c r="AZ187" s="249" t="str">
        <f>_xlfn.IFNA(VLOOKUP(Ruimtestaat[[#This Row],[Programmacode
Regulier]],Programma!$F$4:$Y$36148,18,0),"_")</f>
        <v>4w</v>
      </c>
      <c r="BA187" s="249" t="str">
        <f>_xlfn.IFNA(VLOOKUP(Ruimtestaat[[#This Row],[Programmacode
Regulier]],Programma!$F$4:$Y$36148,19,0),"_")</f>
        <v>1w</v>
      </c>
      <c r="BB187" s="249" t="str">
        <f>_xlfn.IFNA(VLOOKUP(Ruimtestaat[[#This Row],[Programmacode
Regulier]],Programma!$F$4:$Y$36148,20,0),"_")</f>
        <v>5w</v>
      </c>
      <c r="BC187" s="250"/>
      <c r="BD187" s="212" t="str">
        <f>IF(Ruimtestaat[[#This Row],[Frequentie weekend]]="","",_xlfn.CONCAT(Ruimtestaat[[#This Row],[Ruimte code]],"-",Ruimtestaat[[#This Row],[Frequentie weekend]]," ",Ruimtestaat[[#This Row],[Vloer code]]))</f>
        <v/>
      </c>
      <c r="BE187" s="247" t="str">
        <f>_xlfn.IFNA(VLOOKUP(Ruimtestaat[[#This Row],[Code Weekend]],Programma!$F$4:$Y$36148,2,0),"_")</f>
        <v>_</v>
      </c>
      <c r="BF187" s="247" t="str">
        <f>_xlfn.IFNA(VLOOKUP(Ruimtestaat[[#This Row],[Code Weekend]],Programma!$F$4:$Y$36148,3,0),"_")</f>
        <v>_</v>
      </c>
      <c r="BG187" s="247" t="str">
        <f>_xlfn.IFNA(VLOOKUP(Ruimtestaat[[#This Row],[Code Weekend]],Programma!$F$4:$Y$36148,4,0),"_")</f>
        <v>_</v>
      </c>
      <c r="BH187" s="247" t="str">
        <f>_xlfn.IFNA(VLOOKUP(Ruimtestaat[[#This Row],[Code Weekend]],Programma!$F$4:$Y$36148,5,0),"_")</f>
        <v>_</v>
      </c>
      <c r="BI187" s="247" t="str">
        <f>_xlfn.IFNA(VLOOKUP(Ruimtestaat[[#This Row],[Code Weekend]],Programma!$F$4:$Y$36148,6,0),"_")</f>
        <v>_</v>
      </c>
      <c r="BJ187" s="247" t="str">
        <f>_xlfn.IFNA(VLOOKUP(Ruimtestaat[[#This Row],[Code Weekend]],Programma!$F$4:$Y$36148,7,0),"_")</f>
        <v>_</v>
      </c>
      <c r="BK187" s="247" t="str">
        <f>_xlfn.IFNA(VLOOKUP(Ruimtestaat[[#This Row],[Code Weekend]],Programma!$F$4:$Y$36148,8,0),"_")</f>
        <v>_</v>
      </c>
      <c r="BL187" s="247" t="str">
        <f>_xlfn.IFNA(VLOOKUP(Ruimtestaat[[#This Row],[Code Weekend]],Programma!$F$4:$Y$36148,9,0),"_")</f>
        <v>_</v>
      </c>
      <c r="BM187" s="248" t="str">
        <f>_xlfn.IFNA(VLOOKUP(Ruimtestaat[[#This Row],[Code Weekend]],Programma!$F$4:$Y$36148,10,0),"_")</f>
        <v>_</v>
      </c>
      <c r="BN187" s="248" t="str">
        <f>_xlfn.IFNA(VLOOKUP(Ruimtestaat[[#This Row],[Code Weekend]],Programma!$F$4:$Y$36148,11,0),"_")</f>
        <v>_</v>
      </c>
      <c r="BO187" s="248" t="str">
        <f>_xlfn.IFNA(VLOOKUP(Ruimtestaat[[#This Row],[Code Weekend]],Programma!$F$4:$Y$36148,12,0),"_")</f>
        <v>_</v>
      </c>
      <c r="BP187" s="248" t="str">
        <f>_xlfn.IFNA(VLOOKUP(Ruimtestaat[[#This Row],[Code Weekend]],Programma!$F$4:$Y$36148,13,0),"_")</f>
        <v>_</v>
      </c>
      <c r="BQ187" s="248" t="str">
        <f>_xlfn.IFNA(VLOOKUP(Ruimtestaat[[#This Row],[Code Weekend]],Programma!$F$4:$Y$36148,14,0),"_")</f>
        <v>_</v>
      </c>
      <c r="BR187" s="248" t="str">
        <f>_xlfn.IFNA(VLOOKUP(Ruimtestaat[[#This Row],[Code Weekend]],Programma!$F$4:$Y$36148,15,0),"_")</f>
        <v>_</v>
      </c>
      <c r="BS187" s="248" t="str">
        <f>_xlfn.IFNA(VLOOKUP(Ruimtestaat[[#This Row],[Code Weekend]],Programma!$F$4:$Y$36148,16,0),"_")</f>
        <v>_</v>
      </c>
      <c r="BT187" s="248" t="str">
        <f>_xlfn.IFNA(VLOOKUP(Ruimtestaat[[#This Row],[Code Weekend]],Programma!$F$4:$Y$36148,17,0),"_")</f>
        <v>_</v>
      </c>
      <c r="BU187" s="249" t="str">
        <f>_xlfn.IFNA(VLOOKUP(Ruimtestaat[[#This Row],[Code Weekend]],Programma!$F$4:$Y$36148,18,0),"_")</f>
        <v>_</v>
      </c>
      <c r="BV187" s="249" t="str">
        <f>_xlfn.IFNA(VLOOKUP(Ruimtestaat[[#This Row],[Code Weekend]],Programma!$F$4:$Y$36148,19,0),"_")</f>
        <v>_</v>
      </c>
      <c r="BW187" s="249" t="str">
        <f>_xlfn.IFNA(VLOOKUP(Ruimtestaat[[#This Row],[Code Weekend]],Programma!$F$4:$Y$36148,20,0),"_")</f>
        <v>_</v>
      </c>
    </row>
    <row r="188" spans="1:75" ht="12.75" customHeight="1">
      <c r="A188" s="334">
        <v>1</v>
      </c>
      <c r="B188" s="334" t="str">
        <f>VLOOKUP(Ruimtestaat[[#This Row],[Code]],Locaties[#All],2,FALSE)</f>
        <v>ESH Secondary School</v>
      </c>
      <c r="C188" s="212" t="str">
        <f>VLOOKUP(Ruimtestaat[[#This Row],[Code]],Locaties[#All],4,FALSE)</f>
        <v>Oostduinlaan 50</v>
      </c>
      <c r="D188" s="212" t="str">
        <f>VLOOKUP(Ruimtestaat[[#This Row],[Code]],Locaties[#All],5,FALSE)</f>
        <v>2596 JP</v>
      </c>
      <c r="E188" s="212" t="str">
        <f>VLOOKUP(Ruimtestaat[[#This Row],[Code]],Locaties[#All],6,FALSE)</f>
        <v>Den Haag</v>
      </c>
      <c r="F188" s="335"/>
      <c r="G188" s="334" t="s">
        <v>1737</v>
      </c>
      <c r="H188" s="334" t="s">
        <v>1694</v>
      </c>
      <c r="I188" s="335" t="s">
        <v>1730</v>
      </c>
      <c r="J188" s="328">
        <v>5</v>
      </c>
      <c r="K188" s="336" t="str">
        <f>VLOOKUP(J188,Ruimtegroepen[],2,FALSE)</f>
        <v>Sanitair</v>
      </c>
      <c r="L188" s="212" t="s">
        <v>123</v>
      </c>
      <c r="M188" s="334" t="s">
        <v>144</v>
      </c>
      <c r="N188" s="337">
        <v>6</v>
      </c>
      <c r="O188" s="331"/>
      <c r="P188" s="332" t="str">
        <f>VLOOKUP(Ruimtestaat[[#This Row],[Ruimte code]],Ruimtegroepen[],4,FALSE)</f>
        <v>S  (Sanitair)</v>
      </c>
      <c r="Q188" s="332"/>
      <c r="R188" s="333">
        <v>40</v>
      </c>
      <c r="S188" s="333" t="s">
        <v>19</v>
      </c>
      <c r="T188" s="37"/>
      <c r="U188" s="37">
        <f>IF(R188&gt;0,IF(RIGHT(Ruimtestaat[[#This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188" s="37">
        <f>IF(U188&gt;0,VLOOKUP($J188,Ruimtegroepen[],3,FALSE)*VLOOKUP($L188,Vloersoorten[],3,FALSE)*VLOOKUP($S188,Frequenties[],3,FALSE)*VLOOKUP($A188,Locaties[],3,FALSE),0)</f>
        <v>0</v>
      </c>
      <c r="W188" s="37">
        <f>Ruimtestaat[[#This Row],[Uitvoeringen werkdagen]]*Ruimtestaat[[#This Row],[Oppervlak (netto)]]</f>
        <v>2400</v>
      </c>
      <c r="X188" s="37">
        <f>IF(V188&gt;0,Ruimtestaat[[#This Row],[Prest. (m2 /jaar) werkdagen]]/Ruimtestaat[[#This Row],[Norm (m2/uur) werkdagen]],0)</f>
        <v>0</v>
      </c>
      <c r="Y188" s="37">
        <f>Ruimtestaat[[#This Row],[uren / jaar werkdagen]]*Tariefsopbouw!$D$38</f>
        <v>0</v>
      </c>
      <c r="Z188" s="37">
        <f>IF(Ruimtestaat[[#This Row],[Frequentie weekend]]&gt;0,VALUE(LEFT(T188,1))*R188,0)</f>
        <v>0</v>
      </c>
      <c r="AA188" s="37">
        <f>IF($Z188&gt;0,VLOOKUP($J188,Ruimtegroepen[],3,FALSE)*VLOOKUP($L188,Vloersoorten[],3,FALSE)*VLOOKUP($T188,Frequenties[],3,FALSE)*VLOOKUP($A188,Locaties[],3,FALSE),0)</f>
        <v>0</v>
      </c>
      <c r="AB188" s="37">
        <f>Ruimtestaat[[#This Row],[Uitvoeringen weekend]]*Ruimtestaat[[#This Row],[Oppervlak (netto)]]</f>
        <v>0</v>
      </c>
      <c r="AC188" s="37">
        <f>IF(AA188&gt;0,Ruimtestaat[[#This Row],[Prest. (m2 /jaar) weekend]]/Ruimtestaat[[#This Row],[Norm (m2/uur) weekend]],0)</f>
        <v>0</v>
      </c>
      <c r="AD188" s="37">
        <f>Ruimtestaat[[#This Row],[uren / jaar weekend]]*Tariefsopbouw!$D$40</f>
        <v>0</v>
      </c>
      <c r="AE188" s="89">
        <f>Ruimtestaat[[#This Row],[Prest. (m2 /jaar) weekend]]+Ruimtestaat[[#This Row],[Prest. (m2 /jaar) werkdagen]]</f>
        <v>2400</v>
      </c>
      <c r="AF188" s="89">
        <f>Ruimtestaat[[#This Row],[uren / jaar weekend]]+Ruimtestaat[[#This Row],[uren / jaar werkdagen]]</f>
        <v>0</v>
      </c>
      <c r="AG188" s="90">
        <f>Ruimtestaat[[#This Row],[kosten / jaar weekend]]+Ruimtestaat[[#This Row],[kosten / jaar werkdagen]]</f>
        <v>0</v>
      </c>
      <c r="AH188" s="253"/>
      <c r="AI188" s="252" t="str">
        <f>IF(Ruimtestaat[[#This Row],[Frequentie werkdagen]]="","",_xlfn.CONCAT(Ruimtestaat[[#This Row],[Ruimte code]],"-",Ruimtestaat[[#This Row],[Frequentie werkdagen]]," ",Ruimtestaat[[#This Row],[Vloer code]]))</f>
        <v>5-10w P</v>
      </c>
      <c r="AJ188" s="247" t="str">
        <f>_xlfn.IFNA(VLOOKUP(Ruimtestaat[[#This Row],[Programmacode
Regulier]],Programma!$F$4:$Y$36148,2,0),"_")</f>
        <v>_</v>
      </c>
      <c r="AK188" s="247" t="str">
        <f>_xlfn.IFNA(VLOOKUP(Ruimtestaat[[#This Row],[Programmacode
Regulier]],Programma!$F$4:$Y$36148,3,0),"_")</f>
        <v>_</v>
      </c>
      <c r="AL188" s="247" t="str">
        <f>_xlfn.IFNA(VLOOKUP(Ruimtestaat[[#This Row],[Programmacode
Regulier]],Programma!$F$4:$Y$36148,4,0),"_")</f>
        <v>_</v>
      </c>
      <c r="AM188" s="247" t="str">
        <f>_xlfn.IFNA(VLOOKUP(Ruimtestaat[[#This Row],[Programmacode
Regulier]],Programma!$F$4:$Y$36148,5,0),"_")</f>
        <v>4w</v>
      </c>
      <c r="AN188" s="247" t="str">
        <f>_xlfn.IFNA(VLOOKUP(Ruimtestaat[[#This Row],[Programmacode
Regulier]],Programma!$F$4:$Y$36148,6,0),"_")</f>
        <v>1w</v>
      </c>
      <c r="AO188" s="247" t="str">
        <f>_xlfn.IFNA(VLOOKUP(Ruimtestaat[[#This Row],[Programmacode
Regulier]],Programma!$F$4:$Y$36148,7,0),"_")</f>
        <v>_</v>
      </c>
      <c r="AP188" s="247" t="str">
        <f>_xlfn.IFNA(VLOOKUP(Ruimtestaat[[#This Row],[Programmacode
Regulier]],Programma!$F$4:$Y$36148,8,0),"_")</f>
        <v>_</v>
      </c>
      <c r="AQ188" s="247" t="str">
        <f>_xlfn.IFNA(VLOOKUP(Ruimtestaat[[#This Row],[Programmacode
Regulier]],Programma!$F$4:$Y$36148,9,0),"_")</f>
        <v>5w</v>
      </c>
      <c r="AR188" s="248" t="str">
        <f>_xlfn.IFNA(VLOOKUP(Ruimtestaat[[#This Row],[Programmacode
Regulier]],Programma!$F$4:$Y$36148,10,0),"_")</f>
        <v>_</v>
      </c>
      <c r="AS188" s="248" t="str">
        <f>_xlfn.IFNA(VLOOKUP(Ruimtestaat[[#This Row],[Programmacode
Regulier]],Programma!$F$4:$Y$36148,11,0),"_")</f>
        <v>_</v>
      </c>
      <c r="AT188" s="248" t="str">
        <f>_xlfn.IFNA(VLOOKUP(Ruimtestaat[[#This Row],[Programmacode
Regulier]],Programma!$F$4:$Y$36148,12,0),"_")</f>
        <v>_</v>
      </c>
      <c r="AU188" s="248" t="str">
        <f>_xlfn.IFNA(VLOOKUP(Ruimtestaat[[#This Row],[Programmacode
Regulier]],Programma!$F$4:$Y$36148,13,0),"_")</f>
        <v>_</v>
      </c>
      <c r="AV188" s="248" t="str">
        <f>_xlfn.IFNA(VLOOKUP(Ruimtestaat[[#This Row],[Programmacode
Regulier]],Programma!$F$4:$Y$36148,14,0),"_")</f>
        <v>_</v>
      </c>
      <c r="AW188" s="248" t="str">
        <f>_xlfn.IFNA(VLOOKUP(Ruimtestaat[[#This Row],[Programmacode
Regulier]],Programma!$F$4:$Y$36148,15,0),"_")</f>
        <v>_</v>
      </c>
      <c r="AX188" s="248" t="str">
        <f>_xlfn.IFNA(VLOOKUP(Ruimtestaat[[#This Row],[Programmacode
Regulier]],Programma!$F$4:$Y$36148,16,0),"_")</f>
        <v>_</v>
      </c>
      <c r="AY188" s="248" t="str">
        <f>_xlfn.IFNA(VLOOKUP(Ruimtestaat[[#This Row],[Programmacode
Regulier]],Programma!$F$4:$Y$36148,17,0),"_")</f>
        <v>_</v>
      </c>
      <c r="AZ188" s="249" t="str">
        <f>_xlfn.IFNA(VLOOKUP(Ruimtestaat[[#This Row],[Programmacode
Regulier]],Programma!$F$4:$Y$36148,18,0),"_")</f>
        <v>4w</v>
      </c>
      <c r="BA188" s="249" t="str">
        <f>_xlfn.IFNA(VLOOKUP(Ruimtestaat[[#This Row],[Programmacode
Regulier]],Programma!$F$4:$Y$36148,19,0),"_")</f>
        <v>1w</v>
      </c>
      <c r="BB188" s="249" t="str">
        <f>_xlfn.IFNA(VLOOKUP(Ruimtestaat[[#This Row],[Programmacode
Regulier]],Programma!$F$4:$Y$36148,20,0),"_")</f>
        <v>5w</v>
      </c>
      <c r="BC188" s="250"/>
      <c r="BD188" s="212" t="str">
        <f>IF(Ruimtestaat[[#This Row],[Frequentie weekend]]="","",_xlfn.CONCAT(Ruimtestaat[[#This Row],[Ruimte code]],"-",Ruimtestaat[[#This Row],[Frequentie weekend]]," ",Ruimtestaat[[#This Row],[Vloer code]]))</f>
        <v/>
      </c>
      <c r="BE188" s="247" t="str">
        <f>_xlfn.IFNA(VLOOKUP(Ruimtestaat[[#This Row],[Code Weekend]],Programma!$F$4:$Y$36148,2,0),"_")</f>
        <v>_</v>
      </c>
      <c r="BF188" s="247" t="str">
        <f>_xlfn.IFNA(VLOOKUP(Ruimtestaat[[#This Row],[Code Weekend]],Programma!$F$4:$Y$36148,3,0),"_")</f>
        <v>_</v>
      </c>
      <c r="BG188" s="247" t="str">
        <f>_xlfn.IFNA(VLOOKUP(Ruimtestaat[[#This Row],[Code Weekend]],Programma!$F$4:$Y$36148,4,0),"_")</f>
        <v>_</v>
      </c>
      <c r="BH188" s="247" t="str">
        <f>_xlfn.IFNA(VLOOKUP(Ruimtestaat[[#This Row],[Code Weekend]],Programma!$F$4:$Y$36148,5,0),"_")</f>
        <v>_</v>
      </c>
      <c r="BI188" s="247" t="str">
        <f>_xlfn.IFNA(VLOOKUP(Ruimtestaat[[#This Row],[Code Weekend]],Programma!$F$4:$Y$36148,6,0),"_")</f>
        <v>_</v>
      </c>
      <c r="BJ188" s="247" t="str">
        <f>_xlfn.IFNA(VLOOKUP(Ruimtestaat[[#This Row],[Code Weekend]],Programma!$F$4:$Y$36148,7,0),"_")</f>
        <v>_</v>
      </c>
      <c r="BK188" s="247" t="str">
        <f>_xlfn.IFNA(VLOOKUP(Ruimtestaat[[#This Row],[Code Weekend]],Programma!$F$4:$Y$36148,8,0),"_")</f>
        <v>_</v>
      </c>
      <c r="BL188" s="247" t="str">
        <f>_xlfn.IFNA(VLOOKUP(Ruimtestaat[[#This Row],[Code Weekend]],Programma!$F$4:$Y$36148,9,0),"_")</f>
        <v>_</v>
      </c>
      <c r="BM188" s="248" t="str">
        <f>_xlfn.IFNA(VLOOKUP(Ruimtestaat[[#This Row],[Code Weekend]],Programma!$F$4:$Y$36148,10,0),"_")</f>
        <v>_</v>
      </c>
      <c r="BN188" s="248" t="str">
        <f>_xlfn.IFNA(VLOOKUP(Ruimtestaat[[#This Row],[Code Weekend]],Programma!$F$4:$Y$36148,11,0),"_")</f>
        <v>_</v>
      </c>
      <c r="BO188" s="248" t="str">
        <f>_xlfn.IFNA(VLOOKUP(Ruimtestaat[[#This Row],[Code Weekend]],Programma!$F$4:$Y$36148,12,0),"_")</f>
        <v>_</v>
      </c>
      <c r="BP188" s="248" t="str">
        <f>_xlfn.IFNA(VLOOKUP(Ruimtestaat[[#This Row],[Code Weekend]],Programma!$F$4:$Y$36148,13,0),"_")</f>
        <v>_</v>
      </c>
      <c r="BQ188" s="248" t="str">
        <f>_xlfn.IFNA(VLOOKUP(Ruimtestaat[[#This Row],[Code Weekend]],Programma!$F$4:$Y$36148,14,0),"_")</f>
        <v>_</v>
      </c>
      <c r="BR188" s="248" t="str">
        <f>_xlfn.IFNA(VLOOKUP(Ruimtestaat[[#This Row],[Code Weekend]],Programma!$F$4:$Y$36148,15,0),"_")</f>
        <v>_</v>
      </c>
      <c r="BS188" s="248" t="str">
        <f>_xlfn.IFNA(VLOOKUP(Ruimtestaat[[#This Row],[Code Weekend]],Programma!$F$4:$Y$36148,16,0),"_")</f>
        <v>_</v>
      </c>
      <c r="BT188" s="248" t="str">
        <f>_xlfn.IFNA(VLOOKUP(Ruimtestaat[[#This Row],[Code Weekend]],Programma!$F$4:$Y$36148,17,0),"_")</f>
        <v>_</v>
      </c>
      <c r="BU188" s="249" t="str">
        <f>_xlfn.IFNA(VLOOKUP(Ruimtestaat[[#This Row],[Code Weekend]],Programma!$F$4:$Y$36148,18,0),"_")</f>
        <v>_</v>
      </c>
      <c r="BV188" s="249" t="str">
        <f>_xlfn.IFNA(VLOOKUP(Ruimtestaat[[#This Row],[Code Weekend]],Programma!$F$4:$Y$36148,19,0),"_")</f>
        <v>_</v>
      </c>
      <c r="BW188" s="249" t="str">
        <f>_xlfn.IFNA(VLOOKUP(Ruimtestaat[[#This Row],[Code Weekend]],Programma!$F$4:$Y$36148,20,0),"_")</f>
        <v>_</v>
      </c>
    </row>
    <row r="189" spans="1:75" ht="12.75" customHeight="1">
      <c r="A189" s="334">
        <v>1</v>
      </c>
      <c r="B189" s="334" t="str">
        <f>VLOOKUP(Ruimtestaat[[#This Row],[Code]],Locaties[#All],2,FALSE)</f>
        <v>ESH Secondary School</v>
      </c>
      <c r="C189" s="212" t="str">
        <f>VLOOKUP(Ruimtestaat[[#This Row],[Code]],Locaties[#All],4,FALSE)</f>
        <v>Oostduinlaan 50</v>
      </c>
      <c r="D189" s="212" t="str">
        <f>VLOOKUP(Ruimtestaat[[#This Row],[Code]],Locaties[#All],5,FALSE)</f>
        <v>2596 JP</v>
      </c>
      <c r="E189" s="212" t="str">
        <f>VLOOKUP(Ruimtestaat[[#This Row],[Code]],Locaties[#All],6,FALSE)</f>
        <v>Den Haag</v>
      </c>
      <c r="F189" s="335"/>
      <c r="G189" s="334" t="s">
        <v>1737</v>
      </c>
      <c r="H189" s="334" t="s">
        <v>1695</v>
      </c>
      <c r="I189" s="335" t="s">
        <v>1396</v>
      </c>
      <c r="J189" s="328">
        <v>21</v>
      </c>
      <c r="K189" s="336" t="str">
        <f>VLOOKUP(J189,Ruimtegroepen[],2,FALSE)</f>
        <v>Niet in onderhoud</v>
      </c>
      <c r="L189" s="212" t="s">
        <v>123</v>
      </c>
      <c r="M189" s="334" t="s">
        <v>144</v>
      </c>
      <c r="N189" s="337"/>
      <c r="O189" s="331">
        <v>6</v>
      </c>
      <c r="P189" s="332" t="str">
        <f>VLOOKUP(Ruimtestaat[[#This Row],[Ruimte code]],Ruimtegroepen[],4,FALSE)</f>
        <v>NIO</v>
      </c>
      <c r="Q189" s="332"/>
      <c r="R189" s="333"/>
      <c r="S189" s="333"/>
      <c r="T189" s="37"/>
      <c r="U189" s="37">
        <f>IF(R189&gt;0,IF(RIGHT(Ruimtestaat[[#This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189" s="37">
        <f>IF(U189&gt;0,VLOOKUP($J189,Ruimtegroepen[],3,FALSE)*VLOOKUP($L189,Vloersoorten[],3,FALSE)*VLOOKUP($S189,Frequenties[],3,FALSE)*VLOOKUP($A189,Locaties[],3,FALSE),0)</f>
        <v>0</v>
      </c>
      <c r="W189" s="37">
        <f>Ruimtestaat[[#This Row],[Uitvoeringen werkdagen]]*Ruimtestaat[[#This Row],[Oppervlak (netto)]]</f>
        <v>0</v>
      </c>
      <c r="X189" s="37">
        <f>IF(V189&gt;0,Ruimtestaat[[#This Row],[Prest. (m2 /jaar) werkdagen]]/Ruimtestaat[[#This Row],[Norm (m2/uur) werkdagen]],0)</f>
        <v>0</v>
      </c>
      <c r="Y189" s="37">
        <f>Ruimtestaat[[#This Row],[uren / jaar werkdagen]]*Tariefsopbouw!$D$38</f>
        <v>0</v>
      </c>
      <c r="Z189" s="37">
        <f>IF(Ruimtestaat[[#This Row],[Frequentie weekend]]&gt;0,VALUE(LEFT(T189,1))*R189,0)</f>
        <v>0</v>
      </c>
      <c r="AA189" s="37">
        <f>IF($Z189&gt;0,VLOOKUP($J189,Ruimtegroepen[],3,FALSE)*VLOOKUP($L189,Vloersoorten[],3,FALSE)*VLOOKUP($T189,Frequenties[],3,FALSE)*VLOOKUP($A189,Locaties[],3,FALSE),0)</f>
        <v>0</v>
      </c>
      <c r="AB189" s="37">
        <f>Ruimtestaat[[#This Row],[Uitvoeringen weekend]]*Ruimtestaat[[#This Row],[Oppervlak (netto)]]</f>
        <v>0</v>
      </c>
      <c r="AC189" s="37">
        <f>IF(AA189&gt;0,Ruimtestaat[[#This Row],[Prest. (m2 /jaar) weekend]]/Ruimtestaat[[#This Row],[Norm (m2/uur) weekend]],0)</f>
        <v>0</v>
      </c>
      <c r="AD189" s="37">
        <f>Ruimtestaat[[#This Row],[uren / jaar weekend]]*Tariefsopbouw!$D$40</f>
        <v>0</v>
      </c>
      <c r="AE189" s="89">
        <f>Ruimtestaat[[#This Row],[Prest. (m2 /jaar) weekend]]+Ruimtestaat[[#This Row],[Prest. (m2 /jaar) werkdagen]]</f>
        <v>0</v>
      </c>
      <c r="AF189" s="89">
        <f>Ruimtestaat[[#This Row],[uren / jaar weekend]]+Ruimtestaat[[#This Row],[uren / jaar werkdagen]]</f>
        <v>0</v>
      </c>
      <c r="AG189" s="90">
        <f>Ruimtestaat[[#This Row],[kosten / jaar weekend]]+Ruimtestaat[[#This Row],[kosten / jaar werkdagen]]</f>
        <v>0</v>
      </c>
      <c r="AH189" s="253"/>
      <c r="AI189" s="252" t="str">
        <f>IF(Ruimtestaat[[#This Row],[Frequentie werkdagen]]="","",_xlfn.CONCAT(Ruimtestaat[[#This Row],[Ruimte code]],"-",Ruimtestaat[[#This Row],[Frequentie werkdagen]]," ",Ruimtestaat[[#This Row],[Vloer code]]))</f>
        <v/>
      </c>
      <c r="AJ189" s="247" t="str">
        <f>_xlfn.IFNA(VLOOKUP(Ruimtestaat[[#This Row],[Programmacode
Regulier]],Programma!$F$4:$Y$36148,2,0),"_")</f>
        <v>_</v>
      </c>
      <c r="AK189" s="247" t="str">
        <f>_xlfn.IFNA(VLOOKUP(Ruimtestaat[[#This Row],[Programmacode
Regulier]],Programma!$F$4:$Y$36148,3,0),"_")</f>
        <v>_</v>
      </c>
      <c r="AL189" s="247" t="str">
        <f>_xlfn.IFNA(VLOOKUP(Ruimtestaat[[#This Row],[Programmacode
Regulier]],Programma!$F$4:$Y$36148,4,0),"_")</f>
        <v>_</v>
      </c>
      <c r="AM189" s="247" t="str">
        <f>_xlfn.IFNA(VLOOKUP(Ruimtestaat[[#This Row],[Programmacode
Regulier]],Programma!$F$4:$Y$36148,5,0),"_")</f>
        <v>_</v>
      </c>
      <c r="AN189" s="247" t="str">
        <f>_xlfn.IFNA(VLOOKUP(Ruimtestaat[[#This Row],[Programmacode
Regulier]],Programma!$F$4:$Y$36148,6,0),"_")</f>
        <v>_</v>
      </c>
      <c r="AO189" s="247" t="str">
        <f>_xlfn.IFNA(VLOOKUP(Ruimtestaat[[#This Row],[Programmacode
Regulier]],Programma!$F$4:$Y$36148,7,0),"_")</f>
        <v>_</v>
      </c>
      <c r="AP189" s="247" t="str">
        <f>_xlfn.IFNA(VLOOKUP(Ruimtestaat[[#This Row],[Programmacode
Regulier]],Programma!$F$4:$Y$36148,8,0),"_")</f>
        <v>_</v>
      </c>
      <c r="AQ189" s="247" t="str">
        <f>_xlfn.IFNA(VLOOKUP(Ruimtestaat[[#This Row],[Programmacode
Regulier]],Programma!$F$4:$Y$36148,9,0),"_")</f>
        <v>_</v>
      </c>
      <c r="AR189" s="248" t="str">
        <f>_xlfn.IFNA(VLOOKUP(Ruimtestaat[[#This Row],[Programmacode
Regulier]],Programma!$F$4:$Y$36148,10,0),"_")</f>
        <v>_</v>
      </c>
      <c r="AS189" s="248" t="str">
        <f>_xlfn.IFNA(VLOOKUP(Ruimtestaat[[#This Row],[Programmacode
Regulier]],Programma!$F$4:$Y$36148,11,0),"_")</f>
        <v>_</v>
      </c>
      <c r="AT189" s="248" t="str">
        <f>_xlfn.IFNA(VLOOKUP(Ruimtestaat[[#This Row],[Programmacode
Regulier]],Programma!$F$4:$Y$36148,12,0),"_")</f>
        <v>_</v>
      </c>
      <c r="AU189" s="248" t="str">
        <f>_xlfn.IFNA(VLOOKUP(Ruimtestaat[[#This Row],[Programmacode
Regulier]],Programma!$F$4:$Y$36148,13,0),"_")</f>
        <v>_</v>
      </c>
      <c r="AV189" s="248" t="str">
        <f>_xlfn.IFNA(VLOOKUP(Ruimtestaat[[#This Row],[Programmacode
Regulier]],Programma!$F$4:$Y$36148,14,0),"_")</f>
        <v>_</v>
      </c>
      <c r="AW189" s="248" t="str">
        <f>_xlfn.IFNA(VLOOKUP(Ruimtestaat[[#This Row],[Programmacode
Regulier]],Programma!$F$4:$Y$36148,15,0),"_")</f>
        <v>_</v>
      </c>
      <c r="AX189" s="248" t="str">
        <f>_xlfn.IFNA(VLOOKUP(Ruimtestaat[[#This Row],[Programmacode
Regulier]],Programma!$F$4:$Y$36148,16,0),"_")</f>
        <v>_</v>
      </c>
      <c r="AY189" s="248" t="str">
        <f>_xlfn.IFNA(VLOOKUP(Ruimtestaat[[#This Row],[Programmacode
Regulier]],Programma!$F$4:$Y$36148,17,0),"_")</f>
        <v>_</v>
      </c>
      <c r="AZ189" s="249" t="str">
        <f>_xlfn.IFNA(VLOOKUP(Ruimtestaat[[#This Row],[Programmacode
Regulier]],Programma!$F$4:$Y$36148,18,0),"_")</f>
        <v>_</v>
      </c>
      <c r="BA189" s="249" t="str">
        <f>_xlfn.IFNA(VLOOKUP(Ruimtestaat[[#This Row],[Programmacode
Regulier]],Programma!$F$4:$Y$36148,19,0),"_")</f>
        <v>_</v>
      </c>
      <c r="BB189" s="249" t="str">
        <f>_xlfn.IFNA(VLOOKUP(Ruimtestaat[[#This Row],[Programmacode
Regulier]],Programma!$F$4:$Y$36148,20,0),"_")</f>
        <v>_</v>
      </c>
      <c r="BC189" s="250"/>
      <c r="BD189" s="212" t="str">
        <f>IF(Ruimtestaat[[#This Row],[Frequentie weekend]]="","",_xlfn.CONCAT(Ruimtestaat[[#This Row],[Ruimte code]],"-",Ruimtestaat[[#This Row],[Frequentie weekend]]," ",Ruimtestaat[[#This Row],[Vloer code]]))</f>
        <v/>
      </c>
      <c r="BE189" s="247" t="str">
        <f>_xlfn.IFNA(VLOOKUP(Ruimtestaat[[#This Row],[Code Weekend]],Programma!$F$4:$Y$36148,2,0),"_")</f>
        <v>_</v>
      </c>
      <c r="BF189" s="247" t="str">
        <f>_xlfn.IFNA(VLOOKUP(Ruimtestaat[[#This Row],[Code Weekend]],Programma!$F$4:$Y$36148,3,0),"_")</f>
        <v>_</v>
      </c>
      <c r="BG189" s="247" t="str">
        <f>_xlfn.IFNA(VLOOKUP(Ruimtestaat[[#This Row],[Code Weekend]],Programma!$F$4:$Y$36148,4,0),"_")</f>
        <v>_</v>
      </c>
      <c r="BH189" s="247" t="str">
        <f>_xlfn.IFNA(VLOOKUP(Ruimtestaat[[#This Row],[Code Weekend]],Programma!$F$4:$Y$36148,5,0),"_")</f>
        <v>_</v>
      </c>
      <c r="BI189" s="247" t="str">
        <f>_xlfn.IFNA(VLOOKUP(Ruimtestaat[[#This Row],[Code Weekend]],Programma!$F$4:$Y$36148,6,0),"_")</f>
        <v>_</v>
      </c>
      <c r="BJ189" s="247" t="str">
        <f>_xlfn.IFNA(VLOOKUP(Ruimtestaat[[#This Row],[Code Weekend]],Programma!$F$4:$Y$36148,7,0),"_")</f>
        <v>_</v>
      </c>
      <c r="BK189" s="247" t="str">
        <f>_xlfn.IFNA(VLOOKUP(Ruimtestaat[[#This Row],[Code Weekend]],Programma!$F$4:$Y$36148,8,0),"_")</f>
        <v>_</v>
      </c>
      <c r="BL189" s="247" t="str">
        <f>_xlfn.IFNA(VLOOKUP(Ruimtestaat[[#This Row],[Code Weekend]],Programma!$F$4:$Y$36148,9,0),"_")</f>
        <v>_</v>
      </c>
      <c r="BM189" s="248" t="str">
        <f>_xlfn.IFNA(VLOOKUP(Ruimtestaat[[#This Row],[Code Weekend]],Programma!$F$4:$Y$36148,10,0),"_")</f>
        <v>_</v>
      </c>
      <c r="BN189" s="248" t="str">
        <f>_xlfn.IFNA(VLOOKUP(Ruimtestaat[[#This Row],[Code Weekend]],Programma!$F$4:$Y$36148,11,0),"_")</f>
        <v>_</v>
      </c>
      <c r="BO189" s="248" t="str">
        <f>_xlfn.IFNA(VLOOKUP(Ruimtestaat[[#This Row],[Code Weekend]],Programma!$F$4:$Y$36148,12,0),"_")</f>
        <v>_</v>
      </c>
      <c r="BP189" s="248" t="str">
        <f>_xlfn.IFNA(VLOOKUP(Ruimtestaat[[#This Row],[Code Weekend]],Programma!$F$4:$Y$36148,13,0),"_")</f>
        <v>_</v>
      </c>
      <c r="BQ189" s="248" t="str">
        <f>_xlfn.IFNA(VLOOKUP(Ruimtestaat[[#This Row],[Code Weekend]],Programma!$F$4:$Y$36148,14,0),"_")</f>
        <v>_</v>
      </c>
      <c r="BR189" s="248" t="str">
        <f>_xlfn.IFNA(VLOOKUP(Ruimtestaat[[#This Row],[Code Weekend]],Programma!$F$4:$Y$36148,15,0),"_")</f>
        <v>_</v>
      </c>
      <c r="BS189" s="248" t="str">
        <f>_xlfn.IFNA(VLOOKUP(Ruimtestaat[[#This Row],[Code Weekend]],Programma!$F$4:$Y$36148,16,0),"_")</f>
        <v>_</v>
      </c>
      <c r="BT189" s="248" t="str">
        <f>_xlfn.IFNA(VLOOKUP(Ruimtestaat[[#This Row],[Code Weekend]],Programma!$F$4:$Y$36148,17,0),"_")</f>
        <v>_</v>
      </c>
      <c r="BU189" s="249" t="str">
        <f>_xlfn.IFNA(VLOOKUP(Ruimtestaat[[#This Row],[Code Weekend]],Programma!$F$4:$Y$36148,18,0),"_")</f>
        <v>_</v>
      </c>
      <c r="BV189" s="249" t="str">
        <f>_xlfn.IFNA(VLOOKUP(Ruimtestaat[[#This Row],[Code Weekend]],Programma!$F$4:$Y$36148,19,0),"_")</f>
        <v>_</v>
      </c>
      <c r="BW189" s="249" t="str">
        <f>_xlfn.IFNA(VLOOKUP(Ruimtestaat[[#This Row],[Code Weekend]],Programma!$F$4:$Y$36148,20,0),"_")</f>
        <v>_</v>
      </c>
    </row>
    <row r="190" spans="1:75" ht="12.75" customHeight="1">
      <c r="A190" s="334">
        <v>1</v>
      </c>
      <c r="B190" s="334" t="str">
        <f>VLOOKUP(Ruimtestaat[[#This Row],[Code]],Locaties[#All],2,FALSE)</f>
        <v>ESH Secondary School</v>
      </c>
      <c r="C190" s="212" t="str">
        <f>VLOOKUP(Ruimtestaat[[#This Row],[Code]],Locaties[#All],4,FALSE)</f>
        <v>Oostduinlaan 50</v>
      </c>
      <c r="D190" s="212" t="str">
        <f>VLOOKUP(Ruimtestaat[[#This Row],[Code]],Locaties[#All],5,FALSE)</f>
        <v>2596 JP</v>
      </c>
      <c r="E190" s="212" t="str">
        <f>VLOOKUP(Ruimtestaat[[#This Row],[Code]],Locaties[#All],6,FALSE)</f>
        <v>Den Haag</v>
      </c>
      <c r="F190" s="335"/>
      <c r="G190" s="334" t="s">
        <v>1737</v>
      </c>
      <c r="H190" s="334" t="s">
        <v>1696</v>
      </c>
      <c r="I190" s="335" t="s">
        <v>1485</v>
      </c>
      <c r="J190" s="328">
        <v>21</v>
      </c>
      <c r="K190" s="336" t="str">
        <f>VLOOKUP(J190,Ruimtegroepen[],2,FALSE)</f>
        <v>Niet in onderhoud</v>
      </c>
      <c r="L190" s="212" t="s">
        <v>123</v>
      </c>
      <c r="M190" s="334" t="s">
        <v>144</v>
      </c>
      <c r="N190" s="337"/>
      <c r="O190" s="331">
        <v>2</v>
      </c>
      <c r="P190" s="332" t="str">
        <f>VLOOKUP(Ruimtestaat[[#This Row],[Ruimte code]],Ruimtegroepen[],4,FALSE)</f>
        <v>NIO</v>
      </c>
      <c r="Q190" s="332"/>
      <c r="R190" s="333"/>
      <c r="S190" s="333"/>
      <c r="T190" s="37"/>
      <c r="U190" s="37">
        <f>IF(R190&gt;0,IF(RIGHT(Ruimtestaat[[#This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190" s="37">
        <f>IF(U190&gt;0,VLOOKUP($J190,Ruimtegroepen[],3,FALSE)*VLOOKUP($L190,Vloersoorten[],3,FALSE)*VLOOKUP($S190,Frequenties[],3,FALSE)*VLOOKUP($A190,Locaties[],3,FALSE),0)</f>
        <v>0</v>
      </c>
      <c r="W190" s="37">
        <f>Ruimtestaat[[#This Row],[Uitvoeringen werkdagen]]*Ruimtestaat[[#This Row],[Oppervlak (netto)]]</f>
        <v>0</v>
      </c>
      <c r="X190" s="37">
        <f>IF(V190&gt;0,Ruimtestaat[[#This Row],[Prest. (m2 /jaar) werkdagen]]/Ruimtestaat[[#This Row],[Norm (m2/uur) werkdagen]],0)</f>
        <v>0</v>
      </c>
      <c r="Y190" s="37">
        <f>Ruimtestaat[[#This Row],[uren / jaar werkdagen]]*Tariefsopbouw!$D$38</f>
        <v>0</v>
      </c>
      <c r="Z190" s="37">
        <f>IF(Ruimtestaat[[#This Row],[Frequentie weekend]]&gt;0,VALUE(LEFT(T190,1))*R190,0)</f>
        <v>0</v>
      </c>
      <c r="AA190" s="37">
        <f>IF($Z190&gt;0,VLOOKUP($J190,Ruimtegroepen[],3,FALSE)*VLOOKUP($L190,Vloersoorten[],3,FALSE)*VLOOKUP($T190,Frequenties[],3,FALSE)*VLOOKUP($A190,Locaties[],3,FALSE),0)</f>
        <v>0</v>
      </c>
      <c r="AB190" s="37">
        <f>Ruimtestaat[[#This Row],[Uitvoeringen weekend]]*Ruimtestaat[[#This Row],[Oppervlak (netto)]]</f>
        <v>0</v>
      </c>
      <c r="AC190" s="37">
        <f>IF(AA190&gt;0,Ruimtestaat[[#This Row],[Prest. (m2 /jaar) weekend]]/Ruimtestaat[[#This Row],[Norm (m2/uur) weekend]],0)</f>
        <v>0</v>
      </c>
      <c r="AD190" s="37">
        <f>Ruimtestaat[[#This Row],[uren / jaar weekend]]*Tariefsopbouw!$D$40</f>
        <v>0</v>
      </c>
      <c r="AE190" s="89">
        <f>Ruimtestaat[[#This Row],[Prest. (m2 /jaar) weekend]]+Ruimtestaat[[#This Row],[Prest. (m2 /jaar) werkdagen]]</f>
        <v>0</v>
      </c>
      <c r="AF190" s="89">
        <f>Ruimtestaat[[#This Row],[uren / jaar weekend]]+Ruimtestaat[[#This Row],[uren / jaar werkdagen]]</f>
        <v>0</v>
      </c>
      <c r="AG190" s="90">
        <f>Ruimtestaat[[#This Row],[kosten / jaar weekend]]+Ruimtestaat[[#This Row],[kosten / jaar werkdagen]]</f>
        <v>0</v>
      </c>
      <c r="AH190" s="253"/>
      <c r="AI190" s="252" t="str">
        <f>IF(Ruimtestaat[[#This Row],[Frequentie werkdagen]]="","",_xlfn.CONCAT(Ruimtestaat[[#This Row],[Ruimte code]],"-",Ruimtestaat[[#This Row],[Frequentie werkdagen]]," ",Ruimtestaat[[#This Row],[Vloer code]]))</f>
        <v/>
      </c>
      <c r="AJ190" s="247" t="str">
        <f>_xlfn.IFNA(VLOOKUP(Ruimtestaat[[#This Row],[Programmacode
Regulier]],Programma!$F$4:$Y$36148,2,0),"_")</f>
        <v>_</v>
      </c>
      <c r="AK190" s="247" t="str">
        <f>_xlfn.IFNA(VLOOKUP(Ruimtestaat[[#This Row],[Programmacode
Regulier]],Programma!$F$4:$Y$36148,3,0),"_")</f>
        <v>_</v>
      </c>
      <c r="AL190" s="247" t="str">
        <f>_xlfn.IFNA(VLOOKUP(Ruimtestaat[[#This Row],[Programmacode
Regulier]],Programma!$F$4:$Y$36148,4,0),"_")</f>
        <v>_</v>
      </c>
      <c r="AM190" s="247" t="str">
        <f>_xlfn.IFNA(VLOOKUP(Ruimtestaat[[#This Row],[Programmacode
Regulier]],Programma!$F$4:$Y$36148,5,0),"_")</f>
        <v>_</v>
      </c>
      <c r="AN190" s="247" t="str">
        <f>_xlfn.IFNA(VLOOKUP(Ruimtestaat[[#This Row],[Programmacode
Regulier]],Programma!$F$4:$Y$36148,6,0),"_")</f>
        <v>_</v>
      </c>
      <c r="AO190" s="247" t="str">
        <f>_xlfn.IFNA(VLOOKUP(Ruimtestaat[[#This Row],[Programmacode
Regulier]],Programma!$F$4:$Y$36148,7,0),"_")</f>
        <v>_</v>
      </c>
      <c r="AP190" s="247" t="str">
        <f>_xlfn.IFNA(VLOOKUP(Ruimtestaat[[#This Row],[Programmacode
Regulier]],Programma!$F$4:$Y$36148,8,0),"_")</f>
        <v>_</v>
      </c>
      <c r="AQ190" s="247" t="str">
        <f>_xlfn.IFNA(VLOOKUP(Ruimtestaat[[#This Row],[Programmacode
Regulier]],Programma!$F$4:$Y$36148,9,0),"_")</f>
        <v>_</v>
      </c>
      <c r="AR190" s="248" t="str">
        <f>_xlfn.IFNA(VLOOKUP(Ruimtestaat[[#This Row],[Programmacode
Regulier]],Programma!$F$4:$Y$36148,10,0),"_")</f>
        <v>_</v>
      </c>
      <c r="AS190" s="248" t="str">
        <f>_xlfn.IFNA(VLOOKUP(Ruimtestaat[[#This Row],[Programmacode
Regulier]],Programma!$F$4:$Y$36148,11,0),"_")</f>
        <v>_</v>
      </c>
      <c r="AT190" s="248" t="str">
        <f>_xlfn.IFNA(VLOOKUP(Ruimtestaat[[#This Row],[Programmacode
Regulier]],Programma!$F$4:$Y$36148,12,0),"_")</f>
        <v>_</v>
      </c>
      <c r="AU190" s="248" t="str">
        <f>_xlfn.IFNA(VLOOKUP(Ruimtestaat[[#This Row],[Programmacode
Regulier]],Programma!$F$4:$Y$36148,13,0),"_")</f>
        <v>_</v>
      </c>
      <c r="AV190" s="248" t="str">
        <f>_xlfn.IFNA(VLOOKUP(Ruimtestaat[[#This Row],[Programmacode
Regulier]],Programma!$F$4:$Y$36148,14,0),"_")</f>
        <v>_</v>
      </c>
      <c r="AW190" s="248" t="str">
        <f>_xlfn.IFNA(VLOOKUP(Ruimtestaat[[#This Row],[Programmacode
Regulier]],Programma!$F$4:$Y$36148,15,0),"_")</f>
        <v>_</v>
      </c>
      <c r="AX190" s="248" t="str">
        <f>_xlfn.IFNA(VLOOKUP(Ruimtestaat[[#This Row],[Programmacode
Regulier]],Programma!$F$4:$Y$36148,16,0),"_")</f>
        <v>_</v>
      </c>
      <c r="AY190" s="248" t="str">
        <f>_xlfn.IFNA(VLOOKUP(Ruimtestaat[[#This Row],[Programmacode
Regulier]],Programma!$F$4:$Y$36148,17,0),"_")</f>
        <v>_</v>
      </c>
      <c r="AZ190" s="249" t="str">
        <f>_xlfn.IFNA(VLOOKUP(Ruimtestaat[[#This Row],[Programmacode
Regulier]],Programma!$F$4:$Y$36148,18,0),"_")</f>
        <v>_</v>
      </c>
      <c r="BA190" s="249" t="str">
        <f>_xlfn.IFNA(VLOOKUP(Ruimtestaat[[#This Row],[Programmacode
Regulier]],Programma!$F$4:$Y$36148,19,0),"_")</f>
        <v>_</v>
      </c>
      <c r="BB190" s="249" t="str">
        <f>_xlfn.IFNA(VLOOKUP(Ruimtestaat[[#This Row],[Programmacode
Regulier]],Programma!$F$4:$Y$36148,20,0),"_")</f>
        <v>_</v>
      </c>
      <c r="BC190" s="250"/>
      <c r="BD190" s="212" t="str">
        <f>IF(Ruimtestaat[[#This Row],[Frequentie weekend]]="","",_xlfn.CONCAT(Ruimtestaat[[#This Row],[Ruimte code]],"-",Ruimtestaat[[#This Row],[Frequentie weekend]]," ",Ruimtestaat[[#This Row],[Vloer code]]))</f>
        <v/>
      </c>
      <c r="BE190" s="247" t="str">
        <f>_xlfn.IFNA(VLOOKUP(Ruimtestaat[[#This Row],[Code Weekend]],Programma!$F$4:$Y$36148,2,0),"_")</f>
        <v>_</v>
      </c>
      <c r="BF190" s="247" t="str">
        <f>_xlfn.IFNA(VLOOKUP(Ruimtestaat[[#This Row],[Code Weekend]],Programma!$F$4:$Y$36148,3,0),"_")</f>
        <v>_</v>
      </c>
      <c r="BG190" s="247" t="str">
        <f>_xlfn.IFNA(VLOOKUP(Ruimtestaat[[#This Row],[Code Weekend]],Programma!$F$4:$Y$36148,4,0),"_")</f>
        <v>_</v>
      </c>
      <c r="BH190" s="247" t="str">
        <f>_xlfn.IFNA(VLOOKUP(Ruimtestaat[[#This Row],[Code Weekend]],Programma!$F$4:$Y$36148,5,0),"_")</f>
        <v>_</v>
      </c>
      <c r="BI190" s="247" t="str">
        <f>_xlfn.IFNA(VLOOKUP(Ruimtestaat[[#This Row],[Code Weekend]],Programma!$F$4:$Y$36148,6,0),"_")</f>
        <v>_</v>
      </c>
      <c r="BJ190" s="247" t="str">
        <f>_xlfn.IFNA(VLOOKUP(Ruimtestaat[[#This Row],[Code Weekend]],Programma!$F$4:$Y$36148,7,0),"_")</f>
        <v>_</v>
      </c>
      <c r="BK190" s="247" t="str">
        <f>_xlfn.IFNA(VLOOKUP(Ruimtestaat[[#This Row],[Code Weekend]],Programma!$F$4:$Y$36148,8,0),"_")</f>
        <v>_</v>
      </c>
      <c r="BL190" s="247" t="str">
        <f>_xlfn.IFNA(VLOOKUP(Ruimtestaat[[#This Row],[Code Weekend]],Programma!$F$4:$Y$36148,9,0),"_")</f>
        <v>_</v>
      </c>
      <c r="BM190" s="248" t="str">
        <f>_xlfn.IFNA(VLOOKUP(Ruimtestaat[[#This Row],[Code Weekend]],Programma!$F$4:$Y$36148,10,0),"_")</f>
        <v>_</v>
      </c>
      <c r="BN190" s="248" t="str">
        <f>_xlfn.IFNA(VLOOKUP(Ruimtestaat[[#This Row],[Code Weekend]],Programma!$F$4:$Y$36148,11,0),"_")</f>
        <v>_</v>
      </c>
      <c r="BO190" s="248" t="str">
        <f>_xlfn.IFNA(VLOOKUP(Ruimtestaat[[#This Row],[Code Weekend]],Programma!$F$4:$Y$36148,12,0),"_")</f>
        <v>_</v>
      </c>
      <c r="BP190" s="248" t="str">
        <f>_xlfn.IFNA(VLOOKUP(Ruimtestaat[[#This Row],[Code Weekend]],Programma!$F$4:$Y$36148,13,0),"_")</f>
        <v>_</v>
      </c>
      <c r="BQ190" s="248" t="str">
        <f>_xlfn.IFNA(VLOOKUP(Ruimtestaat[[#This Row],[Code Weekend]],Programma!$F$4:$Y$36148,14,0),"_")</f>
        <v>_</v>
      </c>
      <c r="BR190" s="248" t="str">
        <f>_xlfn.IFNA(VLOOKUP(Ruimtestaat[[#This Row],[Code Weekend]],Programma!$F$4:$Y$36148,15,0),"_")</f>
        <v>_</v>
      </c>
      <c r="BS190" s="248" t="str">
        <f>_xlfn.IFNA(VLOOKUP(Ruimtestaat[[#This Row],[Code Weekend]],Programma!$F$4:$Y$36148,16,0),"_")</f>
        <v>_</v>
      </c>
      <c r="BT190" s="248" t="str">
        <f>_xlfn.IFNA(VLOOKUP(Ruimtestaat[[#This Row],[Code Weekend]],Programma!$F$4:$Y$36148,17,0),"_")</f>
        <v>_</v>
      </c>
      <c r="BU190" s="249" t="str">
        <f>_xlfn.IFNA(VLOOKUP(Ruimtestaat[[#This Row],[Code Weekend]],Programma!$F$4:$Y$36148,18,0),"_")</f>
        <v>_</v>
      </c>
      <c r="BV190" s="249" t="str">
        <f>_xlfn.IFNA(VLOOKUP(Ruimtestaat[[#This Row],[Code Weekend]],Programma!$F$4:$Y$36148,19,0),"_")</f>
        <v>_</v>
      </c>
      <c r="BW190" s="249" t="str">
        <f>_xlfn.IFNA(VLOOKUP(Ruimtestaat[[#This Row],[Code Weekend]],Programma!$F$4:$Y$36148,20,0),"_")</f>
        <v>_</v>
      </c>
    </row>
    <row r="191" spans="1:75" ht="12.75" customHeight="1">
      <c r="A191" s="334">
        <v>1</v>
      </c>
      <c r="B191" s="334" t="str">
        <f>VLOOKUP(Ruimtestaat[[#This Row],[Code]],Locaties[#All],2,FALSE)</f>
        <v>ESH Secondary School</v>
      </c>
      <c r="C191" s="212" t="str">
        <f>VLOOKUP(Ruimtestaat[[#This Row],[Code]],Locaties[#All],4,FALSE)</f>
        <v>Oostduinlaan 50</v>
      </c>
      <c r="D191" s="212" t="str">
        <f>VLOOKUP(Ruimtestaat[[#This Row],[Code]],Locaties[#All],5,FALSE)</f>
        <v>2596 JP</v>
      </c>
      <c r="E191" s="212" t="str">
        <f>VLOOKUP(Ruimtestaat[[#This Row],[Code]],Locaties[#All],6,FALSE)</f>
        <v>Den Haag</v>
      </c>
      <c r="F191" s="335"/>
      <c r="G191" s="334" t="s">
        <v>1737</v>
      </c>
      <c r="H191" s="334" t="s">
        <v>1697</v>
      </c>
      <c r="I191" s="335" t="s">
        <v>1787</v>
      </c>
      <c r="J191" s="328">
        <v>15</v>
      </c>
      <c r="K191" s="336" t="str">
        <f>VLOOKUP(J191,Ruimtegroepen[],2,FALSE)</f>
        <v>Keuken/pantry</v>
      </c>
      <c r="L191" s="212" t="s">
        <v>123</v>
      </c>
      <c r="M191" s="334" t="s">
        <v>144</v>
      </c>
      <c r="N191" s="337">
        <v>38</v>
      </c>
      <c r="O191" s="331"/>
      <c r="P191" s="332" t="str">
        <f>VLOOKUP(Ruimtestaat[[#This Row],[Ruimte code]],Ruimtegroepen[],4,FALSE)</f>
        <v>V  (Verkeersruimte)</v>
      </c>
      <c r="Q191" s="332"/>
      <c r="R191" s="333">
        <v>40</v>
      </c>
      <c r="S191" s="333" t="s">
        <v>19</v>
      </c>
      <c r="T191" s="37"/>
      <c r="U191" s="37">
        <f>IF(R191&gt;0,IF(RIGHT(Ruimtestaat[[#This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191" s="37">
        <f>IF(U191&gt;0,VLOOKUP($J191,Ruimtegroepen[],3,FALSE)*VLOOKUP($L191,Vloersoorten[],3,FALSE)*VLOOKUP($S191,Frequenties[],3,FALSE)*VLOOKUP($A191,Locaties[],3,FALSE),0)</f>
        <v>0</v>
      </c>
      <c r="W191" s="37">
        <f>Ruimtestaat[[#This Row],[Uitvoeringen werkdagen]]*Ruimtestaat[[#This Row],[Oppervlak (netto)]]</f>
        <v>15200</v>
      </c>
      <c r="X191" s="37">
        <f>IF(V191&gt;0,Ruimtestaat[[#This Row],[Prest. (m2 /jaar) werkdagen]]/Ruimtestaat[[#This Row],[Norm (m2/uur) werkdagen]],0)</f>
        <v>0</v>
      </c>
      <c r="Y191" s="37">
        <f>Ruimtestaat[[#This Row],[uren / jaar werkdagen]]*Tariefsopbouw!$D$38</f>
        <v>0</v>
      </c>
      <c r="Z191" s="37">
        <f>IF(Ruimtestaat[[#This Row],[Frequentie weekend]]&gt;0,VALUE(LEFT(T191,1))*R191,0)</f>
        <v>0</v>
      </c>
      <c r="AA191" s="37">
        <f>IF($Z191&gt;0,VLOOKUP($J191,Ruimtegroepen[],3,FALSE)*VLOOKUP($L191,Vloersoorten[],3,FALSE)*VLOOKUP($T191,Frequenties[],3,FALSE)*VLOOKUP($A191,Locaties[],3,FALSE),0)</f>
        <v>0</v>
      </c>
      <c r="AB191" s="37">
        <f>Ruimtestaat[[#This Row],[Uitvoeringen weekend]]*Ruimtestaat[[#This Row],[Oppervlak (netto)]]</f>
        <v>0</v>
      </c>
      <c r="AC191" s="37">
        <f>IF(AA191&gt;0,Ruimtestaat[[#This Row],[Prest. (m2 /jaar) weekend]]/Ruimtestaat[[#This Row],[Norm (m2/uur) weekend]],0)</f>
        <v>0</v>
      </c>
      <c r="AD191" s="37">
        <f>Ruimtestaat[[#This Row],[uren / jaar weekend]]*Tariefsopbouw!$D$40</f>
        <v>0</v>
      </c>
      <c r="AE191" s="89">
        <f>Ruimtestaat[[#This Row],[Prest. (m2 /jaar) weekend]]+Ruimtestaat[[#This Row],[Prest. (m2 /jaar) werkdagen]]</f>
        <v>15200</v>
      </c>
      <c r="AF191" s="89">
        <f>Ruimtestaat[[#This Row],[uren / jaar weekend]]+Ruimtestaat[[#This Row],[uren / jaar werkdagen]]</f>
        <v>0</v>
      </c>
      <c r="AG191" s="90">
        <f>Ruimtestaat[[#This Row],[kosten / jaar weekend]]+Ruimtestaat[[#This Row],[kosten / jaar werkdagen]]</f>
        <v>0</v>
      </c>
      <c r="AH191" s="253"/>
      <c r="AI191" s="252" t="str">
        <f>IF(Ruimtestaat[[#This Row],[Frequentie werkdagen]]="","",_xlfn.CONCAT(Ruimtestaat[[#This Row],[Ruimte code]],"-",Ruimtestaat[[#This Row],[Frequentie werkdagen]]," ",Ruimtestaat[[#This Row],[Vloer code]]))</f>
        <v>15-10w P</v>
      </c>
      <c r="AJ191" s="247" t="str">
        <f>_xlfn.IFNA(VLOOKUP(Ruimtestaat[[#This Row],[Programmacode
Regulier]],Programma!$F$4:$Y$36148,2,0),"_")</f>
        <v>_</v>
      </c>
      <c r="AK191" s="247" t="str">
        <f>_xlfn.IFNA(VLOOKUP(Ruimtestaat[[#This Row],[Programmacode
Regulier]],Programma!$F$4:$Y$36148,3,0),"_")</f>
        <v>_</v>
      </c>
      <c r="AL191" s="247" t="str">
        <f>_xlfn.IFNA(VLOOKUP(Ruimtestaat[[#This Row],[Programmacode
Regulier]],Programma!$F$4:$Y$36148,4,0),"_")</f>
        <v>5w</v>
      </c>
      <c r="AM191" s="247" t="str">
        <f>_xlfn.IFNA(VLOOKUP(Ruimtestaat[[#This Row],[Programmacode
Regulier]],Programma!$F$4:$Y$36148,5,0),"_")</f>
        <v>4w</v>
      </c>
      <c r="AN191" s="247" t="str">
        <f>_xlfn.IFNA(VLOOKUP(Ruimtestaat[[#This Row],[Programmacode
Regulier]],Programma!$F$4:$Y$36148,6,0),"_")</f>
        <v>1w</v>
      </c>
      <c r="AO191" s="247" t="str">
        <f>_xlfn.IFNA(VLOOKUP(Ruimtestaat[[#This Row],[Programmacode
Regulier]],Programma!$F$4:$Y$36148,7,0),"_")</f>
        <v>_</v>
      </c>
      <c r="AP191" s="247" t="str">
        <f>_xlfn.IFNA(VLOOKUP(Ruimtestaat[[#This Row],[Programmacode
Regulier]],Programma!$F$4:$Y$36148,8,0),"_")</f>
        <v>_</v>
      </c>
      <c r="AQ191" s="247" t="str">
        <f>_xlfn.IFNA(VLOOKUP(Ruimtestaat[[#This Row],[Programmacode
Regulier]],Programma!$F$4:$Y$36148,9,0),"_")</f>
        <v>5w</v>
      </c>
      <c r="AR191" s="248" t="str">
        <f>_xlfn.IFNA(VLOOKUP(Ruimtestaat[[#This Row],[Programmacode
Regulier]],Programma!$F$4:$Y$36148,10,0),"_")</f>
        <v>5w</v>
      </c>
      <c r="AS191" s="248" t="str">
        <f>_xlfn.IFNA(VLOOKUP(Ruimtestaat[[#This Row],[Programmacode
Regulier]],Programma!$F$4:$Y$36148,11,0),"_")</f>
        <v>5w</v>
      </c>
      <c r="AT191" s="248" t="str">
        <f>_xlfn.IFNA(VLOOKUP(Ruimtestaat[[#This Row],[Programmacode
Regulier]],Programma!$F$4:$Y$36148,12,0),"_")</f>
        <v>1w</v>
      </c>
      <c r="AU191" s="248" t="str">
        <f>_xlfn.IFNA(VLOOKUP(Ruimtestaat[[#This Row],[Programmacode
Regulier]],Programma!$F$4:$Y$36148,13,0),"_")</f>
        <v>1w</v>
      </c>
      <c r="AV191" s="248" t="str">
        <f>_xlfn.IFNA(VLOOKUP(Ruimtestaat[[#This Row],[Programmacode
Regulier]],Programma!$F$4:$Y$36148,14,0),"_")</f>
        <v>1m</v>
      </c>
      <c r="AW191" s="248" t="str">
        <f>_xlfn.IFNA(VLOOKUP(Ruimtestaat[[#This Row],[Programmacode
Regulier]],Programma!$F$4:$Y$36148,15,0),"_")</f>
        <v>2j</v>
      </c>
      <c r="AX191" s="248" t="str">
        <f>_xlfn.IFNA(VLOOKUP(Ruimtestaat[[#This Row],[Programmacode
Regulier]],Programma!$F$4:$Y$36148,16,0),"_")</f>
        <v>1j</v>
      </c>
      <c r="AY191" s="248" t="str">
        <f>_xlfn.IFNA(VLOOKUP(Ruimtestaat[[#This Row],[Programmacode
Regulier]],Programma!$F$4:$Y$36148,17,0),"_")</f>
        <v>5w</v>
      </c>
      <c r="AZ191" s="249" t="str">
        <f>_xlfn.IFNA(VLOOKUP(Ruimtestaat[[#This Row],[Programmacode
Regulier]],Programma!$F$4:$Y$36148,18,0),"_")</f>
        <v>_</v>
      </c>
      <c r="BA191" s="249" t="str">
        <f>_xlfn.IFNA(VLOOKUP(Ruimtestaat[[#This Row],[Programmacode
Regulier]],Programma!$F$4:$Y$36148,19,0),"_")</f>
        <v>_</v>
      </c>
      <c r="BB191" s="249" t="str">
        <f>_xlfn.IFNA(VLOOKUP(Ruimtestaat[[#This Row],[Programmacode
Regulier]],Programma!$F$4:$Y$36148,20,0),"_")</f>
        <v>_</v>
      </c>
      <c r="BC191" s="250"/>
      <c r="BD191" s="212" t="str">
        <f>IF(Ruimtestaat[[#This Row],[Frequentie weekend]]="","",_xlfn.CONCAT(Ruimtestaat[[#This Row],[Ruimte code]],"-",Ruimtestaat[[#This Row],[Frequentie weekend]]," ",Ruimtestaat[[#This Row],[Vloer code]]))</f>
        <v/>
      </c>
      <c r="BE191" s="247" t="str">
        <f>_xlfn.IFNA(VLOOKUP(Ruimtestaat[[#This Row],[Code Weekend]],Programma!$F$4:$Y$36148,2,0),"_")</f>
        <v>_</v>
      </c>
      <c r="BF191" s="247" t="str">
        <f>_xlfn.IFNA(VLOOKUP(Ruimtestaat[[#This Row],[Code Weekend]],Programma!$F$4:$Y$36148,3,0),"_")</f>
        <v>_</v>
      </c>
      <c r="BG191" s="247" t="str">
        <f>_xlfn.IFNA(VLOOKUP(Ruimtestaat[[#This Row],[Code Weekend]],Programma!$F$4:$Y$36148,4,0),"_")</f>
        <v>_</v>
      </c>
      <c r="BH191" s="247" t="str">
        <f>_xlfn.IFNA(VLOOKUP(Ruimtestaat[[#This Row],[Code Weekend]],Programma!$F$4:$Y$36148,5,0),"_")</f>
        <v>_</v>
      </c>
      <c r="BI191" s="247" t="str">
        <f>_xlfn.IFNA(VLOOKUP(Ruimtestaat[[#This Row],[Code Weekend]],Programma!$F$4:$Y$36148,6,0),"_")</f>
        <v>_</v>
      </c>
      <c r="BJ191" s="247" t="str">
        <f>_xlfn.IFNA(VLOOKUP(Ruimtestaat[[#This Row],[Code Weekend]],Programma!$F$4:$Y$36148,7,0),"_")</f>
        <v>_</v>
      </c>
      <c r="BK191" s="247" t="str">
        <f>_xlfn.IFNA(VLOOKUP(Ruimtestaat[[#This Row],[Code Weekend]],Programma!$F$4:$Y$36148,8,0),"_")</f>
        <v>_</v>
      </c>
      <c r="BL191" s="247" t="str">
        <f>_xlfn.IFNA(VLOOKUP(Ruimtestaat[[#This Row],[Code Weekend]],Programma!$F$4:$Y$36148,9,0),"_")</f>
        <v>_</v>
      </c>
      <c r="BM191" s="248" t="str">
        <f>_xlfn.IFNA(VLOOKUP(Ruimtestaat[[#This Row],[Code Weekend]],Programma!$F$4:$Y$36148,10,0),"_")</f>
        <v>_</v>
      </c>
      <c r="BN191" s="248" t="str">
        <f>_xlfn.IFNA(VLOOKUP(Ruimtestaat[[#This Row],[Code Weekend]],Programma!$F$4:$Y$36148,11,0),"_")</f>
        <v>_</v>
      </c>
      <c r="BO191" s="248" t="str">
        <f>_xlfn.IFNA(VLOOKUP(Ruimtestaat[[#This Row],[Code Weekend]],Programma!$F$4:$Y$36148,12,0),"_")</f>
        <v>_</v>
      </c>
      <c r="BP191" s="248" t="str">
        <f>_xlfn.IFNA(VLOOKUP(Ruimtestaat[[#This Row],[Code Weekend]],Programma!$F$4:$Y$36148,13,0),"_")</f>
        <v>_</v>
      </c>
      <c r="BQ191" s="248" t="str">
        <f>_xlfn.IFNA(VLOOKUP(Ruimtestaat[[#This Row],[Code Weekend]],Programma!$F$4:$Y$36148,14,0),"_")</f>
        <v>_</v>
      </c>
      <c r="BR191" s="248" t="str">
        <f>_xlfn.IFNA(VLOOKUP(Ruimtestaat[[#This Row],[Code Weekend]],Programma!$F$4:$Y$36148,15,0),"_")</f>
        <v>_</v>
      </c>
      <c r="BS191" s="248" t="str">
        <f>_xlfn.IFNA(VLOOKUP(Ruimtestaat[[#This Row],[Code Weekend]],Programma!$F$4:$Y$36148,16,0),"_")</f>
        <v>_</v>
      </c>
      <c r="BT191" s="248" t="str">
        <f>_xlfn.IFNA(VLOOKUP(Ruimtestaat[[#This Row],[Code Weekend]],Programma!$F$4:$Y$36148,17,0),"_")</f>
        <v>_</v>
      </c>
      <c r="BU191" s="249" t="str">
        <f>_xlfn.IFNA(VLOOKUP(Ruimtestaat[[#This Row],[Code Weekend]],Programma!$F$4:$Y$36148,18,0),"_")</f>
        <v>_</v>
      </c>
      <c r="BV191" s="249" t="str">
        <f>_xlfn.IFNA(VLOOKUP(Ruimtestaat[[#This Row],[Code Weekend]],Programma!$F$4:$Y$36148,19,0),"_")</f>
        <v>_</v>
      </c>
      <c r="BW191" s="249" t="str">
        <f>_xlfn.IFNA(VLOOKUP(Ruimtestaat[[#This Row],[Code Weekend]],Programma!$F$4:$Y$36148,20,0),"_")</f>
        <v>_</v>
      </c>
    </row>
    <row r="192" spans="1:75" ht="12.75" customHeight="1">
      <c r="A192" s="334">
        <v>1</v>
      </c>
      <c r="B192" s="334" t="str">
        <f>VLOOKUP(Ruimtestaat[[#This Row],[Code]],Locaties[#All],2,FALSE)</f>
        <v>ESH Secondary School</v>
      </c>
      <c r="C192" s="212" t="str">
        <f>VLOOKUP(Ruimtestaat[[#This Row],[Code]],Locaties[#All],4,FALSE)</f>
        <v>Oostduinlaan 50</v>
      </c>
      <c r="D192" s="212" t="str">
        <f>VLOOKUP(Ruimtestaat[[#This Row],[Code]],Locaties[#All],5,FALSE)</f>
        <v>2596 JP</v>
      </c>
      <c r="E192" s="212" t="str">
        <f>VLOOKUP(Ruimtestaat[[#This Row],[Code]],Locaties[#All],6,FALSE)</f>
        <v>Den Haag</v>
      </c>
      <c r="F192" s="335"/>
      <c r="G192" s="334" t="s">
        <v>1737</v>
      </c>
      <c r="H192" s="334" t="s">
        <v>1698</v>
      </c>
      <c r="I192" s="335" t="s">
        <v>1619</v>
      </c>
      <c r="J192" s="212" t="s">
        <v>1422</v>
      </c>
      <c r="K192" s="336" t="str">
        <f>VLOOKUP(J192,Ruimtegroepen[],2,FALSE)</f>
        <v>Gangen/hallen andere verdiepingen</v>
      </c>
      <c r="L192" s="212" t="s">
        <v>122</v>
      </c>
      <c r="M192" s="334" t="s">
        <v>143</v>
      </c>
      <c r="N192" s="337">
        <v>13</v>
      </c>
      <c r="O192" s="331"/>
      <c r="P192" s="332" t="str">
        <f>VLOOKUP(Ruimtestaat[[#This Row],[Ruimte code]],Ruimtegroepen[],4,FALSE)</f>
        <v>V  (Verkeersruimte)</v>
      </c>
      <c r="Q192" s="332"/>
      <c r="R192" s="333">
        <v>40</v>
      </c>
      <c r="S192" s="333" t="s">
        <v>2</v>
      </c>
      <c r="T192" s="37"/>
      <c r="U192" s="37">
        <f>IF(R192&gt;0,IF(RIGHT(Ruimtestaat[[#This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92" s="37">
        <f>IF(U192&gt;0,VLOOKUP($J192,Ruimtegroepen[],3,FALSE)*VLOOKUP($L192,Vloersoorten[],3,FALSE)*VLOOKUP($S192,Frequenties[],3,FALSE)*VLOOKUP($A192,Locaties[],3,FALSE),0)</f>
        <v>0</v>
      </c>
      <c r="W192" s="37">
        <f>Ruimtestaat[[#This Row],[Uitvoeringen werkdagen]]*Ruimtestaat[[#This Row],[Oppervlak (netto)]]</f>
        <v>2600</v>
      </c>
      <c r="X192" s="37">
        <f>IF(V192&gt;0,Ruimtestaat[[#This Row],[Prest. (m2 /jaar) werkdagen]]/Ruimtestaat[[#This Row],[Norm (m2/uur) werkdagen]],0)</f>
        <v>0</v>
      </c>
      <c r="Y192" s="37">
        <f>Ruimtestaat[[#This Row],[uren / jaar werkdagen]]*Tariefsopbouw!$D$38</f>
        <v>0</v>
      </c>
      <c r="Z192" s="37">
        <f>IF(Ruimtestaat[[#This Row],[Frequentie weekend]]&gt;0,VALUE(LEFT(T192,1))*R192,0)</f>
        <v>0</v>
      </c>
      <c r="AA192" s="37">
        <f>IF($Z192&gt;0,VLOOKUP($J192,Ruimtegroepen[],3,FALSE)*VLOOKUP($L192,Vloersoorten[],3,FALSE)*VLOOKUP($T192,Frequenties[],3,FALSE)*VLOOKUP($A192,Locaties[],3,FALSE),0)</f>
        <v>0</v>
      </c>
      <c r="AB192" s="37">
        <f>Ruimtestaat[[#This Row],[Uitvoeringen weekend]]*Ruimtestaat[[#This Row],[Oppervlak (netto)]]</f>
        <v>0</v>
      </c>
      <c r="AC192" s="37">
        <f>IF(AA192&gt;0,Ruimtestaat[[#This Row],[Prest. (m2 /jaar) weekend]]/Ruimtestaat[[#This Row],[Norm (m2/uur) weekend]],0)</f>
        <v>0</v>
      </c>
      <c r="AD192" s="37">
        <f>Ruimtestaat[[#This Row],[uren / jaar weekend]]*Tariefsopbouw!$D$40</f>
        <v>0</v>
      </c>
      <c r="AE192" s="89">
        <f>Ruimtestaat[[#This Row],[Prest. (m2 /jaar) weekend]]+Ruimtestaat[[#This Row],[Prest. (m2 /jaar) werkdagen]]</f>
        <v>2600</v>
      </c>
      <c r="AF192" s="89">
        <f>Ruimtestaat[[#This Row],[uren / jaar weekend]]+Ruimtestaat[[#This Row],[uren / jaar werkdagen]]</f>
        <v>0</v>
      </c>
      <c r="AG192" s="90">
        <f>Ruimtestaat[[#This Row],[kosten / jaar weekend]]+Ruimtestaat[[#This Row],[kosten / jaar werkdagen]]</f>
        <v>0</v>
      </c>
      <c r="AH192" s="253"/>
      <c r="AI192" s="252" t="str">
        <f>IF(Ruimtestaat[[#This Row],[Frequentie werkdagen]]="","",_xlfn.CONCAT(Ruimtestaat[[#This Row],[Ruimte code]],"-",Ruimtestaat[[#This Row],[Frequentie werkdagen]]," ",Ruimtestaat[[#This Row],[Vloer code]]))</f>
        <v>6a-5w S</v>
      </c>
      <c r="AJ192" s="247" t="str">
        <f>_xlfn.IFNA(VLOOKUP(Ruimtestaat[[#This Row],[Programmacode
Regulier]],Programma!$F$4:$Y$36148,2,0),"_")</f>
        <v>_</v>
      </c>
      <c r="AK192" s="247" t="str">
        <f>_xlfn.IFNA(VLOOKUP(Ruimtestaat[[#This Row],[Programmacode
Regulier]],Programma!$F$4:$Y$36148,3,0),"_")</f>
        <v>_</v>
      </c>
      <c r="AL192" s="247" t="str">
        <f>_xlfn.IFNA(VLOOKUP(Ruimtestaat[[#This Row],[Programmacode
Regulier]],Programma!$F$4:$Y$36148,4,0),"_")</f>
        <v>5w</v>
      </c>
      <c r="AM192" s="247" t="str">
        <f>_xlfn.IFNA(VLOOKUP(Ruimtestaat[[#This Row],[Programmacode
Regulier]],Programma!$F$4:$Y$36148,5,0),"_")</f>
        <v>4w</v>
      </c>
      <c r="AN192" s="247" t="str">
        <f>_xlfn.IFNA(VLOOKUP(Ruimtestaat[[#This Row],[Programmacode
Regulier]],Programma!$F$4:$Y$36148,6,0),"_")</f>
        <v>1w</v>
      </c>
      <c r="AO192" s="247" t="str">
        <f>_xlfn.IFNA(VLOOKUP(Ruimtestaat[[#This Row],[Programmacode
Regulier]],Programma!$F$4:$Y$36148,7,0),"_")</f>
        <v>_</v>
      </c>
      <c r="AP192" s="247" t="str">
        <f>_xlfn.IFNA(VLOOKUP(Ruimtestaat[[#This Row],[Programmacode
Regulier]],Programma!$F$4:$Y$36148,8,0),"_")</f>
        <v>_</v>
      </c>
      <c r="AQ192" s="247" t="str">
        <f>_xlfn.IFNA(VLOOKUP(Ruimtestaat[[#This Row],[Programmacode
Regulier]],Programma!$F$4:$Y$36148,9,0),"_")</f>
        <v>_</v>
      </c>
      <c r="AR192" s="248" t="str">
        <f>_xlfn.IFNA(VLOOKUP(Ruimtestaat[[#This Row],[Programmacode
Regulier]],Programma!$F$4:$Y$36148,10,0),"_")</f>
        <v>5w</v>
      </c>
      <c r="AS192" s="248" t="str">
        <f>_xlfn.IFNA(VLOOKUP(Ruimtestaat[[#This Row],[Programmacode
Regulier]],Programma!$F$4:$Y$36148,11,0),"_")</f>
        <v>5w</v>
      </c>
      <c r="AT192" s="248" t="str">
        <f>_xlfn.IFNA(VLOOKUP(Ruimtestaat[[#This Row],[Programmacode
Regulier]],Programma!$F$4:$Y$36148,12,0),"_")</f>
        <v>1w</v>
      </c>
      <c r="AU192" s="248" t="str">
        <f>_xlfn.IFNA(VLOOKUP(Ruimtestaat[[#This Row],[Programmacode
Regulier]],Programma!$F$4:$Y$36148,13,0),"_")</f>
        <v>1w</v>
      </c>
      <c r="AV192" s="248" t="str">
        <f>_xlfn.IFNA(VLOOKUP(Ruimtestaat[[#This Row],[Programmacode
Regulier]],Programma!$F$4:$Y$36148,14,0),"_")</f>
        <v>1m</v>
      </c>
      <c r="AW192" s="248" t="str">
        <f>_xlfn.IFNA(VLOOKUP(Ruimtestaat[[#This Row],[Programmacode
Regulier]],Programma!$F$4:$Y$36148,15,0),"_")</f>
        <v>2j</v>
      </c>
      <c r="AX192" s="248" t="str">
        <f>_xlfn.IFNA(VLOOKUP(Ruimtestaat[[#This Row],[Programmacode
Regulier]],Programma!$F$4:$Y$36148,16,0),"_")</f>
        <v>1j</v>
      </c>
      <c r="AY192" s="248" t="str">
        <f>_xlfn.IFNA(VLOOKUP(Ruimtestaat[[#This Row],[Programmacode
Regulier]],Programma!$F$4:$Y$36148,17,0),"_")</f>
        <v>_</v>
      </c>
      <c r="AZ192" s="249" t="str">
        <f>_xlfn.IFNA(VLOOKUP(Ruimtestaat[[#This Row],[Programmacode
Regulier]],Programma!$F$4:$Y$36148,18,0),"_")</f>
        <v>_</v>
      </c>
      <c r="BA192" s="249" t="str">
        <f>_xlfn.IFNA(VLOOKUP(Ruimtestaat[[#This Row],[Programmacode
Regulier]],Programma!$F$4:$Y$36148,19,0),"_")</f>
        <v>_</v>
      </c>
      <c r="BB192" s="249" t="str">
        <f>_xlfn.IFNA(VLOOKUP(Ruimtestaat[[#This Row],[Programmacode
Regulier]],Programma!$F$4:$Y$36148,20,0),"_")</f>
        <v>_</v>
      </c>
      <c r="BC192" s="250"/>
      <c r="BD192" s="212" t="str">
        <f>IF(Ruimtestaat[[#This Row],[Frequentie weekend]]="","",_xlfn.CONCAT(Ruimtestaat[[#This Row],[Ruimte code]],"-",Ruimtestaat[[#This Row],[Frequentie weekend]]," ",Ruimtestaat[[#This Row],[Vloer code]]))</f>
        <v/>
      </c>
      <c r="BE192" s="247" t="str">
        <f>_xlfn.IFNA(VLOOKUP(Ruimtestaat[[#This Row],[Code Weekend]],Programma!$F$4:$Y$36148,2,0),"_")</f>
        <v>_</v>
      </c>
      <c r="BF192" s="247" t="str">
        <f>_xlfn.IFNA(VLOOKUP(Ruimtestaat[[#This Row],[Code Weekend]],Programma!$F$4:$Y$36148,3,0),"_")</f>
        <v>_</v>
      </c>
      <c r="BG192" s="247" t="str">
        <f>_xlfn.IFNA(VLOOKUP(Ruimtestaat[[#This Row],[Code Weekend]],Programma!$F$4:$Y$36148,4,0),"_")</f>
        <v>_</v>
      </c>
      <c r="BH192" s="247" t="str">
        <f>_xlfn.IFNA(VLOOKUP(Ruimtestaat[[#This Row],[Code Weekend]],Programma!$F$4:$Y$36148,5,0),"_")</f>
        <v>_</v>
      </c>
      <c r="BI192" s="247" t="str">
        <f>_xlfn.IFNA(VLOOKUP(Ruimtestaat[[#This Row],[Code Weekend]],Programma!$F$4:$Y$36148,6,0),"_")</f>
        <v>_</v>
      </c>
      <c r="BJ192" s="247" t="str">
        <f>_xlfn.IFNA(VLOOKUP(Ruimtestaat[[#This Row],[Code Weekend]],Programma!$F$4:$Y$36148,7,0),"_")</f>
        <v>_</v>
      </c>
      <c r="BK192" s="247" t="str">
        <f>_xlfn.IFNA(VLOOKUP(Ruimtestaat[[#This Row],[Code Weekend]],Programma!$F$4:$Y$36148,8,0),"_")</f>
        <v>_</v>
      </c>
      <c r="BL192" s="247" t="str">
        <f>_xlfn.IFNA(VLOOKUP(Ruimtestaat[[#This Row],[Code Weekend]],Programma!$F$4:$Y$36148,9,0),"_")</f>
        <v>_</v>
      </c>
      <c r="BM192" s="248" t="str">
        <f>_xlfn.IFNA(VLOOKUP(Ruimtestaat[[#This Row],[Code Weekend]],Programma!$F$4:$Y$36148,10,0),"_")</f>
        <v>_</v>
      </c>
      <c r="BN192" s="248" t="str">
        <f>_xlfn.IFNA(VLOOKUP(Ruimtestaat[[#This Row],[Code Weekend]],Programma!$F$4:$Y$36148,11,0),"_")</f>
        <v>_</v>
      </c>
      <c r="BO192" s="248" t="str">
        <f>_xlfn.IFNA(VLOOKUP(Ruimtestaat[[#This Row],[Code Weekend]],Programma!$F$4:$Y$36148,12,0),"_")</f>
        <v>_</v>
      </c>
      <c r="BP192" s="248" t="str">
        <f>_xlfn.IFNA(VLOOKUP(Ruimtestaat[[#This Row],[Code Weekend]],Programma!$F$4:$Y$36148,13,0),"_")</f>
        <v>_</v>
      </c>
      <c r="BQ192" s="248" t="str">
        <f>_xlfn.IFNA(VLOOKUP(Ruimtestaat[[#This Row],[Code Weekend]],Programma!$F$4:$Y$36148,14,0),"_")</f>
        <v>_</v>
      </c>
      <c r="BR192" s="248" t="str">
        <f>_xlfn.IFNA(VLOOKUP(Ruimtestaat[[#This Row],[Code Weekend]],Programma!$F$4:$Y$36148,15,0),"_")</f>
        <v>_</v>
      </c>
      <c r="BS192" s="248" t="str">
        <f>_xlfn.IFNA(VLOOKUP(Ruimtestaat[[#This Row],[Code Weekend]],Programma!$F$4:$Y$36148,16,0),"_")</f>
        <v>_</v>
      </c>
      <c r="BT192" s="248" t="str">
        <f>_xlfn.IFNA(VLOOKUP(Ruimtestaat[[#This Row],[Code Weekend]],Programma!$F$4:$Y$36148,17,0),"_")</f>
        <v>_</v>
      </c>
      <c r="BU192" s="249" t="str">
        <f>_xlfn.IFNA(VLOOKUP(Ruimtestaat[[#This Row],[Code Weekend]],Programma!$F$4:$Y$36148,18,0),"_")</f>
        <v>_</v>
      </c>
      <c r="BV192" s="249" t="str">
        <f>_xlfn.IFNA(VLOOKUP(Ruimtestaat[[#This Row],[Code Weekend]],Programma!$F$4:$Y$36148,19,0),"_")</f>
        <v>_</v>
      </c>
      <c r="BW192" s="249" t="str">
        <f>_xlfn.IFNA(VLOOKUP(Ruimtestaat[[#This Row],[Code Weekend]],Programma!$F$4:$Y$36148,20,0),"_")</f>
        <v>_</v>
      </c>
    </row>
    <row r="193" spans="1:75" ht="12.75" customHeight="1">
      <c r="A193" s="334">
        <v>1</v>
      </c>
      <c r="B193" s="334" t="str">
        <f>VLOOKUP(Ruimtestaat[[#This Row],[Code]],Locaties[#All],2,FALSE)</f>
        <v>ESH Secondary School</v>
      </c>
      <c r="C193" s="212" t="str">
        <f>VLOOKUP(Ruimtestaat[[#This Row],[Code]],Locaties[#All],4,FALSE)</f>
        <v>Oostduinlaan 50</v>
      </c>
      <c r="D193" s="212" t="str">
        <f>VLOOKUP(Ruimtestaat[[#This Row],[Code]],Locaties[#All],5,FALSE)</f>
        <v>2596 JP</v>
      </c>
      <c r="E193" s="212" t="str">
        <f>VLOOKUP(Ruimtestaat[[#This Row],[Code]],Locaties[#All],6,FALSE)</f>
        <v>Den Haag</v>
      </c>
      <c r="F193" s="335"/>
      <c r="G193" s="334" t="s">
        <v>1737</v>
      </c>
      <c r="H193" s="334" t="s">
        <v>1699</v>
      </c>
      <c r="I193" s="335" t="s">
        <v>1729</v>
      </c>
      <c r="J193" s="328">
        <v>2</v>
      </c>
      <c r="K193" s="336" t="str">
        <f>VLOOKUP(J193,Ruimtegroepen[],2,FALSE)</f>
        <v>Kantoren</v>
      </c>
      <c r="L193" s="212" t="s">
        <v>123</v>
      </c>
      <c r="M193" s="334" t="s">
        <v>144</v>
      </c>
      <c r="N193" s="337">
        <v>12</v>
      </c>
      <c r="O193" s="331"/>
      <c r="P193" s="332" t="str">
        <f>VLOOKUP(Ruimtestaat[[#This Row],[Ruimte code]],Ruimtegroepen[],4,FALSE)</f>
        <v>B  (Bureauruimte)</v>
      </c>
      <c r="Q193" s="332"/>
      <c r="R193" s="333">
        <v>40</v>
      </c>
      <c r="S193" s="333" t="s">
        <v>2</v>
      </c>
      <c r="T193" s="37"/>
      <c r="U193" s="37">
        <f>IF(R193&gt;0,IF(RIGHT(Ruimtestaat[[#This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93" s="37">
        <f>IF(U193&gt;0,VLOOKUP($J193,Ruimtegroepen[],3,FALSE)*VLOOKUP($L193,Vloersoorten[],3,FALSE)*VLOOKUP($S193,Frequenties[],3,FALSE)*VLOOKUP($A193,Locaties[],3,FALSE),0)</f>
        <v>0</v>
      </c>
      <c r="W193" s="37">
        <f>Ruimtestaat[[#This Row],[Uitvoeringen werkdagen]]*Ruimtestaat[[#This Row],[Oppervlak (netto)]]</f>
        <v>2400</v>
      </c>
      <c r="X193" s="37">
        <f>IF(V193&gt;0,Ruimtestaat[[#This Row],[Prest. (m2 /jaar) werkdagen]]/Ruimtestaat[[#This Row],[Norm (m2/uur) werkdagen]],0)</f>
        <v>0</v>
      </c>
      <c r="Y193" s="37">
        <f>Ruimtestaat[[#This Row],[uren / jaar werkdagen]]*Tariefsopbouw!$D$38</f>
        <v>0</v>
      </c>
      <c r="Z193" s="37">
        <f>IF(Ruimtestaat[[#This Row],[Frequentie weekend]]&gt;0,VALUE(LEFT(T193,1))*R193,0)</f>
        <v>0</v>
      </c>
      <c r="AA193" s="37">
        <f>IF($Z193&gt;0,VLOOKUP($J193,Ruimtegroepen[],3,FALSE)*VLOOKUP($L193,Vloersoorten[],3,FALSE)*VLOOKUP($T193,Frequenties[],3,FALSE)*VLOOKUP($A193,Locaties[],3,FALSE),0)</f>
        <v>0</v>
      </c>
      <c r="AB193" s="37">
        <f>Ruimtestaat[[#This Row],[Uitvoeringen weekend]]*Ruimtestaat[[#This Row],[Oppervlak (netto)]]</f>
        <v>0</v>
      </c>
      <c r="AC193" s="37">
        <f>IF(AA193&gt;0,Ruimtestaat[[#This Row],[Prest. (m2 /jaar) weekend]]/Ruimtestaat[[#This Row],[Norm (m2/uur) weekend]],0)</f>
        <v>0</v>
      </c>
      <c r="AD193" s="37">
        <f>Ruimtestaat[[#This Row],[uren / jaar weekend]]*Tariefsopbouw!$D$40</f>
        <v>0</v>
      </c>
      <c r="AE193" s="89">
        <f>Ruimtestaat[[#This Row],[Prest. (m2 /jaar) weekend]]+Ruimtestaat[[#This Row],[Prest. (m2 /jaar) werkdagen]]</f>
        <v>2400</v>
      </c>
      <c r="AF193" s="89">
        <f>Ruimtestaat[[#This Row],[uren / jaar weekend]]+Ruimtestaat[[#This Row],[uren / jaar werkdagen]]</f>
        <v>0</v>
      </c>
      <c r="AG193" s="90">
        <f>Ruimtestaat[[#This Row],[kosten / jaar weekend]]+Ruimtestaat[[#This Row],[kosten / jaar werkdagen]]</f>
        <v>0</v>
      </c>
      <c r="AH193" s="253"/>
      <c r="AI193" s="252" t="str">
        <f>IF(Ruimtestaat[[#This Row],[Frequentie werkdagen]]="","",_xlfn.CONCAT(Ruimtestaat[[#This Row],[Ruimte code]],"-",Ruimtestaat[[#This Row],[Frequentie werkdagen]]," ",Ruimtestaat[[#This Row],[Vloer code]]))</f>
        <v>2-5w P</v>
      </c>
      <c r="AJ193" s="247" t="str">
        <f>_xlfn.IFNA(VLOOKUP(Ruimtestaat[[#This Row],[Programmacode
Regulier]],Programma!$F$4:$Y$36148,2,0),"_")</f>
        <v>_</v>
      </c>
      <c r="AK193" s="247" t="str">
        <f>_xlfn.IFNA(VLOOKUP(Ruimtestaat[[#This Row],[Programmacode
Regulier]],Programma!$F$4:$Y$36148,3,0),"_")</f>
        <v>_</v>
      </c>
      <c r="AL193" s="247" t="str">
        <f>_xlfn.IFNA(VLOOKUP(Ruimtestaat[[#This Row],[Programmacode
Regulier]],Programma!$F$4:$Y$36148,4,0),"_")</f>
        <v>5w</v>
      </c>
      <c r="AM193" s="247" t="str">
        <f>_xlfn.IFNA(VLOOKUP(Ruimtestaat[[#This Row],[Programmacode
Regulier]],Programma!$F$4:$Y$36148,5,0),"_")</f>
        <v>1w</v>
      </c>
      <c r="AN193" s="247" t="str">
        <f>_xlfn.IFNA(VLOOKUP(Ruimtestaat[[#This Row],[Programmacode
Regulier]],Programma!$F$4:$Y$36148,6,0),"_")</f>
        <v>1m</v>
      </c>
      <c r="AO193" s="247" t="str">
        <f>_xlfn.IFNA(VLOOKUP(Ruimtestaat[[#This Row],[Programmacode
Regulier]],Programma!$F$4:$Y$36148,7,0),"_")</f>
        <v>_</v>
      </c>
      <c r="AP193" s="247" t="str">
        <f>_xlfn.IFNA(VLOOKUP(Ruimtestaat[[#This Row],[Programmacode
Regulier]],Programma!$F$4:$Y$36148,8,0),"_")</f>
        <v>_</v>
      </c>
      <c r="AQ193" s="247" t="str">
        <f>_xlfn.IFNA(VLOOKUP(Ruimtestaat[[#This Row],[Programmacode
Regulier]],Programma!$F$4:$Y$36148,9,0),"_")</f>
        <v>_</v>
      </c>
      <c r="AR193" s="248" t="str">
        <f>_xlfn.IFNA(VLOOKUP(Ruimtestaat[[#This Row],[Programmacode
Regulier]],Programma!$F$4:$Y$36148,10,0),"_")</f>
        <v>5w</v>
      </c>
      <c r="AS193" s="248" t="str">
        <f>_xlfn.IFNA(VLOOKUP(Ruimtestaat[[#This Row],[Programmacode
Regulier]],Programma!$F$4:$Y$36148,11,0),"_")</f>
        <v>5w</v>
      </c>
      <c r="AT193" s="248" t="str">
        <f>_xlfn.IFNA(VLOOKUP(Ruimtestaat[[#This Row],[Programmacode
Regulier]],Programma!$F$4:$Y$36148,12,0),"_")</f>
        <v>1w</v>
      </c>
      <c r="AU193" s="248" t="str">
        <f>_xlfn.IFNA(VLOOKUP(Ruimtestaat[[#This Row],[Programmacode
Regulier]],Programma!$F$4:$Y$36148,13,0),"_")</f>
        <v>1w</v>
      </c>
      <c r="AV193" s="248" t="str">
        <f>_xlfn.IFNA(VLOOKUP(Ruimtestaat[[#This Row],[Programmacode
Regulier]],Programma!$F$4:$Y$36148,14,0),"_")</f>
        <v>1m</v>
      </c>
      <c r="AW193" s="248" t="str">
        <f>_xlfn.IFNA(VLOOKUP(Ruimtestaat[[#This Row],[Programmacode
Regulier]],Programma!$F$4:$Y$36148,15,0),"_")</f>
        <v>2j</v>
      </c>
      <c r="AX193" s="248" t="str">
        <f>_xlfn.IFNA(VLOOKUP(Ruimtestaat[[#This Row],[Programmacode
Regulier]],Programma!$F$4:$Y$36148,16,0),"_")</f>
        <v>1j</v>
      </c>
      <c r="AY193" s="248" t="str">
        <f>_xlfn.IFNA(VLOOKUP(Ruimtestaat[[#This Row],[Programmacode
Regulier]],Programma!$F$4:$Y$36148,17,0),"_")</f>
        <v>_</v>
      </c>
      <c r="AZ193" s="249" t="str">
        <f>_xlfn.IFNA(VLOOKUP(Ruimtestaat[[#This Row],[Programmacode
Regulier]],Programma!$F$4:$Y$36148,18,0),"_")</f>
        <v>_</v>
      </c>
      <c r="BA193" s="249" t="str">
        <f>_xlfn.IFNA(VLOOKUP(Ruimtestaat[[#This Row],[Programmacode
Regulier]],Programma!$F$4:$Y$36148,19,0),"_")</f>
        <v>_</v>
      </c>
      <c r="BB193" s="249" t="str">
        <f>_xlfn.IFNA(VLOOKUP(Ruimtestaat[[#This Row],[Programmacode
Regulier]],Programma!$F$4:$Y$36148,20,0),"_")</f>
        <v>_</v>
      </c>
      <c r="BC193" s="250"/>
      <c r="BD193" s="212" t="str">
        <f>IF(Ruimtestaat[[#This Row],[Frequentie weekend]]="","",_xlfn.CONCAT(Ruimtestaat[[#This Row],[Ruimte code]],"-",Ruimtestaat[[#This Row],[Frequentie weekend]]," ",Ruimtestaat[[#This Row],[Vloer code]]))</f>
        <v/>
      </c>
      <c r="BE193" s="247" t="str">
        <f>_xlfn.IFNA(VLOOKUP(Ruimtestaat[[#This Row],[Code Weekend]],Programma!$F$4:$Y$36148,2,0),"_")</f>
        <v>_</v>
      </c>
      <c r="BF193" s="247" t="str">
        <f>_xlfn.IFNA(VLOOKUP(Ruimtestaat[[#This Row],[Code Weekend]],Programma!$F$4:$Y$36148,3,0),"_")</f>
        <v>_</v>
      </c>
      <c r="BG193" s="247" t="str">
        <f>_xlfn.IFNA(VLOOKUP(Ruimtestaat[[#This Row],[Code Weekend]],Programma!$F$4:$Y$36148,4,0),"_")</f>
        <v>_</v>
      </c>
      <c r="BH193" s="247" t="str">
        <f>_xlfn.IFNA(VLOOKUP(Ruimtestaat[[#This Row],[Code Weekend]],Programma!$F$4:$Y$36148,5,0),"_")</f>
        <v>_</v>
      </c>
      <c r="BI193" s="247" t="str">
        <f>_xlfn.IFNA(VLOOKUP(Ruimtestaat[[#This Row],[Code Weekend]],Programma!$F$4:$Y$36148,6,0),"_")</f>
        <v>_</v>
      </c>
      <c r="BJ193" s="247" t="str">
        <f>_xlfn.IFNA(VLOOKUP(Ruimtestaat[[#This Row],[Code Weekend]],Programma!$F$4:$Y$36148,7,0),"_")</f>
        <v>_</v>
      </c>
      <c r="BK193" s="247" t="str">
        <f>_xlfn.IFNA(VLOOKUP(Ruimtestaat[[#This Row],[Code Weekend]],Programma!$F$4:$Y$36148,8,0),"_")</f>
        <v>_</v>
      </c>
      <c r="BL193" s="247" t="str">
        <f>_xlfn.IFNA(VLOOKUP(Ruimtestaat[[#This Row],[Code Weekend]],Programma!$F$4:$Y$36148,9,0),"_")</f>
        <v>_</v>
      </c>
      <c r="BM193" s="248" t="str">
        <f>_xlfn.IFNA(VLOOKUP(Ruimtestaat[[#This Row],[Code Weekend]],Programma!$F$4:$Y$36148,10,0),"_")</f>
        <v>_</v>
      </c>
      <c r="BN193" s="248" t="str">
        <f>_xlfn.IFNA(VLOOKUP(Ruimtestaat[[#This Row],[Code Weekend]],Programma!$F$4:$Y$36148,11,0),"_")</f>
        <v>_</v>
      </c>
      <c r="BO193" s="248" t="str">
        <f>_xlfn.IFNA(VLOOKUP(Ruimtestaat[[#This Row],[Code Weekend]],Programma!$F$4:$Y$36148,12,0),"_")</f>
        <v>_</v>
      </c>
      <c r="BP193" s="248" t="str">
        <f>_xlfn.IFNA(VLOOKUP(Ruimtestaat[[#This Row],[Code Weekend]],Programma!$F$4:$Y$36148,13,0),"_")</f>
        <v>_</v>
      </c>
      <c r="BQ193" s="248" t="str">
        <f>_xlfn.IFNA(VLOOKUP(Ruimtestaat[[#This Row],[Code Weekend]],Programma!$F$4:$Y$36148,14,0),"_")</f>
        <v>_</v>
      </c>
      <c r="BR193" s="248" t="str">
        <f>_xlfn.IFNA(VLOOKUP(Ruimtestaat[[#This Row],[Code Weekend]],Programma!$F$4:$Y$36148,15,0),"_")</f>
        <v>_</v>
      </c>
      <c r="BS193" s="248" t="str">
        <f>_xlfn.IFNA(VLOOKUP(Ruimtestaat[[#This Row],[Code Weekend]],Programma!$F$4:$Y$36148,16,0),"_")</f>
        <v>_</v>
      </c>
      <c r="BT193" s="248" t="str">
        <f>_xlfn.IFNA(VLOOKUP(Ruimtestaat[[#This Row],[Code Weekend]],Programma!$F$4:$Y$36148,17,0),"_")</f>
        <v>_</v>
      </c>
      <c r="BU193" s="249" t="str">
        <f>_xlfn.IFNA(VLOOKUP(Ruimtestaat[[#This Row],[Code Weekend]],Programma!$F$4:$Y$36148,18,0),"_")</f>
        <v>_</v>
      </c>
      <c r="BV193" s="249" t="str">
        <f>_xlfn.IFNA(VLOOKUP(Ruimtestaat[[#This Row],[Code Weekend]],Programma!$F$4:$Y$36148,19,0),"_")</f>
        <v>_</v>
      </c>
      <c r="BW193" s="249" t="str">
        <f>_xlfn.IFNA(VLOOKUP(Ruimtestaat[[#This Row],[Code Weekend]],Programma!$F$4:$Y$36148,20,0),"_")</f>
        <v>_</v>
      </c>
    </row>
    <row r="194" spans="1:75" ht="12.75" customHeight="1">
      <c r="A194" s="334">
        <v>1</v>
      </c>
      <c r="B194" s="334" t="str">
        <f>VLOOKUP(Ruimtestaat[[#This Row],[Code]],Locaties[#All],2,FALSE)</f>
        <v>ESH Secondary School</v>
      </c>
      <c r="C194" s="212" t="str">
        <f>VLOOKUP(Ruimtestaat[[#This Row],[Code]],Locaties[#All],4,FALSE)</f>
        <v>Oostduinlaan 50</v>
      </c>
      <c r="D194" s="212" t="str">
        <f>VLOOKUP(Ruimtestaat[[#This Row],[Code]],Locaties[#All],5,FALSE)</f>
        <v>2596 JP</v>
      </c>
      <c r="E194" s="212" t="str">
        <f>VLOOKUP(Ruimtestaat[[#This Row],[Code]],Locaties[#All],6,FALSE)</f>
        <v>Den Haag</v>
      </c>
      <c r="F194" s="335"/>
      <c r="G194" s="334" t="s">
        <v>1737</v>
      </c>
      <c r="H194" s="334" t="s">
        <v>1700</v>
      </c>
      <c r="I194" s="335" t="s">
        <v>1485</v>
      </c>
      <c r="J194" s="328">
        <v>21</v>
      </c>
      <c r="K194" s="336" t="str">
        <f>VLOOKUP(J194,Ruimtegroepen[],2,FALSE)</f>
        <v>Niet in onderhoud</v>
      </c>
      <c r="L194" s="212" t="s">
        <v>123</v>
      </c>
      <c r="M194" s="334" t="s">
        <v>144</v>
      </c>
      <c r="N194" s="337">
        <v>0</v>
      </c>
      <c r="O194" s="331">
        <v>16</v>
      </c>
      <c r="P194" s="332" t="str">
        <f>VLOOKUP(Ruimtestaat[[#This Row],[Ruimte code]],Ruimtegroepen[],4,FALSE)</f>
        <v>NIO</v>
      </c>
      <c r="Q194" s="332"/>
      <c r="R194" s="333"/>
      <c r="S194" s="333"/>
      <c r="T194" s="37"/>
      <c r="U194" s="37">
        <f>IF(R194&gt;0,IF(RIGHT(Ruimtestaat[[#This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194" s="37">
        <f>IF(U194&gt;0,VLOOKUP($J194,Ruimtegroepen[],3,FALSE)*VLOOKUP($L194,Vloersoorten[],3,FALSE)*VLOOKUP($S194,Frequenties[],3,FALSE)*VLOOKUP($A194,Locaties[],3,FALSE),0)</f>
        <v>0</v>
      </c>
      <c r="W194" s="37">
        <f>Ruimtestaat[[#This Row],[Uitvoeringen werkdagen]]*Ruimtestaat[[#This Row],[Oppervlak (netto)]]</f>
        <v>0</v>
      </c>
      <c r="X194" s="37">
        <f>IF(V194&gt;0,Ruimtestaat[[#This Row],[Prest. (m2 /jaar) werkdagen]]/Ruimtestaat[[#This Row],[Norm (m2/uur) werkdagen]],0)</f>
        <v>0</v>
      </c>
      <c r="Y194" s="37">
        <f>Ruimtestaat[[#This Row],[uren / jaar werkdagen]]*Tariefsopbouw!$D$38</f>
        <v>0</v>
      </c>
      <c r="Z194" s="37">
        <f>IF(Ruimtestaat[[#This Row],[Frequentie weekend]]&gt;0,VALUE(LEFT(T194,1))*R194,0)</f>
        <v>0</v>
      </c>
      <c r="AA194" s="37">
        <f>IF($Z194&gt;0,VLOOKUP($J194,Ruimtegroepen[],3,FALSE)*VLOOKUP($L194,Vloersoorten[],3,FALSE)*VLOOKUP($T194,Frequenties[],3,FALSE)*VLOOKUP($A194,Locaties[],3,FALSE),0)</f>
        <v>0</v>
      </c>
      <c r="AB194" s="37">
        <f>Ruimtestaat[[#This Row],[Uitvoeringen weekend]]*Ruimtestaat[[#This Row],[Oppervlak (netto)]]</f>
        <v>0</v>
      </c>
      <c r="AC194" s="37">
        <f>IF(AA194&gt;0,Ruimtestaat[[#This Row],[Prest. (m2 /jaar) weekend]]/Ruimtestaat[[#This Row],[Norm (m2/uur) weekend]],0)</f>
        <v>0</v>
      </c>
      <c r="AD194" s="37">
        <f>Ruimtestaat[[#This Row],[uren / jaar weekend]]*Tariefsopbouw!$D$40</f>
        <v>0</v>
      </c>
      <c r="AE194" s="89">
        <f>Ruimtestaat[[#This Row],[Prest. (m2 /jaar) weekend]]+Ruimtestaat[[#This Row],[Prest. (m2 /jaar) werkdagen]]</f>
        <v>0</v>
      </c>
      <c r="AF194" s="89">
        <f>Ruimtestaat[[#This Row],[uren / jaar weekend]]+Ruimtestaat[[#This Row],[uren / jaar werkdagen]]</f>
        <v>0</v>
      </c>
      <c r="AG194" s="90">
        <f>Ruimtestaat[[#This Row],[kosten / jaar weekend]]+Ruimtestaat[[#This Row],[kosten / jaar werkdagen]]</f>
        <v>0</v>
      </c>
      <c r="AH194" s="253"/>
      <c r="AI194" s="252" t="str">
        <f>IF(Ruimtestaat[[#This Row],[Frequentie werkdagen]]="","",_xlfn.CONCAT(Ruimtestaat[[#This Row],[Ruimte code]],"-",Ruimtestaat[[#This Row],[Frequentie werkdagen]]," ",Ruimtestaat[[#This Row],[Vloer code]]))</f>
        <v/>
      </c>
      <c r="AJ194" s="247" t="str">
        <f>_xlfn.IFNA(VLOOKUP(Ruimtestaat[[#This Row],[Programmacode
Regulier]],Programma!$F$4:$Y$36148,2,0),"_")</f>
        <v>_</v>
      </c>
      <c r="AK194" s="247" t="str">
        <f>_xlfn.IFNA(VLOOKUP(Ruimtestaat[[#This Row],[Programmacode
Regulier]],Programma!$F$4:$Y$36148,3,0),"_")</f>
        <v>_</v>
      </c>
      <c r="AL194" s="247" t="str">
        <f>_xlfn.IFNA(VLOOKUP(Ruimtestaat[[#This Row],[Programmacode
Regulier]],Programma!$F$4:$Y$36148,4,0),"_")</f>
        <v>_</v>
      </c>
      <c r="AM194" s="247" t="str">
        <f>_xlfn.IFNA(VLOOKUP(Ruimtestaat[[#This Row],[Programmacode
Regulier]],Programma!$F$4:$Y$36148,5,0),"_")</f>
        <v>_</v>
      </c>
      <c r="AN194" s="247" t="str">
        <f>_xlfn.IFNA(VLOOKUP(Ruimtestaat[[#This Row],[Programmacode
Regulier]],Programma!$F$4:$Y$36148,6,0),"_")</f>
        <v>_</v>
      </c>
      <c r="AO194" s="247" t="str">
        <f>_xlfn.IFNA(VLOOKUP(Ruimtestaat[[#This Row],[Programmacode
Regulier]],Programma!$F$4:$Y$36148,7,0),"_")</f>
        <v>_</v>
      </c>
      <c r="AP194" s="247" t="str">
        <f>_xlfn.IFNA(VLOOKUP(Ruimtestaat[[#This Row],[Programmacode
Regulier]],Programma!$F$4:$Y$36148,8,0),"_")</f>
        <v>_</v>
      </c>
      <c r="AQ194" s="247" t="str">
        <f>_xlfn.IFNA(VLOOKUP(Ruimtestaat[[#This Row],[Programmacode
Regulier]],Programma!$F$4:$Y$36148,9,0),"_")</f>
        <v>_</v>
      </c>
      <c r="AR194" s="248" t="str">
        <f>_xlfn.IFNA(VLOOKUP(Ruimtestaat[[#This Row],[Programmacode
Regulier]],Programma!$F$4:$Y$36148,10,0),"_")</f>
        <v>_</v>
      </c>
      <c r="AS194" s="248" t="str">
        <f>_xlfn.IFNA(VLOOKUP(Ruimtestaat[[#This Row],[Programmacode
Regulier]],Programma!$F$4:$Y$36148,11,0),"_")</f>
        <v>_</v>
      </c>
      <c r="AT194" s="248" t="str">
        <f>_xlfn.IFNA(VLOOKUP(Ruimtestaat[[#This Row],[Programmacode
Regulier]],Programma!$F$4:$Y$36148,12,0),"_")</f>
        <v>_</v>
      </c>
      <c r="AU194" s="248" t="str">
        <f>_xlfn.IFNA(VLOOKUP(Ruimtestaat[[#This Row],[Programmacode
Regulier]],Programma!$F$4:$Y$36148,13,0),"_")</f>
        <v>_</v>
      </c>
      <c r="AV194" s="248" t="str">
        <f>_xlfn.IFNA(VLOOKUP(Ruimtestaat[[#This Row],[Programmacode
Regulier]],Programma!$F$4:$Y$36148,14,0),"_")</f>
        <v>_</v>
      </c>
      <c r="AW194" s="248" t="str">
        <f>_xlfn.IFNA(VLOOKUP(Ruimtestaat[[#This Row],[Programmacode
Regulier]],Programma!$F$4:$Y$36148,15,0),"_")</f>
        <v>_</v>
      </c>
      <c r="AX194" s="248" t="str">
        <f>_xlfn.IFNA(VLOOKUP(Ruimtestaat[[#This Row],[Programmacode
Regulier]],Programma!$F$4:$Y$36148,16,0),"_")</f>
        <v>_</v>
      </c>
      <c r="AY194" s="248" t="str">
        <f>_xlfn.IFNA(VLOOKUP(Ruimtestaat[[#This Row],[Programmacode
Regulier]],Programma!$F$4:$Y$36148,17,0),"_")</f>
        <v>_</v>
      </c>
      <c r="AZ194" s="249" t="str">
        <f>_xlfn.IFNA(VLOOKUP(Ruimtestaat[[#This Row],[Programmacode
Regulier]],Programma!$F$4:$Y$36148,18,0),"_")</f>
        <v>_</v>
      </c>
      <c r="BA194" s="249" t="str">
        <f>_xlfn.IFNA(VLOOKUP(Ruimtestaat[[#This Row],[Programmacode
Regulier]],Programma!$F$4:$Y$36148,19,0),"_")</f>
        <v>_</v>
      </c>
      <c r="BB194" s="249" t="str">
        <f>_xlfn.IFNA(VLOOKUP(Ruimtestaat[[#This Row],[Programmacode
Regulier]],Programma!$F$4:$Y$36148,20,0),"_")</f>
        <v>_</v>
      </c>
      <c r="BC194" s="250"/>
      <c r="BD194" s="212" t="str">
        <f>IF(Ruimtestaat[[#This Row],[Frequentie weekend]]="","",_xlfn.CONCAT(Ruimtestaat[[#This Row],[Ruimte code]],"-",Ruimtestaat[[#This Row],[Frequentie weekend]]," ",Ruimtestaat[[#This Row],[Vloer code]]))</f>
        <v/>
      </c>
      <c r="BE194" s="247" t="str">
        <f>_xlfn.IFNA(VLOOKUP(Ruimtestaat[[#This Row],[Code Weekend]],Programma!$F$4:$Y$36148,2,0),"_")</f>
        <v>_</v>
      </c>
      <c r="BF194" s="247" t="str">
        <f>_xlfn.IFNA(VLOOKUP(Ruimtestaat[[#This Row],[Code Weekend]],Programma!$F$4:$Y$36148,3,0),"_")</f>
        <v>_</v>
      </c>
      <c r="BG194" s="247" t="str">
        <f>_xlfn.IFNA(VLOOKUP(Ruimtestaat[[#This Row],[Code Weekend]],Programma!$F$4:$Y$36148,4,0),"_")</f>
        <v>_</v>
      </c>
      <c r="BH194" s="247" t="str">
        <f>_xlfn.IFNA(VLOOKUP(Ruimtestaat[[#This Row],[Code Weekend]],Programma!$F$4:$Y$36148,5,0),"_")</f>
        <v>_</v>
      </c>
      <c r="BI194" s="247" t="str">
        <f>_xlfn.IFNA(VLOOKUP(Ruimtestaat[[#This Row],[Code Weekend]],Programma!$F$4:$Y$36148,6,0),"_")</f>
        <v>_</v>
      </c>
      <c r="BJ194" s="247" t="str">
        <f>_xlfn.IFNA(VLOOKUP(Ruimtestaat[[#This Row],[Code Weekend]],Programma!$F$4:$Y$36148,7,0),"_")</f>
        <v>_</v>
      </c>
      <c r="BK194" s="247" t="str">
        <f>_xlfn.IFNA(VLOOKUP(Ruimtestaat[[#This Row],[Code Weekend]],Programma!$F$4:$Y$36148,8,0),"_")</f>
        <v>_</v>
      </c>
      <c r="BL194" s="247" t="str">
        <f>_xlfn.IFNA(VLOOKUP(Ruimtestaat[[#This Row],[Code Weekend]],Programma!$F$4:$Y$36148,9,0),"_")</f>
        <v>_</v>
      </c>
      <c r="BM194" s="248" t="str">
        <f>_xlfn.IFNA(VLOOKUP(Ruimtestaat[[#This Row],[Code Weekend]],Programma!$F$4:$Y$36148,10,0),"_")</f>
        <v>_</v>
      </c>
      <c r="BN194" s="248" t="str">
        <f>_xlfn.IFNA(VLOOKUP(Ruimtestaat[[#This Row],[Code Weekend]],Programma!$F$4:$Y$36148,11,0),"_")</f>
        <v>_</v>
      </c>
      <c r="BO194" s="248" t="str">
        <f>_xlfn.IFNA(VLOOKUP(Ruimtestaat[[#This Row],[Code Weekend]],Programma!$F$4:$Y$36148,12,0),"_")</f>
        <v>_</v>
      </c>
      <c r="BP194" s="248" t="str">
        <f>_xlfn.IFNA(VLOOKUP(Ruimtestaat[[#This Row],[Code Weekend]],Programma!$F$4:$Y$36148,13,0),"_")</f>
        <v>_</v>
      </c>
      <c r="BQ194" s="248" t="str">
        <f>_xlfn.IFNA(VLOOKUP(Ruimtestaat[[#This Row],[Code Weekend]],Programma!$F$4:$Y$36148,14,0),"_")</f>
        <v>_</v>
      </c>
      <c r="BR194" s="248" t="str">
        <f>_xlfn.IFNA(VLOOKUP(Ruimtestaat[[#This Row],[Code Weekend]],Programma!$F$4:$Y$36148,15,0),"_")</f>
        <v>_</v>
      </c>
      <c r="BS194" s="248" t="str">
        <f>_xlfn.IFNA(VLOOKUP(Ruimtestaat[[#This Row],[Code Weekend]],Programma!$F$4:$Y$36148,16,0),"_")</f>
        <v>_</v>
      </c>
      <c r="BT194" s="248" t="str">
        <f>_xlfn.IFNA(VLOOKUP(Ruimtestaat[[#This Row],[Code Weekend]],Programma!$F$4:$Y$36148,17,0),"_")</f>
        <v>_</v>
      </c>
      <c r="BU194" s="249" t="str">
        <f>_xlfn.IFNA(VLOOKUP(Ruimtestaat[[#This Row],[Code Weekend]],Programma!$F$4:$Y$36148,18,0),"_")</f>
        <v>_</v>
      </c>
      <c r="BV194" s="249" t="str">
        <f>_xlfn.IFNA(VLOOKUP(Ruimtestaat[[#This Row],[Code Weekend]],Programma!$F$4:$Y$36148,19,0),"_")</f>
        <v>_</v>
      </c>
      <c r="BW194" s="249" t="str">
        <f>_xlfn.IFNA(VLOOKUP(Ruimtestaat[[#This Row],[Code Weekend]],Programma!$F$4:$Y$36148,20,0),"_")</f>
        <v>_</v>
      </c>
    </row>
    <row r="195" spans="1:75" ht="12.75" customHeight="1">
      <c r="A195" s="334">
        <v>1</v>
      </c>
      <c r="B195" s="334" t="str">
        <f>VLOOKUP(Ruimtestaat[[#This Row],[Code]],Locaties[#All],2,FALSE)</f>
        <v>ESH Secondary School</v>
      </c>
      <c r="C195" s="212" t="str">
        <f>VLOOKUP(Ruimtestaat[[#This Row],[Code]],Locaties[#All],4,FALSE)</f>
        <v>Oostduinlaan 50</v>
      </c>
      <c r="D195" s="212" t="str">
        <f>VLOOKUP(Ruimtestaat[[#This Row],[Code]],Locaties[#All],5,FALSE)</f>
        <v>2596 JP</v>
      </c>
      <c r="E195" s="212" t="str">
        <f>VLOOKUP(Ruimtestaat[[#This Row],[Code]],Locaties[#All],6,FALSE)</f>
        <v>Den Haag</v>
      </c>
      <c r="F195" s="335"/>
      <c r="G195" s="334" t="s">
        <v>1737</v>
      </c>
      <c r="H195" s="334" t="s">
        <v>1701</v>
      </c>
      <c r="I195" s="335" t="s">
        <v>1394</v>
      </c>
      <c r="J195" s="328">
        <v>10</v>
      </c>
      <c r="K195" s="336" t="str">
        <f>VLOOKUP(J195,Ruimtegroepen[],2,FALSE)</f>
        <v>Trappenhuizen/lift</v>
      </c>
      <c r="L195" s="212" t="s">
        <v>122</v>
      </c>
      <c r="M195" s="334" t="s">
        <v>143</v>
      </c>
      <c r="N195" s="337">
        <v>20</v>
      </c>
      <c r="O195" s="331"/>
      <c r="P195" s="332" t="str">
        <f>VLOOKUP(Ruimtestaat[[#This Row],[Ruimte code]],Ruimtegroepen[],4,FALSE)</f>
        <v>V  (Verkeersruimte)</v>
      </c>
      <c r="Q195" s="332"/>
      <c r="R195" s="333">
        <v>40</v>
      </c>
      <c r="S195" s="333" t="s">
        <v>2</v>
      </c>
      <c r="T195" s="37"/>
      <c r="U195" s="37">
        <f>IF(R195&gt;0,IF(RIGHT(Ruimtestaat[[#This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95" s="37">
        <f>IF(U195&gt;0,VLOOKUP($J195,Ruimtegroepen[],3,FALSE)*VLOOKUP($L195,Vloersoorten[],3,FALSE)*VLOOKUP($S195,Frequenties[],3,FALSE)*VLOOKUP($A195,Locaties[],3,FALSE),0)</f>
        <v>0</v>
      </c>
      <c r="W195" s="37">
        <f>Ruimtestaat[[#This Row],[Uitvoeringen werkdagen]]*Ruimtestaat[[#This Row],[Oppervlak (netto)]]</f>
        <v>4000</v>
      </c>
      <c r="X195" s="37">
        <f>IF(V195&gt;0,Ruimtestaat[[#This Row],[Prest. (m2 /jaar) werkdagen]]/Ruimtestaat[[#This Row],[Norm (m2/uur) werkdagen]],0)</f>
        <v>0</v>
      </c>
      <c r="Y195" s="37">
        <f>Ruimtestaat[[#This Row],[uren / jaar werkdagen]]*Tariefsopbouw!$D$38</f>
        <v>0</v>
      </c>
      <c r="Z195" s="37">
        <f>IF(Ruimtestaat[[#This Row],[Frequentie weekend]]&gt;0,VALUE(LEFT(T195,1))*R195,0)</f>
        <v>0</v>
      </c>
      <c r="AA195" s="37">
        <f>IF($Z195&gt;0,VLOOKUP($J195,Ruimtegroepen[],3,FALSE)*VLOOKUP($L195,Vloersoorten[],3,FALSE)*VLOOKUP($T195,Frequenties[],3,FALSE)*VLOOKUP($A195,Locaties[],3,FALSE),0)</f>
        <v>0</v>
      </c>
      <c r="AB195" s="37">
        <f>Ruimtestaat[[#This Row],[Uitvoeringen weekend]]*Ruimtestaat[[#This Row],[Oppervlak (netto)]]</f>
        <v>0</v>
      </c>
      <c r="AC195" s="37">
        <f>IF(AA195&gt;0,Ruimtestaat[[#This Row],[Prest. (m2 /jaar) weekend]]/Ruimtestaat[[#This Row],[Norm (m2/uur) weekend]],0)</f>
        <v>0</v>
      </c>
      <c r="AD195" s="37">
        <f>Ruimtestaat[[#This Row],[uren / jaar weekend]]*Tariefsopbouw!$D$40</f>
        <v>0</v>
      </c>
      <c r="AE195" s="89">
        <f>Ruimtestaat[[#This Row],[Prest. (m2 /jaar) weekend]]+Ruimtestaat[[#This Row],[Prest. (m2 /jaar) werkdagen]]</f>
        <v>4000</v>
      </c>
      <c r="AF195" s="89">
        <f>Ruimtestaat[[#This Row],[uren / jaar weekend]]+Ruimtestaat[[#This Row],[uren / jaar werkdagen]]</f>
        <v>0</v>
      </c>
      <c r="AG195" s="90">
        <f>Ruimtestaat[[#This Row],[kosten / jaar weekend]]+Ruimtestaat[[#This Row],[kosten / jaar werkdagen]]</f>
        <v>0</v>
      </c>
      <c r="AH195" s="253"/>
      <c r="AI195" s="252" t="str">
        <f>IF(Ruimtestaat[[#This Row],[Frequentie werkdagen]]="","",_xlfn.CONCAT(Ruimtestaat[[#This Row],[Ruimte code]],"-",Ruimtestaat[[#This Row],[Frequentie werkdagen]]," ",Ruimtestaat[[#This Row],[Vloer code]]))</f>
        <v>10-5w S</v>
      </c>
      <c r="AJ195" s="247" t="str">
        <f>_xlfn.IFNA(VLOOKUP(Ruimtestaat[[#This Row],[Programmacode
Regulier]],Programma!$F$4:$Y$36148,2,0),"_")</f>
        <v>_</v>
      </c>
      <c r="AK195" s="247" t="str">
        <f>_xlfn.IFNA(VLOOKUP(Ruimtestaat[[#This Row],[Programmacode
Regulier]],Programma!$F$4:$Y$36148,3,0),"_")</f>
        <v>5w</v>
      </c>
      <c r="AL195" s="247" t="str">
        <f>_xlfn.IFNA(VLOOKUP(Ruimtestaat[[#This Row],[Programmacode
Regulier]],Programma!$F$4:$Y$36148,4,0),"_")</f>
        <v>_</v>
      </c>
      <c r="AM195" s="247" t="str">
        <f>_xlfn.IFNA(VLOOKUP(Ruimtestaat[[#This Row],[Programmacode
Regulier]],Programma!$F$4:$Y$36148,5,0),"_")</f>
        <v>5w</v>
      </c>
      <c r="AN195" s="247" t="str">
        <f>_xlfn.IFNA(VLOOKUP(Ruimtestaat[[#This Row],[Programmacode
Regulier]],Programma!$F$4:$Y$36148,6,0),"_")</f>
        <v>1m</v>
      </c>
      <c r="AO195" s="247" t="str">
        <f>_xlfn.IFNA(VLOOKUP(Ruimtestaat[[#This Row],[Programmacode
Regulier]],Programma!$F$4:$Y$36148,7,0),"_")</f>
        <v>_</v>
      </c>
      <c r="AP195" s="247" t="str">
        <f>_xlfn.IFNA(VLOOKUP(Ruimtestaat[[#This Row],[Programmacode
Regulier]],Programma!$F$4:$Y$36148,8,0),"_")</f>
        <v>_</v>
      </c>
      <c r="AQ195" s="247" t="str">
        <f>_xlfn.IFNA(VLOOKUP(Ruimtestaat[[#This Row],[Programmacode
Regulier]],Programma!$F$4:$Y$36148,9,0),"_")</f>
        <v>_</v>
      </c>
      <c r="AR195" s="248" t="str">
        <f>_xlfn.IFNA(VLOOKUP(Ruimtestaat[[#This Row],[Programmacode
Regulier]],Programma!$F$4:$Y$36148,10,0),"_")</f>
        <v>5w</v>
      </c>
      <c r="AS195" s="248" t="str">
        <f>_xlfn.IFNA(VLOOKUP(Ruimtestaat[[#This Row],[Programmacode
Regulier]],Programma!$F$4:$Y$36148,11,0),"_")</f>
        <v>5w</v>
      </c>
      <c r="AT195" s="248" t="str">
        <f>_xlfn.IFNA(VLOOKUP(Ruimtestaat[[#This Row],[Programmacode
Regulier]],Programma!$F$4:$Y$36148,12,0),"_")</f>
        <v>1w</v>
      </c>
      <c r="AU195" s="248" t="str">
        <f>_xlfn.IFNA(VLOOKUP(Ruimtestaat[[#This Row],[Programmacode
Regulier]],Programma!$F$4:$Y$36148,13,0),"_")</f>
        <v>1w</v>
      </c>
      <c r="AV195" s="248" t="str">
        <f>_xlfn.IFNA(VLOOKUP(Ruimtestaat[[#This Row],[Programmacode
Regulier]],Programma!$F$4:$Y$36148,14,0),"_")</f>
        <v>1m</v>
      </c>
      <c r="AW195" s="248" t="str">
        <f>_xlfn.IFNA(VLOOKUP(Ruimtestaat[[#This Row],[Programmacode
Regulier]],Programma!$F$4:$Y$36148,15,0),"_")</f>
        <v>2j</v>
      </c>
      <c r="AX195" s="248" t="str">
        <f>_xlfn.IFNA(VLOOKUP(Ruimtestaat[[#This Row],[Programmacode
Regulier]],Programma!$F$4:$Y$36148,16,0),"_")</f>
        <v>1j</v>
      </c>
      <c r="AY195" s="248" t="str">
        <f>_xlfn.IFNA(VLOOKUP(Ruimtestaat[[#This Row],[Programmacode
Regulier]],Programma!$F$4:$Y$36148,17,0),"_")</f>
        <v>_</v>
      </c>
      <c r="AZ195" s="249" t="str">
        <f>_xlfn.IFNA(VLOOKUP(Ruimtestaat[[#This Row],[Programmacode
Regulier]],Programma!$F$4:$Y$36148,18,0),"_")</f>
        <v>_</v>
      </c>
      <c r="BA195" s="249" t="str">
        <f>_xlfn.IFNA(VLOOKUP(Ruimtestaat[[#This Row],[Programmacode
Regulier]],Programma!$F$4:$Y$36148,19,0),"_")</f>
        <v>_</v>
      </c>
      <c r="BB195" s="249" t="str">
        <f>_xlfn.IFNA(VLOOKUP(Ruimtestaat[[#This Row],[Programmacode
Regulier]],Programma!$F$4:$Y$36148,20,0),"_")</f>
        <v>_</v>
      </c>
      <c r="BC195" s="250"/>
      <c r="BD195" s="212" t="str">
        <f>IF(Ruimtestaat[[#This Row],[Frequentie weekend]]="","",_xlfn.CONCAT(Ruimtestaat[[#This Row],[Ruimte code]],"-",Ruimtestaat[[#This Row],[Frequentie weekend]]," ",Ruimtestaat[[#This Row],[Vloer code]]))</f>
        <v/>
      </c>
      <c r="BE195" s="247" t="str">
        <f>_xlfn.IFNA(VLOOKUP(Ruimtestaat[[#This Row],[Code Weekend]],Programma!$F$4:$Y$36148,2,0),"_")</f>
        <v>_</v>
      </c>
      <c r="BF195" s="247" t="str">
        <f>_xlfn.IFNA(VLOOKUP(Ruimtestaat[[#This Row],[Code Weekend]],Programma!$F$4:$Y$36148,3,0),"_")</f>
        <v>_</v>
      </c>
      <c r="BG195" s="247" t="str">
        <f>_xlfn.IFNA(VLOOKUP(Ruimtestaat[[#This Row],[Code Weekend]],Programma!$F$4:$Y$36148,4,0),"_")</f>
        <v>_</v>
      </c>
      <c r="BH195" s="247" t="str">
        <f>_xlfn.IFNA(VLOOKUP(Ruimtestaat[[#This Row],[Code Weekend]],Programma!$F$4:$Y$36148,5,0),"_")</f>
        <v>_</v>
      </c>
      <c r="BI195" s="247" t="str">
        <f>_xlfn.IFNA(VLOOKUP(Ruimtestaat[[#This Row],[Code Weekend]],Programma!$F$4:$Y$36148,6,0),"_")</f>
        <v>_</v>
      </c>
      <c r="BJ195" s="247" t="str">
        <f>_xlfn.IFNA(VLOOKUP(Ruimtestaat[[#This Row],[Code Weekend]],Programma!$F$4:$Y$36148,7,0),"_")</f>
        <v>_</v>
      </c>
      <c r="BK195" s="247" t="str">
        <f>_xlfn.IFNA(VLOOKUP(Ruimtestaat[[#This Row],[Code Weekend]],Programma!$F$4:$Y$36148,8,0),"_")</f>
        <v>_</v>
      </c>
      <c r="BL195" s="247" t="str">
        <f>_xlfn.IFNA(VLOOKUP(Ruimtestaat[[#This Row],[Code Weekend]],Programma!$F$4:$Y$36148,9,0),"_")</f>
        <v>_</v>
      </c>
      <c r="BM195" s="248" t="str">
        <f>_xlfn.IFNA(VLOOKUP(Ruimtestaat[[#This Row],[Code Weekend]],Programma!$F$4:$Y$36148,10,0),"_")</f>
        <v>_</v>
      </c>
      <c r="BN195" s="248" t="str">
        <f>_xlfn.IFNA(VLOOKUP(Ruimtestaat[[#This Row],[Code Weekend]],Programma!$F$4:$Y$36148,11,0),"_")</f>
        <v>_</v>
      </c>
      <c r="BO195" s="248" t="str">
        <f>_xlfn.IFNA(VLOOKUP(Ruimtestaat[[#This Row],[Code Weekend]],Programma!$F$4:$Y$36148,12,0),"_")</f>
        <v>_</v>
      </c>
      <c r="BP195" s="248" t="str">
        <f>_xlfn.IFNA(VLOOKUP(Ruimtestaat[[#This Row],[Code Weekend]],Programma!$F$4:$Y$36148,13,0),"_")</f>
        <v>_</v>
      </c>
      <c r="BQ195" s="248" t="str">
        <f>_xlfn.IFNA(VLOOKUP(Ruimtestaat[[#This Row],[Code Weekend]],Programma!$F$4:$Y$36148,14,0),"_")</f>
        <v>_</v>
      </c>
      <c r="BR195" s="248" t="str">
        <f>_xlfn.IFNA(VLOOKUP(Ruimtestaat[[#This Row],[Code Weekend]],Programma!$F$4:$Y$36148,15,0),"_")</f>
        <v>_</v>
      </c>
      <c r="BS195" s="248" t="str">
        <f>_xlfn.IFNA(VLOOKUP(Ruimtestaat[[#This Row],[Code Weekend]],Programma!$F$4:$Y$36148,16,0),"_")</f>
        <v>_</v>
      </c>
      <c r="BT195" s="248" t="str">
        <f>_xlfn.IFNA(VLOOKUP(Ruimtestaat[[#This Row],[Code Weekend]],Programma!$F$4:$Y$36148,17,0),"_")</f>
        <v>_</v>
      </c>
      <c r="BU195" s="249" t="str">
        <f>_xlfn.IFNA(VLOOKUP(Ruimtestaat[[#This Row],[Code Weekend]],Programma!$F$4:$Y$36148,18,0),"_")</f>
        <v>_</v>
      </c>
      <c r="BV195" s="249" t="str">
        <f>_xlfn.IFNA(VLOOKUP(Ruimtestaat[[#This Row],[Code Weekend]],Programma!$F$4:$Y$36148,19,0),"_")</f>
        <v>_</v>
      </c>
      <c r="BW195" s="249" t="str">
        <f>_xlfn.IFNA(VLOOKUP(Ruimtestaat[[#This Row],[Code Weekend]],Programma!$F$4:$Y$36148,20,0),"_")</f>
        <v>_</v>
      </c>
    </row>
    <row r="196" spans="1:75" ht="12.75" customHeight="1">
      <c r="A196" s="334">
        <v>1</v>
      </c>
      <c r="B196" s="334" t="str">
        <f>VLOOKUP(Ruimtestaat[[#This Row],[Code]],Locaties[#All],2,FALSE)</f>
        <v>ESH Secondary School</v>
      </c>
      <c r="C196" s="212" t="str">
        <f>VLOOKUP(Ruimtestaat[[#This Row],[Code]],Locaties[#All],4,FALSE)</f>
        <v>Oostduinlaan 50</v>
      </c>
      <c r="D196" s="212" t="str">
        <f>VLOOKUP(Ruimtestaat[[#This Row],[Code]],Locaties[#All],5,FALSE)</f>
        <v>2596 JP</v>
      </c>
      <c r="E196" s="212" t="str">
        <f>VLOOKUP(Ruimtestaat[[#This Row],[Code]],Locaties[#All],6,FALSE)</f>
        <v>Den Haag</v>
      </c>
      <c r="F196" s="335"/>
      <c r="G196" s="334" t="s">
        <v>1737</v>
      </c>
      <c r="H196" s="334" t="s">
        <v>1702</v>
      </c>
      <c r="I196" s="335" t="s">
        <v>1729</v>
      </c>
      <c r="J196" s="328">
        <v>2</v>
      </c>
      <c r="K196" s="336" t="str">
        <f>VLOOKUP(J196,Ruimtegroepen[],2,FALSE)</f>
        <v>Kantoren</v>
      </c>
      <c r="L196" s="212" t="s">
        <v>123</v>
      </c>
      <c r="M196" s="334" t="s">
        <v>144</v>
      </c>
      <c r="N196" s="337">
        <v>19</v>
      </c>
      <c r="O196" s="331"/>
      <c r="P196" s="332" t="str">
        <f>VLOOKUP(Ruimtestaat[[#This Row],[Ruimte code]],Ruimtegroepen[],4,FALSE)</f>
        <v>B  (Bureauruimte)</v>
      </c>
      <c r="Q196" s="332"/>
      <c r="R196" s="333">
        <v>40</v>
      </c>
      <c r="S196" s="333" t="s">
        <v>2</v>
      </c>
      <c r="T196" s="37"/>
      <c r="U196" s="37">
        <f>IF(R196&gt;0,IF(RIGHT(Ruimtestaat[[#This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96" s="37">
        <f>IF(U196&gt;0,VLOOKUP($J196,Ruimtegroepen[],3,FALSE)*VLOOKUP($L196,Vloersoorten[],3,FALSE)*VLOOKUP($S196,Frequenties[],3,FALSE)*VLOOKUP($A196,Locaties[],3,FALSE),0)</f>
        <v>0</v>
      </c>
      <c r="W196" s="37">
        <f>Ruimtestaat[[#This Row],[Uitvoeringen werkdagen]]*Ruimtestaat[[#This Row],[Oppervlak (netto)]]</f>
        <v>3800</v>
      </c>
      <c r="X196" s="37">
        <f>IF(V196&gt;0,Ruimtestaat[[#This Row],[Prest. (m2 /jaar) werkdagen]]/Ruimtestaat[[#This Row],[Norm (m2/uur) werkdagen]],0)</f>
        <v>0</v>
      </c>
      <c r="Y196" s="37">
        <f>Ruimtestaat[[#This Row],[uren / jaar werkdagen]]*Tariefsopbouw!$D$38</f>
        <v>0</v>
      </c>
      <c r="Z196" s="37">
        <f>IF(Ruimtestaat[[#This Row],[Frequentie weekend]]&gt;0,VALUE(LEFT(T196,1))*R196,0)</f>
        <v>0</v>
      </c>
      <c r="AA196" s="37">
        <f>IF($Z196&gt;0,VLOOKUP($J196,Ruimtegroepen[],3,FALSE)*VLOOKUP($L196,Vloersoorten[],3,FALSE)*VLOOKUP($T196,Frequenties[],3,FALSE)*VLOOKUP($A196,Locaties[],3,FALSE),0)</f>
        <v>0</v>
      </c>
      <c r="AB196" s="37">
        <f>Ruimtestaat[[#This Row],[Uitvoeringen weekend]]*Ruimtestaat[[#This Row],[Oppervlak (netto)]]</f>
        <v>0</v>
      </c>
      <c r="AC196" s="37">
        <f>IF(AA196&gt;0,Ruimtestaat[[#This Row],[Prest. (m2 /jaar) weekend]]/Ruimtestaat[[#This Row],[Norm (m2/uur) weekend]],0)</f>
        <v>0</v>
      </c>
      <c r="AD196" s="37">
        <f>Ruimtestaat[[#This Row],[uren / jaar weekend]]*Tariefsopbouw!$D$40</f>
        <v>0</v>
      </c>
      <c r="AE196" s="89">
        <f>Ruimtestaat[[#This Row],[Prest. (m2 /jaar) weekend]]+Ruimtestaat[[#This Row],[Prest. (m2 /jaar) werkdagen]]</f>
        <v>3800</v>
      </c>
      <c r="AF196" s="89">
        <f>Ruimtestaat[[#This Row],[uren / jaar weekend]]+Ruimtestaat[[#This Row],[uren / jaar werkdagen]]</f>
        <v>0</v>
      </c>
      <c r="AG196" s="90">
        <f>Ruimtestaat[[#This Row],[kosten / jaar weekend]]+Ruimtestaat[[#This Row],[kosten / jaar werkdagen]]</f>
        <v>0</v>
      </c>
      <c r="AH196" s="253"/>
      <c r="AI196" s="252" t="str">
        <f>IF(Ruimtestaat[[#This Row],[Frequentie werkdagen]]="","",_xlfn.CONCAT(Ruimtestaat[[#This Row],[Ruimte code]],"-",Ruimtestaat[[#This Row],[Frequentie werkdagen]]," ",Ruimtestaat[[#This Row],[Vloer code]]))</f>
        <v>2-5w P</v>
      </c>
      <c r="AJ196" s="247" t="str">
        <f>_xlfn.IFNA(VLOOKUP(Ruimtestaat[[#This Row],[Programmacode
Regulier]],Programma!$F$4:$Y$36148,2,0),"_")</f>
        <v>_</v>
      </c>
      <c r="AK196" s="247" t="str">
        <f>_xlfn.IFNA(VLOOKUP(Ruimtestaat[[#This Row],[Programmacode
Regulier]],Programma!$F$4:$Y$36148,3,0),"_")</f>
        <v>_</v>
      </c>
      <c r="AL196" s="247" t="str">
        <f>_xlfn.IFNA(VLOOKUP(Ruimtestaat[[#This Row],[Programmacode
Regulier]],Programma!$F$4:$Y$36148,4,0),"_")</f>
        <v>5w</v>
      </c>
      <c r="AM196" s="247" t="str">
        <f>_xlfn.IFNA(VLOOKUP(Ruimtestaat[[#This Row],[Programmacode
Regulier]],Programma!$F$4:$Y$36148,5,0),"_")</f>
        <v>1w</v>
      </c>
      <c r="AN196" s="247" t="str">
        <f>_xlfn.IFNA(VLOOKUP(Ruimtestaat[[#This Row],[Programmacode
Regulier]],Programma!$F$4:$Y$36148,6,0),"_")</f>
        <v>1m</v>
      </c>
      <c r="AO196" s="247" t="str">
        <f>_xlfn.IFNA(VLOOKUP(Ruimtestaat[[#This Row],[Programmacode
Regulier]],Programma!$F$4:$Y$36148,7,0),"_")</f>
        <v>_</v>
      </c>
      <c r="AP196" s="247" t="str">
        <f>_xlfn.IFNA(VLOOKUP(Ruimtestaat[[#This Row],[Programmacode
Regulier]],Programma!$F$4:$Y$36148,8,0),"_")</f>
        <v>_</v>
      </c>
      <c r="AQ196" s="247" t="str">
        <f>_xlfn.IFNA(VLOOKUP(Ruimtestaat[[#This Row],[Programmacode
Regulier]],Programma!$F$4:$Y$36148,9,0),"_")</f>
        <v>_</v>
      </c>
      <c r="AR196" s="248" t="str">
        <f>_xlfn.IFNA(VLOOKUP(Ruimtestaat[[#This Row],[Programmacode
Regulier]],Programma!$F$4:$Y$36148,10,0),"_")</f>
        <v>5w</v>
      </c>
      <c r="AS196" s="248" t="str">
        <f>_xlfn.IFNA(VLOOKUP(Ruimtestaat[[#This Row],[Programmacode
Regulier]],Programma!$F$4:$Y$36148,11,0),"_")</f>
        <v>5w</v>
      </c>
      <c r="AT196" s="248" t="str">
        <f>_xlfn.IFNA(VLOOKUP(Ruimtestaat[[#This Row],[Programmacode
Regulier]],Programma!$F$4:$Y$36148,12,0),"_")</f>
        <v>1w</v>
      </c>
      <c r="AU196" s="248" t="str">
        <f>_xlfn.IFNA(VLOOKUP(Ruimtestaat[[#This Row],[Programmacode
Regulier]],Programma!$F$4:$Y$36148,13,0),"_")</f>
        <v>1w</v>
      </c>
      <c r="AV196" s="248" t="str">
        <f>_xlfn.IFNA(VLOOKUP(Ruimtestaat[[#This Row],[Programmacode
Regulier]],Programma!$F$4:$Y$36148,14,0),"_")</f>
        <v>1m</v>
      </c>
      <c r="AW196" s="248" t="str">
        <f>_xlfn.IFNA(VLOOKUP(Ruimtestaat[[#This Row],[Programmacode
Regulier]],Programma!$F$4:$Y$36148,15,0),"_")</f>
        <v>2j</v>
      </c>
      <c r="AX196" s="248" t="str">
        <f>_xlfn.IFNA(VLOOKUP(Ruimtestaat[[#This Row],[Programmacode
Regulier]],Programma!$F$4:$Y$36148,16,0),"_")</f>
        <v>1j</v>
      </c>
      <c r="AY196" s="248" t="str">
        <f>_xlfn.IFNA(VLOOKUP(Ruimtestaat[[#This Row],[Programmacode
Regulier]],Programma!$F$4:$Y$36148,17,0),"_")</f>
        <v>_</v>
      </c>
      <c r="AZ196" s="249" t="str">
        <f>_xlfn.IFNA(VLOOKUP(Ruimtestaat[[#This Row],[Programmacode
Regulier]],Programma!$F$4:$Y$36148,18,0),"_")</f>
        <v>_</v>
      </c>
      <c r="BA196" s="249" t="str">
        <f>_xlfn.IFNA(VLOOKUP(Ruimtestaat[[#This Row],[Programmacode
Regulier]],Programma!$F$4:$Y$36148,19,0),"_")</f>
        <v>_</v>
      </c>
      <c r="BB196" s="249" t="str">
        <f>_xlfn.IFNA(VLOOKUP(Ruimtestaat[[#This Row],[Programmacode
Regulier]],Programma!$F$4:$Y$36148,20,0),"_")</f>
        <v>_</v>
      </c>
      <c r="BC196" s="250"/>
      <c r="BD196" s="212" t="str">
        <f>IF(Ruimtestaat[[#This Row],[Frequentie weekend]]="","",_xlfn.CONCAT(Ruimtestaat[[#This Row],[Ruimte code]],"-",Ruimtestaat[[#This Row],[Frequentie weekend]]," ",Ruimtestaat[[#This Row],[Vloer code]]))</f>
        <v/>
      </c>
      <c r="BE196" s="247" t="str">
        <f>_xlfn.IFNA(VLOOKUP(Ruimtestaat[[#This Row],[Code Weekend]],Programma!$F$4:$Y$36148,2,0),"_")</f>
        <v>_</v>
      </c>
      <c r="BF196" s="247" t="str">
        <f>_xlfn.IFNA(VLOOKUP(Ruimtestaat[[#This Row],[Code Weekend]],Programma!$F$4:$Y$36148,3,0),"_")</f>
        <v>_</v>
      </c>
      <c r="BG196" s="247" t="str">
        <f>_xlfn.IFNA(VLOOKUP(Ruimtestaat[[#This Row],[Code Weekend]],Programma!$F$4:$Y$36148,4,0),"_")</f>
        <v>_</v>
      </c>
      <c r="BH196" s="247" t="str">
        <f>_xlfn.IFNA(VLOOKUP(Ruimtestaat[[#This Row],[Code Weekend]],Programma!$F$4:$Y$36148,5,0),"_")</f>
        <v>_</v>
      </c>
      <c r="BI196" s="247" t="str">
        <f>_xlfn.IFNA(VLOOKUP(Ruimtestaat[[#This Row],[Code Weekend]],Programma!$F$4:$Y$36148,6,0),"_")</f>
        <v>_</v>
      </c>
      <c r="BJ196" s="247" t="str">
        <f>_xlfn.IFNA(VLOOKUP(Ruimtestaat[[#This Row],[Code Weekend]],Programma!$F$4:$Y$36148,7,0),"_")</f>
        <v>_</v>
      </c>
      <c r="BK196" s="247" t="str">
        <f>_xlfn.IFNA(VLOOKUP(Ruimtestaat[[#This Row],[Code Weekend]],Programma!$F$4:$Y$36148,8,0),"_")</f>
        <v>_</v>
      </c>
      <c r="BL196" s="247" t="str">
        <f>_xlfn.IFNA(VLOOKUP(Ruimtestaat[[#This Row],[Code Weekend]],Programma!$F$4:$Y$36148,9,0),"_")</f>
        <v>_</v>
      </c>
      <c r="BM196" s="248" t="str">
        <f>_xlfn.IFNA(VLOOKUP(Ruimtestaat[[#This Row],[Code Weekend]],Programma!$F$4:$Y$36148,10,0),"_")</f>
        <v>_</v>
      </c>
      <c r="BN196" s="248" t="str">
        <f>_xlfn.IFNA(VLOOKUP(Ruimtestaat[[#This Row],[Code Weekend]],Programma!$F$4:$Y$36148,11,0),"_")</f>
        <v>_</v>
      </c>
      <c r="BO196" s="248" t="str">
        <f>_xlfn.IFNA(VLOOKUP(Ruimtestaat[[#This Row],[Code Weekend]],Programma!$F$4:$Y$36148,12,0),"_")</f>
        <v>_</v>
      </c>
      <c r="BP196" s="248" t="str">
        <f>_xlfn.IFNA(VLOOKUP(Ruimtestaat[[#This Row],[Code Weekend]],Programma!$F$4:$Y$36148,13,0),"_")</f>
        <v>_</v>
      </c>
      <c r="BQ196" s="248" t="str">
        <f>_xlfn.IFNA(VLOOKUP(Ruimtestaat[[#This Row],[Code Weekend]],Programma!$F$4:$Y$36148,14,0),"_")</f>
        <v>_</v>
      </c>
      <c r="BR196" s="248" t="str">
        <f>_xlfn.IFNA(VLOOKUP(Ruimtestaat[[#This Row],[Code Weekend]],Programma!$F$4:$Y$36148,15,0),"_")</f>
        <v>_</v>
      </c>
      <c r="BS196" s="248" t="str">
        <f>_xlfn.IFNA(VLOOKUP(Ruimtestaat[[#This Row],[Code Weekend]],Programma!$F$4:$Y$36148,16,0),"_")</f>
        <v>_</v>
      </c>
      <c r="BT196" s="248" t="str">
        <f>_xlfn.IFNA(VLOOKUP(Ruimtestaat[[#This Row],[Code Weekend]],Programma!$F$4:$Y$36148,17,0),"_")</f>
        <v>_</v>
      </c>
      <c r="BU196" s="249" t="str">
        <f>_xlfn.IFNA(VLOOKUP(Ruimtestaat[[#This Row],[Code Weekend]],Programma!$F$4:$Y$36148,18,0),"_")</f>
        <v>_</v>
      </c>
      <c r="BV196" s="249" t="str">
        <f>_xlfn.IFNA(VLOOKUP(Ruimtestaat[[#This Row],[Code Weekend]],Programma!$F$4:$Y$36148,19,0),"_")</f>
        <v>_</v>
      </c>
      <c r="BW196" s="249" t="str">
        <f>_xlfn.IFNA(VLOOKUP(Ruimtestaat[[#This Row],[Code Weekend]],Programma!$F$4:$Y$36148,20,0),"_")</f>
        <v>_</v>
      </c>
    </row>
    <row r="197" spans="1:75" ht="12.75" customHeight="1">
      <c r="A197" s="334">
        <v>1</v>
      </c>
      <c r="B197" s="334" t="str">
        <f>VLOOKUP(Ruimtestaat[[#This Row],[Code]],Locaties[#All],2,FALSE)</f>
        <v>ESH Secondary School</v>
      </c>
      <c r="C197" s="212" t="str">
        <f>VLOOKUP(Ruimtestaat[[#This Row],[Code]],Locaties[#All],4,FALSE)</f>
        <v>Oostduinlaan 50</v>
      </c>
      <c r="D197" s="212" t="str">
        <f>VLOOKUP(Ruimtestaat[[#This Row],[Code]],Locaties[#All],5,FALSE)</f>
        <v>2596 JP</v>
      </c>
      <c r="E197" s="212" t="str">
        <f>VLOOKUP(Ruimtestaat[[#This Row],[Code]],Locaties[#All],6,FALSE)</f>
        <v>Den Haag</v>
      </c>
      <c r="F197" s="335"/>
      <c r="G197" s="334" t="s">
        <v>1737</v>
      </c>
      <c r="H197" s="334" t="s">
        <v>1703</v>
      </c>
      <c r="I197" s="335" t="s">
        <v>1788</v>
      </c>
      <c r="J197" s="328">
        <v>2</v>
      </c>
      <c r="K197" s="336" t="str">
        <f>VLOOKUP(J197,Ruimtegroepen[],2,FALSE)</f>
        <v>Kantoren</v>
      </c>
      <c r="L197" s="212" t="s">
        <v>123</v>
      </c>
      <c r="M197" s="334" t="s">
        <v>144</v>
      </c>
      <c r="N197" s="337">
        <v>20</v>
      </c>
      <c r="O197" s="331"/>
      <c r="P197" s="332" t="str">
        <f>VLOOKUP(Ruimtestaat[[#This Row],[Ruimte code]],Ruimtegroepen[],4,FALSE)</f>
        <v>B  (Bureauruimte)</v>
      </c>
      <c r="Q197" s="332"/>
      <c r="R197" s="333">
        <v>40</v>
      </c>
      <c r="S197" s="333" t="s">
        <v>2</v>
      </c>
      <c r="T197" s="37"/>
      <c r="U197" s="37">
        <f>IF(R197&gt;0,IF(RIGHT(Ruimtestaat[[#This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97" s="37">
        <f>IF(U197&gt;0,VLOOKUP($J197,Ruimtegroepen[],3,FALSE)*VLOOKUP($L197,Vloersoorten[],3,FALSE)*VLOOKUP($S197,Frequenties[],3,FALSE)*VLOOKUP($A197,Locaties[],3,FALSE),0)</f>
        <v>0</v>
      </c>
      <c r="W197" s="37">
        <f>Ruimtestaat[[#This Row],[Uitvoeringen werkdagen]]*Ruimtestaat[[#This Row],[Oppervlak (netto)]]</f>
        <v>4000</v>
      </c>
      <c r="X197" s="37">
        <f>IF(V197&gt;0,Ruimtestaat[[#This Row],[Prest. (m2 /jaar) werkdagen]]/Ruimtestaat[[#This Row],[Norm (m2/uur) werkdagen]],0)</f>
        <v>0</v>
      </c>
      <c r="Y197" s="37">
        <f>Ruimtestaat[[#This Row],[uren / jaar werkdagen]]*Tariefsopbouw!$D$38</f>
        <v>0</v>
      </c>
      <c r="Z197" s="37">
        <f>IF(Ruimtestaat[[#This Row],[Frequentie weekend]]&gt;0,VALUE(LEFT(T197,1))*R197,0)</f>
        <v>0</v>
      </c>
      <c r="AA197" s="37">
        <f>IF($Z197&gt;0,VLOOKUP($J197,Ruimtegroepen[],3,FALSE)*VLOOKUP($L197,Vloersoorten[],3,FALSE)*VLOOKUP($T197,Frequenties[],3,FALSE)*VLOOKUP($A197,Locaties[],3,FALSE),0)</f>
        <v>0</v>
      </c>
      <c r="AB197" s="37">
        <f>Ruimtestaat[[#This Row],[Uitvoeringen weekend]]*Ruimtestaat[[#This Row],[Oppervlak (netto)]]</f>
        <v>0</v>
      </c>
      <c r="AC197" s="37">
        <f>IF(AA197&gt;0,Ruimtestaat[[#This Row],[Prest. (m2 /jaar) weekend]]/Ruimtestaat[[#This Row],[Norm (m2/uur) weekend]],0)</f>
        <v>0</v>
      </c>
      <c r="AD197" s="37">
        <f>Ruimtestaat[[#This Row],[uren / jaar weekend]]*Tariefsopbouw!$D$40</f>
        <v>0</v>
      </c>
      <c r="AE197" s="89">
        <f>Ruimtestaat[[#This Row],[Prest. (m2 /jaar) weekend]]+Ruimtestaat[[#This Row],[Prest. (m2 /jaar) werkdagen]]</f>
        <v>4000</v>
      </c>
      <c r="AF197" s="89">
        <f>Ruimtestaat[[#This Row],[uren / jaar weekend]]+Ruimtestaat[[#This Row],[uren / jaar werkdagen]]</f>
        <v>0</v>
      </c>
      <c r="AG197" s="90">
        <f>Ruimtestaat[[#This Row],[kosten / jaar weekend]]+Ruimtestaat[[#This Row],[kosten / jaar werkdagen]]</f>
        <v>0</v>
      </c>
      <c r="AH197" s="253"/>
      <c r="AI197" s="252" t="str">
        <f>IF(Ruimtestaat[[#This Row],[Frequentie werkdagen]]="","",_xlfn.CONCAT(Ruimtestaat[[#This Row],[Ruimte code]],"-",Ruimtestaat[[#This Row],[Frequentie werkdagen]]," ",Ruimtestaat[[#This Row],[Vloer code]]))</f>
        <v>2-5w P</v>
      </c>
      <c r="AJ197" s="247" t="str">
        <f>_xlfn.IFNA(VLOOKUP(Ruimtestaat[[#This Row],[Programmacode
Regulier]],Programma!$F$4:$Y$36148,2,0),"_")</f>
        <v>_</v>
      </c>
      <c r="AK197" s="247" t="str">
        <f>_xlfn.IFNA(VLOOKUP(Ruimtestaat[[#This Row],[Programmacode
Regulier]],Programma!$F$4:$Y$36148,3,0),"_")</f>
        <v>_</v>
      </c>
      <c r="AL197" s="247" t="str">
        <f>_xlfn.IFNA(VLOOKUP(Ruimtestaat[[#This Row],[Programmacode
Regulier]],Programma!$F$4:$Y$36148,4,0),"_")</f>
        <v>5w</v>
      </c>
      <c r="AM197" s="247" t="str">
        <f>_xlfn.IFNA(VLOOKUP(Ruimtestaat[[#This Row],[Programmacode
Regulier]],Programma!$F$4:$Y$36148,5,0),"_")</f>
        <v>1w</v>
      </c>
      <c r="AN197" s="247" t="str">
        <f>_xlfn.IFNA(VLOOKUP(Ruimtestaat[[#This Row],[Programmacode
Regulier]],Programma!$F$4:$Y$36148,6,0),"_")</f>
        <v>1m</v>
      </c>
      <c r="AO197" s="247" t="str">
        <f>_xlfn.IFNA(VLOOKUP(Ruimtestaat[[#This Row],[Programmacode
Regulier]],Programma!$F$4:$Y$36148,7,0),"_")</f>
        <v>_</v>
      </c>
      <c r="AP197" s="247" t="str">
        <f>_xlfn.IFNA(VLOOKUP(Ruimtestaat[[#This Row],[Programmacode
Regulier]],Programma!$F$4:$Y$36148,8,0),"_")</f>
        <v>_</v>
      </c>
      <c r="AQ197" s="247" t="str">
        <f>_xlfn.IFNA(VLOOKUP(Ruimtestaat[[#This Row],[Programmacode
Regulier]],Programma!$F$4:$Y$36148,9,0),"_")</f>
        <v>_</v>
      </c>
      <c r="AR197" s="248" t="str">
        <f>_xlfn.IFNA(VLOOKUP(Ruimtestaat[[#This Row],[Programmacode
Regulier]],Programma!$F$4:$Y$36148,10,0),"_")</f>
        <v>5w</v>
      </c>
      <c r="AS197" s="248" t="str">
        <f>_xlfn.IFNA(VLOOKUP(Ruimtestaat[[#This Row],[Programmacode
Regulier]],Programma!$F$4:$Y$36148,11,0),"_")</f>
        <v>5w</v>
      </c>
      <c r="AT197" s="248" t="str">
        <f>_xlfn.IFNA(VLOOKUP(Ruimtestaat[[#This Row],[Programmacode
Regulier]],Programma!$F$4:$Y$36148,12,0),"_")</f>
        <v>1w</v>
      </c>
      <c r="AU197" s="248" t="str">
        <f>_xlfn.IFNA(VLOOKUP(Ruimtestaat[[#This Row],[Programmacode
Regulier]],Programma!$F$4:$Y$36148,13,0),"_")</f>
        <v>1w</v>
      </c>
      <c r="AV197" s="248" t="str">
        <f>_xlfn.IFNA(VLOOKUP(Ruimtestaat[[#This Row],[Programmacode
Regulier]],Programma!$F$4:$Y$36148,14,0),"_")</f>
        <v>1m</v>
      </c>
      <c r="AW197" s="248" t="str">
        <f>_xlfn.IFNA(VLOOKUP(Ruimtestaat[[#This Row],[Programmacode
Regulier]],Programma!$F$4:$Y$36148,15,0),"_")</f>
        <v>2j</v>
      </c>
      <c r="AX197" s="248" t="str">
        <f>_xlfn.IFNA(VLOOKUP(Ruimtestaat[[#This Row],[Programmacode
Regulier]],Programma!$F$4:$Y$36148,16,0),"_")</f>
        <v>1j</v>
      </c>
      <c r="AY197" s="248" t="str">
        <f>_xlfn.IFNA(VLOOKUP(Ruimtestaat[[#This Row],[Programmacode
Regulier]],Programma!$F$4:$Y$36148,17,0),"_")</f>
        <v>_</v>
      </c>
      <c r="AZ197" s="249" t="str">
        <f>_xlfn.IFNA(VLOOKUP(Ruimtestaat[[#This Row],[Programmacode
Regulier]],Programma!$F$4:$Y$36148,18,0),"_")</f>
        <v>_</v>
      </c>
      <c r="BA197" s="249" t="str">
        <f>_xlfn.IFNA(VLOOKUP(Ruimtestaat[[#This Row],[Programmacode
Regulier]],Programma!$F$4:$Y$36148,19,0),"_")</f>
        <v>_</v>
      </c>
      <c r="BB197" s="249" t="str">
        <f>_xlfn.IFNA(VLOOKUP(Ruimtestaat[[#This Row],[Programmacode
Regulier]],Programma!$F$4:$Y$36148,20,0),"_")</f>
        <v>_</v>
      </c>
      <c r="BC197" s="250"/>
      <c r="BD197" s="212" t="str">
        <f>IF(Ruimtestaat[[#This Row],[Frequentie weekend]]="","",_xlfn.CONCAT(Ruimtestaat[[#This Row],[Ruimte code]],"-",Ruimtestaat[[#This Row],[Frequentie weekend]]," ",Ruimtestaat[[#This Row],[Vloer code]]))</f>
        <v/>
      </c>
      <c r="BE197" s="247" t="str">
        <f>_xlfn.IFNA(VLOOKUP(Ruimtestaat[[#This Row],[Code Weekend]],Programma!$F$4:$Y$36148,2,0),"_")</f>
        <v>_</v>
      </c>
      <c r="BF197" s="247" t="str">
        <f>_xlfn.IFNA(VLOOKUP(Ruimtestaat[[#This Row],[Code Weekend]],Programma!$F$4:$Y$36148,3,0),"_")</f>
        <v>_</v>
      </c>
      <c r="BG197" s="247" t="str">
        <f>_xlfn.IFNA(VLOOKUP(Ruimtestaat[[#This Row],[Code Weekend]],Programma!$F$4:$Y$36148,4,0),"_")</f>
        <v>_</v>
      </c>
      <c r="BH197" s="247" t="str">
        <f>_xlfn.IFNA(VLOOKUP(Ruimtestaat[[#This Row],[Code Weekend]],Programma!$F$4:$Y$36148,5,0),"_")</f>
        <v>_</v>
      </c>
      <c r="BI197" s="247" t="str">
        <f>_xlfn.IFNA(VLOOKUP(Ruimtestaat[[#This Row],[Code Weekend]],Programma!$F$4:$Y$36148,6,0),"_")</f>
        <v>_</v>
      </c>
      <c r="BJ197" s="247" t="str">
        <f>_xlfn.IFNA(VLOOKUP(Ruimtestaat[[#This Row],[Code Weekend]],Programma!$F$4:$Y$36148,7,0),"_")</f>
        <v>_</v>
      </c>
      <c r="BK197" s="247" t="str">
        <f>_xlfn.IFNA(VLOOKUP(Ruimtestaat[[#This Row],[Code Weekend]],Programma!$F$4:$Y$36148,8,0),"_")</f>
        <v>_</v>
      </c>
      <c r="BL197" s="247" t="str">
        <f>_xlfn.IFNA(VLOOKUP(Ruimtestaat[[#This Row],[Code Weekend]],Programma!$F$4:$Y$36148,9,0),"_")</f>
        <v>_</v>
      </c>
      <c r="BM197" s="248" t="str">
        <f>_xlfn.IFNA(VLOOKUP(Ruimtestaat[[#This Row],[Code Weekend]],Programma!$F$4:$Y$36148,10,0),"_")</f>
        <v>_</v>
      </c>
      <c r="BN197" s="248" t="str">
        <f>_xlfn.IFNA(VLOOKUP(Ruimtestaat[[#This Row],[Code Weekend]],Programma!$F$4:$Y$36148,11,0),"_")</f>
        <v>_</v>
      </c>
      <c r="BO197" s="248" t="str">
        <f>_xlfn.IFNA(VLOOKUP(Ruimtestaat[[#This Row],[Code Weekend]],Programma!$F$4:$Y$36148,12,0),"_")</f>
        <v>_</v>
      </c>
      <c r="BP197" s="248" t="str">
        <f>_xlfn.IFNA(VLOOKUP(Ruimtestaat[[#This Row],[Code Weekend]],Programma!$F$4:$Y$36148,13,0),"_")</f>
        <v>_</v>
      </c>
      <c r="BQ197" s="248" t="str">
        <f>_xlfn.IFNA(VLOOKUP(Ruimtestaat[[#This Row],[Code Weekend]],Programma!$F$4:$Y$36148,14,0),"_")</f>
        <v>_</v>
      </c>
      <c r="BR197" s="248" t="str">
        <f>_xlfn.IFNA(VLOOKUP(Ruimtestaat[[#This Row],[Code Weekend]],Programma!$F$4:$Y$36148,15,0),"_")</f>
        <v>_</v>
      </c>
      <c r="BS197" s="248" t="str">
        <f>_xlfn.IFNA(VLOOKUP(Ruimtestaat[[#This Row],[Code Weekend]],Programma!$F$4:$Y$36148,16,0),"_")</f>
        <v>_</v>
      </c>
      <c r="BT197" s="248" t="str">
        <f>_xlfn.IFNA(VLOOKUP(Ruimtestaat[[#This Row],[Code Weekend]],Programma!$F$4:$Y$36148,17,0),"_")</f>
        <v>_</v>
      </c>
      <c r="BU197" s="249" t="str">
        <f>_xlfn.IFNA(VLOOKUP(Ruimtestaat[[#This Row],[Code Weekend]],Programma!$F$4:$Y$36148,18,0),"_")</f>
        <v>_</v>
      </c>
      <c r="BV197" s="249" t="str">
        <f>_xlfn.IFNA(VLOOKUP(Ruimtestaat[[#This Row],[Code Weekend]],Programma!$F$4:$Y$36148,19,0),"_")</f>
        <v>_</v>
      </c>
      <c r="BW197" s="249" t="str">
        <f>_xlfn.IFNA(VLOOKUP(Ruimtestaat[[#This Row],[Code Weekend]],Programma!$F$4:$Y$36148,20,0),"_")</f>
        <v>_</v>
      </c>
    </row>
    <row r="198" spans="1:75" ht="12.75" customHeight="1">
      <c r="A198" s="334">
        <v>1</v>
      </c>
      <c r="B198" s="334" t="str">
        <f>VLOOKUP(Ruimtestaat[[#This Row],[Code]],Locaties[#All],2,FALSE)</f>
        <v>ESH Secondary School</v>
      </c>
      <c r="C198" s="212" t="str">
        <f>VLOOKUP(Ruimtestaat[[#This Row],[Code]],Locaties[#All],4,FALSE)</f>
        <v>Oostduinlaan 50</v>
      </c>
      <c r="D198" s="212" t="str">
        <f>VLOOKUP(Ruimtestaat[[#This Row],[Code]],Locaties[#All],5,FALSE)</f>
        <v>2596 JP</v>
      </c>
      <c r="E198" s="212" t="str">
        <f>VLOOKUP(Ruimtestaat[[#This Row],[Code]],Locaties[#All],6,FALSE)</f>
        <v>Den Haag</v>
      </c>
      <c r="F198" s="335"/>
      <c r="G198" s="334" t="s">
        <v>1737</v>
      </c>
      <c r="H198" s="334" t="s">
        <v>1704</v>
      </c>
      <c r="I198" s="335" t="s">
        <v>1395</v>
      </c>
      <c r="J198" s="252" t="s">
        <v>1422</v>
      </c>
      <c r="K198" s="336" t="str">
        <f>VLOOKUP(J198,Ruimtegroepen[],2,FALSE)</f>
        <v>Gangen/hallen andere verdiepingen</v>
      </c>
      <c r="L198" s="212" t="s">
        <v>123</v>
      </c>
      <c r="M198" s="334" t="s">
        <v>144</v>
      </c>
      <c r="N198" s="337">
        <v>39</v>
      </c>
      <c r="O198" s="331"/>
      <c r="P198" s="332" t="str">
        <f>VLOOKUP(Ruimtestaat[[#This Row],[Ruimte code]],Ruimtegroepen[],4,FALSE)</f>
        <v>V  (Verkeersruimte)</v>
      </c>
      <c r="Q198" s="332"/>
      <c r="R198" s="333">
        <v>40</v>
      </c>
      <c r="S198" s="333" t="s">
        <v>2</v>
      </c>
      <c r="T198" s="37"/>
      <c r="U198" s="37">
        <f>IF(R198&gt;0,IF(RIGHT(Ruimtestaat[[#This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98" s="37">
        <f>IF(U198&gt;0,VLOOKUP($J198,Ruimtegroepen[],3,FALSE)*VLOOKUP($L198,Vloersoorten[],3,FALSE)*VLOOKUP($S198,Frequenties[],3,FALSE)*VLOOKUP($A198,Locaties[],3,FALSE),0)</f>
        <v>0</v>
      </c>
      <c r="W198" s="37">
        <f>Ruimtestaat[[#This Row],[Uitvoeringen werkdagen]]*Ruimtestaat[[#This Row],[Oppervlak (netto)]]</f>
        <v>7800</v>
      </c>
      <c r="X198" s="37">
        <f>IF(V198&gt;0,Ruimtestaat[[#This Row],[Prest. (m2 /jaar) werkdagen]]/Ruimtestaat[[#This Row],[Norm (m2/uur) werkdagen]],0)</f>
        <v>0</v>
      </c>
      <c r="Y198" s="37">
        <f>Ruimtestaat[[#This Row],[uren / jaar werkdagen]]*Tariefsopbouw!$D$38</f>
        <v>0</v>
      </c>
      <c r="Z198" s="37">
        <f>IF(Ruimtestaat[[#This Row],[Frequentie weekend]]&gt;0,VALUE(LEFT(T198,1))*R198,0)</f>
        <v>0</v>
      </c>
      <c r="AA198" s="37">
        <f>IF($Z198&gt;0,VLOOKUP($J198,Ruimtegroepen[],3,FALSE)*VLOOKUP($L198,Vloersoorten[],3,FALSE)*VLOOKUP($T198,Frequenties[],3,FALSE)*VLOOKUP($A198,Locaties[],3,FALSE),0)</f>
        <v>0</v>
      </c>
      <c r="AB198" s="37">
        <f>Ruimtestaat[[#This Row],[Uitvoeringen weekend]]*Ruimtestaat[[#This Row],[Oppervlak (netto)]]</f>
        <v>0</v>
      </c>
      <c r="AC198" s="37">
        <f>IF(AA198&gt;0,Ruimtestaat[[#This Row],[Prest. (m2 /jaar) weekend]]/Ruimtestaat[[#This Row],[Norm (m2/uur) weekend]],0)</f>
        <v>0</v>
      </c>
      <c r="AD198" s="37">
        <f>Ruimtestaat[[#This Row],[uren / jaar weekend]]*Tariefsopbouw!$D$40</f>
        <v>0</v>
      </c>
      <c r="AE198" s="89">
        <f>Ruimtestaat[[#This Row],[Prest. (m2 /jaar) weekend]]+Ruimtestaat[[#This Row],[Prest. (m2 /jaar) werkdagen]]</f>
        <v>7800</v>
      </c>
      <c r="AF198" s="89">
        <f>Ruimtestaat[[#This Row],[uren / jaar weekend]]+Ruimtestaat[[#This Row],[uren / jaar werkdagen]]</f>
        <v>0</v>
      </c>
      <c r="AG198" s="90">
        <f>Ruimtestaat[[#This Row],[kosten / jaar weekend]]+Ruimtestaat[[#This Row],[kosten / jaar werkdagen]]</f>
        <v>0</v>
      </c>
      <c r="AH198" s="253"/>
      <c r="AI198" s="252" t="str">
        <f>IF(Ruimtestaat[[#This Row],[Frequentie werkdagen]]="","",_xlfn.CONCAT(Ruimtestaat[[#This Row],[Ruimte code]],"-",Ruimtestaat[[#This Row],[Frequentie werkdagen]]," ",Ruimtestaat[[#This Row],[Vloer code]]))</f>
        <v>6a-5w P</v>
      </c>
      <c r="AJ198" s="247" t="str">
        <f>_xlfn.IFNA(VLOOKUP(Ruimtestaat[[#This Row],[Programmacode
Regulier]],Programma!$F$4:$Y$36148,2,0),"_")</f>
        <v>_</v>
      </c>
      <c r="AK198" s="247" t="str">
        <f>_xlfn.IFNA(VLOOKUP(Ruimtestaat[[#This Row],[Programmacode
Regulier]],Programma!$F$4:$Y$36148,3,0),"_")</f>
        <v>_</v>
      </c>
      <c r="AL198" s="247" t="str">
        <f>_xlfn.IFNA(VLOOKUP(Ruimtestaat[[#This Row],[Programmacode
Regulier]],Programma!$F$4:$Y$36148,4,0),"_")</f>
        <v>5w</v>
      </c>
      <c r="AM198" s="247" t="str">
        <f>_xlfn.IFNA(VLOOKUP(Ruimtestaat[[#This Row],[Programmacode
Regulier]],Programma!$F$4:$Y$36148,5,0),"_")</f>
        <v>4w</v>
      </c>
      <c r="AN198" s="247" t="str">
        <f>_xlfn.IFNA(VLOOKUP(Ruimtestaat[[#This Row],[Programmacode
Regulier]],Programma!$F$4:$Y$36148,6,0),"_")</f>
        <v>1w</v>
      </c>
      <c r="AO198" s="247" t="str">
        <f>_xlfn.IFNA(VLOOKUP(Ruimtestaat[[#This Row],[Programmacode
Regulier]],Programma!$F$4:$Y$36148,7,0),"_")</f>
        <v>_</v>
      </c>
      <c r="AP198" s="247" t="str">
        <f>_xlfn.IFNA(VLOOKUP(Ruimtestaat[[#This Row],[Programmacode
Regulier]],Programma!$F$4:$Y$36148,8,0),"_")</f>
        <v>_</v>
      </c>
      <c r="AQ198" s="247" t="str">
        <f>_xlfn.IFNA(VLOOKUP(Ruimtestaat[[#This Row],[Programmacode
Regulier]],Programma!$F$4:$Y$36148,9,0),"_")</f>
        <v>_</v>
      </c>
      <c r="AR198" s="248" t="str">
        <f>_xlfn.IFNA(VLOOKUP(Ruimtestaat[[#This Row],[Programmacode
Regulier]],Programma!$F$4:$Y$36148,10,0),"_")</f>
        <v>5w</v>
      </c>
      <c r="AS198" s="248" t="str">
        <f>_xlfn.IFNA(VLOOKUP(Ruimtestaat[[#This Row],[Programmacode
Regulier]],Programma!$F$4:$Y$36148,11,0),"_")</f>
        <v>5w</v>
      </c>
      <c r="AT198" s="248" t="str">
        <f>_xlfn.IFNA(VLOOKUP(Ruimtestaat[[#This Row],[Programmacode
Regulier]],Programma!$F$4:$Y$36148,12,0),"_")</f>
        <v>1w</v>
      </c>
      <c r="AU198" s="248" t="str">
        <f>_xlfn.IFNA(VLOOKUP(Ruimtestaat[[#This Row],[Programmacode
Regulier]],Programma!$F$4:$Y$36148,13,0),"_")</f>
        <v>1w</v>
      </c>
      <c r="AV198" s="248" t="str">
        <f>_xlfn.IFNA(VLOOKUP(Ruimtestaat[[#This Row],[Programmacode
Regulier]],Programma!$F$4:$Y$36148,14,0),"_")</f>
        <v>1m</v>
      </c>
      <c r="AW198" s="248" t="str">
        <f>_xlfn.IFNA(VLOOKUP(Ruimtestaat[[#This Row],[Programmacode
Regulier]],Programma!$F$4:$Y$36148,15,0),"_")</f>
        <v>2j</v>
      </c>
      <c r="AX198" s="248" t="str">
        <f>_xlfn.IFNA(VLOOKUP(Ruimtestaat[[#This Row],[Programmacode
Regulier]],Programma!$F$4:$Y$36148,16,0),"_")</f>
        <v>1j</v>
      </c>
      <c r="AY198" s="248" t="str">
        <f>_xlfn.IFNA(VLOOKUP(Ruimtestaat[[#This Row],[Programmacode
Regulier]],Programma!$F$4:$Y$36148,17,0),"_")</f>
        <v>_</v>
      </c>
      <c r="AZ198" s="249" t="str">
        <f>_xlfn.IFNA(VLOOKUP(Ruimtestaat[[#This Row],[Programmacode
Regulier]],Programma!$F$4:$Y$36148,18,0),"_")</f>
        <v>_</v>
      </c>
      <c r="BA198" s="249" t="str">
        <f>_xlfn.IFNA(VLOOKUP(Ruimtestaat[[#This Row],[Programmacode
Regulier]],Programma!$F$4:$Y$36148,19,0),"_")</f>
        <v>_</v>
      </c>
      <c r="BB198" s="249" t="str">
        <f>_xlfn.IFNA(VLOOKUP(Ruimtestaat[[#This Row],[Programmacode
Regulier]],Programma!$F$4:$Y$36148,20,0),"_")</f>
        <v>_</v>
      </c>
      <c r="BC198" s="250"/>
      <c r="BD198" s="212" t="str">
        <f>IF(Ruimtestaat[[#This Row],[Frequentie weekend]]="","",_xlfn.CONCAT(Ruimtestaat[[#This Row],[Ruimte code]],"-",Ruimtestaat[[#This Row],[Frequentie weekend]]," ",Ruimtestaat[[#This Row],[Vloer code]]))</f>
        <v/>
      </c>
      <c r="BE198" s="247" t="str">
        <f>_xlfn.IFNA(VLOOKUP(Ruimtestaat[[#This Row],[Code Weekend]],Programma!$F$4:$Y$36148,2,0),"_")</f>
        <v>_</v>
      </c>
      <c r="BF198" s="247" t="str">
        <f>_xlfn.IFNA(VLOOKUP(Ruimtestaat[[#This Row],[Code Weekend]],Programma!$F$4:$Y$36148,3,0),"_")</f>
        <v>_</v>
      </c>
      <c r="BG198" s="247" t="str">
        <f>_xlfn.IFNA(VLOOKUP(Ruimtestaat[[#This Row],[Code Weekend]],Programma!$F$4:$Y$36148,4,0),"_")</f>
        <v>_</v>
      </c>
      <c r="BH198" s="247" t="str">
        <f>_xlfn.IFNA(VLOOKUP(Ruimtestaat[[#This Row],[Code Weekend]],Programma!$F$4:$Y$36148,5,0),"_")</f>
        <v>_</v>
      </c>
      <c r="BI198" s="247" t="str">
        <f>_xlfn.IFNA(VLOOKUP(Ruimtestaat[[#This Row],[Code Weekend]],Programma!$F$4:$Y$36148,6,0),"_")</f>
        <v>_</v>
      </c>
      <c r="BJ198" s="247" t="str">
        <f>_xlfn.IFNA(VLOOKUP(Ruimtestaat[[#This Row],[Code Weekend]],Programma!$F$4:$Y$36148,7,0),"_")</f>
        <v>_</v>
      </c>
      <c r="BK198" s="247" t="str">
        <f>_xlfn.IFNA(VLOOKUP(Ruimtestaat[[#This Row],[Code Weekend]],Programma!$F$4:$Y$36148,8,0),"_")</f>
        <v>_</v>
      </c>
      <c r="BL198" s="247" t="str">
        <f>_xlfn.IFNA(VLOOKUP(Ruimtestaat[[#This Row],[Code Weekend]],Programma!$F$4:$Y$36148,9,0),"_")</f>
        <v>_</v>
      </c>
      <c r="BM198" s="248" t="str">
        <f>_xlfn.IFNA(VLOOKUP(Ruimtestaat[[#This Row],[Code Weekend]],Programma!$F$4:$Y$36148,10,0),"_")</f>
        <v>_</v>
      </c>
      <c r="BN198" s="248" t="str">
        <f>_xlfn.IFNA(VLOOKUP(Ruimtestaat[[#This Row],[Code Weekend]],Programma!$F$4:$Y$36148,11,0),"_")</f>
        <v>_</v>
      </c>
      <c r="BO198" s="248" t="str">
        <f>_xlfn.IFNA(VLOOKUP(Ruimtestaat[[#This Row],[Code Weekend]],Programma!$F$4:$Y$36148,12,0),"_")</f>
        <v>_</v>
      </c>
      <c r="BP198" s="248" t="str">
        <f>_xlfn.IFNA(VLOOKUP(Ruimtestaat[[#This Row],[Code Weekend]],Programma!$F$4:$Y$36148,13,0),"_")</f>
        <v>_</v>
      </c>
      <c r="BQ198" s="248" t="str">
        <f>_xlfn.IFNA(VLOOKUP(Ruimtestaat[[#This Row],[Code Weekend]],Programma!$F$4:$Y$36148,14,0),"_")</f>
        <v>_</v>
      </c>
      <c r="BR198" s="248" t="str">
        <f>_xlfn.IFNA(VLOOKUP(Ruimtestaat[[#This Row],[Code Weekend]],Programma!$F$4:$Y$36148,15,0),"_")</f>
        <v>_</v>
      </c>
      <c r="BS198" s="248" t="str">
        <f>_xlfn.IFNA(VLOOKUP(Ruimtestaat[[#This Row],[Code Weekend]],Programma!$F$4:$Y$36148,16,0),"_")</f>
        <v>_</v>
      </c>
      <c r="BT198" s="248" t="str">
        <f>_xlfn.IFNA(VLOOKUP(Ruimtestaat[[#This Row],[Code Weekend]],Programma!$F$4:$Y$36148,17,0),"_")</f>
        <v>_</v>
      </c>
      <c r="BU198" s="249" t="str">
        <f>_xlfn.IFNA(VLOOKUP(Ruimtestaat[[#This Row],[Code Weekend]],Programma!$F$4:$Y$36148,18,0),"_")</f>
        <v>_</v>
      </c>
      <c r="BV198" s="249" t="str">
        <f>_xlfn.IFNA(VLOOKUP(Ruimtestaat[[#This Row],[Code Weekend]],Programma!$F$4:$Y$36148,19,0),"_")</f>
        <v>_</v>
      </c>
      <c r="BW198" s="249" t="str">
        <f>_xlfn.IFNA(VLOOKUP(Ruimtestaat[[#This Row],[Code Weekend]],Programma!$F$4:$Y$36148,20,0),"_")</f>
        <v>_</v>
      </c>
    </row>
    <row r="199" spans="1:75" ht="12.75" customHeight="1">
      <c r="A199" s="334">
        <v>1</v>
      </c>
      <c r="B199" s="334" t="str">
        <f>VLOOKUP(Ruimtestaat[[#This Row],[Code]],Locaties[#All],2,FALSE)</f>
        <v>ESH Secondary School</v>
      </c>
      <c r="C199" s="212" t="str">
        <f>VLOOKUP(Ruimtestaat[[#This Row],[Code]],Locaties[#All],4,FALSE)</f>
        <v>Oostduinlaan 50</v>
      </c>
      <c r="D199" s="212" t="str">
        <f>VLOOKUP(Ruimtestaat[[#This Row],[Code]],Locaties[#All],5,FALSE)</f>
        <v>2596 JP</v>
      </c>
      <c r="E199" s="212" t="str">
        <f>VLOOKUP(Ruimtestaat[[#This Row],[Code]],Locaties[#All],6,FALSE)</f>
        <v>Den Haag</v>
      </c>
      <c r="F199" s="335"/>
      <c r="G199" s="334" t="s">
        <v>1737</v>
      </c>
      <c r="H199" s="334" t="s">
        <v>1705</v>
      </c>
      <c r="I199" s="335" t="s">
        <v>1612</v>
      </c>
      <c r="J199" s="328">
        <v>1</v>
      </c>
      <c r="K199" s="336" t="str">
        <f>VLOOKUP(J199,Ruimtegroepen[],2,FALSE)</f>
        <v>Magazijnen/bergingen</v>
      </c>
      <c r="L199" s="212" t="s">
        <v>123</v>
      </c>
      <c r="M199" s="334" t="s">
        <v>144</v>
      </c>
      <c r="N199" s="337">
        <v>9</v>
      </c>
      <c r="O199" s="331"/>
      <c r="P199" s="332" t="str">
        <f>VLOOKUP(Ruimtestaat[[#This Row],[Ruimte code]],Ruimtegroepen[],4,FALSE)</f>
        <v>V  (Verkeersruimte)</v>
      </c>
      <c r="Q199" s="332"/>
      <c r="R199" s="333">
        <v>40</v>
      </c>
      <c r="S199" s="333" t="s">
        <v>16</v>
      </c>
      <c r="T199" s="37"/>
      <c r="U199" s="37">
        <f>IF(R199&gt;0,IF(RIGHT(Ruimtestaat[[#This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199" s="37">
        <f>IF(U199&gt;0,VLOOKUP($J199,Ruimtegroepen[],3,FALSE)*VLOOKUP($L199,Vloersoorten[],3,FALSE)*VLOOKUP($S199,Frequenties[],3,FALSE)*VLOOKUP($A199,Locaties[],3,FALSE),0)</f>
        <v>0</v>
      </c>
      <c r="W199" s="37">
        <f>Ruimtestaat[[#This Row],[Uitvoeringen werkdagen]]*Ruimtestaat[[#This Row],[Oppervlak (netto)]]</f>
        <v>108</v>
      </c>
      <c r="X199" s="37">
        <f>IF(V199&gt;0,Ruimtestaat[[#This Row],[Prest. (m2 /jaar) werkdagen]]/Ruimtestaat[[#This Row],[Norm (m2/uur) werkdagen]],0)</f>
        <v>0</v>
      </c>
      <c r="Y199" s="37">
        <f>Ruimtestaat[[#This Row],[uren / jaar werkdagen]]*Tariefsopbouw!$D$38</f>
        <v>0</v>
      </c>
      <c r="Z199" s="37">
        <f>IF(Ruimtestaat[[#This Row],[Frequentie weekend]]&gt;0,VALUE(LEFT(T199,1))*R199,0)</f>
        <v>0</v>
      </c>
      <c r="AA199" s="37">
        <f>IF($Z199&gt;0,VLOOKUP($J199,Ruimtegroepen[],3,FALSE)*VLOOKUP($L199,Vloersoorten[],3,FALSE)*VLOOKUP($T199,Frequenties[],3,FALSE)*VLOOKUP($A199,Locaties[],3,FALSE),0)</f>
        <v>0</v>
      </c>
      <c r="AB199" s="37">
        <f>Ruimtestaat[[#This Row],[Uitvoeringen weekend]]*Ruimtestaat[[#This Row],[Oppervlak (netto)]]</f>
        <v>0</v>
      </c>
      <c r="AC199" s="37">
        <f>IF(AA199&gt;0,Ruimtestaat[[#This Row],[Prest. (m2 /jaar) weekend]]/Ruimtestaat[[#This Row],[Norm (m2/uur) weekend]],0)</f>
        <v>0</v>
      </c>
      <c r="AD199" s="37">
        <f>Ruimtestaat[[#This Row],[uren / jaar weekend]]*Tariefsopbouw!$D$40</f>
        <v>0</v>
      </c>
      <c r="AE199" s="89">
        <f>Ruimtestaat[[#This Row],[Prest. (m2 /jaar) weekend]]+Ruimtestaat[[#This Row],[Prest. (m2 /jaar) werkdagen]]</f>
        <v>108</v>
      </c>
      <c r="AF199" s="89">
        <f>Ruimtestaat[[#This Row],[uren / jaar weekend]]+Ruimtestaat[[#This Row],[uren / jaar werkdagen]]</f>
        <v>0</v>
      </c>
      <c r="AG199" s="90">
        <f>Ruimtestaat[[#This Row],[kosten / jaar weekend]]+Ruimtestaat[[#This Row],[kosten / jaar werkdagen]]</f>
        <v>0</v>
      </c>
      <c r="AH199" s="253"/>
      <c r="AI199" s="252" t="str">
        <f>IF(Ruimtestaat[[#This Row],[Frequentie werkdagen]]="","",_xlfn.CONCAT(Ruimtestaat[[#This Row],[Ruimte code]],"-",Ruimtestaat[[#This Row],[Frequentie werkdagen]]," ",Ruimtestaat[[#This Row],[Vloer code]]))</f>
        <v>1-1m P</v>
      </c>
      <c r="AJ199" s="247" t="str">
        <f>_xlfn.IFNA(VLOOKUP(Ruimtestaat[[#This Row],[Programmacode
Regulier]],Programma!$F$4:$Y$36148,2,0),"_")</f>
        <v>_</v>
      </c>
      <c r="AK199" s="247" t="str">
        <f>_xlfn.IFNA(VLOOKUP(Ruimtestaat[[#This Row],[Programmacode
Regulier]],Programma!$F$4:$Y$36148,3,0),"_")</f>
        <v>_</v>
      </c>
      <c r="AL199" s="247" t="str">
        <f>_xlfn.IFNA(VLOOKUP(Ruimtestaat[[#This Row],[Programmacode
Regulier]],Programma!$F$4:$Y$36148,4,0),"_")</f>
        <v>1m</v>
      </c>
      <c r="AM199" s="247" t="str">
        <f>_xlfn.IFNA(VLOOKUP(Ruimtestaat[[#This Row],[Programmacode
Regulier]],Programma!$F$4:$Y$36148,5,0),"_")</f>
        <v>1m</v>
      </c>
      <c r="AN199" s="247" t="str">
        <f>_xlfn.IFNA(VLOOKUP(Ruimtestaat[[#This Row],[Programmacode
Regulier]],Programma!$F$4:$Y$36148,6,0),"_")</f>
        <v>_</v>
      </c>
      <c r="AO199" s="247" t="str">
        <f>_xlfn.IFNA(VLOOKUP(Ruimtestaat[[#This Row],[Programmacode
Regulier]],Programma!$F$4:$Y$36148,7,0),"_")</f>
        <v>_</v>
      </c>
      <c r="AP199" s="247" t="str">
        <f>_xlfn.IFNA(VLOOKUP(Ruimtestaat[[#This Row],[Programmacode
Regulier]],Programma!$F$4:$Y$36148,8,0),"_")</f>
        <v>_</v>
      </c>
      <c r="AQ199" s="247" t="str">
        <f>_xlfn.IFNA(VLOOKUP(Ruimtestaat[[#This Row],[Programmacode
Regulier]],Programma!$F$4:$Y$36148,9,0),"_")</f>
        <v>_</v>
      </c>
      <c r="AR199" s="248" t="str">
        <f>_xlfn.IFNA(VLOOKUP(Ruimtestaat[[#This Row],[Programmacode
Regulier]],Programma!$F$4:$Y$36148,10,0),"_")</f>
        <v>_</v>
      </c>
      <c r="AS199" s="248" t="str">
        <f>_xlfn.IFNA(VLOOKUP(Ruimtestaat[[#This Row],[Programmacode
Regulier]],Programma!$F$4:$Y$36148,11,0),"_")</f>
        <v>_</v>
      </c>
      <c r="AT199" s="248" t="str">
        <f>_xlfn.IFNA(VLOOKUP(Ruimtestaat[[#This Row],[Programmacode
Regulier]],Programma!$F$4:$Y$36148,12,0),"_")</f>
        <v>_</v>
      </c>
      <c r="AU199" s="248" t="str">
        <f>_xlfn.IFNA(VLOOKUP(Ruimtestaat[[#This Row],[Programmacode
Regulier]],Programma!$F$4:$Y$36148,13,0),"_")</f>
        <v>_</v>
      </c>
      <c r="AV199" s="248" t="str">
        <f>_xlfn.IFNA(VLOOKUP(Ruimtestaat[[#This Row],[Programmacode
Regulier]],Programma!$F$4:$Y$36148,14,0),"_")</f>
        <v>1j</v>
      </c>
      <c r="AW199" s="248" t="str">
        <f>_xlfn.IFNA(VLOOKUP(Ruimtestaat[[#This Row],[Programmacode
Regulier]],Programma!$F$4:$Y$36148,15,0),"_")</f>
        <v>1j</v>
      </c>
      <c r="AX199" s="248" t="str">
        <f>_xlfn.IFNA(VLOOKUP(Ruimtestaat[[#This Row],[Programmacode
Regulier]],Programma!$F$4:$Y$36148,16,0),"_")</f>
        <v>1j</v>
      </c>
      <c r="AY199" s="248" t="str">
        <f>_xlfn.IFNA(VLOOKUP(Ruimtestaat[[#This Row],[Programmacode
Regulier]],Programma!$F$4:$Y$36148,17,0),"_")</f>
        <v>_</v>
      </c>
      <c r="AZ199" s="249" t="str">
        <f>_xlfn.IFNA(VLOOKUP(Ruimtestaat[[#This Row],[Programmacode
Regulier]],Programma!$F$4:$Y$36148,18,0),"_")</f>
        <v>_</v>
      </c>
      <c r="BA199" s="249" t="str">
        <f>_xlfn.IFNA(VLOOKUP(Ruimtestaat[[#This Row],[Programmacode
Regulier]],Programma!$F$4:$Y$36148,19,0),"_")</f>
        <v>_</v>
      </c>
      <c r="BB199" s="249" t="str">
        <f>_xlfn.IFNA(VLOOKUP(Ruimtestaat[[#This Row],[Programmacode
Regulier]],Programma!$F$4:$Y$36148,20,0),"_")</f>
        <v>_</v>
      </c>
      <c r="BC199" s="250"/>
      <c r="BD199" s="212" t="str">
        <f>IF(Ruimtestaat[[#This Row],[Frequentie weekend]]="","",_xlfn.CONCAT(Ruimtestaat[[#This Row],[Ruimte code]],"-",Ruimtestaat[[#This Row],[Frequentie weekend]]," ",Ruimtestaat[[#This Row],[Vloer code]]))</f>
        <v/>
      </c>
      <c r="BE199" s="247" t="str">
        <f>_xlfn.IFNA(VLOOKUP(Ruimtestaat[[#This Row],[Code Weekend]],Programma!$F$4:$Y$36148,2,0),"_")</f>
        <v>_</v>
      </c>
      <c r="BF199" s="247" t="str">
        <f>_xlfn.IFNA(VLOOKUP(Ruimtestaat[[#This Row],[Code Weekend]],Programma!$F$4:$Y$36148,3,0),"_")</f>
        <v>_</v>
      </c>
      <c r="BG199" s="247" t="str">
        <f>_xlfn.IFNA(VLOOKUP(Ruimtestaat[[#This Row],[Code Weekend]],Programma!$F$4:$Y$36148,4,0),"_")</f>
        <v>_</v>
      </c>
      <c r="BH199" s="247" t="str">
        <f>_xlfn.IFNA(VLOOKUP(Ruimtestaat[[#This Row],[Code Weekend]],Programma!$F$4:$Y$36148,5,0),"_")</f>
        <v>_</v>
      </c>
      <c r="BI199" s="247" t="str">
        <f>_xlfn.IFNA(VLOOKUP(Ruimtestaat[[#This Row],[Code Weekend]],Programma!$F$4:$Y$36148,6,0),"_")</f>
        <v>_</v>
      </c>
      <c r="BJ199" s="247" t="str">
        <f>_xlfn.IFNA(VLOOKUP(Ruimtestaat[[#This Row],[Code Weekend]],Programma!$F$4:$Y$36148,7,0),"_")</f>
        <v>_</v>
      </c>
      <c r="BK199" s="247" t="str">
        <f>_xlfn.IFNA(VLOOKUP(Ruimtestaat[[#This Row],[Code Weekend]],Programma!$F$4:$Y$36148,8,0),"_")</f>
        <v>_</v>
      </c>
      <c r="BL199" s="247" t="str">
        <f>_xlfn.IFNA(VLOOKUP(Ruimtestaat[[#This Row],[Code Weekend]],Programma!$F$4:$Y$36148,9,0),"_")</f>
        <v>_</v>
      </c>
      <c r="BM199" s="248" t="str">
        <f>_xlfn.IFNA(VLOOKUP(Ruimtestaat[[#This Row],[Code Weekend]],Programma!$F$4:$Y$36148,10,0),"_")</f>
        <v>_</v>
      </c>
      <c r="BN199" s="248" t="str">
        <f>_xlfn.IFNA(VLOOKUP(Ruimtestaat[[#This Row],[Code Weekend]],Programma!$F$4:$Y$36148,11,0),"_")</f>
        <v>_</v>
      </c>
      <c r="BO199" s="248" t="str">
        <f>_xlfn.IFNA(VLOOKUP(Ruimtestaat[[#This Row],[Code Weekend]],Programma!$F$4:$Y$36148,12,0),"_")</f>
        <v>_</v>
      </c>
      <c r="BP199" s="248" t="str">
        <f>_xlfn.IFNA(VLOOKUP(Ruimtestaat[[#This Row],[Code Weekend]],Programma!$F$4:$Y$36148,13,0),"_")</f>
        <v>_</v>
      </c>
      <c r="BQ199" s="248" t="str">
        <f>_xlfn.IFNA(VLOOKUP(Ruimtestaat[[#This Row],[Code Weekend]],Programma!$F$4:$Y$36148,14,0),"_")</f>
        <v>_</v>
      </c>
      <c r="BR199" s="248" t="str">
        <f>_xlfn.IFNA(VLOOKUP(Ruimtestaat[[#This Row],[Code Weekend]],Programma!$F$4:$Y$36148,15,0),"_")</f>
        <v>_</v>
      </c>
      <c r="BS199" s="248" t="str">
        <f>_xlfn.IFNA(VLOOKUP(Ruimtestaat[[#This Row],[Code Weekend]],Programma!$F$4:$Y$36148,16,0),"_")</f>
        <v>_</v>
      </c>
      <c r="BT199" s="248" t="str">
        <f>_xlfn.IFNA(VLOOKUP(Ruimtestaat[[#This Row],[Code Weekend]],Programma!$F$4:$Y$36148,17,0),"_")</f>
        <v>_</v>
      </c>
      <c r="BU199" s="249" t="str">
        <f>_xlfn.IFNA(VLOOKUP(Ruimtestaat[[#This Row],[Code Weekend]],Programma!$F$4:$Y$36148,18,0),"_")</f>
        <v>_</v>
      </c>
      <c r="BV199" s="249" t="str">
        <f>_xlfn.IFNA(VLOOKUP(Ruimtestaat[[#This Row],[Code Weekend]],Programma!$F$4:$Y$36148,19,0),"_")</f>
        <v>_</v>
      </c>
      <c r="BW199" s="249" t="str">
        <f>_xlfn.IFNA(VLOOKUP(Ruimtestaat[[#This Row],[Code Weekend]],Programma!$F$4:$Y$36148,20,0),"_")</f>
        <v>_</v>
      </c>
    </row>
    <row r="200" spans="1:75" ht="12.75" customHeight="1">
      <c r="A200" s="334">
        <v>1</v>
      </c>
      <c r="B200" s="334" t="str">
        <f>VLOOKUP(Ruimtestaat[[#This Row],[Code]],Locaties[#All],2,FALSE)</f>
        <v>ESH Secondary School</v>
      </c>
      <c r="C200" s="212" t="str">
        <f>VLOOKUP(Ruimtestaat[[#This Row],[Code]],Locaties[#All],4,FALSE)</f>
        <v>Oostduinlaan 50</v>
      </c>
      <c r="D200" s="212" t="str">
        <f>VLOOKUP(Ruimtestaat[[#This Row],[Code]],Locaties[#All],5,FALSE)</f>
        <v>2596 JP</v>
      </c>
      <c r="E200" s="212" t="str">
        <f>VLOOKUP(Ruimtestaat[[#This Row],[Code]],Locaties[#All],6,FALSE)</f>
        <v>Den Haag</v>
      </c>
      <c r="F200" s="335"/>
      <c r="G200" s="334" t="s">
        <v>1737</v>
      </c>
      <c r="H200" s="334" t="s">
        <v>1706</v>
      </c>
      <c r="I200" s="335" t="s">
        <v>1684</v>
      </c>
      <c r="J200" s="333">
        <v>16</v>
      </c>
      <c r="K200" s="336" t="str">
        <f>VLOOKUP(J200,Ruimtegroepen[],2,FALSE)</f>
        <v>Leslokalen</v>
      </c>
      <c r="L200" s="212" t="s">
        <v>123</v>
      </c>
      <c r="M200" s="334" t="s">
        <v>144</v>
      </c>
      <c r="N200" s="337">
        <v>21</v>
      </c>
      <c r="O200" s="331"/>
      <c r="P200" s="332" t="str">
        <f>VLOOKUP(Ruimtestaat[[#This Row],[Ruimte code]],Ruimtegroepen[],4,FALSE)</f>
        <v>L  (Lesruimte)</v>
      </c>
      <c r="Q200" s="332"/>
      <c r="R200" s="333">
        <v>40</v>
      </c>
      <c r="S200" s="333" t="s">
        <v>2</v>
      </c>
      <c r="T200" s="37"/>
      <c r="U200" s="37">
        <f>IF(R200&gt;0,IF(RIGHT(Ruimtestaat[[#This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00" s="37">
        <f>IF(U200&gt;0,VLOOKUP($J200,Ruimtegroepen[],3,FALSE)*VLOOKUP($L200,Vloersoorten[],3,FALSE)*VLOOKUP($S200,Frequenties[],3,FALSE)*VLOOKUP($A200,Locaties[],3,FALSE),0)</f>
        <v>0</v>
      </c>
      <c r="W200" s="37">
        <f>Ruimtestaat[[#This Row],[Uitvoeringen werkdagen]]*Ruimtestaat[[#This Row],[Oppervlak (netto)]]</f>
        <v>4200</v>
      </c>
      <c r="X200" s="37">
        <f>IF(V200&gt;0,Ruimtestaat[[#This Row],[Prest. (m2 /jaar) werkdagen]]/Ruimtestaat[[#This Row],[Norm (m2/uur) werkdagen]],0)</f>
        <v>0</v>
      </c>
      <c r="Y200" s="37">
        <f>Ruimtestaat[[#This Row],[uren / jaar werkdagen]]*Tariefsopbouw!$D$38</f>
        <v>0</v>
      </c>
      <c r="Z200" s="37">
        <f>IF(Ruimtestaat[[#This Row],[Frequentie weekend]]&gt;0,VALUE(LEFT(T200,1))*R200,0)</f>
        <v>0</v>
      </c>
      <c r="AA200" s="37">
        <f>IF($Z200&gt;0,VLOOKUP($J200,Ruimtegroepen[],3,FALSE)*VLOOKUP($L200,Vloersoorten[],3,FALSE)*VLOOKUP($T200,Frequenties[],3,FALSE)*VLOOKUP($A200,Locaties[],3,FALSE),0)</f>
        <v>0</v>
      </c>
      <c r="AB200" s="37">
        <f>Ruimtestaat[[#This Row],[Uitvoeringen weekend]]*Ruimtestaat[[#This Row],[Oppervlak (netto)]]</f>
        <v>0</v>
      </c>
      <c r="AC200" s="37">
        <f>IF(AA200&gt;0,Ruimtestaat[[#This Row],[Prest. (m2 /jaar) weekend]]/Ruimtestaat[[#This Row],[Norm (m2/uur) weekend]],0)</f>
        <v>0</v>
      </c>
      <c r="AD200" s="37">
        <f>Ruimtestaat[[#This Row],[uren / jaar weekend]]*Tariefsopbouw!$D$40</f>
        <v>0</v>
      </c>
      <c r="AE200" s="89">
        <f>Ruimtestaat[[#This Row],[Prest. (m2 /jaar) weekend]]+Ruimtestaat[[#This Row],[Prest. (m2 /jaar) werkdagen]]</f>
        <v>4200</v>
      </c>
      <c r="AF200" s="89">
        <f>Ruimtestaat[[#This Row],[uren / jaar weekend]]+Ruimtestaat[[#This Row],[uren / jaar werkdagen]]</f>
        <v>0</v>
      </c>
      <c r="AG200" s="90">
        <f>Ruimtestaat[[#This Row],[kosten / jaar weekend]]+Ruimtestaat[[#This Row],[kosten / jaar werkdagen]]</f>
        <v>0</v>
      </c>
      <c r="AH200" s="253"/>
      <c r="AI200" s="252" t="str">
        <f>IF(Ruimtestaat[[#This Row],[Frequentie werkdagen]]="","",_xlfn.CONCAT(Ruimtestaat[[#This Row],[Ruimte code]],"-",Ruimtestaat[[#This Row],[Frequentie werkdagen]]," ",Ruimtestaat[[#This Row],[Vloer code]]))</f>
        <v>16-5w P</v>
      </c>
      <c r="AJ200" s="247" t="str">
        <f>_xlfn.IFNA(VLOOKUP(Ruimtestaat[[#This Row],[Programmacode
Regulier]],Programma!$F$4:$Y$36148,2,0),"_")</f>
        <v>_</v>
      </c>
      <c r="AK200" s="247" t="str">
        <f>_xlfn.IFNA(VLOOKUP(Ruimtestaat[[#This Row],[Programmacode
Regulier]],Programma!$F$4:$Y$36148,3,0),"_")</f>
        <v>_</v>
      </c>
      <c r="AL200" s="247" t="str">
        <f>_xlfn.IFNA(VLOOKUP(Ruimtestaat[[#This Row],[Programmacode
Regulier]],Programma!$F$4:$Y$36148,4,0),"_")</f>
        <v>5w</v>
      </c>
      <c r="AM200" s="247" t="str">
        <f>_xlfn.IFNA(VLOOKUP(Ruimtestaat[[#This Row],[Programmacode
Regulier]],Programma!$F$4:$Y$36148,5,0),"_")</f>
        <v>1w</v>
      </c>
      <c r="AN200" s="247" t="str">
        <f>_xlfn.IFNA(VLOOKUP(Ruimtestaat[[#This Row],[Programmacode
Regulier]],Programma!$F$4:$Y$36148,6,0),"_")</f>
        <v>1m</v>
      </c>
      <c r="AO200" s="247" t="str">
        <f>_xlfn.IFNA(VLOOKUP(Ruimtestaat[[#This Row],[Programmacode
Regulier]],Programma!$F$4:$Y$36148,7,0),"_")</f>
        <v>_</v>
      </c>
      <c r="AP200" s="247" t="str">
        <f>_xlfn.IFNA(VLOOKUP(Ruimtestaat[[#This Row],[Programmacode
Regulier]],Programma!$F$4:$Y$36148,8,0),"_")</f>
        <v>_</v>
      </c>
      <c r="AQ200" s="247" t="str">
        <f>_xlfn.IFNA(VLOOKUP(Ruimtestaat[[#This Row],[Programmacode
Regulier]],Programma!$F$4:$Y$36148,9,0),"_")</f>
        <v>_</v>
      </c>
      <c r="AR200" s="248" t="str">
        <f>_xlfn.IFNA(VLOOKUP(Ruimtestaat[[#This Row],[Programmacode
Regulier]],Programma!$F$4:$Y$36148,10,0),"_")</f>
        <v>5w</v>
      </c>
      <c r="AS200" s="248" t="str">
        <f>_xlfn.IFNA(VLOOKUP(Ruimtestaat[[#This Row],[Programmacode
Regulier]],Programma!$F$4:$Y$36148,11,0),"_")</f>
        <v>5w</v>
      </c>
      <c r="AT200" s="248" t="str">
        <f>_xlfn.IFNA(VLOOKUP(Ruimtestaat[[#This Row],[Programmacode
Regulier]],Programma!$F$4:$Y$36148,12,0),"_")</f>
        <v>1w</v>
      </c>
      <c r="AU200" s="248" t="str">
        <f>_xlfn.IFNA(VLOOKUP(Ruimtestaat[[#This Row],[Programmacode
Regulier]],Programma!$F$4:$Y$36148,13,0),"_")</f>
        <v>1w</v>
      </c>
      <c r="AV200" s="248" t="str">
        <f>_xlfn.IFNA(VLOOKUP(Ruimtestaat[[#This Row],[Programmacode
Regulier]],Programma!$F$4:$Y$36148,14,0),"_")</f>
        <v>1m</v>
      </c>
      <c r="AW200" s="248" t="str">
        <f>_xlfn.IFNA(VLOOKUP(Ruimtestaat[[#This Row],[Programmacode
Regulier]],Programma!$F$4:$Y$36148,15,0),"_")</f>
        <v>2j</v>
      </c>
      <c r="AX200" s="248" t="str">
        <f>_xlfn.IFNA(VLOOKUP(Ruimtestaat[[#This Row],[Programmacode
Regulier]],Programma!$F$4:$Y$36148,16,0),"_")</f>
        <v>1j</v>
      </c>
      <c r="AY200" s="248" t="str">
        <f>_xlfn.IFNA(VLOOKUP(Ruimtestaat[[#This Row],[Programmacode
Regulier]],Programma!$F$4:$Y$36148,17,0),"_")</f>
        <v>_</v>
      </c>
      <c r="AZ200" s="249" t="str">
        <f>_xlfn.IFNA(VLOOKUP(Ruimtestaat[[#This Row],[Programmacode
Regulier]],Programma!$F$4:$Y$36148,18,0),"_")</f>
        <v>_</v>
      </c>
      <c r="BA200" s="249" t="str">
        <f>_xlfn.IFNA(VLOOKUP(Ruimtestaat[[#This Row],[Programmacode
Regulier]],Programma!$F$4:$Y$36148,19,0),"_")</f>
        <v>_</v>
      </c>
      <c r="BB200" s="249" t="str">
        <f>_xlfn.IFNA(VLOOKUP(Ruimtestaat[[#This Row],[Programmacode
Regulier]],Programma!$F$4:$Y$36148,20,0),"_")</f>
        <v>_</v>
      </c>
      <c r="BC200" s="250"/>
      <c r="BD200" s="212" t="str">
        <f>IF(Ruimtestaat[[#This Row],[Frequentie weekend]]="","",_xlfn.CONCAT(Ruimtestaat[[#This Row],[Ruimte code]],"-",Ruimtestaat[[#This Row],[Frequentie weekend]]," ",Ruimtestaat[[#This Row],[Vloer code]]))</f>
        <v/>
      </c>
      <c r="BE200" s="247" t="str">
        <f>_xlfn.IFNA(VLOOKUP(Ruimtestaat[[#This Row],[Code Weekend]],Programma!$F$4:$Y$36148,2,0),"_")</f>
        <v>_</v>
      </c>
      <c r="BF200" s="247" t="str">
        <f>_xlfn.IFNA(VLOOKUP(Ruimtestaat[[#This Row],[Code Weekend]],Programma!$F$4:$Y$36148,3,0),"_")</f>
        <v>_</v>
      </c>
      <c r="BG200" s="247" t="str">
        <f>_xlfn.IFNA(VLOOKUP(Ruimtestaat[[#This Row],[Code Weekend]],Programma!$F$4:$Y$36148,4,0),"_")</f>
        <v>_</v>
      </c>
      <c r="BH200" s="247" t="str">
        <f>_xlfn.IFNA(VLOOKUP(Ruimtestaat[[#This Row],[Code Weekend]],Programma!$F$4:$Y$36148,5,0),"_")</f>
        <v>_</v>
      </c>
      <c r="BI200" s="247" t="str">
        <f>_xlfn.IFNA(VLOOKUP(Ruimtestaat[[#This Row],[Code Weekend]],Programma!$F$4:$Y$36148,6,0),"_")</f>
        <v>_</v>
      </c>
      <c r="BJ200" s="247" t="str">
        <f>_xlfn.IFNA(VLOOKUP(Ruimtestaat[[#This Row],[Code Weekend]],Programma!$F$4:$Y$36148,7,0),"_")</f>
        <v>_</v>
      </c>
      <c r="BK200" s="247" t="str">
        <f>_xlfn.IFNA(VLOOKUP(Ruimtestaat[[#This Row],[Code Weekend]],Programma!$F$4:$Y$36148,8,0),"_")</f>
        <v>_</v>
      </c>
      <c r="BL200" s="247" t="str">
        <f>_xlfn.IFNA(VLOOKUP(Ruimtestaat[[#This Row],[Code Weekend]],Programma!$F$4:$Y$36148,9,0),"_")</f>
        <v>_</v>
      </c>
      <c r="BM200" s="248" t="str">
        <f>_xlfn.IFNA(VLOOKUP(Ruimtestaat[[#This Row],[Code Weekend]],Programma!$F$4:$Y$36148,10,0),"_")</f>
        <v>_</v>
      </c>
      <c r="BN200" s="248" t="str">
        <f>_xlfn.IFNA(VLOOKUP(Ruimtestaat[[#This Row],[Code Weekend]],Programma!$F$4:$Y$36148,11,0),"_")</f>
        <v>_</v>
      </c>
      <c r="BO200" s="248" t="str">
        <f>_xlfn.IFNA(VLOOKUP(Ruimtestaat[[#This Row],[Code Weekend]],Programma!$F$4:$Y$36148,12,0),"_")</f>
        <v>_</v>
      </c>
      <c r="BP200" s="248" t="str">
        <f>_xlfn.IFNA(VLOOKUP(Ruimtestaat[[#This Row],[Code Weekend]],Programma!$F$4:$Y$36148,13,0),"_")</f>
        <v>_</v>
      </c>
      <c r="BQ200" s="248" t="str">
        <f>_xlfn.IFNA(VLOOKUP(Ruimtestaat[[#This Row],[Code Weekend]],Programma!$F$4:$Y$36148,14,0),"_")</f>
        <v>_</v>
      </c>
      <c r="BR200" s="248" t="str">
        <f>_xlfn.IFNA(VLOOKUP(Ruimtestaat[[#This Row],[Code Weekend]],Programma!$F$4:$Y$36148,15,0),"_")</f>
        <v>_</v>
      </c>
      <c r="BS200" s="248" t="str">
        <f>_xlfn.IFNA(VLOOKUP(Ruimtestaat[[#This Row],[Code Weekend]],Programma!$F$4:$Y$36148,16,0),"_")</f>
        <v>_</v>
      </c>
      <c r="BT200" s="248" t="str">
        <f>_xlfn.IFNA(VLOOKUP(Ruimtestaat[[#This Row],[Code Weekend]],Programma!$F$4:$Y$36148,17,0),"_")</f>
        <v>_</v>
      </c>
      <c r="BU200" s="249" t="str">
        <f>_xlfn.IFNA(VLOOKUP(Ruimtestaat[[#This Row],[Code Weekend]],Programma!$F$4:$Y$36148,18,0),"_")</f>
        <v>_</v>
      </c>
      <c r="BV200" s="249" t="str">
        <f>_xlfn.IFNA(VLOOKUP(Ruimtestaat[[#This Row],[Code Weekend]],Programma!$F$4:$Y$36148,19,0),"_")</f>
        <v>_</v>
      </c>
      <c r="BW200" s="249" t="str">
        <f>_xlfn.IFNA(VLOOKUP(Ruimtestaat[[#This Row],[Code Weekend]],Programma!$F$4:$Y$36148,20,0),"_")</f>
        <v>_</v>
      </c>
    </row>
    <row r="201" spans="1:75" ht="12.75" customHeight="1">
      <c r="A201" s="334">
        <v>1</v>
      </c>
      <c r="B201" s="334" t="str">
        <f>VLOOKUP(Ruimtestaat[[#This Row],[Code]],Locaties[#All],2,FALSE)</f>
        <v>ESH Secondary School</v>
      </c>
      <c r="C201" s="212" t="str">
        <f>VLOOKUP(Ruimtestaat[[#This Row],[Code]],Locaties[#All],4,FALSE)</f>
        <v>Oostduinlaan 50</v>
      </c>
      <c r="D201" s="212" t="str">
        <f>VLOOKUP(Ruimtestaat[[#This Row],[Code]],Locaties[#All],5,FALSE)</f>
        <v>2596 JP</v>
      </c>
      <c r="E201" s="212" t="str">
        <f>VLOOKUP(Ruimtestaat[[#This Row],[Code]],Locaties[#All],6,FALSE)</f>
        <v>Den Haag</v>
      </c>
      <c r="F201" s="335"/>
      <c r="G201" s="334" t="s">
        <v>1737</v>
      </c>
      <c r="H201" s="334" t="s">
        <v>1707</v>
      </c>
      <c r="I201" s="335" t="s">
        <v>1731</v>
      </c>
      <c r="J201" s="333">
        <v>16</v>
      </c>
      <c r="K201" s="336" t="str">
        <f>VLOOKUP(J201,Ruimtegroepen[],2,FALSE)</f>
        <v>Leslokalen</v>
      </c>
      <c r="L201" s="212" t="s">
        <v>123</v>
      </c>
      <c r="M201" s="334" t="s">
        <v>144</v>
      </c>
      <c r="N201" s="337">
        <v>42</v>
      </c>
      <c r="O201" s="331"/>
      <c r="P201" s="332" t="str">
        <f>VLOOKUP(Ruimtestaat[[#This Row],[Ruimte code]],Ruimtegroepen[],4,FALSE)</f>
        <v>L  (Lesruimte)</v>
      </c>
      <c r="Q201" s="332"/>
      <c r="R201" s="333">
        <v>40</v>
      </c>
      <c r="S201" s="333" t="s">
        <v>2</v>
      </c>
      <c r="T201" s="37"/>
      <c r="U201" s="37">
        <f>IF(R201&gt;0,IF(RIGHT(Ruimtestaat[[#This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01" s="37">
        <f>IF(U201&gt;0,VLOOKUP($J201,Ruimtegroepen[],3,FALSE)*VLOOKUP($L201,Vloersoorten[],3,FALSE)*VLOOKUP($S201,Frequenties[],3,FALSE)*VLOOKUP($A201,Locaties[],3,FALSE),0)</f>
        <v>0</v>
      </c>
      <c r="W201" s="37">
        <f>Ruimtestaat[[#This Row],[Uitvoeringen werkdagen]]*Ruimtestaat[[#This Row],[Oppervlak (netto)]]</f>
        <v>8400</v>
      </c>
      <c r="X201" s="37">
        <f>IF(V201&gt;0,Ruimtestaat[[#This Row],[Prest. (m2 /jaar) werkdagen]]/Ruimtestaat[[#This Row],[Norm (m2/uur) werkdagen]],0)</f>
        <v>0</v>
      </c>
      <c r="Y201" s="37">
        <f>Ruimtestaat[[#This Row],[uren / jaar werkdagen]]*Tariefsopbouw!$D$38</f>
        <v>0</v>
      </c>
      <c r="Z201" s="37">
        <f>IF(Ruimtestaat[[#This Row],[Frequentie weekend]]&gt;0,VALUE(LEFT(T201,1))*R201,0)</f>
        <v>0</v>
      </c>
      <c r="AA201" s="37">
        <f>IF($Z201&gt;0,VLOOKUP($J201,Ruimtegroepen[],3,FALSE)*VLOOKUP($L201,Vloersoorten[],3,FALSE)*VLOOKUP($T201,Frequenties[],3,FALSE)*VLOOKUP($A201,Locaties[],3,FALSE),0)</f>
        <v>0</v>
      </c>
      <c r="AB201" s="37">
        <f>Ruimtestaat[[#This Row],[Uitvoeringen weekend]]*Ruimtestaat[[#This Row],[Oppervlak (netto)]]</f>
        <v>0</v>
      </c>
      <c r="AC201" s="37">
        <f>IF(AA201&gt;0,Ruimtestaat[[#This Row],[Prest. (m2 /jaar) weekend]]/Ruimtestaat[[#This Row],[Norm (m2/uur) weekend]],0)</f>
        <v>0</v>
      </c>
      <c r="AD201" s="37">
        <f>Ruimtestaat[[#This Row],[uren / jaar weekend]]*Tariefsopbouw!$D$40</f>
        <v>0</v>
      </c>
      <c r="AE201" s="89">
        <f>Ruimtestaat[[#This Row],[Prest. (m2 /jaar) weekend]]+Ruimtestaat[[#This Row],[Prest. (m2 /jaar) werkdagen]]</f>
        <v>8400</v>
      </c>
      <c r="AF201" s="89">
        <f>Ruimtestaat[[#This Row],[uren / jaar weekend]]+Ruimtestaat[[#This Row],[uren / jaar werkdagen]]</f>
        <v>0</v>
      </c>
      <c r="AG201" s="90">
        <f>Ruimtestaat[[#This Row],[kosten / jaar weekend]]+Ruimtestaat[[#This Row],[kosten / jaar werkdagen]]</f>
        <v>0</v>
      </c>
      <c r="AH201" s="253"/>
      <c r="AI201" s="252" t="str">
        <f>IF(Ruimtestaat[[#This Row],[Frequentie werkdagen]]="","",_xlfn.CONCAT(Ruimtestaat[[#This Row],[Ruimte code]],"-",Ruimtestaat[[#This Row],[Frequentie werkdagen]]," ",Ruimtestaat[[#This Row],[Vloer code]]))</f>
        <v>16-5w P</v>
      </c>
      <c r="AJ201" s="247" t="str">
        <f>_xlfn.IFNA(VLOOKUP(Ruimtestaat[[#This Row],[Programmacode
Regulier]],Programma!$F$4:$Y$36148,2,0),"_")</f>
        <v>_</v>
      </c>
      <c r="AK201" s="247" t="str">
        <f>_xlfn.IFNA(VLOOKUP(Ruimtestaat[[#This Row],[Programmacode
Regulier]],Programma!$F$4:$Y$36148,3,0),"_")</f>
        <v>_</v>
      </c>
      <c r="AL201" s="247" t="str">
        <f>_xlfn.IFNA(VLOOKUP(Ruimtestaat[[#This Row],[Programmacode
Regulier]],Programma!$F$4:$Y$36148,4,0),"_")</f>
        <v>5w</v>
      </c>
      <c r="AM201" s="247" t="str">
        <f>_xlfn.IFNA(VLOOKUP(Ruimtestaat[[#This Row],[Programmacode
Regulier]],Programma!$F$4:$Y$36148,5,0),"_")</f>
        <v>1w</v>
      </c>
      <c r="AN201" s="247" t="str">
        <f>_xlfn.IFNA(VLOOKUP(Ruimtestaat[[#This Row],[Programmacode
Regulier]],Programma!$F$4:$Y$36148,6,0),"_")</f>
        <v>1m</v>
      </c>
      <c r="AO201" s="247" t="str">
        <f>_xlfn.IFNA(VLOOKUP(Ruimtestaat[[#This Row],[Programmacode
Regulier]],Programma!$F$4:$Y$36148,7,0),"_")</f>
        <v>_</v>
      </c>
      <c r="AP201" s="247" t="str">
        <f>_xlfn.IFNA(VLOOKUP(Ruimtestaat[[#This Row],[Programmacode
Regulier]],Programma!$F$4:$Y$36148,8,0),"_")</f>
        <v>_</v>
      </c>
      <c r="AQ201" s="247" t="str">
        <f>_xlfn.IFNA(VLOOKUP(Ruimtestaat[[#This Row],[Programmacode
Regulier]],Programma!$F$4:$Y$36148,9,0),"_")</f>
        <v>_</v>
      </c>
      <c r="AR201" s="248" t="str">
        <f>_xlfn.IFNA(VLOOKUP(Ruimtestaat[[#This Row],[Programmacode
Regulier]],Programma!$F$4:$Y$36148,10,0),"_")</f>
        <v>5w</v>
      </c>
      <c r="AS201" s="248" t="str">
        <f>_xlfn.IFNA(VLOOKUP(Ruimtestaat[[#This Row],[Programmacode
Regulier]],Programma!$F$4:$Y$36148,11,0),"_")</f>
        <v>5w</v>
      </c>
      <c r="AT201" s="248" t="str">
        <f>_xlfn.IFNA(VLOOKUP(Ruimtestaat[[#This Row],[Programmacode
Regulier]],Programma!$F$4:$Y$36148,12,0),"_")</f>
        <v>1w</v>
      </c>
      <c r="AU201" s="248" t="str">
        <f>_xlfn.IFNA(VLOOKUP(Ruimtestaat[[#This Row],[Programmacode
Regulier]],Programma!$F$4:$Y$36148,13,0),"_")</f>
        <v>1w</v>
      </c>
      <c r="AV201" s="248" t="str">
        <f>_xlfn.IFNA(VLOOKUP(Ruimtestaat[[#This Row],[Programmacode
Regulier]],Programma!$F$4:$Y$36148,14,0),"_")</f>
        <v>1m</v>
      </c>
      <c r="AW201" s="248" t="str">
        <f>_xlfn.IFNA(VLOOKUP(Ruimtestaat[[#This Row],[Programmacode
Regulier]],Programma!$F$4:$Y$36148,15,0),"_")</f>
        <v>2j</v>
      </c>
      <c r="AX201" s="248" t="str">
        <f>_xlfn.IFNA(VLOOKUP(Ruimtestaat[[#This Row],[Programmacode
Regulier]],Programma!$F$4:$Y$36148,16,0),"_")</f>
        <v>1j</v>
      </c>
      <c r="AY201" s="248" t="str">
        <f>_xlfn.IFNA(VLOOKUP(Ruimtestaat[[#This Row],[Programmacode
Regulier]],Programma!$F$4:$Y$36148,17,0),"_")</f>
        <v>_</v>
      </c>
      <c r="AZ201" s="249" t="str">
        <f>_xlfn.IFNA(VLOOKUP(Ruimtestaat[[#This Row],[Programmacode
Regulier]],Programma!$F$4:$Y$36148,18,0),"_")</f>
        <v>_</v>
      </c>
      <c r="BA201" s="249" t="str">
        <f>_xlfn.IFNA(VLOOKUP(Ruimtestaat[[#This Row],[Programmacode
Regulier]],Programma!$F$4:$Y$36148,19,0),"_")</f>
        <v>_</v>
      </c>
      <c r="BB201" s="249" t="str">
        <f>_xlfn.IFNA(VLOOKUP(Ruimtestaat[[#This Row],[Programmacode
Regulier]],Programma!$F$4:$Y$36148,20,0),"_")</f>
        <v>_</v>
      </c>
      <c r="BC201" s="250"/>
      <c r="BD201" s="212" t="str">
        <f>IF(Ruimtestaat[[#This Row],[Frequentie weekend]]="","",_xlfn.CONCAT(Ruimtestaat[[#This Row],[Ruimte code]],"-",Ruimtestaat[[#This Row],[Frequentie weekend]]," ",Ruimtestaat[[#This Row],[Vloer code]]))</f>
        <v/>
      </c>
      <c r="BE201" s="247" t="str">
        <f>_xlfn.IFNA(VLOOKUP(Ruimtestaat[[#This Row],[Code Weekend]],Programma!$F$4:$Y$36148,2,0),"_")</f>
        <v>_</v>
      </c>
      <c r="BF201" s="247" t="str">
        <f>_xlfn.IFNA(VLOOKUP(Ruimtestaat[[#This Row],[Code Weekend]],Programma!$F$4:$Y$36148,3,0),"_")</f>
        <v>_</v>
      </c>
      <c r="BG201" s="247" t="str">
        <f>_xlfn.IFNA(VLOOKUP(Ruimtestaat[[#This Row],[Code Weekend]],Programma!$F$4:$Y$36148,4,0),"_")</f>
        <v>_</v>
      </c>
      <c r="BH201" s="247" t="str">
        <f>_xlfn.IFNA(VLOOKUP(Ruimtestaat[[#This Row],[Code Weekend]],Programma!$F$4:$Y$36148,5,0),"_")</f>
        <v>_</v>
      </c>
      <c r="BI201" s="247" t="str">
        <f>_xlfn.IFNA(VLOOKUP(Ruimtestaat[[#This Row],[Code Weekend]],Programma!$F$4:$Y$36148,6,0),"_")</f>
        <v>_</v>
      </c>
      <c r="BJ201" s="247" t="str">
        <f>_xlfn.IFNA(VLOOKUP(Ruimtestaat[[#This Row],[Code Weekend]],Programma!$F$4:$Y$36148,7,0),"_")</f>
        <v>_</v>
      </c>
      <c r="BK201" s="247" t="str">
        <f>_xlfn.IFNA(VLOOKUP(Ruimtestaat[[#This Row],[Code Weekend]],Programma!$F$4:$Y$36148,8,0),"_")</f>
        <v>_</v>
      </c>
      <c r="BL201" s="247" t="str">
        <f>_xlfn.IFNA(VLOOKUP(Ruimtestaat[[#This Row],[Code Weekend]],Programma!$F$4:$Y$36148,9,0),"_")</f>
        <v>_</v>
      </c>
      <c r="BM201" s="248" t="str">
        <f>_xlfn.IFNA(VLOOKUP(Ruimtestaat[[#This Row],[Code Weekend]],Programma!$F$4:$Y$36148,10,0),"_")</f>
        <v>_</v>
      </c>
      <c r="BN201" s="248" t="str">
        <f>_xlfn.IFNA(VLOOKUP(Ruimtestaat[[#This Row],[Code Weekend]],Programma!$F$4:$Y$36148,11,0),"_")</f>
        <v>_</v>
      </c>
      <c r="BO201" s="248" t="str">
        <f>_xlfn.IFNA(VLOOKUP(Ruimtestaat[[#This Row],[Code Weekend]],Programma!$F$4:$Y$36148,12,0),"_")</f>
        <v>_</v>
      </c>
      <c r="BP201" s="248" t="str">
        <f>_xlfn.IFNA(VLOOKUP(Ruimtestaat[[#This Row],[Code Weekend]],Programma!$F$4:$Y$36148,13,0),"_")</f>
        <v>_</v>
      </c>
      <c r="BQ201" s="248" t="str">
        <f>_xlfn.IFNA(VLOOKUP(Ruimtestaat[[#This Row],[Code Weekend]],Programma!$F$4:$Y$36148,14,0),"_")</f>
        <v>_</v>
      </c>
      <c r="BR201" s="248" t="str">
        <f>_xlfn.IFNA(VLOOKUP(Ruimtestaat[[#This Row],[Code Weekend]],Programma!$F$4:$Y$36148,15,0),"_")</f>
        <v>_</v>
      </c>
      <c r="BS201" s="248" t="str">
        <f>_xlfn.IFNA(VLOOKUP(Ruimtestaat[[#This Row],[Code Weekend]],Programma!$F$4:$Y$36148,16,0),"_")</f>
        <v>_</v>
      </c>
      <c r="BT201" s="248" t="str">
        <f>_xlfn.IFNA(VLOOKUP(Ruimtestaat[[#This Row],[Code Weekend]],Programma!$F$4:$Y$36148,17,0),"_")</f>
        <v>_</v>
      </c>
      <c r="BU201" s="249" t="str">
        <f>_xlfn.IFNA(VLOOKUP(Ruimtestaat[[#This Row],[Code Weekend]],Programma!$F$4:$Y$36148,18,0),"_")</f>
        <v>_</v>
      </c>
      <c r="BV201" s="249" t="str">
        <f>_xlfn.IFNA(VLOOKUP(Ruimtestaat[[#This Row],[Code Weekend]],Programma!$F$4:$Y$36148,19,0),"_")</f>
        <v>_</v>
      </c>
      <c r="BW201" s="249" t="str">
        <f>_xlfn.IFNA(VLOOKUP(Ruimtestaat[[#This Row],[Code Weekend]],Programma!$F$4:$Y$36148,20,0),"_")</f>
        <v>_</v>
      </c>
    </row>
    <row r="202" spans="1:75" ht="12.75" customHeight="1">
      <c r="A202" s="334">
        <v>1</v>
      </c>
      <c r="B202" s="334" t="str">
        <f>VLOOKUP(Ruimtestaat[[#This Row],[Code]],Locaties[#All],2,FALSE)</f>
        <v>ESH Secondary School</v>
      </c>
      <c r="C202" s="212" t="str">
        <f>VLOOKUP(Ruimtestaat[[#This Row],[Code]],Locaties[#All],4,FALSE)</f>
        <v>Oostduinlaan 50</v>
      </c>
      <c r="D202" s="212" t="str">
        <f>VLOOKUP(Ruimtestaat[[#This Row],[Code]],Locaties[#All],5,FALSE)</f>
        <v>2596 JP</v>
      </c>
      <c r="E202" s="212" t="str">
        <f>VLOOKUP(Ruimtestaat[[#This Row],[Code]],Locaties[#All],6,FALSE)</f>
        <v>Den Haag</v>
      </c>
      <c r="F202" s="335"/>
      <c r="G202" s="334" t="s">
        <v>1737</v>
      </c>
      <c r="H202" s="334" t="s">
        <v>1708</v>
      </c>
      <c r="I202" s="335" t="s">
        <v>1731</v>
      </c>
      <c r="J202" s="333">
        <v>16</v>
      </c>
      <c r="K202" s="336" t="str">
        <f>VLOOKUP(J202,Ruimtegroepen[],2,FALSE)</f>
        <v>Leslokalen</v>
      </c>
      <c r="L202" s="212" t="s">
        <v>123</v>
      </c>
      <c r="M202" s="334" t="s">
        <v>144</v>
      </c>
      <c r="N202" s="337">
        <v>42</v>
      </c>
      <c r="O202" s="331"/>
      <c r="P202" s="332" t="str">
        <f>VLOOKUP(Ruimtestaat[[#This Row],[Ruimte code]],Ruimtegroepen[],4,FALSE)</f>
        <v>L  (Lesruimte)</v>
      </c>
      <c r="Q202" s="332"/>
      <c r="R202" s="333">
        <v>40</v>
      </c>
      <c r="S202" s="333" t="s">
        <v>2</v>
      </c>
      <c r="T202" s="37"/>
      <c r="U202" s="37">
        <f>IF(R202&gt;0,IF(RIGHT(Ruimtestaat[[#This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02" s="37">
        <f>IF(U202&gt;0,VLOOKUP($J202,Ruimtegroepen[],3,FALSE)*VLOOKUP($L202,Vloersoorten[],3,FALSE)*VLOOKUP($S202,Frequenties[],3,FALSE)*VLOOKUP($A202,Locaties[],3,FALSE),0)</f>
        <v>0</v>
      </c>
      <c r="W202" s="37">
        <f>Ruimtestaat[[#This Row],[Uitvoeringen werkdagen]]*Ruimtestaat[[#This Row],[Oppervlak (netto)]]</f>
        <v>8400</v>
      </c>
      <c r="X202" s="37">
        <f>IF(V202&gt;0,Ruimtestaat[[#This Row],[Prest. (m2 /jaar) werkdagen]]/Ruimtestaat[[#This Row],[Norm (m2/uur) werkdagen]],0)</f>
        <v>0</v>
      </c>
      <c r="Y202" s="37">
        <f>Ruimtestaat[[#This Row],[uren / jaar werkdagen]]*Tariefsopbouw!$D$38</f>
        <v>0</v>
      </c>
      <c r="Z202" s="37">
        <f>IF(Ruimtestaat[[#This Row],[Frequentie weekend]]&gt;0,VALUE(LEFT(T202,1))*R202,0)</f>
        <v>0</v>
      </c>
      <c r="AA202" s="37">
        <f>IF($Z202&gt;0,VLOOKUP($J202,Ruimtegroepen[],3,FALSE)*VLOOKUP($L202,Vloersoorten[],3,FALSE)*VLOOKUP($T202,Frequenties[],3,FALSE)*VLOOKUP($A202,Locaties[],3,FALSE),0)</f>
        <v>0</v>
      </c>
      <c r="AB202" s="37">
        <f>Ruimtestaat[[#This Row],[Uitvoeringen weekend]]*Ruimtestaat[[#This Row],[Oppervlak (netto)]]</f>
        <v>0</v>
      </c>
      <c r="AC202" s="37">
        <f>IF(AA202&gt;0,Ruimtestaat[[#This Row],[Prest. (m2 /jaar) weekend]]/Ruimtestaat[[#This Row],[Norm (m2/uur) weekend]],0)</f>
        <v>0</v>
      </c>
      <c r="AD202" s="37">
        <f>Ruimtestaat[[#This Row],[uren / jaar weekend]]*Tariefsopbouw!$D$40</f>
        <v>0</v>
      </c>
      <c r="AE202" s="89">
        <f>Ruimtestaat[[#This Row],[Prest. (m2 /jaar) weekend]]+Ruimtestaat[[#This Row],[Prest. (m2 /jaar) werkdagen]]</f>
        <v>8400</v>
      </c>
      <c r="AF202" s="89">
        <f>Ruimtestaat[[#This Row],[uren / jaar weekend]]+Ruimtestaat[[#This Row],[uren / jaar werkdagen]]</f>
        <v>0</v>
      </c>
      <c r="AG202" s="90">
        <f>Ruimtestaat[[#This Row],[kosten / jaar weekend]]+Ruimtestaat[[#This Row],[kosten / jaar werkdagen]]</f>
        <v>0</v>
      </c>
      <c r="AH202" s="253"/>
      <c r="AI202" s="252" t="str">
        <f>IF(Ruimtestaat[[#This Row],[Frequentie werkdagen]]="","",_xlfn.CONCAT(Ruimtestaat[[#This Row],[Ruimte code]],"-",Ruimtestaat[[#This Row],[Frequentie werkdagen]]," ",Ruimtestaat[[#This Row],[Vloer code]]))</f>
        <v>16-5w P</v>
      </c>
      <c r="AJ202" s="247" t="str">
        <f>_xlfn.IFNA(VLOOKUP(Ruimtestaat[[#This Row],[Programmacode
Regulier]],Programma!$F$4:$Y$36148,2,0),"_")</f>
        <v>_</v>
      </c>
      <c r="AK202" s="247" t="str">
        <f>_xlfn.IFNA(VLOOKUP(Ruimtestaat[[#This Row],[Programmacode
Regulier]],Programma!$F$4:$Y$36148,3,0),"_")</f>
        <v>_</v>
      </c>
      <c r="AL202" s="247" t="str">
        <f>_xlfn.IFNA(VLOOKUP(Ruimtestaat[[#This Row],[Programmacode
Regulier]],Programma!$F$4:$Y$36148,4,0),"_")</f>
        <v>5w</v>
      </c>
      <c r="AM202" s="247" t="str">
        <f>_xlfn.IFNA(VLOOKUP(Ruimtestaat[[#This Row],[Programmacode
Regulier]],Programma!$F$4:$Y$36148,5,0),"_")</f>
        <v>1w</v>
      </c>
      <c r="AN202" s="247" t="str">
        <f>_xlfn.IFNA(VLOOKUP(Ruimtestaat[[#This Row],[Programmacode
Regulier]],Programma!$F$4:$Y$36148,6,0),"_")</f>
        <v>1m</v>
      </c>
      <c r="AO202" s="247" t="str">
        <f>_xlfn.IFNA(VLOOKUP(Ruimtestaat[[#This Row],[Programmacode
Regulier]],Programma!$F$4:$Y$36148,7,0),"_")</f>
        <v>_</v>
      </c>
      <c r="AP202" s="247" t="str">
        <f>_xlfn.IFNA(VLOOKUP(Ruimtestaat[[#This Row],[Programmacode
Regulier]],Programma!$F$4:$Y$36148,8,0),"_")</f>
        <v>_</v>
      </c>
      <c r="AQ202" s="247" t="str">
        <f>_xlfn.IFNA(VLOOKUP(Ruimtestaat[[#This Row],[Programmacode
Regulier]],Programma!$F$4:$Y$36148,9,0),"_")</f>
        <v>_</v>
      </c>
      <c r="AR202" s="248" t="str">
        <f>_xlfn.IFNA(VLOOKUP(Ruimtestaat[[#This Row],[Programmacode
Regulier]],Programma!$F$4:$Y$36148,10,0),"_")</f>
        <v>5w</v>
      </c>
      <c r="AS202" s="248" t="str">
        <f>_xlfn.IFNA(VLOOKUP(Ruimtestaat[[#This Row],[Programmacode
Regulier]],Programma!$F$4:$Y$36148,11,0),"_")</f>
        <v>5w</v>
      </c>
      <c r="AT202" s="248" t="str">
        <f>_xlfn.IFNA(VLOOKUP(Ruimtestaat[[#This Row],[Programmacode
Regulier]],Programma!$F$4:$Y$36148,12,0),"_")</f>
        <v>1w</v>
      </c>
      <c r="AU202" s="248" t="str">
        <f>_xlfn.IFNA(VLOOKUP(Ruimtestaat[[#This Row],[Programmacode
Regulier]],Programma!$F$4:$Y$36148,13,0),"_")</f>
        <v>1w</v>
      </c>
      <c r="AV202" s="248" t="str">
        <f>_xlfn.IFNA(VLOOKUP(Ruimtestaat[[#This Row],[Programmacode
Regulier]],Programma!$F$4:$Y$36148,14,0),"_")</f>
        <v>1m</v>
      </c>
      <c r="AW202" s="248" t="str">
        <f>_xlfn.IFNA(VLOOKUP(Ruimtestaat[[#This Row],[Programmacode
Regulier]],Programma!$F$4:$Y$36148,15,0),"_")</f>
        <v>2j</v>
      </c>
      <c r="AX202" s="248" t="str">
        <f>_xlfn.IFNA(VLOOKUP(Ruimtestaat[[#This Row],[Programmacode
Regulier]],Programma!$F$4:$Y$36148,16,0),"_")</f>
        <v>1j</v>
      </c>
      <c r="AY202" s="248" t="str">
        <f>_xlfn.IFNA(VLOOKUP(Ruimtestaat[[#This Row],[Programmacode
Regulier]],Programma!$F$4:$Y$36148,17,0),"_")</f>
        <v>_</v>
      </c>
      <c r="AZ202" s="249" t="str">
        <f>_xlfn.IFNA(VLOOKUP(Ruimtestaat[[#This Row],[Programmacode
Regulier]],Programma!$F$4:$Y$36148,18,0),"_")</f>
        <v>_</v>
      </c>
      <c r="BA202" s="249" t="str">
        <f>_xlfn.IFNA(VLOOKUP(Ruimtestaat[[#This Row],[Programmacode
Regulier]],Programma!$F$4:$Y$36148,19,0),"_")</f>
        <v>_</v>
      </c>
      <c r="BB202" s="249" t="str">
        <f>_xlfn.IFNA(VLOOKUP(Ruimtestaat[[#This Row],[Programmacode
Regulier]],Programma!$F$4:$Y$36148,20,0),"_")</f>
        <v>_</v>
      </c>
      <c r="BC202" s="250"/>
      <c r="BD202" s="212" t="str">
        <f>IF(Ruimtestaat[[#This Row],[Frequentie weekend]]="","",_xlfn.CONCAT(Ruimtestaat[[#This Row],[Ruimte code]],"-",Ruimtestaat[[#This Row],[Frequentie weekend]]," ",Ruimtestaat[[#This Row],[Vloer code]]))</f>
        <v/>
      </c>
      <c r="BE202" s="247" t="str">
        <f>_xlfn.IFNA(VLOOKUP(Ruimtestaat[[#This Row],[Code Weekend]],Programma!$F$4:$Y$36148,2,0),"_")</f>
        <v>_</v>
      </c>
      <c r="BF202" s="247" t="str">
        <f>_xlfn.IFNA(VLOOKUP(Ruimtestaat[[#This Row],[Code Weekend]],Programma!$F$4:$Y$36148,3,0),"_")</f>
        <v>_</v>
      </c>
      <c r="BG202" s="247" t="str">
        <f>_xlfn.IFNA(VLOOKUP(Ruimtestaat[[#This Row],[Code Weekend]],Programma!$F$4:$Y$36148,4,0),"_")</f>
        <v>_</v>
      </c>
      <c r="BH202" s="247" t="str">
        <f>_xlfn.IFNA(VLOOKUP(Ruimtestaat[[#This Row],[Code Weekend]],Programma!$F$4:$Y$36148,5,0),"_")</f>
        <v>_</v>
      </c>
      <c r="BI202" s="247" t="str">
        <f>_xlfn.IFNA(VLOOKUP(Ruimtestaat[[#This Row],[Code Weekend]],Programma!$F$4:$Y$36148,6,0),"_")</f>
        <v>_</v>
      </c>
      <c r="BJ202" s="247" t="str">
        <f>_xlfn.IFNA(VLOOKUP(Ruimtestaat[[#This Row],[Code Weekend]],Programma!$F$4:$Y$36148,7,0),"_")</f>
        <v>_</v>
      </c>
      <c r="BK202" s="247" t="str">
        <f>_xlfn.IFNA(VLOOKUP(Ruimtestaat[[#This Row],[Code Weekend]],Programma!$F$4:$Y$36148,8,0),"_")</f>
        <v>_</v>
      </c>
      <c r="BL202" s="247" t="str">
        <f>_xlfn.IFNA(VLOOKUP(Ruimtestaat[[#This Row],[Code Weekend]],Programma!$F$4:$Y$36148,9,0),"_")</f>
        <v>_</v>
      </c>
      <c r="BM202" s="248" t="str">
        <f>_xlfn.IFNA(VLOOKUP(Ruimtestaat[[#This Row],[Code Weekend]],Programma!$F$4:$Y$36148,10,0),"_")</f>
        <v>_</v>
      </c>
      <c r="BN202" s="248" t="str">
        <f>_xlfn.IFNA(VLOOKUP(Ruimtestaat[[#This Row],[Code Weekend]],Programma!$F$4:$Y$36148,11,0),"_")</f>
        <v>_</v>
      </c>
      <c r="BO202" s="248" t="str">
        <f>_xlfn.IFNA(VLOOKUP(Ruimtestaat[[#This Row],[Code Weekend]],Programma!$F$4:$Y$36148,12,0),"_")</f>
        <v>_</v>
      </c>
      <c r="BP202" s="248" t="str">
        <f>_xlfn.IFNA(VLOOKUP(Ruimtestaat[[#This Row],[Code Weekend]],Programma!$F$4:$Y$36148,13,0),"_")</f>
        <v>_</v>
      </c>
      <c r="BQ202" s="248" t="str">
        <f>_xlfn.IFNA(VLOOKUP(Ruimtestaat[[#This Row],[Code Weekend]],Programma!$F$4:$Y$36148,14,0),"_")</f>
        <v>_</v>
      </c>
      <c r="BR202" s="248" t="str">
        <f>_xlfn.IFNA(VLOOKUP(Ruimtestaat[[#This Row],[Code Weekend]],Programma!$F$4:$Y$36148,15,0),"_")</f>
        <v>_</v>
      </c>
      <c r="BS202" s="248" t="str">
        <f>_xlfn.IFNA(VLOOKUP(Ruimtestaat[[#This Row],[Code Weekend]],Programma!$F$4:$Y$36148,16,0),"_")</f>
        <v>_</v>
      </c>
      <c r="BT202" s="248" t="str">
        <f>_xlfn.IFNA(VLOOKUP(Ruimtestaat[[#This Row],[Code Weekend]],Programma!$F$4:$Y$36148,17,0),"_")</f>
        <v>_</v>
      </c>
      <c r="BU202" s="249" t="str">
        <f>_xlfn.IFNA(VLOOKUP(Ruimtestaat[[#This Row],[Code Weekend]],Programma!$F$4:$Y$36148,18,0),"_")</f>
        <v>_</v>
      </c>
      <c r="BV202" s="249" t="str">
        <f>_xlfn.IFNA(VLOOKUP(Ruimtestaat[[#This Row],[Code Weekend]],Programma!$F$4:$Y$36148,19,0),"_")</f>
        <v>_</v>
      </c>
      <c r="BW202" s="249" t="str">
        <f>_xlfn.IFNA(VLOOKUP(Ruimtestaat[[#This Row],[Code Weekend]],Programma!$F$4:$Y$36148,20,0),"_")</f>
        <v>_</v>
      </c>
    </row>
    <row r="203" spans="1:75" ht="12.75" customHeight="1">
      <c r="A203" s="334">
        <v>1</v>
      </c>
      <c r="B203" s="334" t="str">
        <f>VLOOKUP(Ruimtestaat[[#This Row],[Code]],Locaties[#All],2,FALSE)</f>
        <v>ESH Secondary School</v>
      </c>
      <c r="C203" s="212" t="str">
        <f>VLOOKUP(Ruimtestaat[[#This Row],[Code]],Locaties[#All],4,FALSE)</f>
        <v>Oostduinlaan 50</v>
      </c>
      <c r="D203" s="212" t="str">
        <f>VLOOKUP(Ruimtestaat[[#This Row],[Code]],Locaties[#All],5,FALSE)</f>
        <v>2596 JP</v>
      </c>
      <c r="E203" s="212" t="str">
        <f>VLOOKUP(Ruimtestaat[[#This Row],[Code]],Locaties[#All],6,FALSE)</f>
        <v>Den Haag</v>
      </c>
      <c r="F203" s="335"/>
      <c r="G203" s="334" t="s">
        <v>1737</v>
      </c>
      <c r="H203" s="334" t="s">
        <v>1709</v>
      </c>
      <c r="I203" s="335" t="s">
        <v>1732</v>
      </c>
      <c r="J203" s="333">
        <v>16</v>
      </c>
      <c r="K203" s="336" t="str">
        <f>VLOOKUP(J203,Ruimtegroepen[],2,FALSE)</f>
        <v>Leslokalen</v>
      </c>
      <c r="L203" s="212" t="s">
        <v>123</v>
      </c>
      <c r="M203" s="334" t="s">
        <v>144</v>
      </c>
      <c r="N203" s="337">
        <v>42</v>
      </c>
      <c r="O203" s="331"/>
      <c r="P203" s="332" t="str">
        <f>VLOOKUP(Ruimtestaat[[#This Row],[Ruimte code]],Ruimtegroepen[],4,FALSE)</f>
        <v>L  (Lesruimte)</v>
      </c>
      <c r="Q203" s="332"/>
      <c r="R203" s="333">
        <v>40</v>
      </c>
      <c r="S203" s="333" t="s">
        <v>2</v>
      </c>
      <c r="T203" s="37"/>
      <c r="U203" s="37">
        <f>IF(R203&gt;0,IF(RIGHT(Ruimtestaat[[#This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03" s="37">
        <f>IF(U203&gt;0,VLOOKUP($J203,Ruimtegroepen[],3,FALSE)*VLOOKUP($L203,Vloersoorten[],3,FALSE)*VLOOKUP($S203,Frequenties[],3,FALSE)*VLOOKUP($A203,Locaties[],3,FALSE),0)</f>
        <v>0</v>
      </c>
      <c r="W203" s="37">
        <f>Ruimtestaat[[#This Row],[Uitvoeringen werkdagen]]*Ruimtestaat[[#This Row],[Oppervlak (netto)]]</f>
        <v>8400</v>
      </c>
      <c r="X203" s="37">
        <f>IF(V203&gt;0,Ruimtestaat[[#This Row],[Prest. (m2 /jaar) werkdagen]]/Ruimtestaat[[#This Row],[Norm (m2/uur) werkdagen]],0)</f>
        <v>0</v>
      </c>
      <c r="Y203" s="37">
        <f>Ruimtestaat[[#This Row],[uren / jaar werkdagen]]*Tariefsopbouw!$D$38</f>
        <v>0</v>
      </c>
      <c r="Z203" s="37">
        <f>IF(Ruimtestaat[[#This Row],[Frequentie weekend]]&gt;0,VALUE(LEFT(T203,1))*R203,0)</f>
        <v>0</v>
      </c>
      <c r="AA203" s="37">
        <f>IF($Z203&gt;0,VLOOKUP($J203,Ruimtegroepen[],3,FALSE)*VLOOKUP($L203,Vloersoorten[],3,FALSE)*VLOOKUP($T203,Frequenties[],3,FALSE)*VLOOKUP($A203,Locaties[],3,FALSE),0)</f>
        <v>0</v>
      </c>
      <c r="AB203" s="37">
        <f>Ruimtestaat[[#This Row],[Uitvoeringen weekend]]*Ruimtestaat[[#This Row],[Oppervlak (netto)]]</f>
        <v>0</v>
      </c>
      <c r="AC203" s="37">
        <f>IF(AA203&gt;0,Ruimtestaat[[#This Row],[Prest. (m2 /jaar) weekend]]/Ruimtestaat[[#This Row],[Norm (m2/uur) weekend]],0)</f>
        <v>0</v>
      </c>
      <c r="AD203" s="37">
        <f>Ruimtestaat[[#This Row],[uren / jaar weekend]]*Tariefsopbouw!$D$40</f>
        <v>0</v>
      </c>
      <c r="AE203" s="89">
        <f>Ruimtestaat[[#This Row],[Prest. (m2 /jaar) weekend]]+Ruimtestaat[[#This Row],[Prest. (m2 /jaar) werkdagen]]</f>
        <v>8400</v>
      </c>
      <c r="AF203" s="89">
        <f>Ruimtestaat[[#This Row],[uren / jaar weekend]]+Ruimtestaat[[#This Row],[uren / jaar werkdagen]]</f>
        <v>0</v>
      </c>
      <c r="AG203" s="90">
        <f>Ruimtestaat[[#This Row],[kosten / jaar weekend]]+Ruimtestaat[[#This Row],[kosten / jaar werkdagen]]</f>
        <v>0</v>
      </c>
      <c r="AH203" s="253"/>
      <c r="AI203" s="252" t="str">
        <f>IF(Ruimtestaat[[#This Row],[Frequentie werkdagen]]="","",_xlfn.CONCAT(Ruimtestaat[[#This Row],[Ruimte code]],"-",Ruimtestaat[[#This Row],[Frequentie werkdagen]]," ",Ruimtestaat[[#This Row],[Vloer code]]))</f>
        <v>16-5w P</v>
      </c>
      <c r="AJ203" s="247" t="str">
        <f>_xlfn.IFNA(VLOOKUP(Ruimtestaat[[#This Row],[Programmacode
Regulier]],Programma!$F$4:$Y$36148,2,0),"_")</f>
        <v>_</v>
      </c>
      <c r="AK203" s="247" t="str">
        <f>_xlfn.IFNA(VLOOKUP(Ruimtestaat[[#This Row],[Programmacode
Regulier]],Programma!$F$4:$Y$36148,3,0),"_")</f>
        <v>_</v>
      </c>
      <c r="AL203" s="247" t="str">
        <f>_xlfn.IFNA(VLOOKUP(Ruimtestaat[[#This Row],[Programmacode
Regulier]],Programma!$F$4:$Y$36148,4,0),"_")</f>
        <v>5w</v>
      </c>
      <c r="AM203" s="247" t="str">
        <f>_xlfn.IFNA(VLOOKUP(Ruimtestaat[[#This Row],[Programmacode
Regulier]],Programma!$F$4:$Y$36148,5,0),"_")</f>
        <v>1w</v>
      </c>
      <c r="AN203" s="247" t="str">
        <f>_xlfn.IFNA(VLOOKUP(Ruimtestaat[[#This Row],[Programmacode
Regulier]],Programma!$F$4:$Y$36148,6,0),"_")</f>
        <v>1m</v>
      </c>
      <c r="AO203" s="247" t="str">
        <f>_xlfn.IFNA(VLOOKUP(Ruimtestaat[[#This Row],[Programmacode
Regulier]],Programma!$F$4:$Y$36148,7,0),"_")</f>
        <v>_</v>
      </c>
      <c r="AP203" s="247" t="str">
        <f>_xlfn.IFNA(VLOOKUP(Ruimtestaat[[#This Row],[Programmacode
Regulier]],Programma!$F$4:$Y$36148,8,0),"_")</f>
        <v>_</v>
      </c>
      <c r="AQ203" s="247" t="str">
        <f>_xlfn.IFNA(VLOOKUP(Ruimtestaat[[#This Row],[Programmacode
Regulier]],Programma!$F$4:$Y$36148,9,0),"_")</f>
        <v>_</v>
      </c>
      <c r="AR203" s="248" t="str">
        <f>_xlfn.IFNA(VLOOKUP(Ruimtestaat[[#This Row],[Programmacode
Regulier]],Programma!$F$4:$Y$36148,10,0),"_")</f>
        <v>5w</v>
      </c>
      <c r="AS203" s="248" t="str">
        <f>_xlfn.IFNA(VLOOKUP(Ruimtestaat[[#This Row],[Programmacode
Regulier]],Programma!$F$4:$Y$36148,11,0),"_")</f>
        <v>5w</v>
      </c>
      <c r="AT203" s="248" t="str">
        <f>_xlfn.IFNA(VLOOKUP(Ruimtestaat[[#This Row],[Programmacode
Regulier]],Programma!$F$4:$Y$36148,12,0),"_")</f>
        <v>1w</v>
      </c>
      <c r="AU203" s="248" t="str">
        <f>_xlfn.IFNA(VLOOKUP(Ruimtestaat[[#This Row],[Programmacode
Regulier]],Programma!$F$4:$Y$36148,13,0),"_")</f>
        <v>1w</v>
      </c>
      <c r="AV203" s="248" t="str">
        <f>_xlfn.IFNA(VLOOKUP(Ruimtestaat[[#This Row],[Programmacode
Regulier]],Programma!$F$4:$Y$36148,14,0),"_")</f>
        <v>1m</v>
      </c>
      <c r="AW203" s="248" t="str">
        <f>_xlfn.IFNA(VLOOKUP(Ruimtestaat[[#This Row],[Programmacode
Regulier]],Programma!$F$4:$Y$36148,15,0),"_")</f>
        <v>2j</v>
      </c>
      <c r="AX203" s="248" t="str">
        <f>_xlfn.IFNA(VLOOKUP(Ruimtestaat[[#This Row],[Programmacode
Regulier]],Programma!$F$4:$Y$36148,16,0),"_")</f>
        <v>1j</v>
      </c>
      <c r="AY203" s="248" t="str">
        <f>_xlfn.IFNA(VLOOKUP(Ruimtestaat[[#This Row],[Programmacode
Regulier]],Programma!$F$4:$Y$36148,17,0),"_")</f>
        <v>_</v>
      </c>
      <c r="AZ203" s="249" t="str">
        <f>_xlfn.IFNA(VLOOKUP(Ruimtestaat[[#This Row],[Programmacode
Regulier]],Programma!$F$4:$Y$36148,18,0),"_")</f>
        <v>_</v>
      </c>
      <c r="BA203" s="249" t="str">
        <f>_xlfn.IFNA(VLOOKUP(Ruimtestaat[[#This Row],[Programmacode
Regulier]],Programma!$F$4:$Y$36148,19,0),"_")</f>
        <v>_</v>
      </c>
      <c r="BB203" s="249" t="str">
        <f>_xlfn.IFNA(VLOOKUP(Ruimtestaat[[#This Row],[Programmacode
Regulier]],Programma!$F$4:$Y$36148,20,0),"_")</f>
        <v>_</v>
      </c>
      <c r="BC203" s="250"/>
      <c r="BD203" s="212" t="str">
        <f>IF(Ruimtestaat[[#This Row],[Frequentie weekend]]="","",_xlfn.CONCAT(Ruimtestaat[[#This Row],[Ruimte code]],"-",Ruimtestaat[[#This Row],[Frequentie weekend]]," ",Ruimtestaat[[#This Row],[Vloer code]]))</f>
        <v/>
      </c>
      <c r="BE203" s="247" t="str">
        <f>_xlfn.IFNA(VLOOKUP(Ruimtestaat[[#This Row],[Code Weekend]],Programma!$F$4:$Y$36148,2,0),"_")</f>
        <v>_</v>
      </c>
      <c r="BF203" s="247" t="str">
        <f>_xlfn.IFNA(VLOOKUP(Ruimtestaat[[#This Row],[Code Weekend]],Programma!$F$4:$Y$36148,3,0),"_")</f>
        <v>_</v>
      </c>
      <c r="BG203" s="247" t="str">
        <f>_xlfn.IFNA(VLOOKUP(Ruimtestaat[[#This Row],[Code Weekend]],Programma!$F$4:$Y$36148,4,0),"_")</f>
        <v>_</v>
      </c>
      <c r="BH203" s="247" t="str">
        <f>_xlfn.IFNA(VLOOKUP(Ruimtestaat[[#This Row],[Code Weekend]],Programma!$F$4:$Y$36148,5,0),"_")</f>
        <v>_</v>
      </c>
      <c r="BI203" s="247" t="str">
        <f>_xlfn.IFNA(VLOOKUP(Ruimtestaat[[#This Row],[Code Weekend]],Programma!$F$4:$Y$36148,6,0),"_")</f>
        <v>_</v>
      </c>
      <c r="BJ203" s="247" t="str">
        <f>_xlfn.IFNA(VLOOKUP(Ruimtestaat[[#This Row],[Code Weekend]],Programma!$F$4:$Y$36148,7,0),"_")</f>
        <v>_</v>
      </c>
      <c r="BK203" s="247" t="str">
        <f>_xlfn.IFNA(VLOOKUP(Ruimtestaat[[#This Row],[Code Weekend]],Programma!$F$4:$Y$36148,8,0),"_")</f>
        <v>_</v>
      </c>
      <c r="BL203" s="247" t="str">
        <f>_xlfn.IFNA(VLOOKUP(Ruimtestaat[[#This Row],[Code Weekend]],Programma!$F$4:$Y$36148,9,0),"_")</f>
        <v>_</v>
      </c>
      <c r="BM203" s="248" t="str">
        <f>_xlfn.IFNA(VLOOKUP(Ruimtestaat[[#This Row],[Code Weekend]],Programma!$F$4:$Y$36148,10,0),"_")</f>
        <v>_</v>
      </c>
      <c r="BN203" s="248" t="str">
        <f>_xlfn.IFNA(VLOOKUP(Ruimtestaat[[#This Row],[Code Weekend]],Programma!$F$4:$Y$36148,11,0),"_")</f>
        <v>_</v>
      </c>
      <c r="BO203" s="248" t="str">
        <f>_xlfn.IFNA(VLOOKUP(Ruimtestaat[[#This Row],[Code Weekend]],Programma!$F$4:$Y$36148,12,0),"_")</f>
        <v>_</v>
      </c>
      <c r="BP203" s="248" t="str">
        <f>_xlfn.IFNA(VLOOKUP(Ruimtestaat[[#This Row],[Code Weekend]],Programma!$F$4:$Y$36148,13,0),"_")</f>
        <v>_</v>
      </c>
      <c r="BQ203" s="248" t="str">
        <f>_xlfn.IFNA(VLOOKUP(Ruimtestaat[[#This Row],[Code Weekend]],Programma!$F$4:$Y$36148,14,0),"_")</f>
        <v>_</v>
      </c>
      <c r="BR203" s="248" t="str">
        <f>_xlfn.IFNA(VLOOKUP(Ruimtestaat[[#This Row],[Code Weekend]],Programma!$F$4:$Y$36148,15,0),"_")</f>
        <v>_</v>
      </c>
      <c r="BS203" s="248" t="str">
        <f>_xlfn.IFNA(VLOOKUP(Ruimtestaat[[#This Row],[Code Weekend]],Programma!$F$4:$Y$36148,16,0),"_")</f>
        <v>_</v>
      </c>
      <c r="BT203" s="248" t="str">
        <f>_xlfn.IFNA(VLOOKUP(Ruimtestaat[[#This Row],[Code Weekend]],Programma!$F$4:$Y$36148,17,0),"_")</f>
        <v>_</v>
      </c>
      <c r="BU203" s="249" t="str">
        <f>_xlfn.IFNA(VLOOKUP(Ruimtestaat[[#This Row],[Code Weekend]],Programma!$F$4:$Y$36148,18,0),"_")</f>
        <v>_</v>
      </c>
      <c r="BV203" s="249" t="str">
        <f>_xlfn.IFNA(VLOOKUP(Ruimtestaat[[#This Row],[Code Weekend]],Programma!$F$4:$Y$36148,19,0),"_")</f>
        <v>_</v>
      </c>
      <c r="BW203" s="249" t="str">
        <f>_xlfn.IFNA(VLOOKUP(Ruimtestaat[[#This Row],[Code Weekend]],Programma!$F$4:$Y$36148,20,0),"_")</f>
        <v>_</v>
      </c>
    </row>
    <row r="204" spans="1:75" ht="12.75" customHeight="1">
      <c r="A204" s="334">
        <v>1</v>
      </c>
      <c r="B204" s="334" t="str">
        <f>VLOOKUP(Ruimtestaat[[#This Row],[Code]],Locaties[#All],2,FALSE)</f>
        <v>ESH Secondary School</v>
      </c>
      <c r="C204" s="212" t="str">
        <f>VLOOKUP(Ruimtestaat[[#This Row],[Code]],Locaties[#All],4,FALSE)</f>
        <v>Oostduinlaan 50</v>
      </c>
      <c r="D204" s="212" t="str">
        <f>VLOOKUP(Ruimtestaat[[#This Row],[Code]],Locaties[#All],5,FALSE)</f>
        <v>2596 JP</v>
      </c>
      <c r="E204" s="212" t="str">
        <f>VLOOKUP(Ruimtestaat[[#This Row],[Code]],Locaties[#All],6,FALSE)</f>
        <v>Den Haag</v>
      </c>
      <c r="F204" s="335"/>
      <c r="G204" s="334" t="s">
        <v>1737</v>
      </c>
      <c r="H204" s="334" t="s">
        <v>1710</v>
      </c>
      <c r="I204" s="335" t="s">
        <v>1732</v>
      </c>
      <c r="J204" s="333">
        <v>16</v>
      </c>
      <c r="K204" s="336" t="str">
        <f>VLOOKUP(J204,Ruimtegroepen[],2,FALSE)</f>
        <v>Leslokalen</v>
      </c>
      <c r="L204" s="212" t="s">
        <v>123</v>
      </c>
      <c r="M204" s="334" t="s">
        <v>144</v>
      </c>
      <c r="N204" s="337">
        <v>42</v>
      </c>
      <c r="O204" s="331"/>
      <c r="P204" s="332" t="str">
        <f>VLOOKUP(Ruimtestaat[[#This Row],[Ruimte code]],Ruimtegroepen[],4,FALSE)</f>
        <v>L  (Lesruimte)</v>
      </c>
      <c r="Q204" s="332"/>
      <c r="R204" s="333">
        <v>40</v>
      </c>
      <c r="S204" s="333" t="s">
        <v>2</v>
      </c>
      <c r="T204" s="37"/>
      <c r="U204" s="37">
        <f>IF(R204&gt;0,IF(RIGHT(Ruimtestaat[[#This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04" s="37">
        <f>IF(U204&gt;0,VLOOKUP($J204,Ruimtegroepen[],3,FALSE)*VLOOKUP($L204,Vloersoorten[],3,FALSE)*VLOOKUP($S204,Frequenties[],3,FALSE)*VLOOKUP($A204,Locaties[],3,FALSE),0)</f>
        <v>0</v>
      </c>
      <c r="W204" s="37">
        <f>Ruimtestaat[[#This Row],[Uitvoeringen werkdagen]]*Ruimtestaat[[#This Row],[Oppervlak (netto)]]</f>
        <v>8400</v>
      </c>
      <c r="X204" s="37">
        <f>IF(V204&gt;0,Ruimtestaat[[#This Row],[Prest. (m2 /jaar) werkdagen]]/Ruimtestaat[[#This Row],[Norm (m2/uur) werkdagen]],0)</f>
        <v>0</v>
      </c>
      <c r="Y204" s="37">
        <f>Ruimtestaat[[#This Row],[uren / jaar werkdagen]]*Tariefsopbouw!$D$38</f>
        <v>0</v>
      </c>
      <c r="Z204" s="37">
        <f>IF(Ruimtestaat[[#This Row],[Frequentie weekend]]&gt;0,VALUE(LEFT(T204,1))*R204,0)</f>
        <v>0</v>
      </c>
      <c r="AA204" s="37">
        <f>IF($Z204&gt;0,VLOOKUP($J204,Ruimtegroepen[],3,FALSE)*VLOOKUP($L204,Vloersoorten[],3,FALSE)*VLOOKUP($T204,Frequenties[],3,FALSE)*VLOOKUP($A204,Locaties[],3,FALSE),0)</f>
        <v>0</v>
      </c>
      <c r="AB204" s="37">
        <f>Ruimtestaat[[#This Row],[Uitvoeringen weekend]]*Ruimtestaat[[#This Row],[Oppervlak (netto)]]</f>
        <v>0</v>
      </c>
      <c r="AC204" s="37">
        <f>IF(AA204&gt;0,Ruimtestaat[[#This Row],[Prest. (m2 /jaar) weekend]]/Ruimtestaat[[#This Row],[Norm (m2/uur) weekend]],0)</f>
        <v>0</v>
      </c>
      <c r="AD204" s="37">
        <f>Ruimtestaat[[#This Row],[uren / jaar weekend]]*Tariefsopbouw!$D$40</f>
        <v>0</v>
      </c>
      <c r="AE204" s="89">
        <f>Ruimtestaat[[#This Row],[Prest. (m2 /jaar) weekend]]+Ruimtestaat[[#This Row],[Prest. (m2 /jaar) werkdagen]]</f>
        <v>8400</v>
      </c>
      <c r="AF204" s="89">
        <f>Ruimtestaat[[#This Row],[uren / jaar weekend]]+Ruimtestaat[[#This Row],[uren / jaar werkdagen]]</f>
        <v>0</v>
      </c>
      <c r="AG204" s="90">
        <f>Ruimtestaat[[#This Row],[kosten / jaar weekend]]+Ruimtestaat[[#This Row],[kosten / jaar werkdagen]]</f>
        <v>0</v>
      </c>
      <c r="AH204" s="253"/>
      <c r="AI204" s="252" t="str">
        <f>IF(Ruimtestaat[[#This Row],[Frequentie werkdagen]]="","",_xlfn.CONCAT(Ruimtestaat[[#This Row],[Ruimte code]],"-",Ruimtestaat[[#This Row],[Frequentie werkdagen]]," ",Ruimtestaat[[#This Row],[Vloer code]]))</f>
        <v>16-5w P</v>
      </c>
      <c r="AJ204" s="247" t="str">
        <f>_xlfn.IFNA(VLOOKUP(Ruimtestaat[[#This Row],[Programmacode
Regulier]],Programma!$F$4:$Y$36148,2,0),"_")</f>
        <v>_</v>
      </c>
      <c r="AK204" s="247" t="str">
        <f>_xlfn.IFNA(VLOOKUP(Ruimtestaat[[#This Row],[Programmacode
Regulier]],Programma!$F$4:$Y$36148,3,0),"_")</f>
        <v>_</v>
      </c>
      <c r="AL204" s="247" t="str">
        <f>_xlfn.IFNA(VLOOKUP(Ruimtestaat[[#This Row],[Programmacode
Regulier]],Programma!$F$4:$Y$36148,4,0),"_")</f>
        <v>5w</v>
      </c>
      <c r="AM204" s="247" t="str">
        <f>_xlfn.IFNA(VLOOKUP(Ruimtestaat[[#This Row],[Programmacode
Regulier]],Programma!$F$4:$Y$36148,5,0),"_")</f>
        <v>1w</v>
      </c>
      <c r="AN204" s="247" t="str">
        <f>_xlfn.IFNA(VLOOKUP(Ruimtestaat[[#This Row],[Programmacode
Regulier]],Programma!$F$4:$Y$36148,6,0),"_")</f>
        <v>1m</v>
      </c>
      <c r="AO204" s="247" t="str">
        <f>_xlfn.IFNA(VLOOKUP(Ruimtestaat[[#This Row],[Programmacode
Regulier]],Programma!$F$4:$Y$36148,7,0),"_")</f>
        <v>_</v>
      </c>
      <c r="AP204" s="247" t="str">
        <f>_xlfn.IFNA(VLOOKUP(Ruimtestaat[[#This Row],[Programmacode
Regulier]],Programma!$F$4:$Y$36148,8,0),"_")</f>
        <v>_</v>
      </c>
      <c r="AQ204" s="247" t="str">
        <f>_xlfn.IFNA(VLOOKUP(Ruimtestaat[[#This Row],[Programmacode
Regulier]],Programma!$F$4:$Y$36148,9,0),"_")</f>
        <v>_</v>
      </c>
      <c r="AR204" s="248" t="str">
        <f>_xlfn.IFNA(VLOOKUP(Ruimtestaat[[#This Row],[Programmacode
Regulier]],Programma!$F$4:$Y$36148,10,0),"_")</f>
        <v>5w</v>
      </c>
      <c r="AS204" s="248" t="str">
        <f>_xlfn.IFNA(VLOOKUP(Ruimtestaat[[#This Row],[Programmacode
Regulier]],Programma!$F$4:$Y$36148,11,0),"_")</f>
        <v>5w</v>
      </c>
      <c r="AT204" s="248" t="str">
        <f>_xlfn.IFNA(VLOOKUP(Ruimtestaat[[#This Row],[Programmacode
Regulier]],Programma!$F$4:$Y$36148,12,0),"_")</f>
        <v>1w</v>
      </c>
      <c r="AU204" s="248" t="str">
        <f>_xlfn.IFNA(VLOOKUP(Ruimtestaat[[#This Row],[Programmacode
Regulier]],Programma!$F$4:$Y$36148,13,0),"_")</f>
        <v>1w</v>
      </c>
      <c r="AV204" s="248" t="str">
        <f>_xlfn.IFNA(VLOOKUP(Ruimtestaat[[#This Row],[Programmacode
Regulier]],Programma!$F$4:$Y$36148,14,0),"_")</f>
        <v>1m</v>
      </c>
      <c r="AW204" s="248" t="str">
        <f>_xlfn.IFNA(VLOOKUP(Ruimtestaat[[#This Row],[Programmacode
Regulier]],Programma!$F$4:$Y$36148,15,0),"_")</f>
        <v>2j</v>
      </c>
      <c r="AX204" s="248" t="str">
        <f>_xlfn.IFNA(VLOOKUP(Ruimtestaat[[#This Row],[Programmacode
Regulier]],Programma!$F$4:$Y$36148,16,0),"_")</f>
        <v>1j</v>
      </c>
      <c r="AY204" s="248" t="str">
        <f>_xlfn.IFNA(VLOOKUP(Ruimtestaat[[#This Row],[Programmacode
Regulier]],Programma!$F$4:$Y$36148,17,0),"_")</f>
        <v>_</v>
      </c>
      <c r="AZ204" s="249" t="str">
        <f>_xlfn.IFNA(VLOOKUP(Ruimtestaat[[#This Row],[Programmacode
Regulier]],Programma!$F$4:$Y$36148,18,0),"_")</f>
        <v>_</v>
      </c>
      <c r="BA204" s="249" t="str">
        <f>_xlfn.IFNA(VLOOKUP(Ruimtestaat[[#This Row],[Programmacode
Regulier]],Programma!$F$4:$Y$36148,19,0),"_")</f>
        <v>_</v>
      </c>
      <c r="BB204" s="249" t="str">
        <f>_xlfn.IFNA(VLOOKUP(Ruimtestaat[[#This Row],[Programmacode
Regulier]],Programma!$F$4:$Y$36148,20,0),"_")</f>
        <v>_</v>
      </c>
      <c r="BC204" s="250"/>
      <c r="BD204" s="212" t="str">
        <f>IF(Ruimtestaat[[#This Row],[Frequentie weekend]]="","",_xlfn.CONCAT(Ruimtestaat[[#This Row],[Ruimte code]],"-",Ruimtestaat[[#This Row],[Frequentie weekend]]," ",Ruimtestaat[[#This Row],[Vloer code]]))</f>
        <v/>
      </c>
      <c r="BE204" s="247" t="str">
        <f>_xlfn.IFNA(VLOOKUP(Ruimtestaat[[#This Row],[Code Weekend]],Programma!$F$4:$Y$36148,2,0),"_")</f>
        <v>_</v>
      </c>
      <c r="BF204" s="247" t="str">
        <f>_xlfn.IFNA(VLOOKUP(Ruimtestaat[[#This Row],[Code Weekend]],Programma!$F$4:$Y$36148,3,0),"_")</f>
        <v>_</v>
      </c>
      <c r="BG204" s="247" t="str">
        <f>_xlfn.IFNA(VLOOKUP(Ruimtestaat[[#This Row],[Code Weekend]],Programma!$F$4:$Y$36148,4,0),"_")</f>
        <v>_</v>
      </c>
      <c r="BH204" s="247" t="str">
        <f>_xlfn.IFNA(VLOOKUP(Ruimtestaat[[#This Row],[Code Weekend]],Programma!$F$4:$Y$36148,5,0),"_")</f>
        <v>_</v>
      </c>
      <c r="BI204" s="247" t="str">
        <f>_xlfn.IFNA(VLOOKUP(Ruimtestaat[[#This Row],[Code Weekend]],Programma!$F$4:$Y$36148,6,0),"_")</f>
        <v>_</v>
      </c>
      <c r="BJ204" s="247" t="str">
        <f>_xlfn.IFNA(VLOOKUP(Ruimtestaat[[#This Row],[Code Weekend]],Programma!$F$4:$Y$36148,7,0),"_")</f>
        <v>_</v>
      </c>
      <c r="BK204" s="247" t="str">
        <f>_xlfn.IFNA(VLOOKUP(Ruimtestaat[[#This Row],[Code Weekend]],Programma!$F$4:$Y$36148,8,0),"_")</f>
        <v>_</v>
      </c>
      <c r="BL204" s="247" t="str">
        <f>_xlfn.IFNA(VLOOKUP(Ruimtestaat[[#This Row],[Code Weekend]],Programma!$F$4:$Y$36148,9,0),"_")</f>
        <v>_</v>
      </c>
      <c r="BM204" s="248" t="str">
        <f>_xlfn.IFNA(VLOOKUP(Ruimtestaat[[#This Row],[Code Weekend]],Programma!$F$4:$Y$36148,10,0),"_")</f>
        <v>_</v>
      </c>
      <c r="BN204" s="248" t="str">
        <f>_xlfn.IFNA(VLOOKUP(Ruimtestaat[[#This Row],[Code Weekend]],Programma!$F$4:$Y$36148,11,0),"_")</f>
        <v>_</v>
      </c>
      <c r="BO204" s="248" t="str">
        <f>_xlfn.IFNA(VLOOKUP(Ruimtestaat[[#This Row],[Code Weekend]],Programma!$F$4:$Y$36148,12,0),"_")</f>
        <v>_</v>
      </c>
      <c r="BP204" s="248" t="str">
        <f>_xlfn.IFNA(VLOOKUP(Ruimtestaat[[#This Row],[Code Weekend]],Programma!$F$4:$Y$36148,13,0),"_")</f>
        <v>_</v>
      </c>
      <c r="BQ204" s="248" t="str">
        <f>_xlfn.IFNA(VLOOKUP(Ruimtestaat[[#This Row],[Code Weekend]],Programma!$F$4:$Y$36148,14,0),"_")</f>
        <v>_</v>
      </c>
      <c r="BR204" s="248" t="str">
        <f>_xlfn.IFNA(VLOOKUP(Ruimtestaat[[#This Row],[Code Weekend]],Programma!$F$4:$Y$36148,15,0),"_")</f>
        <v>_</v>
      </c>
      <c r="BS204" s="248" t="str">
        <f>_xlfn.IFNA(VLOOKUP(Ruimtestaat[[#This Row],[Code Weekend]],Programma!$F$4:$Y$36148,16,0),"_")</f>
        <v>_</v>
      </c>
      <c r="BT204" s="248" t="str">
        <f>_xlfn.IFNA(VLOOKUP(Ruimtestaat[[#This Row],[Code Weekend]],Programma!$F$4:$Y$36148,17,0),"_")</f>
        <v>_</v>
      </c>
      <c r="BU204" s="249" t="str">
        <f>_xlfn.IFNA(VLOOKUP(Ruimtestaat[[#This Row],[Code Weekend]],Programma!$F$4:$Y$36148,18,0),"_")</f>
        <v>_</v>
      </c>
      <c r="BV204" s="249" t="str">
        <f>_xlfn.IFNA(VLOOKUP(Ruimtestaat[[#This Row],[Code Weekend]],Programma!$F$4:$Y$36148,19,0),"_")</f>
        <v>_</v>
      </c>
      <c r="BW204" s="249" t="str">
        <f>_xlfn.IFNA(VLOOKUP(Ruimtestaat[[#This Row],[Code Weekend]],Programma!$F$4:$Y$36148,20,0),"_")</f>
        <v>_</v>
      </c>
    </row>
    <row r="205" spans="1:75" ht="12.75" customHeight="1">
      <c r="A205" s="334">
        <v>1</v>
      </c>
      <c r="B205" s="334" t="str">
        <f>VLOOKUP(Ruimtestaat[[#This Row],[Code]],Locaties[#All],2,FALSE)</f>
        <v>ESH Secondary School</v>
      </c>
      <c r="C205" s="212" t="str">
        <f>VLOOKUP(Ruimtestaat[[#This Row],[Code]],Locaties[#All],4,FALSE)</f>
        <v>Oostduinlaan 50</v>
      </c>
      <c r="D205" s="212" t="str">
        <f>VLOOKUP(Ruimtestaat[[#This Row],[Code]],Locaties[#All],5,FALSE)</f>
        <v>2596 JP</v>
      </c>
      <c r="E205" s="212" t="str">
        <f>VLOOKUP(Ruimtestaat[[#This Row],[Code]],Locaties[#All],6,FALSE)</f>
        <v>Den Haag</v>
      </c>
      <c r="F205" s="335"/>
      <c r="G205" s="334" t="s">
        <v>1737</v>
      </c>
      <c r="H205" s="334" t="s">
        <v>1711</v>
      </c>
      <c r="I205" s="335" t="s">
        <v>1684</v>
      </c>
      <c r="J205" s="333">
        <v>16</v>
      </c>
      <c r="K205" s="336" t="str">
        <f>VLOOKUP(J205,Ruimtegroepen[],2,FALSE)</f>
        <v>Leslokalen</v>
      </c>
      <c r="L205" s="212" t="s">
        <v>123</v>
      </c>
      <c r="M205" s="334" t="s">
        <v>144</v>
      </c>
      <c r="N205" s="337">
        <v>42</v>
      </c>
      <c r="O205" s="331"/>
      <c r="P205" s="332" t="str">
        <f>VLOOKUP(Ruimtestaat[[#This Row],[Ruimte code]],Ruimtegroepen[],4,FALSE)</f>
        <v>L  (Lesruimte)</v>
      </c>
      <c r="Q205" s="332"/>
      <c r="R205" s="333">
        <v>40</v>
      </c>
      <c r="S205" s="333" t="s">
        <v>2</v>
      </c>
      <c r="T205" s="37"/>
      <c r="U205" s="37">
        <f>IF(R205&gt;0,IF(RIGHT(Ruimtestaat[[#This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05" s="37">
        <f>IF(U205&gt;0,VLOOKUP($J205,Ruimtegroepen[],3,FALSE)*VLOOKUP($L205,Vloersoorten[],3,FALSE)*VLOOKUP($S205,Frequenties[],3,FALSE)*VLOOKUP($A205,Locaties[],3,FALSE),0)</f>
        <v>0</v>
      </c>
      <c r="W205" s="37">
        <f>Ruimtestaat[[#This Row],[Uitvoeringen werkdagen]]*Ruimtestaat[[#This Row],[Oppervlak (netto)]]</f>
        <v>8400</v>
      </c>
      <c r="X205" s="37">
        <f>IF(V205&gt;0,Ruimtestaat[[#This Row],[Prest. (m2 /jaar) werkdagen]]/Ruimtestaat[[#This Row],[Norm (m2/uur) werkdagen]],0)</f>
        <v>0</v>
      </c>
      <c r="Y205" s="37">
        <f>Ruimtestaat[[#This Row],[uren / jaar werkdagen]]*Tariefsopbouw!$D$38</f>
        <v>0</v>
      </c>
      <c r="Z205" s="37">
        <f>IF(Ruimtestaat[[#This Row],[Frequentie weekend]]&gt;0,VALUE(LEFT(T205,1))*R205,0)</f>
        <v>0</v>
      </c>
      <c r="AA205" s="37">
        <f>IF($Z205&gt;0,VLOOKUP($J205,Ruimtegroepen[],3,FALSE)*VLOOKUP($L205,Vloersoorten[],3,FALSE)*VLOOKUP($T205,Frequenties[],3,FALSE)*VLOOKUP($A205,Locaties[],3,FALSE),0)</f>
        <v>0</v>
      </c>
      <c r="AB205" s="37">
        <f>Ruimtestaat[[#This Row],[Uitvoeringen weekend]]*Ruimtestaat[[#This Row],[Oppervlak (netto)]]</f>
        <v>0</v>
      </c>
      <c r="AC205" s="37">
        <f>IF(AA205&gt;0,Ruimtestaat[[#This Row],[Prest. (m2 /jaar) weekend]]/Ruimtestaat[[#This Row],[Norm (m2/uur) weekend]],0)</f>
        <v>0</v>
      </c>
      <c r="AD205" s="37">
        <f>Ruimtestaat[[#This Row],[uren / jaar weekend]]*Tariefsopbouw!$D$40</f>
        <v>0</v>
      </c>
      <c r="AE205" s="89">
        <f>Ruimtestaat[[#This Row],[Prest. (m2 /jaar) weekend]]+Ruimtestaat[[#This Row],[Prest. (m2 /jaar) werkdagen]]</f>
        <v>8400</v>
      </c>
      <c r="AF205" s="89">
        <f>Ruimtestaat[[#This Row],[uren / jaar weekend]]+Ruimtestaat[[#This Row],[uren / jaar werkdagen]]</f>
        <v>0</v>
      </c>
      <c r="AG205" s="90">
        <f>Ruimtestaat[[#This Row],[kosten / jaar weekend]]+Ruimtestaat[[#This Row],[kosten / jaar werkdagen]]</f>
        <v>0</v>
      </c>
      <c r="AH205" s="253"/>
      <c r="AI205" s="252" t="str">
        <f>IF(Ruimtestaat[[#This Row],[Frequentie werkdagen]]="","",_xlfn.CONCAT(Ruimtestaat[[#This Row],[Ruimte code]],"-",Ruimtestaat[[#This Row],[Frequentie werkdagen]]," ",Ruimtestaat[[#This Row],[Vloer code]]))</f>
        <v>16-5w P</v>
      </c>
      <c r="AJ205" s="247" t="str">
        <f>_xlfn.IFNA(VLOOKUP(Ruimtestaat[[#This Row],[Programmacode
Regulier]],Programma!$F$4:$Y$36148,2,0),"_")</f>
        <v>_</v>
      </c>
      <c r="AK205" s="247" t="str">
        <f>_xlfn.IFNA(VLOOKUP(Ruimtestaat[[#This Row],[Programmacode
Regulier]],Programma!$F$4:$Y$36148,3,0),"_")</f>
        <v>_</v>
      </c>
      <c r="AL205" s="247" t="str">
        <f>_xlfn.IFNA(VLOOKUP(Ruimtestaat[[#This Row],[Programmacode
Regulier]],Programma!$F$4:$Y$36148,4,0),"_")</f>
        <v>5w</v>
      </c>
      <c r="AM205" s="247" t="str">
        <f>_xlfn.IFNA(VLOOKUP(Ruimtestaat[[#This Row],[Programmacode
Regulier]],Programma!$F$4:$Y$36148,5,0),"_")</f>
        <v>1w</v>
      </c>
      <c r="AN205" s="247" t="str">
        <f>_xlfn.IFNA(VLOOKUP(Ruimtestaat[[#This Row],[Programmacode
Regulier]],Programma!$F$4:$Y$36148,6,0),"_")</f>
        <v>1m</v>
      </c>
      <c r="AO205" s="247" t="str">
        <f>_xlfn.IFNA(VLOOKUP(Ruimtestaat[[#This Row],[Programmacode
Regulier]],Programma!$F$4:$Y$36148,7,0),"_")</f>
        <v>_</v>
      </c>
      <c r="AP205" s="247" t="str">
        <f>_xlfn.IFNA(VLOOKUP(Ruimtestaat[[#This Row],[Programmacode
Regulier]],Programma!$F$4:$Y$36148,8,0),"_")</f>
        <v>_</v>
      </c>
      <c r="AQ205" s="247" t="str">
        <f>_xlfn.IFNA(VLOOKUP(Ruimtestaat[[#This Row],[Programmacode
Regulier]],Programma!$F$4:$Y$36148,9,0),"_")</f>
        <v>_</v>
      </c>
      <c r="AR205" s="248" t="str">
        <f>_xlfn.IFNA(VLOOKUP(Ruimtestaat[[#This Row],[Programmacode
Regulier]],Programma!$F$4:$Y$36148,10,0),"_")</f>
        <v>5w</v>
      </c>
      <c r="AS205" s="248" t="str">
        <f>_xlfn.IFNA(VLOOKUP(Ruimtestaat[[#This Row],[Programmacode
Regulier]],Programma!$F$4:$Y$36148,11,0),"_")</f>
        <v>5w</v>
      </c>
      <c r="AT205" s="248" t="str">
        <f>_xlfn.IFNA(VLOOKUP(Ruimtestaat[[#This Row],[Programmacode
Regulier]],Programma!$F$4:$Y$36148,12,0),"_")</f>
        <v>1w</v>
      </c>
      <c r="AU205" s="248" t="str">
        <f>_xlfn.IFNA(VLOOKUP(Ruimtestaat[[#This Row],[Programmacode
Regulier]],Programma!$F$4:$Y$36148,13,0),"_")</f>
        <v>1w</v>
      </c>
      <c r="AV205" s="248" t="str">
        <f>_xlfn.IFNA(VLOOKUP(Ruimtestaat[[#This Row],[Programmacode
Regulier]],Programma!$F$4:$Y$36148,14,0),"_")</f>
        <v>1m</v>
      </c>
      <c r="AW205" s="248" t="str">
        <f>_xlfn.IFNA(VLOOKUP(Ruimtestaat[[#This Row],[Programmacode
Regulier]],Programma!$F$4:$Y$36148,15,0),"_")</f>
        <v>2j</v>
      </c>
      <c r="AX205" s="248" t="str">
        <f>_xlfn.IFNA(VLOOKUP(Ruimtestaat[[#This Row],[Programmacode
Regulier]],Programma!$F$4:$Y$36148,16,0),"_")</f>
        <v>1j</v>
      </c>
      <c r="AY205" s="248" t="str">
        <f>_xlfn.IFNA(VLOOKUP(Ruimtestaat[[#This Row],[Programmacode
Regulier]],Programma!$F$4:$Y$36148,17,0),"_")</f>
        <v>_</v>
      </c>
      <c r="AZ205" s="249" t="str">
        <f>_xlfn.IFNA(VLOOKUP(Ruimtestaat[[#This Row],[Programmacode
Regulier]],Programma!$F$4:$Y$36148,18,0),"_")</f>
        <v>_</v>
      </c>
      <c r="BA205" s="249" t="str">
        <f>_xlfn.IFNA(VLOOKUP(Ruimtestaat[[#This Row],[Programmacode
Regulier]],Programma!$F$4:$Y$36148,19,0),"_")</f>
        <v>_</v>
      </c>
      <c r="BB205" s="249" t="str">
        <f>_xlfn.IFNA(VLOOKUP(Ruimtestaat[[#This Row],[Programmacode
Regulier]],Programma!$F$4:$Y$36148,20,0),"_")</f>
        <v>_</v>
      </c>
      <c r="BC205" s="250"/>
      <c r="BD205" s="212" t="str">
        <f>IF(Ruimtestaat[[#This Row],[Frequentie weekend]]="","",_xlfn.CONCAT(Ruimtestaat[[#This Row],[Ruimte code]],"-",Ruimtestaat[[#This Row],[Frequentie weekend]]," ",Ruimtestaat[[#This Row],[Vloer code]]))</f>
        <v/>
      </c>
      <c r="BE205" s="247" t="str">
        <f>_xlfn.IFNA(VLOOKUP(Ruimtestaat[[#This Row],[Code Weekend]],Programma!$F$4:$Y$36148,2,0),"_")</f>
        <v>_</v>
      </c>
      <c r="BF205" s="247" t="str">
        <f>_xlfn.IFNA(VLOOKUP(Ruimtestaat[[#This Row],[Code Weekend]],Programma!$F$4:$Y$36148,3,0),"_")</f>
        <v>_</v>
      </c>
      <c r="BG205" s="247" t="str">
        <f>_xlfn.IFNA(VLOOKUP(Ruimtestaat[[#This Row],[Code Weekend]],Programma!$F$4:$Y$36148,4,0),"_")</f>
        <v>_</v>
      </c>
      <c r="BH205" s="247" t="str">
        <f>_xlfn.IFNA(VLOOKUP(Ruimtestaat[[#This Row],[Code Weekend]],Programma!$F$4:$Y$36148,5,0),"_")</f>
        <v>_</v>
      </c>
      <c r="BI205" s="247" t="str">
        <f>_xlfn.IFNA(VLOOKUP(Ruimtestaat[[#This Row],[Code Weekend]],Programma!$F$4:$Y$36148,6,0),"_")</f>
        <v>_</v>
      </c>
      <c r="BJ205" s="247" t="str">
        <f>_xlfn.IFNA(VLOOKUP(Ruimtestaat[[#This Row],[Code Weekend]],Programma!$F$4:$Y$36148,7,0),"_")</f>
        <v>_</v>
      </c>
      <c r="BK205" s="247" t="str">
        <f>_xlfn.IFNA(VLOOKUP(Ruimtestaat[[#This Row],[Code Weekend]],Programma!$F$4:$Y$36148,8,0),"_")</f>
        <v>_</v>
      </c>
      <c r="BL205" s="247" t="str">
        <f>_xlfn.IFNA(VLOOKUP(Ruimtestaat[[#This Row],[Code Weekend]],Programma!$F$4:$Y$36148,9,0),"_")</f>
        <v>_</v>
      </c>
      <c r="BM205" s="248" t="str">
        <f>_xlfn.IFNA(VLOOKUP(Ruimtestaat[[#This Row],[Code Weekend]],Programma!$F$4:$Y$36148,10,0),"_")</f>
        <v>_</v>
      </c>
      <c r="BN205" s="248" t="str">
        <f>_xlfn.IFNA(VLOOKUP(Ruimtestaat[[#This Row],[Code Weekend]],Programma!$F$4:$Y$36148,11,0),"_")</f>
        <v>_</v>
      </c>
      <c r="BO205" s="248" t="str">
        <f>_xlfn.IFNA(VLOOKUP(Ruimtestaat[[#This Row],[Code Weekend]],Programma!$F$4:$Y$36148,12,0),"_")</f>
        <v>_</v>
      </c>
      <c r="BP205" s="248" t="str">
        <f>_xlfn.IFNA(VLOOKUP(Ruimtestaat[[#This Row],[Code Weekend]],Programma!$F$4:$Y$36148,13,0),"_")</f>
        <v>_</v>
      </c>
      <c r="BQ205" s="248" t="str">
        <f>_xlfn.IFNA(VLOOKUP(Ruimtestaat[[#This Row],[Code Weekend]],Programma!$F$4:$Y$36148,14,0),"_")</f>
        <v>_</v>
      </c>
      <c r="BR205" s="248" t="str">
        <f>_xlfn.IFNA(VLOOKUP(Ruimtestaat[[#This Row],[Code Weekend]],Programma!$F$4:$Y$36148,15,0),"_")</f>
        <v>_</v>
      </c>
      <c r="BS205" s="248" t="str">
        <f>_xlfn.IFNA(VLOOKUP(Ruimtestaat[[#This Row],[Code Weekend]],Programma!$F$4:$Y$36148,16,0),"_")</f>
        <v>_</v>
      </c>
      <c r="BT205" s="248" t="str">
        <f>_xlfn.IFNA(VLOOKUP(Ruimtestaat[[#This Row],[Code Weekend]],Programma!$F$4:$Y$36148,17,0),"_")</f>
        <v>_</v>
      </c>
      <c r="BU205" s="249" t="str">
        <f>_xlfn.IFNA(VLOOKUP(Ruimtestaat[[#This Row],[Code Weekend]],Programma!$F$4:$Y$36148,18,0),"_")</f>
        <v>_</v>
      </c>
      <c r="BV205" s="249" t="str">
        <f>_xlfn.IFNA(VLOOKUP(Ruimtestaat[[#This Row],[Code Weekend]],Programma!$F$4:$Y$36148,19,0),"_")</f>
        <v>_</v>
      </c>
      <c r="BW205" s="249" t="str">
        <f>_xlfn.IFNA(VLOOKUP(Ruimtestaat[[#This Row],[Code Weekend]],Programma!$F$4:$Y$36148,20,0),"_")</f>
        <v>_</v>
      </c>
    </row>
    <row r="206" spans="1:75" ht="12.75" customHeight="1">
      <c r="A206" s="334">
        <v>1</v>
      </c>
      <c r="B206" s="334" t="str">
        <f>VLOOKUP(Ruimtestaat[[#This Row],[Code]],Locaties[#All],2,FALSE)</f>
        <v>ESH Secondary School</v>
      </c>
      <c r="C206" s="212" t="str">
        <f>VLOOKUP(Ruimtestaat[[#This Row],[Code]],Locaties[#All],4,FALSE)</f>
        <v>Oostduinlaan 50</v>
      </c>
      <c r="D206" s="212" t="str">
        <f>VLOOKUP(Ruimtestaat[[#This Row],[Code]],Locaties[#All],5,FALSE)</f>
        <v>2596 JP</v>
      </c>
      <c r="E206" s="212" t="str">
        <f>VLOOKUP(Ruimtestaat[[#This Row],[Code]],Locaties[#All],6,FALSE)</f>
        <v>Den Haag</v>
      </c>
      <c r="F206" s="335"/>
      <c r="G206" s="334" t="s">
        <v>1737</v>
      </c>
      <c r="H206" s="334" t="s">
        <v>1712</v>
      </c>
      <c r="I206" s="335" t="s">
        <v>1684</v>
      </c>
      <c r="J206" s="333">
        <v>16</v>
      </c>
      <c r="K206" s="336" t="str">
        <f>VLOOKUP(J206,Ruimtegroepen[],2,FALSE)</f>
        <v>Leslokalen</v>
      </c>
      <c r="L206" s="212" t="s">
        <v>123</v>
      </c>
      <c r="M206" s="334" t="s">
        <v>144</v>
      </c>
      <c r="N206" s="337">
        <v>42</v>
      </c>
      <c r="O206" s="331"/>
      <c r="P206" s="332" t="str">
        <f>VLOOKUP(Ruimtestaat[[#This Row],[Ruimte code]],Ruimtegroepen[],4,FALSE)</f>
        <v>L  (Lesruimte)</v>
      </c>
      <c r="Q206" s="332"/>
      <c r="R206" s="333">
        <v>40</v>
      </c>
      <c r="S206" s="333" t="s">
        <v>2</v>
      </c>
      <c r="T206" s="37"/>
      <c r="U206" s="37">
        <f>IF(R206&gt;0,IF(RIGHT(Ruimtestaat[[#This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06" s="37">
        <f>IF(U206&gt;0,VLOOKUP($J206,Ruimtegroepen[],3,FALSE)*VLOOKUP($L206,Vloersoorten[],3,FALSE)*VLOOKUP($S206,Frequenties[],3,FALSE)*VLOOKUP($A206,Locaties[],3,FALSE),0)</f>
        <v>0</v>
      </c>
      <c r="W206" s="37">
        <f>Ruimtestaat[[#This Row],[Uitvoeringen werkdagen]]*Ruimtestaat[[#This Row],[Oppervlak (netto)]]</f>
        <v>8400</v>
      </c>
      <c r="X206" s="37">
        <f>IF(V206&gt;0,Ruimtestaat[[#This Row],[Prest. (m2 /jaar) werkdagen]]/Ruimtestaat[[#This Row],[Norm (m2/uur) werkdagen]],0)</f>
        <v>0</v>
      </c>
      <c r="Y206" s="37">
        <f>Ruimtestaat[[#This Row],[uren / jaar werkdagen]]*Tariefsopbouw!$D$38</f>
        <v>0</v>
      </c>
      <c r="Z206" s="37">
        <f>IF(Ruimtestaat[[#This Row],[Frequentie weekend]]&gt;0,VALUE(LEFT(T206,1))*R206,0)</f>
        <v>0</v>
      </c>
      <c r="AA206" s="37">
        <f>IF($Z206&gt;0,VLOOKUP($J206,Ruimtegroepen[],3,FALSE)*VLOOKUP($L206,Vloersoorten[],3,FALSE)*VLOOKUP($T206,Frequenties[],3,FALSE)*VLOOKUP($A206,Locaties[],3,FALSE),0)</f>
        <v>0</v>
      </c>
      <c r="AB206" s="37">
        <f>Ruimtestaat[[#This Row],[Uitvoeringen weekend]]*Ruimtestaat[[#This Row],[Oppervlak (netto)]]</f>
        <v>0</v>
      </c>
      <c r="AC206" s="37">
        <f>IF(AA206&gt;0,Ruimtestaat[[#This Row],[Prest. (m2 /jaar) weekend]]/Ruimtestaat[[#This Row],[Norm (m2/uur) weekend]],0)</f>
        <v>0</v>
      </c>
      <c r="AD206" s="37">
        <f>Ruimtestaat[[#This Row],[uren / jaar weekend]]*Tariefsopbouw!$D$40</f>
        <v>0</v>
      </c>
      <c r="AE206" s="89">
        <f>Ruimtestaat[[#This Row],[Prest. (m2 /jaar) weekend]]+Ruimtestaat[[#This Row],[Prest. (m2 /jaar) werkdagen]]</f>
        <v>8400</v>
      </c>
      <c r="AF206" s="89">
        <f>Ruimtestaat[[#This Row],[uren / jaar weekend]]+Ruimtestaat[[#This Row],[uren / jaar werkdagen]]</f>
        <v>0</v>
      </c>
      <c r="AG206" s="90">
        <f>Ruimtestaat[[#This Row],[kosten / jaar weekend]]+Ruimtestaat[[#This Row],[kosten / jaar werkdagen]]</f>
        <v>0</v>
      </c>
      <c r="AH206" s="253"/>
      <c r="AI206" s="252" t="str">
        <f>IF(Ruimtestaat[[#This Row],[Frequentie werkdagen]]="","",_xlfn.CONCAT(Ruimtestaat[[#This Row],[Ruimte code]],"-",Ruimtestaat[[#This Row],[Frequentie werkdagen]]," ",Ruimtestaat[[#This Row],[Vloer code]]))</f>
        <v>16-5w P</v>
      </c>
      <c r="AJ206" s="247" t="str">
        <f>_xlfn.IFNA(VLOOKUP(Ruimtestaat[[#This Row],[Programmacode
Regulier]],Programma!$F$4:$Y$36148,2,0),"_")</f>
        <v>_</v>
      </c>
      <c r="AK206" s="247" t="str">
        <f>_xlfn.IFNA(VLOOKUP(Ruimtestaat[[#This Row],[Programmacode
Regulier]],Programma!$F$4:$Y$36148,3,0),"_")</f>
        <v>_</v>
      </c>
      <c r="AL206" s="247" t="str">
        <f>_xlfn.IFNA(VLOOKUP(Ruimtestaat[[#This Row],[Programmacode
Regulier]],Programma!$F$4:$Y$36148,4,0),"_")</f>
        <v>5w</v>
      </c>
      <c r="AM206" s="247" t="str">
        <f>_xlfn.IFNA(VLOOKUP(Ruimtestaat[[#This Row],[Programmacode
Regulier]],Programma!$F$4:$Y$36148,5,0),"_")</f>
        <v>1w</v>
      </c>
      <c r="AN206" s="247" t="str">
        <f>_xlfn.IFNA(VLOOKUP(Ruimtestaat[[#This Row],[Programmacode
Regulier]],Programma!$F$4:$Y$36148,6,0),"_")</f>
        <v>1m</v>
      </c>
      <c r="AO206" s="247" t="str">
        <f>_xlfn.IFNA(VLOOKUP(Ruimtestaat[[#This Row],[Programmacode
Regulier]],Programma!$F$4:$Y$36148,7,0),"_")</f>
        <v>_</v>
      </c>
      <c r="AP206" s="247" t="str">
        <f>_xlfn.IFNA(VLOOKUP(Ruimtestaat[[#This Row],[Programmacode
Regulier]],Programma!$F$4:$Y$36148,8,0),"_")</f>
        <v>_</v>
      </c>
      <c r="AQ206" s="247" t="str">
        <f>_xlfn.IFNA(VLOOKUP(Ruimtestaat[[#This Row],[Programmacode
Regulier]],Programma!$F$4:$Y$36148,9,0),"_")</f>
        <v>_</v>
      </c>
      <c r="AR206" s="248" t="str">
        <f>_xlfn.IFNA(VLOOKUP(Ruimtestaat[[#This Row],[Programmacode
Regulier]],Programma!$F$4:$Y$36148,10,0),"_")</f>
        <v>5w</v>
      </c>
      <c r="AS206" s="248" t="str">
        <f>_xlfn.IFNA(VLOOKUP(Ruimtestaat[[#This Row],[Programmacode
Regulier]],Programma!$F$4:$Y$36148,11,0),"_")</f>
        <v>5w</v>
      </c>
      <c r="AT206" s="248" t="str">
        <f>_xlfn.IFNA(VLOOKUP(Ruimtestaat[[#This Row],[Programmacode
Regulier]],Programma!$F$4:$Y$36148,12,0),"_")</f>
        <v>1w</v>
      </c>
      <c r="AU206" s="248" t="str">
        <f>_xlfn.IFNA(VLOOKUP(Ruimtestaat[[#This Row],[Programmacode
Regulier]],Programma!$F$4:$Y$36148,13,0),"_")</f>
        <v>1w</v>
      </c>
      <c r="AV206" s="248" t="str">
        <f>_xlfn.IFNA(VLOOKUP(Ruimtestaat[[#This Row],[Programmacode
Regulier]],Programma!$F$4:$Y$36148,14,0),"_")</f>
        <v>1m</v>
      </c>
      <c r="AW206" s="248" t="str">
        <f>_xlfn.IFNA(VLOOKUP(Ruimtestaat[[#This Row],[Programmacode
Regulier]],Programma!$F$4:$Y$36148,15,0),"_")</f>
        <v>2j</v>
      </c>
      <c r="AX206" s="248" t="str">
        <f>_xlfn.IFNA(VLOOKUP(Ruimtestaat[[#This Row],[Programmacode
Regulier]],Programma!$F$4:$Y$36148,16,0),"_")</f>
        <v>1j</v>
      </c>
      <c r="AY206" s="248" t="str">
        <f>_xlfn.IFNA(VLOOKUP(Ruimtestaat[[#This Row],[Programmacode
Regulier]],Programma!$F$4:$Y$36148,17,0),"_")</f>
        <v>_</v>
      </c>
      <c r="AZ206" s="249" t="str">
        <f>_xlfn.IFNA(VLOOKUP(Ruimtestaat[[#This Row],[Programmacode
Regulier]],Programma!$F$4:$Y$36148,18,0),"_")</f>
        <v>_</v>
      </c>
      <c r="BA206" s="249" t="str">
        <f>_xlfn.IFNA(VLOOKUP(Ruimtestaat[[#This Row],[Programmacode
Regulier]],Programma!$F$4:$Y$36148,19,0),"_")</f>
        <v>_</v>
      </c>
      <c r="BB206" s="249" t="str">
        <f>_xlfn.IFNA(VLOOKUP(Ruimtestaat[[#This Row],[Programmacode
Regulier]],Programma!$F$4:$Y$36148,20,0),"_")</f>
        <v>_</v>
      </c>
      <c r="BC206" s="250"/>
      <c r="BD206" s="212" t="str">
        <f>IF(Ruimtestaat[[#This Row],[Frequentie weekend]]="","",_xlfn.CONCAT(Ruimtestaat[[#This Row],[Ruimte code]],"-",Ruimtestaat[[#This Row],[Frequentie weekend]]," ",Ruimtestaat[[#This Row],[Vloer code]]))</f>
        <v/>
      </c>
      <c r="BE206" s="247" t="str">
        <f>_xlfn.IFNA(VLOOKUP(Ruimtestaat[[#This Row],[Code Weekend]],Programma!$F$4:$Y$36148,2,0),"_")</f>
        <v>_</v>
      </c>
      <c r="BF206" s="247" t="str">
        <f>_xlfn.IFNA(VLOOKUP(Ruimtestaat[[#This Row],[Code Weekend]],Programma!$F$4:$Y$36148,3,0),"_")</f>
        <v>_</v>
      </c>
      <c r="BG206" s="247" t="str">
        <f>_xlfn.IFNA(VLOOKUP(Ruimtestaat[[#This Row],[Code Weekend]],Programma!$F$4:$Y$36148,4,0),"_")</f>
        <v>_</v>
      </c>
      <c r="BH206" s="247" t="str">
        <f>_xlfn.IFNA(VLOOKUP(Ruimtestaat[[#This Row],[Code Weekend]],Programma!$F$4:$Y$36148,5,0),"_")</f>
        <v>_</v>
      </c>
      <c r="BI206" s="247" t="str">
        <f>_xlfn.IFNA(VLOOKUP(Ruimtestaat[[#This Row],[Code Weekend]],Programma!$F$4:$Y$36148,6,0),"_")</f>
        <v>_</v>
      </c>
      <c r="BJ206" s="247" t="str">
        <f>_xlfn.IFNA(VLOOKUP(Ruimtestaat[[#This Row],[Code Weekend]],Programma!$F$4:$Y$36148,7,0),"_")</f>
        <v>_</v>
      </c>
      <c r="BK206" s="247" t="str">
        <f>_xlfn.IFNA(VLOOKUP(Ruimtestaat[[#This Row],[Code Weekend]],Programma!$F$4:$Y$36148,8,0),"_")</f>
        <v>_</v>
      </c>
      <c r="BL206" s="247" t="str">
        <f>_xlfn.IFNA(VLOOKUP(Ruimtestaat[[#This Row],[Code Weekend]],Programma!$F$4:$Y$36148,9,0),"_")</f>
        <v>_</v>
      </c>
      <c r="BM206" s="248" t="str">
        <f>_xlfn.IFNA(VLOOKUP(Ruimtestaat[[#This Row],[Code Weekend]],Programma!$F$4:$Y$36148,10,0),"_")</f>
        <v>_</v>
      </c>
      <c r="BN206" s="248" t="str">
        <f>_xlfn.IFNA(VLOOKUP(Ruimtestaat[[#This Row],[Code Weekend]],Programma!$F$4:$Y$36148,11,0),"_")</f>
        <v>_</v>
      </c>
      <c r="BO206" s="248" t="str">
        <f>_xlfn.IFNA(VLOOKUP(Ruimtestaat[[#This Row],[Code Weekend]],Programma!$F$4:$Y$36148,12,0),"_")</f>
        <v>_</v>
      </c>
      <c r="BP206" s="248" t="str">
        <f>_xlfn.IFNA(VLOOKUP(Ruimtestaat[[#This Row],[Code Weekend]],Programma!$F$4:$Y$36148,13,0),"_")</f>
        <v>_</v>
      </c>
      <c r="BQ206" s="248" t="str">
        <f>_xlfn.IFNA(VLOOKUP(Ruimtestaat[[#This Row],[Code Weekend]],Programma!$F$4:$Y$36148,14,0),"_")</f>
        <v>_</v>
      </c>
      <c r="BR206" s="248" t="str">
        <f>_xlfn.IFNA(VLOOKUP(Ruimtestaat[[#This Row],[Code Weekend]],Programma!$F$4:$Y$36148,15,0),"_")</f>
        <v>_</v>
      </c>
      <c r="BS206" s="248" t="str">
        <f>_xlfn.IFNA(VLOOKUP(Ruimtestaat[[#This Row],[Code Weekend]],Programma!$F$4:$Y$36148,16,0),"_")</f>
        <v>_</v>
      </c>
      <c r="BT206" s="248" t="str">
        <f>_xlfn.IFNA(VLOOKUP(Ruimtestaat[[#This Row],[Code Weekend]],Programma!$F$4:$Y$36148,17,0),"_")</f>
        <v>_</v>
      </c>
      <c r="BU206" s="249" t="str">
        <f>_xlfn.IFNA(VLOOKUP(Ruimtestaat[[#This Row],[Code Weekend]],Programma!$F$4:$Y$36148,18,0),"_")</f>
        <v>_</v>
      </c>
      <c r="BV206" s="249" t="str">
        <f>_xlfn.IFNA(VLOOKUP(Ruimtestaat[[#This Row],[Code Weekend]],Programma!$F$4:$Y$36148,19,0),"_")</f>
        <v>_</v>
      </c>
      <c r="BW206" s="249" t="str">
        <f>_xlfn.IFNA(VLOOKUP(Ruimtestaat[[#This Row],[Code Weekend]],Programma!$F$4:$Y$36148,20,0),"_")</f>
        <v>_</v>
      </c>
    </row>
    <row r="207" spans="1:75" ht="12.75" customHeight="1">
      <c r="A207" s="334">
        <v>1</v>
      </c>
      <c r="B207" s="334" t="str">
        <f>VLOOKUP(Ruimtestaat[[#This Row],[Code]],Locaties[#All],2,FALSE)</f>
        <v>ESH Secondary School</v>
      </c>
      <c r="C207" s="212" t="str">
        <f>VLOOKUP(Ruimtestaat[[#This Row],[Code]],Locaties[#All],4,FALSE)</f>
        <v>Oostduinlaan 50</v>
      </c>
      <c r="D207" s="212" t="str">
        <f>VLOOKUP(Ruimtestaat[[#This Row],[Code]],Locaties[#All],5,FALSE)</f>
        <v>2596 JP</v>
      </c>
      <c r="E207" s="212" t="str">
        <f>VLOOKUP(Ruimtestaat[[#This Row],[Code]],Locaties[#All],6,FALSE)</f>
        <v>Den Haag</v>
      </c>
      <c r="F207" s="335"/>
      <c r="G207" s="334" t="s">
        <v>1737</v>
      </c>
      <c r="H207" s="334" t="s">
        <v>1713</v>
      </c>
      <c r="I207" s="335" t="s">
        <v>1394</v>
      </c>
      <c r="J207" s="328">
        <v>10</v>
      </c>
      <c r="K207" s="336" t="str">
        <f>VLOOKUP(J207,Ruimtegroepen[],2,FALSE)</f>
        <v>Trappenhuizen/lift</v>
      </c>
      <c r="L207" s="212" t="s">
        <v>123</v>
      </c>
      <c r="M207" s="334" t="s">
        <v>144</v>
      </c>
      <c r="N207" s="337">
        <v>23</v>
      </c>
      <c r="O207" s="331"/>
      <c r="P207" s="332" t="str">
        <f>VLOOKUP(Ruimtestaat[[#This Row],[Ruimte code]],Ruimtegroepen[],4,FALSE)</f>
        <v>V  (Verkeersruimte)</v>
      </c>
      <c r="Q207" s="332"/>
      <c r="R207" s="333">
        <v>40</v>
      </c>
      <c r="S207" s="333" t="s">
        <v>2</v>
      </c>
      <c r="T207" s="37"/>
      <c r="U207" s="37">
        <f>IF(R207&gt;0,IF(RIGHT(Ruimtestaat[[#This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07" s="37">
        <f>IF(U207&gt;0,VLOOKUP($J207,Ruimtegroepen[],3,FALSE)*VLOOKUP($L207,Vloersoorten[],3,FALSE)*VLOOKUP($S207,Frequenties[],3,FALSE)*VLOOKUP($A207,Locaties[],3,FALSE),0)</f>
        <v>0</v>
      </c>
      <c r="W207" s="37">
        <f>Ruimtestaat[[#This Row],[Uitvoeringen werkdagen]]*Ruimtestaat[[#This Row],[Oppervlak (netto)]]</f>
        <v>4600</v>
      </c>
      <c r="X207" s="37">
        <f>IF(V207&gt;0,Ruimtestaat[[#This Row],[Prest. (m2 /jaar) werkdagen]]/Ruimtestaat[[#This Row],[Norm (m2/uur) werkdagen]],0)</f>
        <v>0</v>
      </c>
      <c r="Y207" s="37">
        <f>Ruimtestaat[[#This Row],[uren / jaar werkdagen]]*Tariefsopbouw!$D$38</f>
        <v>0</v>
      </c>
      <c r="Z207" s="37">
        <f>IF(Ruimtestaat[[#This Row],[Frequentie weekend]]&gt;0,VALUE(LEFT(T207,1))*R207,0)</f>
        <v>0</v>
      </c>
      <c r="AA207" s="37">
        <f>IF($Z207&gt;0,VLOOKUP($J207,Ruimtegroepen[],3,FALSE)*VLOOKUP($L207,Vloersoorten[],3,FALSE)*VLOOKUP($T207,Frequenties[],3,FALSE)*VLOOKUP($A207,Locaties[],3,FALSE),0)</f>
        <v>0</v>
      </c>
      <c r="AB207" s="37">
        <f>Ruimtestaat[[#This Row],[Uitvoeringen weekend]]*Ruimtestaat[[#This Row],[Oppervlak (netto)]]</f>
        <v>0</v>
      </c>
      <c r="AC207" s="37">
        <f>IF(AA207&gt;0,Ruimtestaat[[#This Row],[Prest. (m2 /jaar) weekend]]/Ruimtestaat[[#This Row],[Norm (m2/uur) weekend]],0)</f>
        <v>0</v>
      </c>
      <c r="AD207" s="37">
        <f>Ruimtestaat[[#This Row],[uren / jaar weekend]]*Tariefsopbouw!$D$40</f>
        <v>0</v>
      </c>
      <c r="AE207" s="89">
        <f>Ruimtestaat[[#This Row],[Prest. (m2 /jaar) weekend]]+Ruimtestaat[[#This Row],[Prest. (m2 /jaar) werkdagen]]</f>
        <v>4600</v>
      </c>
      <c r="AF207" s="89">
        <f>Ruimtestaat[[#This Row],[uren / jaar weekend]]+Ruimtestaat[[#This Row],[uren / jaar werkdagen]]</f>
        <v>0</v>
      </c>
      <c r="AG207" s="90">
        <f>Ruimtestaat[[#This Row],[kosten / jaar weekend]]+Ruimtestaat[[#This Row],[kosten / jaar werkdagen]]</f>
        <v>0</v>
      </c>
      <c r="AH207" s="253"/>
      <c r="AI207" s="252" t="str">
        <f>IF(Ruimtestaat[[#This Row],[Frequentie werkdagen]]="","",_xlfn.CONCAT(Ruimtestaat[[#This Row],[Ruimte code]],"-",Ruimtestaat[[#This Row],[Frequentie werkdagen]]," ",Ruimtestaat[[#This Row],[Vloer code]]))</f>
        <v>10-5w P</v>
      </c>
      <c r="AJ207" s="247" t="str">
        <f>_xlfn.IFNA(VLOOKUP(Ruimtestaat[[#This Row],[Programmacode
Regulier]],Programma!$F$4:$Y$36148,2,0),"_")</f>
        <v>_</v>
      </c>
      <c r="AK207" s="247" t="str">
        <f>_xlfn.IFNA(VLOOKUP(Ruimtestaat[[#This Row],[Programmacode
Regulier]],Programma!$F$4:$Y$36148,3,0),"_")</f>
        <v>5w</v>
      </c>
      <c r="AL207" s="247" t="str">
        <f>_xlfn.IFNA(VLOOKUP(Ruimtestaat[[#This Row],[Programmacode
Regulier]],Programma!$F$4:$Y$36148,4,0),"_")</f>
        <v>_</v>
      </c>
      <c r="AM207" s="247" t="str">
        <f>_xlfn.IFNA(VLOOKUP(Ruimtestaat[[#This Row],[Programmacode
Regulier]],Programma!$F$4:$Y$36148,5,0),"_")</f>
        <v>5w</v>
      </c>
      <c r="AN207" s="247" t="str">
        <f>_xlfn.IFNA(VLOOKUP(Ruimtestaat[[#This Row],[Programmacode
Regulier]],Programma!$F$4:$Y$36148,6,0),"_")</f>
        <v>1m</v>
      </c>
      <c r="AO207" s="247" t="str">
        <f>_xlfn.IFNA(VLOOKUP(Ruimtestaat[[#This Row],[Programmacode
Regulier]],Programma!$F$4:$Y$36148,7,0),"_")</f>
        <v>_</v>
      </c>
      <c r="AP207" s="247" t="str">
        <f>_xlfn.IFNA(VLOOKUP(Ruimtestaat[[#This Row],[Programmacode
Regulier]],Programma!$F$4:$Y$36148,8,0),"_")</f>
        <v>_</v>
      </c>
      <c r="AQ207" s="247" t="str">
        <f>_xlfn.IFNA(VLOOKUP(Ruimtestaat[[#This Row],[Programmacode
Regulier]],Programma!$F$4:$Y$36148,9,0),"_")</f>
        <v>_</v>
      </c>
      <c r="AR207" s="248" t="str">
        <f>_xlfn.IFNA(VLOOKUP(Ruimtestaat[[#This Row],[Programmacode
Regulier]],Programma!$F$4:$Y$36148,10,0),"_")</f>
        <v>5w</v>
      </c>
      <c r="AS207" s="248" t="str">
        <f>_xlfn.IFNA(VLOOKUP(Ruimtestaat[[#This Row],[Programmacode
Regulier]],Programma!$F$4:$Y$36148,11,0),"_")</f>
        <v>5w</v>
      </c>
      <c r="AT207" s="248" t="str">
        <f>_xlfn.IFNA(VLOOKUP(Ruimtestaat[[#This Row],[Programmacode
Regulier]],Programma!$F$4:$Y$36148,12,0),"_")</f>
        <v>1w</v>
      </c>
      <c r="AU207" s="248" t="str">
        <f>_xlfn.IFNA(VLOOKUP(Ruimtestaat[[#This Row],[Programmacode
Regulier]],Programma!$F$4:$Y$36148,13,0),"_")</f>
        <v>1w</v>
      </c>
      <c r="AV207" s="248" t="str">
        <f>_xlfn.IFNA(VLOOKUP(Ruimtestaat[[#This Row],[Programmacode
Regulier]],Programma!$F$4:$Y$36148,14,0),"_")</f>
        <v>1m</v>
      </c>
      <c r="AW207" s="248" t="str">
        <f>_xlfn.IFNA(VLOOKUP(Ruimtestaat[[#This Row],[Programmacode
Regulier]],Programma!$F$4:$Y$36148,15,0),"_")</f>
        <v>2j</v>
      </c>
      <c r="AX207" s="248" t="str">
        <f>_xlfn.IFNA(VLOOKUP(Ruimtestaat[[#This Row],[Programmacode
Regulier]],Programma!$F$4:$Y$36148,16,0),"_")</f>
        <v>1j</v>
      </c>
      <c r="AY207" s="248" t="str">
        <f>_xlfn.IFNA(VLOOKUP(Ruimtestaat[[#This Row],[Programmacode
Regulier]],Programma!$F$4:$Y$36148,17,0),"_")</f>
        <v>_</v>
      </c>
      <c r="AZ207" s="249" t="str">
        <f>_xlfn.IFNA(VLOOKUP(Ruimtestaat[[#This Row],[Programmacode
Regulier]],Programma!$F$4:$Y$36148,18,0),"_")</f>
        <v>_</v>
      </c>
      <c r="BA207" s="249" t="str">
        <f>_xlfn.IFNA(VLOOKUP(Ruimtestaat[[#This Row],[Programmacode
Regulier]],Programma!$F$4:$Y$36148,19,0),"_")</f>
        <v>_</v>
      </c>
      <c r="BB207" s="249" t="str">
        <f>_xlfn.IFNA(VLOOKUP(Ruimtestaat[[#This Row],[Programmacode
Regulier]],Programma!$F$4:$Y$36148,20,0),"_")</f>
        <v>_</v>
      </c>
      <c r="BC207" s="250"/>
      <c r="BD207" s="212" t="str">
        <f>IF(Ruimtestaat[[#This Row],[Frequentie weekend]]="","",_xlfn.CONCAT(Ruimtestaat[[#This Row],[Ruimte code]],"-",Ruimtestaat[[#This Row],[Frequentie weekend]]," ",Ruimtestaat[[#This Row],[Vloer code]]))</f>
        <v/>
      </c>
      <c r="BE207" s="247" t="str">
        <f>_xlfn.IFNA(VLOOKUP(Ruimtestaat[[#This Row],[Code Weekend]],Programma!$F$4:$Y$36148,2,0),"_")</f>
        <v>_</v>
      </c>
      <c r="BF207" s="247" t="str">
        <f>_xlfn.IFNA(VLOOKUP(Ruimtestaat[[#This Row],[Code Weekend]],Programma!$F$4:$Y$36148,3,0),"_")</f>
        <v>_</v>
      </c>
      <c r="BG207" s="247" t="str">
        <f>_xlfn.IFNA(VLOOKUP(Ruimtestaat[[#This Row],[Code Weekend]],Programma!$F$4:$Y$36148,4,0),"_")</f>
        <v>_</v>
      </c>
      <c r="BH207" s="247" t="str">
        <f>_xlfn.IFNA(VLOOKUP(Ruimtestaat[[#This Row],[Code Weekend]],Programma!$F$4:$Y$36148,5,0),"_")</f>
        <v>_</v>
      </c>
      <c r="BI207" s="247" t="str">
        <f>_xlfn.IFNA(VLOOKUP(Ruimtestaat[[#This Row],[Code Weekend]],Programma!$F$4:$Y$36148,6,0),"_")</f>
        <v>_</v>
      </c>
      <c r="BJ207" s="247" t="str">
        <f>_xlfn.IFNA(VLOOKUP(Ruimtestaat[[#This Row],[Code Weekend]],Programma!$F$4:$Y$36148,7,0),"_")</f>
        <v>_</v>
      </c>
      <c r="BK207" s="247" t="str">
        <f>_xlfn.IFNA(VLOOKUP(Ruimtestaat[[#This Row],[Code Weekend]],Programma!$F$4:$Y$36148,8,0),"_")</f>
        <v>_</v>
      </c>
      <c r="BL207" s="247" t="str">
        <f>_xlfn.IFNA(VLOOKUP(Ruimtestaat[[#This Row],[Code Weekend]],Programma!$F$4:$Y$36148,9,0),"_")</f>
        <v>_</v>
      </c>
      <c r="BM207" s="248" t="str">
        <f>_xlfn.IFNA(VLOOKUP(Ruimtestaat[[#This Row],[Code Weekend]],Programma!$F$4:$Y$36148,10,0),"_")</f>
        <v>_</v>
      </c>
      <c r="BN207" s="248" t="str">
        <f>_xlfn.IFNA(VLOOKUP(Ruimtestaat[[#This Row],[Code Weekend]],Programma!$F$4:$Y$36148,11,0),"_")</f>
        <v>_</v>
      </c>
      <c r="BO207" s="248" t="str">
        <f>_xlfn.IFNA(VLOOKUP(Ruimtestaat[[#This Row],[Code Weekend]],Programma!$F$4:$Y$36148,12,0),"_")</f>
        <v>_</v>
      </c>
      <c r="BP207" s="248" t="str">
        <f>_xlfn.IFNA(VLOOKUP(Ruimtestaat[[#This Row],[Code Weekend]],Programma!$F$4:$Y$36148,13,0),"_")</f>
        <v>_</v>
      </c>
      <c r="BQ207" s="248" t="str">
        <f>_xlfn.IFNA(VLOOKUP(Ruimtestaat[[#This Row],[Code Weekend]],Programma!$F$4:$Y$36148,14,0),"_")</f>
        <v>_</v>
      </c>
      <c r="BR207" s="248" t="str">
        <f>_xlfn.IFNA(VLOOKUP(Ruimtestaat[[#This Row],[Code Weekend]],Programma!$F$4:$Y$36148,15,0),"_")</f>
        <v>_</v>
      </c>
      <c r="BS207" s="248" t="str">
        <f>_xlfn.IFNA(VLOOKUP(Ruimtestaat[[#This Row],[Code Weekend]],Programma!$F$4:$Y$36148,16,0),"_")</f>
        <v>_</v>
      </c>
      <c r="BT207" s="248" t="str">
        <f>_xlfn.IFNA(VLOOKUP(Ruimtestaat[[#This Row],[Code Weekend]],Programma!$F$4:$Y$36148,17,0),"_")</f>
        <v>_</v>
      </c>
      <c r="BU207" s="249" t="str">
        <f>_xlfn.IFNA(VLOOKUP(Ruimtestaat[[#This Row],[Code Weekend]],Programma!$F$4:$Y$36148,18,0),"_")</f>
        <v>_</v>
      </c>
      <c r="BV207" s="249" t="str">
        <f>_xlfn.IFNA(VLOOKUP(Ruimtestaat[[#This Row],[Code Weekend]],Programma!$F$4:$Y$36148,19,0),"_")</f>
        <v>_</v>
      </c>
      <c r="BW207" s="249" t="str">
        <f>_xlfn.IFNA(VLOOKUP(Ruimtestaat[[#This Row],[Code Weekend]],Programma!$F$4:$Y$36148,20,0),"_")</f>
        <v>_</v>
      </c>
    </row>
    <row r="208" spans="1:75" ht="12.75" customHeight="1">
      <c r="A208" s="334">
        <v>1</v>
      </c>
      <c r="B208" s="334" t="str">
        <f>VLOOKUP(Ruimtestaat[[#This Row],[Code]],Locaties[#All],2,FALSE)</f>
        <v>ESH Secondary School</v>
      </c>
      <c r="C208" s="212" t="str">
        <f>VLOOKUP(Ruimtestaat[[#This Row],[Code]],Locaties[#All],4,FALSE)</f>
        <v>Oostduinlaan 50</v>
      </c>
      <c r="D208" s="212" t="str">
        <f>VLOOKUP(Ruimtestaat[[#This Row],[Code]],Locaties[#All],5,FALSE)</f>
        <v>2596 JP</v>
      </c>
      <c r="E208" s="212" t="str">
        <f>VLOOKUP(Ruimtestaat[[#This Row],[Code]],Locaties[#All],6,FALSE)</f>
        <v>Den Haag</v>
      </c>
      <c r="F208" s="335"/>
      <c r="G208" s="334" t="s">
        <v>1737</v>
      </c>
      <c r="H208" s="334" t="s">
        <v>1714</v>
      </c>
      <c r="I208" s="335" t="s">
        <v>1493</v>
      </c>
      <c r="J208" s="328">
        <v>5</v>
      </c>
      <c r="K208" s="336" t="str">
        <f>VLOOKUP(J208,Ruimtegroepen[],2,FALSE)</f>
        <v>Sanitair</v>
      </c>
      <c r="L208" s="212" t="s">
        <v>123</v>
      </c>
      <c r="M208" s="334" t="s">
        <v>144</v>
      </c>
      <c r="N208" s="337">
        <v>14</v>
      </c>
      <c r="O208" s="331"/>
      <c r="P208" s="332" t="str">
        <f>VLOOKUP(Ruimtestaat[[#This Row],[Ruimte code]],Ruimtegroepen[],4,FALSE)</f>
        <v>S  (Sanitair)</v>
      </c>
      <c r="Q208" s="332"/>
      <c r="R208" s="333">
        <v>40</v>
      </c>
      <c r="S208" s="333" t="s">
        <v>19</v>
      </c>
      <c r="T208" s="37"/>
      <c r="U208" s="37">
        <f>IF(R208&gt;0,IF(RIGHT(Ruimtestaat[[#This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208" s="37">
        <f>IF(U208&gt;0,VLOOKUP($J208,Ruimtegroepen[],3,FALSE)*VLOOKUP($L208,Vloersoorten[],3,FALSE)*VLOOKUP($S208,Frequenties[],3,FALSE)*VLOOKUP($A208,Locaties[],3,FALSE),0)</f>
        <v>0</v>
      </c>
      <c r="W208" s="37">
        <f>Ruimtestaat[[#This Row],[Uitvoeringen werkdagen]]*Ruimtestaat[[#This Row],[Oppervlak (netto)]]</f>
        <v>5600</v>
      </c>
      <c r="X208" s="37">
        <f>IF(V208&gt;0,Ruimtestaat[[#This Row],[Prest. (m2 /jaar) werkdagen]]/Ruimtestaat[[#This Row],[Norm (m2/uur) werkdagen]],0)</f>
        <v>0</v>
      </c>
      <c r="Y208" s="37">
        <f>Ruimtestaat[[#This Row],[uren / jaar werkdagen]]*Tariefsopbouw!$D$38</f>
        <v>0</v>
      </c>
      <c r="Z208" s="37">
        <f>IF(Ruimtestaat[[#This Row],[Frequentie weekend]]&gt;0,VALUE(LEFT(T208,1))*R208,0)</f>
        <v>0</v>
      </c>
      <c r="AA208" s="37">
        <f>IF($Z208&gt;0,VLOOKUP($J208,Ruimtegroepen[],3,FALSE)*VLOOKUP($L208,Vloersoorten[],3,FALSE)*VLOOKUP($T208,Frequenties[],3,FALSE)*VLOOKUP($A208,Locaties[],3,FALSE),0)</f>
        <v>0</v>
      </c>
      <c r="AB208" s="37">
        <f>Ruimtestaat[[#This Row],[Uitvoeringen weekend]]*Ruimtestaat[[#This Row],[Oppervlak (netto)]]</f>
        <v>0</v>
      </c>
      <c r="AC208" s="37">
        <f>IF(AA208&gt;0,Ruimtestaat[[#This Row],[Prest. (m2 /jaar) weekend]]/Ruimtestaat[[#This Row],[Norm (m2/uur) weekend]],0)</f>
        <v>0</v>
      </c>
      <c r="AD208" s="37">
        <f>Ruimtestaat[[#This Row],[uren / jaar weekend]]*Tariefsopbouw!$D$40</f>
        <v>0</v>
      </c>
      <c r="AE208" s="89">
        <f>Ruimtestaat[[#This Row],[Prest. (m2 /jaar) weekend]]+Ruimtestaat[[#This Row],[Prest. (m2 /jaar) werkdagen]]</f>
        <v>5600</v>
      </c>
      <c r="AF208" s="89">
        <f>Ruimtestaat[[#This Row],[uren / jaar weekend]]+Ruimtestaat[[#This Row],[uren / jaar werkdagen]]</f>
        <v>0</v>
      </c>
      <c r="AG208" s="90">
        <f>Ruimtestaat[[#This Row],[kosten / jaar weekend]]+Ruimtestaat[[#This Row],[kosten / jaar werkdagen]]</f>
        <v>0</v>
      </c>
      <c r="AH208" s="253"/>
      <c r="AI208" s="252" t="str">
        <f>IF(Ruimtestaat[[#This Row],[Frequentie werkdagen]]="","",_xlfn.CONCAT(Ruimtestaat[[#This Row],[Ruimte code]],"-",Ruimtestaat[[#This Row],[Frequentie werkdagen]]," ",Ruimtestaat[[#This Row],[Vloer code]]))</f>
        <v>5-10w P</v>
      </c>
      <c r="AJ208" s="247" t="str">
        <f>_xlfn.IFNA(VLOOKUP(Ruimtestaat[[#This Row],[Programmacode
Regulier]],Programma!$F$4:$Y$36148,2,0),"_")</f>
        <v>_</v>
      </c>
      <c r="AK208" s="247" t="str">
        <f>_xlfn.IFNA(VLOOKUP(Ruimtestaat[[#This Row],[Programmacode
Regulier]],Programma!$F$4:$Y$36148,3,0),"_")</f>
        <v>_</v>
      </c>
      <c r="AL208" s="247" t="str">
        <f>_xlfn.IFNA(VLOOKUP(Ruimtestaat[[#This Row],[Programmacode
Regulier]],Programma!$F$4:$Y$36148,4,0),"_")</f>
        <v>_</v>
      </c>
      <c r="AM208" s="247" t="str">
        <f>_xlfn.IFNA(VLOOKUP(Ruimtestaat[[#This Row],[Programmacode
Regulier]],Programma!$F$4:$Y$36148,5,0),"_")</f>
        <v>4w</v>
      </c>
      <c r="AN208" s="247" t="str">
        <f>_xlfn.IFNA(VLOOKUP(Ruimtestaat[[#This Row],[Programmacode
Regulier]],Programma!$F$4:$Y$36148,6,0),"_")</f>
        <v>1w</v>
      </c>
      <c r="AO208" s="247" t="str">
        <f>_xlfn.IFNA(VLOOKUP(Ruimtestaat[[#This Row],[Programmacode
Regulier]],Programma!$F$4:$Y$36148,7,0),"_")</f>
        <v>_</v>
      </c>
      <c r="AP208" s="247" t="str">
        <f>_xlfn.IFNA(VLOOKUP(Ruimtestaat[[#This Row],[Programmacode
Regulier]],Programma!$F$4:$Y$36148,8,0),"_")</f>
        <v>_</v>
      </c>
      <c r="AQ208" s="247" t="str">
        <f>_xlfn.IFNA(VLOOKUP(Ruimtestaat[[#This Row],[Programmacode
Regulier]],Programma!$F$4:$Y$36148,9,0),"_")</f>
        <v>5w</v>
      </c>
      <c r="AR208" s="248" t="str">
        <f>_xlfn.IFNA(VLOOKUP(Ruimtestaat[[#This Row],[Programmacode
Regulier]],Programma!$F$4:$Y$36148,10,0),"_")</f>
        <v>_</v>
      </c>
      <c r="AS208" s="248" t="str">
        <f>_xlfn.IFNA(VLOOKUP(Ruimtestaat[[#This Row],[Programmacode
Regulier]],Programma!$F$4:$Y$36148,11,0),"_")</f>
        <v>_</v>
      </c>
      <c r="AT208" s="248" t="str">
        <f>_xlfn.IFNA(VLOOKUP(Ruimtestaat[[#This Row],[Programmacode
Regulier]],Programma!$F$4:$Y$36148,12,0),"_")</f>
        <v>_</v>
      </c>
      <c r="AU208" s="248" t="str">
        <f>_xlfn.IFNA(VLOOKUP(Ruimtestaat[[#This Row],[Programmacode
Regulier]],Programma!$F$4:$Y$36148,13,0),"_")</f>
        <v>_</v>
      </c>
      <c r="AV208" s="248" t="str">
        <f>_xlfn.IFNA(VLOOKUP(Ruimtestaat[[#This Row],[Programmacode
Regulier]],Programma!$F$4:$Y$36148,14,0),"_")</f>
        <v>_</v>
      </c>
      <c r="AW208" s="248" t="str">
        <f>_xlfn.IFNA(VLOOKUP(Ruimtestaat[[#This Row],[Programmacode
Regulier]],Programma!$F$4:$Y$36148,15,0),"_")</f>
        <v>_</v>
      </c>
      <c r="AX208" s="248" t="str">
        <f>_xlfn.IFNA(VLOOKUP(Ruimtestaat[[#This Row],[Programmacode
Regulier]],Programma!$F$4:$Y$36148,16,0),"_")</f>
        <v>_</v>
      </c>
      <c r="AY208" s="248" t="str">
        <f>_xlfn.IFNA(VLOOKUP(Ruimtestaat[[#This Row],[Programmacode
Regulier]],Programma!$F$4:$Y$36148,17,0),"_")</f>
        <v>_</v>
      </c>
      <c r="AZ208" s="249" t="str">
        <f>_xlfn.IFNA(VLOOKUP(Ruimtestaat[[#This Row],[Programmacode
Regulier]],Programma!$F$4:$Y$36148,18,0),"_")</f>
        <v>4w</v>
      </c>
      <c r="BA208" s="249" t="str">
        <f>_xlfn.IFNA(VLOOKUP(Ruimtestaat[[#This Row],[Programmacode
Regulier]],Programma!$F$4:$Y$36148,19,0),"_")</f>
        <v>1w</v>
      </c>
      <c r="BB208" s="249" t="str">
        <f>_xlfn.IFNA(VLOOKUP(Ruimtestaat[[#This Row],[Programmacode
Regulier]],Programma!$F$4:$Y$36148,20,0),"_")</f>
        <v>5w</v>
      </c>
      <c r="BC208" s="250"/>
      <c r="BD208" s="212" t="str">
        <f>IF(Ruimtestaat[[#This Row],[Frequentie weekend]]="","",_xlfn.CONCAT(Ruimtestaat[[#This Row],[Ruimte code]],"-",Ruimtestaat[[#This Row],[Frequentie weekend]]," ",Ruimtestaat[[#This Row],[Vloer code]]))</f>
        <v/>
      </c>
      <c r="BE208" s="247" t="str">
        <f>_xlfn.IFNA(VLOOKUP(Ruimtestaat[[#This Row],[Code Weekend]],Programma!$F$4:$Y$36148,2,0),"_")</f>
        <v>_</v>
      </c>
      <c r="BF208" s="247" t="str">
        <f>_xlfn.IFNA(VLOOKUP(Ruimtestaat[[#This Row],[Code Weekend]],Programma!$F$4:$Y$36148,3,0),"_")</f>
        <v>_</v>
      </c>
      <c r="BG208" s="247" t="str">
        <f>_xlfn.IFNA(VLOOKUP(Ruimtestaat[[#This Row],[Code Weekend]],Programma!$F$4:$Y$36148,4,0),"_")</f>
        <v>_</v>
      </c>
      <c r="BH208" s="247" t="str">
        <f>_xlfn.IFNA(VLOOKUP(Ruimtestaat[[#This Row],[Code Weekend]],Programma!$F$4:$Y$36148,5,0),"_")</f>
        <v>_</v>
      </c>
      <c r="BI208" s="247" t="str">
        <f>_xlfn.IFNA(VLOOKUP(Ruimtestaat[[#This Row],[Code Weekend]],Programma!$F$4:$Y$36148,6,0),"_")</f>
        <v>_</v>
      </c>
      <c r="BJ208" s="247" t="str">
        <f>_xlfn.IFNA(VLOOKUP(Ruimtestaat[[#This Row],[Code Weekend]],Programma!$F$4:$Y$36148,7,0),"_")</f>
        <v>_</v>
      </c>
      <c r="BK208" s="247" t="str">
        <f>_xlfn.IFNA(VLOOKUP(Ruimtestaat[[#This Row],[Code Weekend]],Programma!$F$4:$Y$36148,8,0),"_")</f>
        <v>_</v>
      </c>
      <c r="BL208" s="247" t="str">
        <f>_xlfn.IFNA(VLOOKUP(Ruimtestaat[[#This Row],[Code Weekend]],Programma!$F$4:$Y$36148,9,0),"_")</f>
        <v>_</v>
      </c>
      <c r="BM208" s="248" t="str">
        <f>_xlfn.IFNA(VLOOKUP(Ruimtestaat[[#This Row],[Code Weekend]],Programma!$F$4:$Y$36148,10,0),"_")</f>
        <v>_</v>
      </c>
      <c r="BN208" s="248" t="str">
        <f>_xlfn.IFNA(VLOOKUP(Ruimtestaat[[#This Row],[Code Weekend]],Programma!$F$4:$Y$36148,11,0),"_")</f>
        <v>_</v>
      </c>
      <c r="BO208" s="248" t="str">
        <f>_xlfn.IFNA(VLOOKUP(Ruimtestaat[[#This Row],[Code Weekend]],Programma!$F$4:$Y$36148,12,0),"_")</f>
        <v>_</v>
      </c>
      <c r="BP208" s="248" t="str">
        <f>_xlfn.IFNA(VLOOKUP(Ruimtestaat[[#This Row],[Code Weekend]],Programma!$F$4:$Y$36148,13,0),"_")</f>
        <v>_</v>
      </c>
      <c r="BQ208" s="248" t="str">
        <f>_xlfn.IFNA(VLOOKUP(Ruimtestaat[[#This Row],[Code Weekend]],Programma!$F$4:$Y$36148,14,0),"_")</f>
        <v>_</v>
      </c>
      <c r="BR208" s="248" t="str">
        <f>_xlfn.IFNA(VLOOKUP(Ruimtestaat[[#This Row],[Code Weekend]],Programma!$F$4:$Y$36148,15,0),"_")</f>
        <v>_</v>
      </c>
      <c r="BS208" s="248" t="str">
        <f>_xlfn.IFNA(VLOOKUP(Ruimtestaat[[#This Row],[Code Weekend]],Programma!$F$4:$Y$36148,16,0),"_")</f>
        <v>_</v>
      </c>
      <c r="BT208" s="248" t="str">
        <f>_xlfn.IFNA(VLOOKUP(Ruimtestaat[[#This Row],[Code Weekend]],Programma!$F$4:$Y$36148,17,0),"_")</f>
        <v>_</v>
      </c>
      <c r="BU208" s="249" t="str">
        <f>_xlfn.IFNA(VLOOKUP(Ruimtestaat[[#This Row],[Code Weekend]],Programma!$F$4:$Y$36148,18,0),"_")</f>
        <v>_</v>
      </c>
      <c r="BV208" s="249" t="str">
        <f>_xlfn.IFNA(VLOOKUP(Ruimtestaat[[#This Row],[Code Weekend]],Programma!$F$4:$Y$36148,19,0),"_")</f>
        <v>_</v>
      </c>
      <c r="BW208" s="249" t="str">
        <f>_xlfn.IFNA(VLOOKUP(Ruimtestaat[[#This Row],[Code Weekend]],Programma!$F$4:$Y$36148,20,0),"_")</f>
        <v>_</v>
      </c>
    </row>
    <row r="209" spans="1:75" ht="12.75" customHeight="1">
      <c r="A209" s="334">
        <v>1</v>
      </c>
      <c r="B209" s="334" t="str">
        <f>VLOOKUP(Ruimtestaat[[#This Row],[Code]],Locaties[#All],2,FALSE)</f>
        <v>ESH Secondary School</v>
      </c>
      <c r="C209" s="212" t="str">
        <f>VLOOKUP(Ruimtestaat[[#This Row],[Code]],Locaties[#All],4,FALSE)</f>
        <v>Oostduinlaan 50</v>
      </c>
      <c r="D209" s="212" t="str">
        <f>VLOOKUP(Ruimtestaat[[#This Row],[Code]],Locaties[#All],5,FALSE)</f>
        <v>2596 JP</v>
      </c>
      <c r="E209" s="212" t="str">
        <f>VLOOKUP(Ruimtestaat[[#This Row],[Code]],Locaties[#All],6,FALSE)</f>
        <v>Den Haag</v>
      </c>
      <c r="F209" s="335"/>
      <c r="G209" s="334" t="s">
        <v>1737</v>
      </c>
      <c r="H209" s="334" t="s">
        <v>1715</v>
      </c>
      <c r="I209" s="335" t="s">
        <v>1511</v>
      </c>
      <c r="J209" s="328">
        <v>5</v>
      </c>
      <c r="K209" s="336" t="str">
        <f>VLOOKUP(J209,Ruimtegroepen[],2,FALSE)</f>
        <v>Sanitair</v>
      </c>
      <c r="L209" s="212" t="s">
        <v>123</v>
      </c>
      <c r="M209" s="334" t="s">
        <v>144</v>
      </c>
      <c r="N209" s="337">
        <v>4</v>
      </c>
      <c r="O209" s="331"/>
      <c r="P209" s="332" t="str">
        <f>VLOOKUP(Ruimtestaat[[#This Row],[Ruimte code]],Ruimtegroepen[],4,FALSE)</f>
        <v>S  (Sanitair)</v>
      </c>
      <c r="Q209" s="332"/>
      <c r="R209" s="333">
        <v>40</v>
      </c>
      <c r="S209" s="333" t="s">
        <v>19</v>
      </c>
      <c r="T209" s="37"/>
      <c r="U209" s="37">
        <f>IF(R209&gt;0,IF(RIGHT(Ruimtestaat[[#This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209" s="37">
        <f>IF(U209&gt;0,VLOOKUP($J209,Ruimtegroepen[],3,FALSE)*VLOOKUP($L209,Vloersoorten[],3,FALSE)*VLOOKUP($S209,Frequenties[],3,FALSE)*VLOOKUP($A209,Locaties[],3,FALSE),0)</f>
        <v>0</v>
      </c>
      <c r="W209" s="37">
        <f>Ruimtestaat[[#This Row],[Uitvoeringen werkdagen]]*Ruimtestaat[[#This Row],[Oppervlak (netto)]]</f>
        <v>1600</v>
      </c>
      <c r="X209" s="37">
        <f>IF(V209&gt;0,Ruimtestaat[[#This Row],[Prest. (m2 /jaar) werkdagen]]/Ruimtestaat[[#This Row],[Norm (m2/uur) werkdagen]],0)</f>
        <v>0</v>
      </c>
      <c r="Y209" s="37">
        <f>Ruimtestaat[[#This Row],[uren / jaar werkdagen]]*Tariefsopbouw!$D$38</f>
        <v>0</v>
      </c>
      <c r="Z209" s="37">
        <f>IF(Ruimtestaat[[#This Row],[Frequentie weekend]]&gt;0,VALUE(LEFT(T209,1))*R209,0)</f>
        <v>0</v>
      </c>
      <c r="AA209" s="37">
        <f>IF($Z209&gt;0,VLOOKUP($J209,Ruimtegroepen[],3,FALSE)*VLOOKUP($L209,Vloersoorten[],3,FALSE)*VLOOKUP($T209,Frequenties[],3,FALSE)*VLOOKUP($A209,Locaties[],3,FALSE),0)</f>
        <v>0</v>
      </c>
      <c r="AB209" s="37">
        <f>Ruimtestaat[[#This Row],[Uitvoeringen weekend]]*Ruimtestaat[[#This Row],[Oppervlak (netto)]]</f>
        <v>0</v>
      </c>
      <c r="AC209" s="37">
        <f>IF(AA209&gt;0,Ruimtestaat[[#This Row],[Prest. (m2 /jaar) weekend]]/Ruimtestaat[[#This Row],[Norm (m2/uur) weekend]],0)</f>
        <v>0</v>
      </c>
      <c r="AD209" s="37">
        <f>Ruimtestaat[[#This Row],[uren / jaar weekend]]*Tariefsopbouw!$D$40</f>
        <v>0</v>
      </c>
      <c r="AE209" s="89">
        <f>Ruimtestaat[[#This Row],[Prest. (m2 /jaar) weekend]]+Ruimtestaat[[#This Row],[Prest. (m2 /jaar) werkdagen]]</f>
        <v>1600</v>
      </c>
      <c r="AF209" s="89">
        <f>Ruimtestaat[[#This Row],[uren / jaar weekend]]+Ruimtestaat[[#This Row],[uren / jaar werkdagen]]</f>
        <v>0</v>
      </c>
      <c r="AG209" s="90">
        <f>Ruimtestaat[[#This Row],[kosten / jaar weekend]]+Ruimtestaat[[#This Row],[kosten / jaar werkdagen]]</f>
        <v>0</v>
      </c>
      <c r="AH209" s="253"/>
      <c r="AI209" s="252" t="str">
        <f>IF(Ruimtestaat[[#This Row],[Frequentie werkdagen]]="","",_xlfn.CONCAT(Ruimtestaat[[#This Row],[Ruimte code]],"-",Ruimtestaat[[#This Row],[Frequentie werkdagen]]," ",Ruimtestaat[[#This Row],[Vloer code]]))</f>
        <v>5-10w P</v>
      </c>
      <c r="AJ209" s="247" t="str">
        <f>_xlfn.IFNA(VLOOKUP(Ruimtestaat[[#This Row],[Programmacode
Regulier]],Programma!$F$4:$Y$36148,2,0),"_")</f>
        <v>_</v>
      </c>
      <c r="AK209" s="247" t="str">
        <f>_xlfn.IFNA(VLOOKUP(Ruimtestaat[[#This Row],[Programmacode
Regulier]],Programma!$F$4:$Y$36148,3,0),"_")</f>
        <v>_</v>
      </c>
      <c r="AL209" s="247" t="str">
        <f>_xlfn.IFNA(VLOOKUP(Ruimtestaat[[#This Row],[Programmacode
Regulier]],Programma!$F$4:$Y$36148,4,0),"_")</f>
        <v>_</v>
      </c>
      <c r="AM209" s="247" t="str">
        <f>_xlfn.IFNA(VLOOKUP(Ruimtestaat[[#This Row],[Programmacode
Regulier]],Programma!$F$4:$Y$36148,5,0),"_")</f>
        <v>4w</v>
      </c>
      <c r="AN209" s="247" t="str">
        <f>_xlfn.IFNA(VLOOKUP(Ruimtestaat[[#This Row],[Programmacode
Regulier]],Programma!$F$4:$Y$36148,6,0),"_")</f>
        <v>1w</v>
      </c>
      <c r="AO209" s="247" t="str">
        <f>_xlfn.IFNA(VLOOKUP(Ruimtestaat[[#This Row],[Programmacode
Regulier]],Programma!$F$4:$Y$36148,7,0),"_")</f>
        <v>_</v>
      </c>
      <c r="AP209" s="247" t="str">
        <f>_xlfn.IFNA(VLOOKUP(Ruimtestaat[[#This Row],[Programmacode
Regulier]],Programma!$F$4:$Y$36148,8,0),"_")</f>
        <v>_</v>
      </c>
      <c r="AQ209" s="247" t="str">
        <f>_xlfn.IFNA(VLOOKUP(Ruimtestaat[[#This Row],[Programmacode
Regulier]],Programma!$F$4:$Y$36148,9,0),"_")</f>
        <v>5w</v>
      </c>
      <c r="AR209" s="248" t="str">
        <f>_xlfn.IFNA(VLOOKUP(Ruimtestaat[[#This Row],[Programmacode
Regulier]],Programma!$F$4:$Y$36148,10,0),"_")</f>
        <v>_</v>
      </c>
      <c r="AS209" s="248" t="str">
        <f>_xlfn.IFNA(VLOOKUP(Ruimtestaat[[#This Row],[Programmacode
Regulier]],Programma!$F$4:$Y$36148,11,0),"_")</f>
        <v>_</v>
      </c>
      <c r="AT209" s="248" t="str">
        <f>_xlfn.IFNA(VLOOKUP(Ruimtestaat[[#This Row],[Programmacode
Regulier]],Programma!$F$4:$Y$36148,12,0),"_")</f>
        <v>_</v>
      </c>
      <c r="AU209" s="248" t="str">
        <f>_xlfn.IFNA(VLOOKUP(Ruimtestaat[[#This Row],[Programmacode
Regulier]],Programma!$F$4:$Y$36148,13,0),"_")</f>
        <v>_</v>
      </c>
      <c r="AV209" s="248" t="str">
        <f>_xlfn.IFNA(VLOOKUP(Ruimtestaat[[#This Row],[Programmacode
Regulier]],Programma!$F$4:$Y$36148,14,0),"_")</f>
        <v>_</v>
      </c>
      <c r="AW209" s="248" t="str">
        <f>_xlfn.IFNA(VLOOKUP(Ruimtestaat[[#This Row],[Programmacode
Regulier]],Programma!$F$4:$Y$36148,15,0),"_")</f>
        <v>_</v>
      </c>
      <c r="AX209" s="248" t="str">
        <f>_xlfn.IFNA(VLOOKUP(Ruimtestaat[[#This Row],[Programmacode
Regulier]],Programma!$F$4:$Y$36148,16,0),"_")</f>
        <v>_</v>
      </c>
      <c r="AY209" s="248" t="str">
        <f>_xlfn.IFNA(VLOOKUP(Ruimtestaat[[#This Row],[Programmacode
Regulier]],Programma!$F$4:$Y$36148,17,0),"_")</f>
        <v>_</v>
      </c>
      <c r="AZ209" s="249" t="str">
        <f>_xlfn.IFNA(VLOOKUP(Ruimtestaat[[#This Row],[Programmacode
Regulier]],Programma!$F$4:$Y$36148,18,0),"_")</f>
        <v>4w</v>
      </c>
      <c r="BA209" s="249" t="str">
        <f>_xlfn.IFNA(VLOOKUP(Ruimtestaat[[#This Row],[Programmacode
Regulier]],Programma!$F$4:$Y$36148,19,0),"_")</f>
        <v>1w</v>
      </c>
      <c r="BB209" s="249" t="str">
        <f>_xlfn.IFNA(VLOOKUP(Ruimtestaat[[#This Row],[Programmacode
Regulier]],Programma!$F$4:$Y$36148,20,0),"_")</f>
        <v>5w</v>
      </c>
      <c r="BC209" s="250"/>
      <c r="BD209" s="212" t="str">
        <f>IF(Ruimtestaat[[#This Row],[Frequentie weekend]]="","",_xlfn.CONCAT(Ruimtestaat[[#This Row],[Ruimte code]],"-",Ruimtestaat[[#This Row],[Frequentie weekend]]," ",Ruimtestaat[[#This Row],[Vloer code]]))</f>
        <v/>
      </c>
      <c r="BE209" s="247" t="str">
        <f>_xlfn.IFNA(VLOOKUP(Ruimtestaat[[#This Row],[Code Weekend]],Programma!$F$4:$Y$36148,2,0),"_")</f>
        <v>_</v>
      </c>
      <c r="BF209" s="247" t="str">
        <f>_xlfn.IFNA(VLOOKUP(Ruimtestaat[[#This Row],[Code Weekend]],Programma!$F$4:$Y$36148,3,0),"_")</f>
        <v>_</v>
      </c>
      <c r="BG209" s="247" t="str">
        <f>_xlfn.IFNA(VLOOKUP(Ruimtestaat[[#This Row],[Code Weekend]],Programma!$F$4:$Y$36148,4,0),"_")</f>
        <v>_</v>
      </c>
      <c r="BH209" s="247" t="str">
        <f>_xlfn.IFNA(VLOOKUP(Ruimtestaat[[#This Row],[Code Weekend]],Programma!$F$4:$Y$36148,5,0),"_")</f>
        <v>_</v>
      </c>
      <c r="BI209" s="247" t="str">
        <f>_xlfn.IFNA(VLOOKUP(Ruimtestaat[[#This Row],[Code Weekend]],Programma!$F$4:$Y$36148,6,0),"_")</f>
        <v>_</v>
      </c>
      <c r="BJ209" s="247" t="str">
        <f>_xlfn.IFNA(VLOOKUP(Ruimtestaat[[#This Row],[Code Weekend]],Programma!$F$4:$Y$36148,7,0),"_")</f>
        <v>_</v>
      </c>
      <c r="BK209" s="247" t="str">
        <f>_xlfn.IFNA(VLOOKUP(Ruimtestaat[[#This Row],[Code Weekend]],Programma!$F$4:$Y$36148,8,0),"_")</f>
        <v>_</v>
      </c>
      <c r="BL209" s="247" t="str">
        <f>_xlfn.IFNA(VLOOKUP(Ruimtestaat[[#This Row],[Code Weekend]],Programma!$F$4:$Y$36148,9,0),"_")</f>
        <v>_</v>
      </c>
      <c r="BM209" s="248" t="str">
        <f>_xlfn.IFNA(VLOOKUP(Ruimtestaat[[#This Row],[Code Weekend]],Programma!$F$4:$Y$36148,10,0),"_")</f>
        <v>_</v>
      </c>
      <c r="BN209" s="248" t="str">
        <f>_xlfn.IFNA(VLOOKUP(Ruimtestaat[[#This Row],[Code Weekend]],Programma!$F$4:$Y$36148,11,0),"_")</f>
        <v>_</v>
      </c>
      <c r="BO209" s="248" t="str">
        <f>_xlfn.IFNA(VLOOKUP(Ruimtestaat[[#This Row],[Code Weekend]],Programma!$F$4:$Y$36148,12,0),"_")</f>
        <v>_</v>
      </c>
      <c r="BP209" s="248" t="str">
        <f>_xlfn.IFNA(VLOOKUP(Ruimtestaat[[#This Row],[Code Weekend]],Programma!$F$4:$Y$36148,13,0),"_")</f>
        <v>_</v>
      </c>
      <c r="BQ209" s="248" t="str">
        <f>_xlfn.IFNA(VLOOKUP(Ruimtestaat[[#This Row],[Code Weekend]],Programma!$F$4:$Y$36148,14,0),"_")</f>
        <v>_</v>
      </c>
      <c r="BR209" s="248" t="str">
        <f>_xlfn.IFNA(VLOOKUP(Ruimtestaat[[#This Row],[Code Weekend]],Programma!$F$4:$Y$36148,15,0),"_")</f>
        <v>_</v>
      </c>
      <c r="BS209" s="248" t="str">
        <f>_xlfn.IFNA(VLOOKUP(Ruimtestaat[[#This Row],[Code Weekend]],Programma!$F$4:$Y$36148,16,0),"_")</f>
        <v>_</v>
      </c>
      <c r="BT209" s="248" t="str">
        <f>_xlfn.IFNA(VLOOKUP(Ruimtestaat[[#This Row],[Code Weekend]],Programma!$F$4:$Y$36148,17,0),"_")</f>
        <v>_</v>
      </c>
      <c r="BU209" s="249" t="str">
        <f>_xlfn.IFNA(VLOOKUP(Ruimtestaat[[#This Row],[Code Weekend]],Programma!$F$4:$Y$36148,18,0),"_")</f>
        <v>_</v>
      </c>
      <c r="BV209" s="249" t="str">
        <f>_xlfn.IFNA(VLOOKUP(Ruimtestaat[[#This Row],[Code Weekend]],Programma!$F$4:$Y$36148,19,0),"_")</f>
        <v>_</v>
      </c>
      <c r="BW209" s="249" t="str">
        <f>_xlfn.IFNA(VLOOKUP(Ruimtestaat[[#This Row],[Code Weekend]],Programma!$F$4:$Y$36148,20,0),"_")</f>
        <v>_</v>
      </c>
    </row>
    <row r="210" spans="1:75" ht="12.75" customHeight="1">
      <c r="A210" s="334">
        <v>1</v>
      </c>
      <c r="B210" s="334" t="str">
        <f>VLOOKUP(Ruimtestaat[[#This Row],[Code]],Locaties[#All],2,FALSE)</f>
        <v>ESH Secondary School</v>
      </c>
      <c r="C210" s="212" t="str">
        <f>VLOOKUP(Ruimtestaat[[#This Row],[Code]],Locaties[#All],4,FALSE)</f>
        <v>Oostduinlaan 50</v>
      </c>
      <c r="D210" s="212" t="str">
        <f>VLOOKUP(Ruimtestaat[[#This Row],[Code]],Locaties[#All],5,FALSE)</f>
        <v>2596 JP</v>
      </c>
      <c r="E210" s="212" t="str">
        <f>VLOOKUP(Ruimtestaat[[#This Row],[Code]],Locaties[#All],6,FALSE)</f>
        <v>Den Haag</v>
      </c>
      <c r="F210" s="335"/>
      <c r="G210" s="334" t="s">
        <v>1737</v>
      </c>
      <c r="H210" s="334" t="s">
        <v>1716</v>
      </c>
      <c r="I210" s="335" t="s">
        <v>1395</v>
      </c>
      <c r="J210" s="252" t="s">
        <v>1422</v>
      </c>
      <c r="K210" s="336" t="str">
        <f>VLOOKUP(J210,Ruimtegroepen[],2,FALSE)</f>
        <v>Gangen/hallen andere verdiepingen</v>
      </c>
      <c r="L210" s="212" t="s">
        <v>123</v>
      </c>
      <c r="M210" s="334" t="s">
        <v>144</v>
      </c>
      <c r="N210" s="337">
        <v>115</v>
      </c>
      <c r="O210" s="331"/>
      <c r="P210" s="332" t="str">
        <f>VLOOKUP(Ruimtestaat[[#This Row],[Ruimte code]],Ruimtegroepen[],4,FALSE)</f>
        <v>V  (Verkeersruimte)</v>
      </c>
      <c r="Q210" s="332"/>
      <c r="R210" s="333">
        <v>40</v>
      </c>
      <c r="S210" s="333" t="s">
        <v>2</v>
      </c>
      <c r="T210" s="37"/>
      <c r="U210" s="37">
        <f>IF(R210&gt;0,IF(RIGHT(Ruimtestaat[[#This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10" s="37">
        <f>IF(U210&gt;0,VLOOKUP($J210,Ruimtegroepen[],3,FALSE)*VLOOKUP($L210,Vloersoorten[],3,FALSE)*VLOOKUP($S210,Frequenties[],3,FALSE)*VLOOKUP($A210,Locaties[],3,FALSE),0)</f>
        <v>0</v>
      </c>
      <c r="W210" s="37">
        <f>Ruimtestaat[[#This Row],[Uitvoeringen werkdagen]]*Ruimtestaat[[#This Row],[Oppervlak (netto)]]</f>
        <v>23000</v>
      </c>
      <c r="X210" s="37">
        <f>IF(V210&gt;0,Ruimtestaat[[#This Row],[Prest. (m2 /jaar) werkdagen]]/Ruimtestaat[[#This Row],[Norm (m2/uur) werkdagen]],0)</f>
        <v>0</v>
      </c>
      <c r="Y210" s="37">
        <f>Ruimtestaat[[#This Row],[uren / jaar werkdagen]]*Tariefsopbouw!$D$38</f>
        <v>0</v>
      </c>
      <c r="Z210" s="37">
        <f>IF(Ruimtestaat[[#This Row],[Frequentie weekend]]&gt;0,VALUE(LEFT(T210,1))*R210,0)</f>
        <v>0</v>
      </c>
      <c r="AA210" s="37">
        <f>IF($Z210&gt;0,VLOOKUP($J210,Ruimtegroepen[],3,FALSE)*VLOOKUP($L210,Vloersoorten[],3,FALSE)*VLOOKUP($T210,Frequenties[],3,FALSE)*VLOOKUP($A210,Locaties[],3,FALSE),0)</f>
        <v>0</v>
      </c>
      <c r="AB210" s="37">
        <f>Ruimtestaat[[#This Row],[Uitvoeringen weekend]]*Ruimtestaat[[#This Row],[Oppervlak (netto)]]</f>
        <v>0</v>
      </c>
      <c r="AC210" s="37">
        <f>IF(AA210&gt;0,Ruimtestaat[[#This Row],[Prest. (m2 /jaar) weekend]]/Ruimtestaat[[#This Row],[Norm (m2/uur) weekend]],0)</f>
        <v>0</v>
      </c>
      <c r="AD210" s="37">
        <f>Ruimtestaat[[#This Row],[uren / jaar weekend]]*Tariefsopbouw!$D$40</f>
        <v>0</v>
      </c>
      <c r="AE210" s="89">
        <f>Ruimtestaat[[#This Row],[Prest. (m2 /jaar) weekend]]+Ruimtestaat[[#This Row],[Prest. (m2 /jaar) werkdagen]]</f>
        <v>23000</v>
      </c>
      <c r="AF210" s="89">
        <f>Ruimtestaat[[#This Row],[uren / jaar weekend]]+Ruimtestaat[[#This Row],[uren / jaar werkdagen]]</f>
        <v>0</v>
      </c>
      <c r="AG210" s="90">
        <f>Ruimtestaat[[#This Row],[kosten / jaar weekend]]+Ruimtestaat[[#This Row],[kosten / jaar werkdagen]]</f>
        <v>0</v>
      </c>
      <c r="AH210" s="253"/>
      <c r="AI210" s="252" t="str">
        <f>IF(Ruimtestaat[[#This Row],[Frequentie werkdagen]]="","",_xlfn.CONCAT(Ruimtestaat[[#This Row],[Ruimte code]],"-",Ruimtestaat[[#This Row],[Frequentie werkdagen]]," ",Ruimtestaat[[#This Row],[Vloer code]]))</f>
        <v>6a-5w P</v>
      </c>
      <c r="AJ210" s="247" t="str">
        <f>_xlfn.IFNA(VLOOKUP(Ruimtestaat[[#This Row],[Programmacode
Regulier]],Programma!$F$4:$Y$36148,2,0),"_")</f>
        <v>_</v>
      </c>
      <c r="AK210" s="247" t="str">
        <f>_xlfn.IFNA(VLOOKUP(Ruimtestaat[[#This Row],[Programmacode
Regulier]],Programma!$F$4:$Y$36148,3,0),"_")</f>
        <v>_</v>
      </c>
      <c r="AL210" s="247" t="str">
        <f>_xlfn.IFNA(VLOOKUP(Ruimtestaat[[#This Row],[Programmacode
Regulier]],Programma!$F$4:$Y$36148,4,0),"_")</f>
        <v>5w</v>
      </c>
      <c r="AM210" s="247" t="str">
        <f>_xlfn.IFNA(VLOOKUP(Ruimtestaat[[#This Row],[Programmacode
Regulier]],Programma!$F$4:$Y$36148,5,0),"_")</f>
        <v>4w</v>
      </c>
      <c r="AN210" s="247" t="str">
        <f>_xlfn.IFNA(VLOOKUP(Ruimtestaat[[#This Row],[Programmacode
Regulier]],Programma!$F$4:$Y$36148,6,0),"_")</f>
        <v>1w</v>
      </c>
      <c r="AO210" s="247" t="str">
        <f>_xlfn.IFNA(VLOOKUP(Ruimtestaat[[#This Row],[Programmacode
Regulier]],Programma!$F$4:$Y$36148,7,0),"_")</f>
        <v>_</v>
      </c>
      <c r="AP210" s="247" t="str">
        <f>_xlfn.IFNA(VLOOKUP(Ruimtestaat[[#This Row],[Programmacode
Regulier]],Programma!$F$4:$Y$36148,8,0),"_")</f>
        <v>_</v>
      </c>
      <c r="AQ210" s="247" t="str">
        <f>_xlfn.IFNA(VLOOKUP(Ruimtestaat[[#This Row],[Programmacode
Regulier]],Programma!$F$4:$Y$36148,9,0),"_")</f>
        <v>_</v>
      </c>
      <c r="AR210" s="248" t="str">
        <f>_xlfn.IFNA(VLOOKUP(Ruimtestaat[[#This Row],[Programmacode
Regulier]],Programma!$F$4:$Y$36148,10,0),"_")</f>
        <v>5w</v>
      </c>
      <c r="AS210" s="248" t="str">
        <f>_xlfn.IFNA(VLOOKUP(Ruimtestaat[[#This Row],[Programmacode
Regulier]],Programma!$F$4:$Y$36148,11,0),"_")</f>
        <v>5w</v>
      </c>
      <c r="AT210" s="248" t="str">
        <f>_xlfn.IFNA(VLOOKUP(Ruimtestaat[[#This Row],[Programmacode
Regulier]],Programma!$F$4:$Y$36148,12,0),"_")</f>
        <v>1w</v>
      </c>
      <c r="AU210" s="248" t="str">
        <f>_xlfn.IFNA(VLOOKUP(Ruimtestaat[[#This Row],[Programmacode
Regulier]],Programma!$F$4:$Y$36148,13,0),"_")</f>
        <v>1w</v>
      </c>
      <c r="AV210" s="248" t="str">
        <f>_xlfn.IFNA(VLOOKUP(Ruimtestaat[[#This Row],[Programmacode
Regulier]],Programma!$F$4:$Y$36148,14,0),"_")</f>
        <v>1m</v>
      </c>
      <c r="AW210" s="248" t="str">
        <f>_xlfn.IFNA(VLOOKUP(Ruimtestaat[[#This Row],[Programmacode
Regulier]],Programma!$F$4:$Y$36148,15,0),"_")</f>
        <v>2j</v>
      </c>
      <c r="AX210" s="248" t="str">
        <f>_xlfn.IFNA(VLOOKUP(Ruimtestaat[[#This Row],[Programmacode
Regulier]],Programma!$F$4:$Y$36148,16,0),"_")</f>
        <v>1j</v>
      </c>
      <c r="AY210" s="248" t="str">
        <f>_xlfn.IFNA(VLOOKUP(Ruimtestaat[[#This Row],[Programmacode
Regulier]],Programma!$F$4:$Y$36148,17,0),"_")</f>
        <v>_</v>
      </c>
      <c r="AZ210" s="249" t="str">
        <f>_xlfn.IFNA(VLOOKUP(Ruimtestaat[[#This Row],[Programmacode
Regulier]],Programma!$F$4:$Y$36148,18,0),"_")</f>
        <v>_</v>
      </c>
      <c r="BA210" s="249" t="str">
        <f>_xlfn.IFNA(VLOOKUP(Ruimtestaat[[#This Row],[Programmacode
Regulier]],Programma!$F$4:$Y$36148,19,0),"_")</f>
        <v>_</v>
      </c>
      <c r="BB210" s="249" t="str">
        <f>_xlfn.IFNA(VLOOKUP(Ruimtestaat[[#This Row],[Programmacode
Regulier]],Programma!$F$4:$Y$36148,20,0),"_")</f>
        <v>_</v>
      </c>
      <c r="BC210" s="250"/>
      <c r="BD210" s="212" t="str">
        <f>IF(Ruimtestaat[[#This Row],[Frequentie weekend]]="","",_xlfn.CONCAT(Ruimtestaat[[#This Row],[Ruimte code]],"-",Ruimtestaat[[#This Row],[Frequentie weekend]]," ",Ruimtestaat[[#This Row],[Vloer code]]))</f>
        <v/>
      </c>
      <c r="BE210" s="247" t="str">
        <f>_xlfn.IFNA(VLOOKUP(Ruimtestaat[[#This Row],[Code Weekend]],Programma!$F$4:$Y$36148,2,0),"_")</f>
        <v>_</v>
      </c>
      <c r="BF210" s="247" t="str">
        <f>_xlfn.IFNA(VLOOKUP(Ruimtestaat[[#This Row],[Code Weekend]],Programma!$F$4:$Y$36148,3,0),"_")</f>
        <v>_</v>
      </c>
      <c r="BG210" s="247" t="str">
        <f>_xlfn.IFNA(VLOOKUP(Ruimtestaat[[#This Row],[Code Weekend]],Programma!$F$4:$Y$36148,4,0),"_")</f>
        <v>_</v>
      </c>
      <c r="BH210" s="247" t="str">
        <f>_xlfn.IFNA(VLOOKUP(Ruimtestaat[[#This Row],[Code Weekend]],Programma!$F$4:$Y$36148,5,0),"_")</f>
        <v>_</v>
      </c>
      <c r="BI210" s="247" t="str">
        <f>_xlfn.IFNA(VLOOKUP(Ruimtestaat[[#This Row],[Code Weekend]],Programma!$F$4:$Y$36148,6,0),"_")</f>
        <v>_</v>
      </c>
      <c r="BJ210" s="247" t="str">
        <f>_xlfn.IFNA(VLOOKUP(Ruimtestaat[[#This Row],[Code Weekend]],Programma!$F$4:$Y$36148,7,0),"_")</f>
        <v>_</v>
      </c>
      <c r="BK210" s="247" t="str">
        <f>_xlfn.IFNA(VLOOKUP(Ruimtestaat[[#This Row],[Code Weekend]],Programma!$F$4:$Y$36148,8,0),"_")</f>
        <v>_</v>
      </c>
      <c r="BL210" s="247" t="str">
        <f>_xlfn.IFNA(VLOOKUP(Ruimtestaat[[#This Row],[Code Weekend]],Programma!$F$4:$Y$36148,9,0),"_")</f>
        <v>_</v>
      </c>
      <c r="BM210" s="248" t="str">
        <f>_xlfn.IFNA(VLOOKUP(Ruimtestaat[[#This Row],[Code Weekend]],Programma!$F$4:$Y$36148,10,0),"_")</f>
        <v>_</v>
      </c>
      <c r="BN210" s="248" t="str">
        <f>_xlfn.IFNA(VLOOKUP(Ruimtestaat[[#This Row],[Code Weekend]],Programma!$F$4:$Y$36148,11,0),"_")</f>
        <v>_</v>
      </c>
      <c r="BO210" s="248" t="str">
        <f>_xlfn.IFNA(VLOOKUP(Ruimtestaat[[#This Row],[Code Weekend]],Programma!$F$4:$Y$36148,12,0),"_")</f>
        <v>_</v>
      </c>
      <c r="BP210" s="248" t="str">
        <f>_xlfn.IFNA(VLOOKUP(Ruimtestaat[[#This Row],[Code Weekend]],Programma!$F$4:$Y$36148,13,0),"_")</f>
        <v>_</v>
      </c>
      <c r="BQ210" s="248" t="str">
        <f>_xlfn.IFNA(VLOOKUP(Ruimtestaat[[#This Row],[Code Weekend]],Programma!$F$4:$Y$36148,14,0),"_")</f>
        <v>_</v>
      </c>
      <c r="BR210" s="248" t="str">
        <f>_xlfn.IFNA(VLOOKUP(Ruimtestaat[[#This Row],[Code Weekend]],Programma!$F$4:$Y$36148,15,0),"_")</f>
        <v>_</v>
      </c>
      <c r="BS210" s="248" t="str">
        <f>_xlfn.IFNA(VLOOKUP(Ruimtestaat[[#This Row],[Code Weekend]],Programma!$F$4:$Y$36148,16,0),"_")</f>
        <v>_</v>
      </c>
      <c r="BT210" s="248" t="str">
        <f>_xlfn.IFNA(VLOOKUP(Ruimtestaat[[#This Row],[Code Weekend]],Programma!$F$4:$Y$36148,17,0),"_")</f>
        <v>_</v>
      </c>
      <c r="BU210" s="249" t="str">
        <f>_xlfn.IFNA(VLOOKUP(Ruimtestaat[[#This Row],[Code Weekend]],Programma!$F$4:$Y$36148,18,0),"_")</f>
        <v>_</v>
      </c>
      <c r="BV210" s="249" t="str">
        <f>_xlfn.IFNA(VLOOKUP(Ruimtestaat[[#This Row],[Code Weekend]],Programma!$F$4:$Y$36148,19,0),"_")</f>
        <v>_</v>
      </c>
      <c r="BW210" s="249" t="str">
        <f>_xlfn.IFNA(VLOOKUP(Ruimtestaat[[#This Row],[Code Weekend]],Programma!$F$4:$Y$36148,20,0),"_")</f>
        <v>_</v>
      </c>
    </row>
    <row r="211" spans="1:75" ht="12.75" customHeight="1">
      <c r="A211" s="334">
        <v>1</v>
      </c>
      <c r="B211" s="334" t="str">
        <f>VLOOKUP(Ruimtestaat[[#This Row],[Code]],Locaties[#All],2,FALSE)</f>
        <v>ESH Secondary School</v>
      </c>
      <c r="C211" s="212" t="str">
        <f>VLOOKUP(Ruimtestaat[[#This Row],[Code]],Locaties[#All],4,FALSE)</f>
        <v>Oostduinlaan 50</v>
      </c>
      <c r="D211" s="212" t="str">
        <f>VLOOKUP(Ruimtestaat[[#This Row],[Code]],Locaties[#All],5,FALSE)</f>
        <v>2596 JP</v>
      </c>
      <c r="E211" s="212" t="str">
        <f>VLOOKUP(Ruimtestaat[[#This Row],[Code]],Locaties[#All],6,FALSE)</f>
        <v>Den Haag</v>
      </c>
      <c r="F211" s="335"/>
      <c r="G211" s="334" t="s">
        <v>1737</v>
      </c>
      <c r="H211" s="334" t="s">
        <v>1717</v>
      </c>
      <c r="I211" s="335" t="s">
        <v>1395</v>
      </c>
      <c r="J211" s="252" t="s">
        <v>1422</v>
      </c>
      <c r="K211" s="336" t="str">
        <f>VLOOKUP(J211,Ruimtegroepen[],2,FALSE)</f>
        <v>Gangen/hallen andere verdiepingen</v>
      </c>
      <c r="L211" s="212" t="s">
        <v>122</v>
      </c>
      <c r="M211" s="334" t="s">
        <v>143</v>
      </c>
      <c r="N211" s="337">
        <v>29</v>
      </c>
      <c r="O211" s="331"/>
      <c r="P211" s="332" t="str">
        <f>VLOOKUP(Ruimtestaat[[#This Row],[Ruimte code]],Ruimtegroepen[],4,FALSE)</f>
        <v>V  (Verkeersruimte)</v>
      </c>
      <c r="Q211" s="332"/>
      <c r="R211" s="333">
        <v>40</v>
      </c>
      <c r="S211" s="333" t="s">
        <v>2</v>
      </c>
      <c r="T211" s="37"/>
      <c r="U211" s="37">
        <f>IF(R211&gt;0,IF(RIGHT(Ruimtestaat[[#This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11" s="37">
        <f>IF(U211&gt;0,VLOOKUP($J211,Ruimtegroepen[],3,FALSE)*VLOOKUP($L211,Vloersoorten[],3,FALSE)*VLOOKUP($S211,Frequenties[],3,FALSE)*VLOOKUP($A211,Locaties[],3,FALSE),0)</f>
        <v>0</v>
      </c>
      <c r="W211" s="37">
        <f>Ruimtestaat[[#This Row],[Uitvoeringen werkdagen]]*Ruimtestaat[[#This Row],[Oppervlak (netto)]]</f>
        <v>5800</v>
      </c>
      <c r="X211" s="37">
        <f>IF(V211&gt;0,Ruimtestaat[[#This Row],[Prest. (m2 /jaar) werkdagen]]/Ruimtestaat[[#This Row],[Norm (m2/uur) werkdagen]],0)</f>
        <v>0</v>
      </c>
      <c r="Y211" s="37">
        <f>Ruimtestaat[[#This Row],[uren / jaar werkdagen]]*Tariefsopbouw!$D$38</f>
        <v>0</v>
      </c>
      <c r="Z211" s="37">
        <f>IF(Ruimtestaat[[#This Row],[Frequentie weekend]]&gt;0,VALUE(LEFT(T211,1))*R211,0)</f>
        <v>0</v>
      </c>
      <c r="AA211" s="37">
        <f>IF($Z211&gt;0,VLOOKUP($J211,Ruimtegroepen[],3,FALSE)*VLOOKUP($L211,Vloersoorten[],3,FALSE)*VLOOKUP($T211,Frequenties[],3,FALSE)*VLOOKUP($A211,Locaties[],3,FALSE),0)</f>
        <v>0</v>
      </c>
      <c r="AB211" s="37">
        <f>Ruimtestaat[[#This Row],[Uitvoeringen weekend]]*Ruimtestaat[[#This Row],[Oppervlak (netto)]]</f>
        <v>0</v>
      </c>
      <c r="AC211" s="37">
        <f>IF(AA211&gt;0,Ruimtestaat[[#This Row],[Prest. (m2 /jaar) weekend]]/Ruimtestaat[[#This Row],[Norm (m2/uur) weekend]],0)</f>
        <v>0</v>
      </c>
      <c r="AD211" s="37">
        <f>Ruimtestaat[[#This Row],[uren / jaar weekend]]*Tariefsopbouw!$D$40</f>
        <v>0</v>
      </c>
      <c r="AE211" s="89">
        <f>Ruimtestaat[[#This Row],[Prest. (m2 /jaar) weekend]]+Ruimtestaat[[#This Row],[Prest. (m2 /jaar) werkdagen]]</f>
        <v>5800</v>
      </c>
      <c r="AF211" s="89">
        <f>Ruimtestaat[[#This Row],[uren / jaar weekend]]+Ruimtestaat[[#This Row],[uren / jaar werkdagen]]</f>
        <v>0</v>
      </c>
      <c r="AG211" s="90">
        <f>Ruimtestaat[[#This Row],[kosten / jaar weekend]]+Ruimtestaat[[#This Row],[kosten / jaar werkdagen]]</f>
        <v>0</v>
      </c>
      <c r="AH211" s="253"/>
      <c r="AI211" s="252" t="str">
        <f>IF(Ruimtestaat[[#This Row],[Frequentie werkdagen]]="","",_xlfn.CONCAT(Ruimtestaat[[#This Row],[Ruimte code]],"-",Ruimtestaat[[#This Row],[Frequentie werkdagen]]," ",Ruimtestaat[[#This Row],[Vloer code]]))</f>
        <v>6a-5w S</v>
      </c>
      <c r="AJ211" s="247" t="str">
        <f>_xlfn.IFNA(VLOOKUP(Ruimtestaat[[#This Row],[Programmacode
Regulier]],Programma!$F$4:$Y$36148,2,0),"_")</f>
        <v>_</v>
      </c>
      <c r="AK211" s="247" t="str">
        <f>_xlfn.IFNA(VLOOKUP(Ruimtestaat[[#This Row],[Programmacode
Regulier]],Programma!$F$4:$Y$36148,3,0),"_")</f>
        <v>_</v>
      </c>
      <c r="AL211" s="247" t="str">
        <f>_xlfn.IFNA(VLOOKUP(Ruimtestaat[[#This Row],[Programmacode
Regulier]],Programma!$F$4:$Y$36148,4,0),"_")</f>
        <v>5w</v>
      </c>
      <c r="AM211" s="247" t="str">
        <f>_xlfn.IFNA(VLOOKUP(Ruimtestaat[[#This Row],[Programmacode
Regulier]],Programma!$F$4:$Y$36148,5,0),"_")</f>
        <v>4w</v>
      </c>
      <c r="AN211" s="247" t="str">
        <f>_xlfn.IFNA(VLOOKUP(Ruimtestaat[[#This Row],[Programmacode
Regulier]],Programma!$F$4:$Y$36148,6,0),"_")</f>
        <v>1w</v>
      </c>
      <c r="AO211" s="247" t="str">
        <f>_xlfn.IFNA(VLOOKUP(Ruimtestaat[[#This Row],[Programmacode
Regulier]],Programma!$F$4:$Y$36148,7,0),"_")</f>
        <v>_</v>
      </c>
      <c r="AP211" s="247" t="str">
        <f>_xlfn.IFNA(VLOOKUP(Ruimtestaat[[#This Row],[Programmacode
Regulier]],Programma!$F$4:$Y$36148,8,0),"_")</f>
        <v>_</v>
      </c>
      <c r="AQ211" s="247" t="str">
        <f>_xlfn.IFNA(VLOOKUP(Ruimtestaat[[#This Row],[Programmacode
Regulier]],Programma!$F$4:$Y$36148,9,0),"_")</f>
        <v>_</v>
      </c>
      <c r="AR211" s="248" t="str">
        <f>_xlfn.IFNA(VLOOKUP(Ruimtestaat[[#This Row],[Programmacode
Regulier]],Programma!$F$4:$Y$36148,10,0),"_")</f>
        <v>5w</v>
      </c>
      <c r="AS211" s="248" t="str">
        <f>_xlfn.IFNA(VLOOKUP(Ruimtestaat[[#This Row],[Programmacode
Regulier]],Programma!$F$4:$Y$36148,11,0),"_")</f>
        <v>5w</v>
      </c>
      <c r="AT211" s="248" t="str">
        <f>_xlfn.IFNA(VLOOKUP(Ruimtestaat[[#This Row],[Programmacode
Regulier]],Programma!$F$4:$Y$36148,12,0),"_")</f>
        <v>1w</v>
      </c>
      <c r="AU211" s="248" t="str">
        <f>_xlfn.IFNA(VLOOKUP(Ruimtestaat[[#This Row],[Programmacode
Regulier]],Programma!$F$4:$Y$36148,13,0),"_")</f>
        <v>1w</v>
      </c>
      <c r="AV211" s="248" t="str">
        <f>_xlfn.IFNA(VLOOKUP(Ruimtestaat[[#This Row],[Programmacode
Regulier]],Programma!$F$4:$Y$36148,14,0),"_")</f>
        <v>1m</v>
      </c>
      <c r="AW211" s="248" t="str">
        <f>_xlfn.IFNA(VLOOKUP(Ruimtestaat[[#This Row],[Programmacode
Regulier]],Programma!$F$4:$Y$36148,15,0),"_")</f>
        <v>2j</v>
      </c>
      <c r="AX211" s="248" t="str">
        <f>_xlfn.IFNA(VLOOKUP(Ruimtestaat[[#This Row],[Programmacode
Regulier]],Programma!$F$4:$Y$36148,16,0),"_")</f>
        <v>1j</v>
      </c>
      <c r="AY211" s="248" t="str">
        <f>_xlfn.IFNA(VLOOKUP(Ruimtestaat[[#This Row],[Programmacode
Regulier]],Programma!$F$4:$Y$36148,17,0),"_")</f>
        <v>_</v>
      </c>
      <c r="AZ211" s="249" t="str">
        <f>_xlfn.IFNA(VLOOKUP(Ruimtestaat[[#This Row],[Programmacode
Regulier]],Programma!$F$4:$Y$36148,18,0),"_")</f>
        <v>_</v>
      </c>
      <c r="BA211" s="249" t="str">
        <f>_xlfn.IFNA(VLOOKUP(Ruimtestaat[[#This Row],[Programmacode
Regulier]],Programma!$F$4:$Y$36148,19,0),"_")</f>
        <v>_</v>
      </c>
      <c r="BB211" s="249" t="str">
        <f>_xlfn.IFNA(VLOOKUP(Ruimtestaat[[#This Row],[Programmacode
Regulier]],Programma!$F$4:$Y$36148,20,0),"_")</f>
        <v>_</v>
      </c>
      <c r="BC211" s="250"/>
      <c r="BD211" s="212" t="str">
        <f>IF(Ruimtestaat[[#This Row],[Frequentie weekend]]="","",_xlfn.CONCAT(Ruimtestaat[[#This Row],[Ruimte code]],"-",Ruimtestaat[[#This Row],[Frequentie weekend]]," ",Ruimtestaat[[#This Row],[Vloer code]]))</f>
        <v/>
      </c>
      <c r="BE211" s="247" t="str">
        <f>_xlfn.IFNA(VLOOKUP(Ruimtestaat[[#This Row],[Code Weekend]],Programma!$F$4:$Y$36148,2,0),"_")</f>
        <v>_</v>
      </c>
      <c r="BF211" s="247" t="str">
        <f>_xlfn.IFNA(VLOOKUP(Ruimtestaat[[#This Row],[Code Weekend]],Programma!$F$4:$Y$36148,3,0),"_")</f>
        <v>_</v>
      </c>
      <c r="BG211" s="247" t="str">
        <f>_xlfn.IFNA(VLOOKUP(Ruimtestaat[[#This Row],[Code Weekend]],Programma!$F$4:$Y$36148,4,0),"_")</f>
        <v>_</v>
      </c>
      <c r="BH211" s="247" t="str">
        <f>_xlfn.IFNA(VLOOKUP(Ruimtestaat[[#This Row],[Code Weekend]],Programma!$F$4:$Y$36148,5,0),"_")</f>
        <v>_</v>
      </c>
      <c r="BI211" s="247" t="str">
        <f>_xlfn.IFNA(VLOOKUP(Ruimtestaat[[#This Row],[Code Weekend]],Programma!$F$4:$Y$36148,6,0),"_")</f>
        <v>_</v>
      </c>
      <c r="BJ211" s="247" t="str">
        <f>_xlfn.IFNA(VLOOKUP(Ruimtestaat[[#This Row],[Code Weekend]],Programma!$F$4:$Y$36148,7,0),"_")</f>
        <v>_</v>
      </c>
      <c r="BK211" s="247" t="str">
        <f>_xlfn.IFNA(VLOOKUP(Ruimtestaat[[#This Row],[Code Weekend]],Programma!$F$4:$Y$36148,8,0),"_")</f>
        <v>_</v>
      </c>
      <c r="BL211" s="247" t="str">
        <f>_xlfn.IFNA(VLOOKUP(Ruimtestaat[[#This Row],[Code Weekend]],Programma!$F$4:$Y$36148,9,0),"_")</f>
        <v>_</v>
      </c>
      <c r="BM211" s="248" t="str">
        <f>_xlfn.IFNA(VLOOKUP(Ruimtestaat[[#This Row],[Code Weekend]],Programma!$F$4:$Y$36148,10,0),"_")</f>
        <v>_</v>
      </c>
      <c r="BN211" s="248" t="str">
        <f>_xlfn.IFNA(VLOOKUP(Ruimtestaat[[#This Row],[Code Weekend]],Programma!$F$4:$Y$36148,11,0),"_")</f>
        <v>_</v>
      </c>
      <c r="BO211" s="248" t="str">
        <f>_xlfn.IFNA(VLOOKUP(Ruimtestaat[[#This Row],[Code Weekend]],Programma!$F$4:$Y$36148,12,0),"_")</f>
        <v>_</v>
      </c>
      <c r="BP211" s="248" t="str">
        <f>_xlfn.IFNA(VLOOKUP(Ruimtestaat[[#This Row],[Code Weekend]],Programma!$F$4:$Y$36148,13,0),"_")</f>
        <v>_</v>
      </c>
      <c r="BQ211" s="248" t="str">
        <f>_xlfn.IFNA(VLOOKUP(Ruimtestaat[[#This Row],[Code Weekend]],Programma!$F$4:$Y$36148,14,0),"_")</f>
        <v>_</v>
      </c>
      <c r="BR211" s="248" t="str">
        <f>_xlfn.IFNA(VLOOKUP(Ruimtestaat[[#This Row],[Code Weekend]],Programma!$F$4:$Y$36148,15,0),"_")</f>
        <v>_</v>
      </c>
      <c r="BS211" s="248" t="str">
        <f>_xlfn.IFNA(VLOOKUP(Ruimtestaat[[#This Row],[Code Weekend]],Programma!$F$4:$Y$36148,16,0),"_")</f>
        <v>_</v>
      </c>
      <c r="BT211" s="248" t="str">
        <f>_xlfn.IFNA(VLOOKUP(Ruimtestaat[[#This Row],[Code Weekend]],Programma!$F$4:$Y$36148,17,0),"_")</f>
        <v>_</v>
      </c>
      <c r="BU211" s="249" t="str">
        <f>_xlfn.IFNA(VLOOKUP(Ruimtestaat[[#This Row],[Code Weekend]],Programma!$F$4:$Y$36148,18,0),"_")</f>
        <v>_</v>
      </c>
      <c r="BV211" s="249" t="str">
        <f>_xlfn.IFNA(VLOOKUP(Ruimtestaat[[#This Row],[Code Weekend]],Programma!$F$4:$Y$36148,19,0),"_")</f>
        <v>_</v>
      </c>
      <c r="BW211" s="249" t="str">
        <f>_xlfn.IFNA(VLOOKUP(Ruimtestaat[[#This Row],[Code Weekend]],Programma!$F$4:$Y$36148,20,0),"_")</f>
        <v>_</v>
      </c>
    </row>
    <row r="212" spans="1:75" ht="12.75" customHeight="1">
      <c r="A212" s="334">
        <v>1</v>
      </c>
      <c r="B212" s="334" t="str">
        <f>VLOOKUP(Ruimtestaat[[#This Row],[Code]],Locaties[#All],2,FALSE)</f>
        <v>ESH Secondary School</v>
      </c>
      <c r="C212" s="212" t="str">
        <f>VLOOKUP(Ruimtestaat[[#This Row],[Code]],Locaties[#All],4,FALSE)</f>
        <v>Oostduinlaan 50</v>
      </c>
      <c r="D212" s="212" t="str">
        <f>VLOOKUP(Ruimtestaat[[#This Row],[Code]],Locaties[#All],5,FALSE)</f>
        <v>2596 JP</v>
      </c>
      <c r="E212" s="212" t="str">
        <f>VLOOKUP(Ruimtestaat[[#This Row],[Code]],Locaties[#All],6,FALSE)</f>
        <v>Den Haag</v>
      </c>
      <c r="F212" s="335"/>
      <c r="G212" s="334" t="s">
        <v>1737</v>
      </c>
      <c r="H212" s="334" t="s">
        <v>1718</v>
      </c>
      <c r="I212" s="335" t="s">
        <v>1733</v>
      </c>
      <c r="J212" s="328">
        <v>2</v>
      </c>
      <c r="K212" s="336" t="str">
        <f>VLOOKUP(J212,Ruimtegroepen[],2,FALSE)</f>
        <v>Kantoren</v>
      </c>
      <c r="L212" s="212" t="s">
        <v>123</v>
      </c>
      <c r="M212" s="334" t="s">
        <v>144</v>
      </c>
      <c r="N212" s="337">
        <v>29</v>
      </c>
      <c r="O212" s="331"/>
      <c r="P212" s="332" t="str">
        <f>VLOOKUP(Ruimtestaat[[#This Row],[Ruimte code]],Ruimtegroepen[],4,FALSE)</f>
        <v>B  (Bureauruimte)</v>
      </c>
      <c r="Q212" s="332"/>
      <c r="R212" s="333">
        <v>40</v>
      </c>
      <c r="S212" s="333" t="s">
        <v>2</v>
      </c>
      <c r="T212" s="37"/>
      <c r="U212" s="37">
        <f>IF(R212&gt;0,IF(RIGHT(Ruimtestaat[[#This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12" s="37">
        <f>IF(U212&gt;0,VLOOKUP($J212,Ruimtegroepen[],3,FALSE)*VLOOKUP($L212,Vloersoorten[],3,FALSE)*VLOOKUP($S212,Frequenties[],3,FALSE)*VLOOKUP($A212,Locaties[],3,FALSE),0)</f>
        <v>0</v>
      </c>
      <c r="W212" s="37">
        <f>Ruimtestaat[[#This Row],[Uitvoeringen werkdagen]]*Ruimtestaat[[#This Row],[Oppervlak (netto)]]</f>
        <v>5800</v>
      </c>
      <c r="X212" s="37">
        <f>IF(V212&gt;0,Ruimtestaat[[#This Row],[Prest. (m2 /jaar) werkdagen]]/Ruimtestaat[[#This Row],[Norm (m2/uur) werkdagen]],0)</f>
        <v>0</v>
      </c>
      <c r="Y212" s="37">
        <f>Ruimtestaat[[#This Row],[uren / jaar werkdagen]]*Tariefsopbouw!$D$38</f>
        <v>0</v>
      </c>
      <c r="Z212" s="37">
        <f>IF(Ruimtestaat[[#This Row],[Frequentie weekend]]&gt;0,VALUE(LEFT(T212,1))*R212,0)</f>
        <v>0</v>
      </c>
      <c r="AA212" s="37">
        <f>IF($Z212&gt;0,VLOOKUP($J212,Ruimtegroepen[],3,FALSE)*VLOOKUP($L212,Vloersoorten[],3,FALSE)*VLOOKUP($T212,Frequenties[],3,FALSE)*VLOOKUP($A212,Locaties[],3,FALSE),0)</f>
        <v>0</v>
      </c>
      <c r="AB212" s="37">
        <f>Ruimtestaat[[#This Row],[Uitvoeringen weekend]]*Ruimtestaat[[#This Row],[Oppervlak (netto)]]</f>
        <v>0</v>
      </c>
      <c r="AC212" s="37">
        <f>IF(AA212&gt;0,Ruimtestaat[[#This Row],[Prest. (m2 /jaar) weekend]]/Ruimtestaat[[#This Row],[Norm (m2/uur) weekend]],0)</f>
        <v>0</v>
      </c>
      <c r="AD212" s="37">
        <f>Ruimtestaat[[#This Row],[uren / jaar weekend]]*Tariefsopbouw!$D$40</f>
        <v>0</v>
      </c>
      <c r="AE212" s="89">
        <f>Ruimtestaat[[#This Row],[Prest. (m2 /jaar) weekend]]+Ruimtestaat[[#This Row],[Prest. (m2 /jaar) werkdagen]]</f>
        <v>5800</v>
      </c>
      <c r="AF212" s="89">
        <f>Ruimtestaat[[#This Row],[uren / jaar weekend]]+Ruimtestaat[[#This Row],[uren / jaar werkdagen]]</f>
        <v>0</v>
      </c>
      <c r="AG212" s="90">
        <f>Ruimtestaat[[#This Row],[kosten / jaar weekend]]+Ruimtestaat[[#This Row],[kosten / jaar werkdagen]]</f>
        <v>0</v>
      </c>
      <c r="AH212" s="253"/>
      <c r="AI212" s="252" t="str">
        <f>IF(Ruimtestaat[[#This Row],[Frequentie werkdagen]]="","",_xlfn.CONCAT(Ruimtestaat[[#This Row],[Ruimte code]],"-",Ruimtestaat[[#This Row],[Frequentie werkdagen]]," ",Ruimtestaat[[#This Row],[Vloer code]]))</f>
        <v>2-5w P</v>
      </c>
      <c r="AJ212" s="247" t="str">
        <f>_xlfn.IFNA(VLOOKUP(Ruimtestaat[[#This Row],[Programmacode
Regulier]],Programma!$F$4:$Y$36148,2,0),"_")</f>
        <v>_</v>
      </c>
      <c r="AK212" s="247" t="str">
        <f>_xlfn.IFNA(VLOOKUP(Ruimtestaat[[#This Row],[Programmacode
Regulier]],Programma!$F$4:$Y$36148,3,0),"_")</f>
        <v>_</v>
      </c>
      <c r="AL212" s="247" t="str">
        <f>_xlfn.IFNA(VLOOKUP(Ruimtestaat[[#This Row],[Programmacode
Regulier]],Programma!$F$4:$Y$36148,4,0),"_")</f>
        <v>5w</v>
      </c>
      <c r="AM212" s="247" t="str">
        <f>_xlfn.IFNA(VLOOKUP(Ruimtestaat[[#This Row],[Programmacode
Regulier]],Programma!$F$4:$Y$36148,5,0),"_")</f>
        <v>1w</v>
      </c>
      <c r="AN212" s="247" t="str">
        <f>_xlfn.IFNA(VLOOKUP(Ruimtestaat[[#This Row],[Programmacode
Regulier]],Programma!$F$4:$Y$36148,6,0),"_")</f>
        <v>1m</v>
      </c>
      <c r="AO212" s="247" t="str">
        <f>_xlfn.IFNA(VLOOKUP(Ruimtestaat[[#This Row],[Programmacode
Regulier]],Programma!$F$4:$Y$36148,7,0),"_")</f>
        <v>_</v>
      </c>
      <c r="AP212" s="247" t="str">
        <f>_xlfn.IFNA(VLOOKUP(Ruimtestaat[[#This Row],[Programmacode
Regulier]],Programma!$F$4:$Y$36148,8,0),"_")</f>
        <v>_</v>
      </c>
      <c r="AQ212" s="247" t="str">
        <f>_xlfn.IFNA(VLOOKUP(Ruimtestaat[[#This Row],[Programmacode
Regulier]],Programma!$F$4:$Y$36148,9,0),"_")</f>
        <v>_</v>
      </c>
      <c r="AR212" s="248" t="str">
        <f>_xlfn.IFNA(VLOOKUP(Ruimtestaat[[#This Row],[Programmacode
Regulier]],Programma!$F$4:$Y$36148,10,0),"_")</f>
        <v>5w</v>
      </c>
      <c r="AS212" s="248" t="str">
        <f>_xlfn.IFNA(VLOOKUP(Ruimtestaat[[#This Row],[Programmacode
Regulier]],Programma!$F$4:$Y$36148,11,0),"_")</f>
        <v>5w</v>
      </c>
      <c r="AT212" s="248" t="str">
        <f>_xlfn.IFNA(VLOOKUP(Ruimtestaat[[#This Row],[Programmacode
Regulier]],Programma!$F$4:$Y$36148,12,0),"_")</f>
        <v>1w</v>
      </c>
      <c r="AU212" s="248" t="str">
        <f>_xlfn.IFNA(VLOOKUP(Ruimtestaat[[#This Row],[Programmacode
Regulier]],Programma!$F$4:$Y$36148,13,0),"_")</f>
        <v>1w</v>
      </c>
      <c r="AV212" s="248" t="str">
        <f>_xlfn.IFNA(VLOOKUP(Ruimtestaat[[#This Row],[Programmacode
Regulier]],Programma!$F$4:$Y$36148,14,0),"_")</f>
        <v>1m</v>
      </c>
      <c r="AW212" s="248" t="str">
        <f>_xlfn.IFNA(VLOOKUP(Ruimtestaat[[#This Row],[Programmacode
Regulier]],Programma!$F$4:$Y$36148,15,0),"_")</f>
        <v>2j</v>
      </c>
      <c r="AX212" s="248" t="str">
        <f>_xlfn.IFNA(VLOOKUP(Ruimtestaat[[#This Row],[Programmacode
Regulier]],Programma!$F$4:$Y$36148,16,0),"_")</f>
        <v>1j</v>
      </c>
      <c r="AY212" s="248" t="str">
        <f>_xlfn.IFNA(VLOOKUP(Ruimtestaat[[#This Row],[Programmacode
Regulier]],Programma!$F$4:$Y$36148,17,0),"_")</f>
        <v>_</v>
      </c>
      <c r="AZ212" s="249" t="str">
        <f>_xlfn.IFNA(VLOOKUP(Ruimtestaat[[#This Row],[Programmacode
Regulier]],Programma!$F$4:$Y$36148,18,0),"_")</f>
        <v>_</v>
      </c>
      <c r="BA212" s="249" t="str">
        <f>_xlfn.IFNA(VLOOKUP(Ruimtestaat[[#This Row],[Programmacode
Regulier]],Programma!$F$4:$Y$36148,19,0),"_")</f>
        <v>_</v>
      </c>
      <c r="BB212" s="249" t="str">
        <f>_xlfn.IFNA(VLOOKUP(Ruimtestaat[[#This Row],[Programmacode
Regulier]],Programma!$F$4:$Y$36148,20,0),"_")</f>
        <v>_</v>
      </c>
      <c r="BC212" s="250"/>
      <c r="BD212" s="212" t="str">
        <f>IF(Ruimtestaat[[#This Row],[Frequentie weekend]]="","",_xlfn.CONCAT(Ruimtestaat[[#This Row],[Ruimte code]],"-",Ruimtestaat[[#This Row],[Frequentie weekend]]," ",Ruimtestaat[[#This Row],[Vloer code]]))</f>
        <v/>
      </c>
      <c r="BE212" s="247" t="str">
        <f>_xlfn.IFNA(VLOOKUP(Ruimtestaat[[#This Row],[Code Weekend]],Programma!$F$4:$Y$36148,2,0),"_")</f>
        <v>_</v>
      </c>
      <c r="BF212" s="247" t="str">
        <f>_xlfn.IFNA(VLOOKUP(Ruimtestaat[[#This Row],[Code Weekend]],Programma!$F$4:$Y$36148,3,0),"_")</f>
        <v>_</v>
      </c>
      <c r="BG212" s="247" t="str">
        <f>_xlfn.IFNA(VLOOKUP(Ruimtestaat[[#This Row],[Code Weekend]],Programma!$F$4:$Y$36148,4,0),"_")</f>
        <v>_</v>
      </c>
      <c r="BH212" s="247" t="str">
        <f>_xlfn.IFNA(VLOOKUP(Ruimtestaat[[#This Row],[Code Weekend]],Programma!$F$4:$Y$36148,5,0),"_")</f>
        <v>_</v>
      </c>
      <c r="BI212" s="247" t="str">
        <f>_xlfn.IFNA(VLOOKUP(Ruimtestaat[[#This Row],[Code Weekend]],Programma!$F$4:$Y$36148,6,0),"_")</f>
        <v>_</v>
      </c>
      <c r="BJ212" s="247" t="str">
        <f>_xlfn.IFNA(VLOOKUP(Ruimtestaat[[#This Row],[Code Weekend]],Programma!$F$4:$Y$36148,7,0),"_")</f>
        <v>_</v>
      </c>
      <c r="BK212" s="247" t="str">
        <f>_xlfn.IFNA(VLOOKUP(Ruimtestaat[[#This Row],[Code Weekend]],Programma!$F$4:$Y$36148,8,0),"_")</f>
        <v>_</v>
      </c>
      <c r="BL212" s="247" t="str">
        <f>_xlfn.IFNA(VLOOKUP(Ruimtestaat[[#This Row],[Code Weekend]],Programma!$F$4:$Y$36148,9,0),"_")</f>
        <v>_</v>
      </c>
      <c r="BM212" s="248" t="str">
        <f>_xlfn.IFNA(VLOOKUP(Ruimtestaat[[#This Row],[Code Weekend]],Programma!$F$4:$Y$36148,10,0),"_")</f>
        <v>_</v>
      </c>
      <c r="BN212" s="248" t="str">
        <f>_xlfn.IFNA(VLOOKUP(Ruimtestaat[[#This Row],[Code Weekend]],Programma!$F$4:$Y$36148,11,0),"_")</f>
        <v>_</v>
      </c>
      <c r="BO212" s="248" t="str">
        <f>_xlfn.IFNA(VLOOKUP(Ruimtestaat[[#This Row],[Code Weekend]],Programma!$F$4:$Y$36148,12,0),"_")</f>
        <v>_</v>
      </c>
      <c r="BP212" s="248" t="str">
        <f>_xlfn.IFNA(VLOOKUP(Ruimtestaat[[#This Row],[Code Weekend]],Programma!$F$4:$Y$36148,13,0),"_")</f>
        <v>_</v>
      </c>
      <c r="BQ212" s="248" t="str">
        <f>_xlfn.IFNA(VLOOKUP(Ruimtestaat[[#This Row],[Code Weekend]],Programma!$F$4:$Y$36148,14,0),"_")</f>
        <v>_</v>
      </c>
      <c r="BR212" s="248" t="str">
        <f>_xlfn.IFNA(VLOOKUP(Ruimtestaat[[#This Row],[Code Weekend]],Programma!$F$4:$Y$36148,15,0),"_")</f>
        <v>_</v>
      </c>
      <c r="BS212" s="248" t="str">
        <f>_xlfn.IFNA(VLOOKUP(Ruimtestaat[[#This Row],[Code Weekend]],Programma!$F$4:$Y$36148,16,0),"_")</f>
        <v>_</v>
      </c>
      <c r="BT212" s="248" t="str">
        <f>_xlfn.IFNA(VLOOKUP(Ruimtestaat[[#This Row],[Code Weekend]],Programma!$F$4:$Y$36148,17,0),"_")</f>
        <v>_</v>
      </c>
      <c r="BU212" s="249" t="str">
        <f>_xlfn.IFNA(VLOOKUP(Ruimtestaat[[#This Row],[Code Weekend]],Programma!$F$4:$Y$36148,18,0),"_")</f>
        <v>_</v>
      </c>
      <c r="BV212" s="249" t="str">
        <f>_xlfn.IFNA(VLOOKUP(Ruimtestaat[[#This Row],[Code Weekend]],Programma!$F$4:$Y$36148,19,0),"_")</f>
        <v>_</v>
      </c>
      <c r="BW212" s="249" t="str">
        <f>_xlfn.IFNA(VLOOKUP(Ruimtestaat[[#This Row],[Code Weekend]],Programma!$F$4:$Y$36148,20,0),"_")</f>
        <v>_</v>
      </c>
    </row>
    <row r="213" spans="1:75" ht="12.75" customHeight="1">
      <c r="A213" s="334">
        <v>1</v>
      </c>
      <c r="B213" s="334" t="str">
        <f>VLOOKUP(Ruimtestaat[[#This Row],[Code]],Locaties[#All],2,FALSE)</f>
        <v>ESH Secondary School</v>
      </c>
      <c r="C213" s="212" t="str">
        <f>VLOOKUP(Ruimtestaat[[#This Row],[Code]],Locaties[#All],4,FALSE)</f>
        <v>Oostduinlaan 50</v>
      </c>
      <c r="D213" s="212" t="str">
        <f>VLOOKUP(Ruimtestaat[[#This Row],[Code]],Locaties[#All],5,FALSE)</f>
        <v>2596 JP</v>
      </c>
      <c r="E213" s="212" t="str">
        <f>VLOOKUP(Ruimtestaat[[#This Row],[Code]],Locaties[#All],6,FALSE)</f>
        <v>Den Haag</v>
      </c>
      <c r="F213" s="335"/>
      <c r="G213" s="334" t="s">
        <v>1737</v>
      </c>
      <c r="H213" s="334" t="s">
        <v>1719</v>
      </c>
      <c r="I213" s="335" t="s">
        <v>1734</v>
      </c>
      <c r="J213" s="328">
        <v>10</v>
      </c>
      <c r="K213" s="336" t="str">
        <f>VLOOKUP(J213,Ruimtegroepen[],2,FALSE)</f>
        <v>Trappenhuizen/lift</v>
      </c>
      <c r="L213" s="212" t="s">
        <v>123</v>
      </c>
      <c r="M213" s="334" t="s">
        <v>144</v>
      </c>
      <c r="N213" s="337">
        <v>3</v>
      </c>
      <c r="O213" s="331"/>
      <c r="P213" s="332" t="str">
        <f>VLOOKUP(Ruimtestaat[[#This Row],[Ruimte code]],Ruimtegroepen[],4,FALSE)</f>
        <v>V  (Verkeersruimte)</v>
      </c>
      <c r="Q213" s="332"/>
      <c r="R213" s="333">
        <v>40</v>
      </c>
      <c r="S213" s="333" t="s">
        <v>2</v>
      </c>
      <c r="T213" s="37"/>
      <c r="U213" s="37">
        <f>IF(R213&gt;0,IF(RIGHT(Ruimtestaat[[#This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13" s="37">
        <f>IF(U213&gt;0,VLOOKUP($J213,Ruimtegroepen[],3,FALSE)*VLOOKUP($L213,Vloersoorten[],3,FALSE)*VLOOKUP($S213,Frequenties[],3,FALSE)*VLOOKUP($A213,Locaties[],3,FALSE),0)</f>
        <v>0</v>
      </c>
      <c r="W213" s="37">
        <f>Ruimtestaat[[#This Row],[Uitvoeringen werkdagen]]*Ruimtestaat[[#This Row],[Oppervlak (netto)]]</f>
        <v>600</v>
      </c>
      <c r="X213" s="37">
        <f>IF(V213&gt;0,Ruimtestaat[[#This Row],[Prest. (m2 /jaar) werkdagen]]/Ruimtestaat[[#This Row],[Norm (m2/uur) werkdagen]],0)</f>
        <v>0</v>
      </c>
      <c r="Y213" s="37">
        <f>Ruimtestaat[[#This Row],[uren / jaar werkdagen]]*Tariefsopbouw!$D$38</f>
        <v>0</v>
      </c>
      <c r="Z213" s="37">
        <f>IF(Ruimtestaat[[#This Row],[Frequentie weekend]]&gt;0,VALUE(LEFT(T213,1))*R213,0)</f>
        <v>0</v>
      </c>
      <c r="AA213" s="37">
        <f>IF($Z213&gt;0,VLOOKUP($J213,Ruimtegroepen[],3,FALSE)*VLOOKUP($L213,Vloersoorten[],3,FALSE)*VLOOKUP($T213,Frequenties[],3,FALSE)*VLOOKUP($A213,Locaties[],3,FALSE),0)</f>
        <v>0</v>
      </c>
      <c r="AB213" s="37">
        <f>Ruimtestaat[[#This Row],[Uitvoeringen weekend]]*Ruimtestaat[[#This Row],[Oppervlak (netto)]]</f>
        <v>0</v>
      </c>
      <c r="AC213" s="37">
        <f>IF(AA213&gt;0,Ruimtestaat[[#This Row],[Prest. (m2 /jaar) weekend]]/Ruimtestaat[[#This Row],[Norm (m2/uur) weekend]],0)</f>
        <v>0</v>
      </c>
      <c r="AD213" s="37">
        <f>Ruimtestaat[[#This Row],[uren / jaar weekend]]*Tariefsopbouw!$D$40</f>
        <v>0</v>
      </c>
      <c r="AE213" s="89">
        <f>Ruimtestaat[[#This Row],[Prest. (m2 /jaar) weekend]]+Ruimtestaat[[#This Row],[Prest. (m2 /jaar) werkdagen]]</f>
        <v>600</v>
      </c>
      <c r="AF213" s="89">
        <f>Ruimtestaat[[#This Row],[uren / jaar weekend]]+Ruimtestaat[[#This Row],[uren / jaar werkdagen]]</f>
        <v>0</v>
      </c>
      <c r="AG213" s="90">
        <f>Ruimtestaat[[#This Row],[kosten / jaar weekend]]+Ruimtestaat[[#This Row],[kosten / jaar werkdagen]]</f>
        <v>0</v>
      </c>
      <c r="AH213" s="253"/>
      <c r="AI213" s="252" t="str">
        <f>IF(Ruimtestaat[[#This Row],[Frequentie werkdagen]]="","",_xlfn.CONCAT(Ruimtestaat[[#This Row],[Ruimte code]],"-",Ruimtestaat[[#This Row],[Frequentie werkdagen]]," ",Ruimtestaat[[#This Row],[Vloer code]]))</f>
        <v>10-5w P</v>
      </c>
      <c r="AJ213" s="247" t="str">
        <f>_xlfn.IFNA(VLOOKUP(Ruimtestaat[[#This Row],[Programmacode
Regulier]],Programma!$F$4:$Y$36148,2,0),"_")</f>
        <v>_</v>
      </c>
      <c r="AK213" s="247" t="str">
        <f>_xlfn.IFNA(VLOOKUP(Ruimtestaat[[#This Row],[Programmacode
Regulier]],Programma!$F$4:$Y$36148,3,0),"_")</f>
        <v>5w</v>
      </c>
      <c r="AL213" s="247" t="str">
        <f>_xlfn.IFNA(VLOOKUP(Ruimtestaat[[#This Row],[Programmacode
Regulier]],Programma!$F$4:$Y$36148,4,0),"_")</f>
        <v>_</v>
      </c>
      <c r="AM213" s="247" t="str">
        <f>_xlfn.IFNA(VLOOKUP(Ruimtestaat[[#This Row],[Programmacode
Regulier]],Programma!$F$4:$Y$36148,5,0),"_")</f>
        <v>5w</v>
      </c>
      <c r="AN213" s="247" t="str">
        <f>_xlfn.IFNA(VLOOKUP(Ruimtestaat[[#This Row],[Programmacode
Regulier]],Programma!$F$4:$Y$36148,6,0),"_")</f>
        <v>1m</v>
      </c>
      <c r="AO213" s="247" t="str">
        <f>_xlfn.IFNA(VLOOKUP(Ruimtestaat[[#This Row],[Programmacode
Regulier]],Programma!$F$4:$Y$36148,7,0),"_")</f>
        <v>_</v>
      </c>
      <c r="AP213" s="247" t="str">
        <f>_xlfn.IFNA(VLOOKUP(Ruimtestaat[[#This Row],[Programmacode
Regulier]],Programma!$F$4:$Y$36148,8,0),"_")</f>
        <v>_</v>
      </c>
      <c r="AQ213" s="247" t="str">
        <f>_xlfn.IFNA(VLOOKUP(Ruimtestaat[[#This Row],[Programmacode
Regulier]],Programma!$F$4:$Y$36148,9,0),"_")</f>
        <v>_</v>
      </c>
      <c r="AR213" s="248" t="str">
        <f>_xlfn.IFNA(VLOOKUP(Ruimtestaat[[#This Row],[Programmacode
Regulier]],Programma!$F$4:$Y$36148,10,0),"_")</f>
        <v>5w</v>
      </c>
      <c r="AS213" s="248" t="str">
        <f>_xlfn.IFNA(VLOOKUP(Ruimtestaat[[#This Row],[Programmacode
Regulier]],Programma!$F$4:$Y$36148,11,0),"_")</f>
        <v>5w</v>
      </c>
      <c r="AT213" s="248" t="str">
        <f>_xlfn.IFNA(VLOOKUP(Ruimtestaat[[#This Row],[Programmacode
Regulier]],Programma!$F$4:$Y$36148,12,0),"_")</f>
        <v>1w</v>
      </c>
      <c r="AU213" s="248" t="str">
        <f>_xlfn.IFNA(VLOOKUP(Ruimtestaat[[#This Row],[Programmacode
Regulier]],Programma!$F$4:$Y$36148,13,0),"_")</f>
        <v>1w</v>
      </c>
      <c r="AV213" s="248" t="str">
        <f>_xlfn.IFNA(VLOOKUP(Ruimtestaat[[#This Row],[Programmacode
Regulier]],Programma!$F$4:$Y$36148,14,0),"_")</f>
        <v>1m</v>
      </c>
      <c r="AW213" s="248" t="str">
        <f>_xlfn.IFNA(VLOOKUP(Ruimtestaat[[#This Row],[Programmacode
Regulier]],Programma!$F$4:$Y$36148,15,0),"_")</f>
        <v>2j</v>
      </c>
      <c r="AX213" s="248" t="str">
        <f>_xlfn.IFNA(VLOOKUP(Ruimtestaat[[#This Row],[Programmacode
Regulier]],Programma!$F$4:$Y$36148,16,0),"_")</f>
        <v>1j</v>
      </c>
      <c r="AY213" s="248" t="str">
        <f>_xlfn.IFNA(VLOOKUP(Ruimtestaat[[#This Row],[Programmacode
Regulier]],Programma!$F$4:$Y$36148,17,0),"_")</f>
        <v>_</v>
      </c>
      <c r="AZ213" s="249" t="str">
        <f>_xlfn.IFNA(VLOOKUP(Ruimtestaat[[#This Row],[Programmacode
Regulier]],Programma!$F$4:$Y$36148,18,0),"_")</f>
        <v>_</v>
      </c>
      <c r="BA213" s="249" t="str">
        <f>_xlfn.IFNA(VLOOKUP(Ruimtestaat[[#This Row],[Programmacode
Regulier]],Programma!$F$4:$Y$36148,19,0),"_")</f>
        <v>_</v>
      </c>
      <c r="BB213" s="249" t="str">
        <f>_xlfn.IFNA(VLOOKUP(Ruimtestaat[[#This Row],[Programmacode
Regulier]],Programma!$F$4:$Y$36148,20,0),"_")</f>
        <v>_</v>
      </c>
      <c r="BC213" s="250"/>
      <c r="BD213" s="212" t="str">
        <f>IF(Ruimtestaat[[#This Row],[Frequentie weekend]]="","",_xlfn.CONCAT(Ruimtestaat[[#This Row],[Ruimte code]],"-",Ruimtestaat[[#This Row],[Frequentie weekend]]," ",Ruimtestaat[[#This Row],[Vloer code]]))</f>
        <v/>
      </c>
      <c r="BE213" s="247" t="str">
        <f>_xlfn.IFNA(VLOOKUP(Ruimtestaat[[#This Row],[Code Weekend]],Programma!$F$4:$Y$36148,2,0),"_")</f>
        <v>_</v>
      </c>
      <c r="BF213" s="247" t="str">
        <f>_xlfn.IFNA(VLOOKUP(Ruimtestaat[[#This Row],[Code Weekend]],Programma!$F$4:$Y$36148,3,0),"_")</f>
        <v>_</v>
      </c>
      <c r="BG213" s="247" t="str">
        <f>_xlfn.IFNA(VLOOKUP(Ruimtestaat[[#This Row],[Code Weekend]],Programma!$F$4:$Y$36148,4,0),"_")</f>
        <v>_</v>
      </c>
      <c r="BH213" s="247" t="str">
        <f>_xlfn.IFNA(VLOOKUP(Ruimtestaat[[#This Row],[Code Weekend]],Programma!$F$4:$Y$36148,5,0),"_")</f>
        <v>_</v>
      </c>
      <c r="BI213" s="247" t="str">
        <f>_xlfn.IFNA(VLOOKUP(Ruimtestaat[[#This Row],[Code Weekend]],Programma!$F$4:$Y$36148,6,0),"_")</f>
        <v>_</v>
      </c>
      <c r="BJ213" s="247" t="str">
        <f>_xlfn.IFNA(VLOOKUP(Ruimtestaat[[#This Row],[Code Weekend]],Programma!$F$4:$Y$36148,7,0),"_")</f>
        <v>_</v>
      </c>
      <c r="BK213" s="247" t="str">
        <f>_xlfn.IFNA(VLOOKUP(Ruimtestaat[[#This Row],[Code Weekend]],Programma!$F$4:$Y$36148,8,0),"_")</f>
        <v>_</v>
      </c>
      <c r="BL213" s="247" t="str">
        <f>_xlfn.IFNA(VLOOKUP(Ruimtestaat[[#This Row],[Code Weekend]],Programma!$F$4:$Y$36148,9,0),"_")</f>
        <v>_</v>
      </c>
      <c r="BM213" s="248" t="str">
        <f>_xlfn.IFNA(VLOOKUP(Ruimtestaat[[#This Row],[Code Weekend]],Programma!$F$4:$Y$36148,10,0),"_")</f>
        <v>_</v>
      </c>
      <c r="BN213" s="248" t="str">
        <f>_xlfn.IFNA(VLOOKUP(Ruimtestaat[[#This Row],[Code Weekend]],Programma!$F$4:$Y$36148,11,0),"_")</f>
        <v>_</v>
      </c>
      <c r="BO213" s="248" t="str">
        <f>_xlfn.IFNA(VLOOKUP(Ruimtestaat[[#This Row],[Code Weekend]],Programma!$F$4:$Y$36148,12,0),"_")</f>
        <v>_</v>
      </c>
      <c r="BP213" s="248" t="str">
        <f>_xlfn.IFNA(VLOOKUP(Ruimtestaat[[#This Row],[Code Weekend]],Programma!$F$4:$Y$36148,13,0),"_")</f>
        <v>_</v>
      </c>
      <c r="BQ213" s="248" t="str">
        <f>_xlfn.IFNA(VLOOKUP(Ruimtestaat[[#This Row],[Code Weekend]],Programma!$F$4:$Y$36148,14,0),"_")</f>
        <v>_</v>
      </c>
      <c r="BR213" s="248" t="str">
        <f>_xlfn.IFNA(VLOOKUP(Ruimtestaat[[#This Row],[Code Weekend]],Programma!$F$4:$Y$36148,15,0),"_")</f>
        <v>_</v>
      </c>
      <c r="BS213" s="248" t="str">
        <f>_xlfn.IFNA(VLOOKUP(Ruimtestaat[[#This Row],[Code Weekend]],Programma!$F$4:$Y$36148,16,0),"_")</f>
        <v>_</v>
      </c>
      <c r="BT213" s="248" t="str">
        <f>_xlfn.IFNA(VLOOKUP(Ruimtestaat[[#This Row],[Code Weekend]],Programma!$F$4:$Y$36148,17,0),"_")</f>
        <v>_</v>
      </c>
      <c r="BU213" s="249" t="str">
        <f>_xlfn.IFNA(VLOOKUP(Ruimtestaat[[#This Row],[Code Weekend]],Programma!$F$4:$Y$36148,18,0),"_")</f>
        <v>_</v>
      </c>
      <c r="BV213" s="249" t="str">
        <f>_xlfn.IFNA(VLOOKUP(Ruimtestaat[[#This Row],[Code Weekend]],Programma!$F$4:$Y$36148,19,0),"_")</f>
        <v>_</v>
      </c>
      <c r="BW213" s="249" t="str">
        <f>_xlfn.IFNA(VLOOKUP(Ruimtestaat[[#This Row],[Code Weekend]],Programma!$F$4:$Y$36148,20,0),"_")</f>
        <v>_</v>
      </c>
    </row>
    <row r="214" spans="1:75" ht="12.75" customHeight="1">
      <c r="A214" s="334">
        <v>1</v>
      </c>
      <c r="B214" s="334" t="str">
        <f>VLOOKUP(Ruimtestaat[[#This Row],[Code]],Locaties[#All],2,FALSE)</f>
        <v>ESH Secondary School</v>
      </c>
      <c r="C214" s="212" t="str">
        <f>VLOOKUP(Ruimtestaat[[#This Row],[Code]],Locaties[#All],4,FALSE)</f>
        <v>Oostduinlaan 50</v>
      </c>
      <c r="D214" s="212" t="str">
        <f>VLOOKUP(Ruimtestaat[[#This Row],[Code]],Locaties[#All],5,FALSE)</f>
        <v>2596 JP</v>
      </c>
      <c r="E214" s="212" t="str">
        <f>VLOOKUP(Ruimtestaat[[#This Row],[Code]],Locaties[#All],6,FALSE)</f>
        <v>Den Haag</v>
      </c>
      <c r="F214" s="335"/>
      <c r="G214" s="334" t="s">
        <v>1737</v>
      </c>
      <c r="H214" s="334" t="s">
        <v>1720</v>
      </c>
      <c r="I214" s="335" t="s">
        <v>1494</v>
      </c>
      <c r="J214" s="328">
        <v>5</v>
      </c>
      <c r="K214" s="336" t="str">
        <f>VLOOKUP(J214,Ruimtegroepen[],2,FALSE)</f>
        <v>Sanitair</v>
      </c>
      <c r="L214" s="212" t="s">
        <v>123</v>
      </c>
      <c r="M214" s="334" t="s">
        <v>144</v>
      </c>
      <c r="N214" s="337">
        <v>14</v>
      </c>
      <c r="O214" s="331"/>
      <c r="P214" s="332" t="str">
        <f>VLOOKUP(Ruimtestaat[[#This Row],[Ruimte code]],Ruimtegroepen[],4,FALSE)</f>
        <v>S  (Sanitair)</v>
      </c>
      <c r="Q214" s="332"/>
      <c r="R214" s="333">
        <v>40</v>
      </c>
      <c r="S214" s="333" t="s">
        <v>19</v>
      </c>
      <c r="T214" s="37"/>
      <c r="U214" s="37">
        <f>IF(R214&gt;0,IF(RIGHT(Ruimtestaat[[#This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214" s="37">
        <f>IF(U214&gt;0,VLOOKUP($J214,Ruimtegroepen[],3,FALSE)*VLOOKUP($L214,Vloersoorten[],3,FALSE)*VLOOKUP($S214,Frequenties[],3,FALSE)*VLOOKUP($A214,Locaties[],3,FALSE),0)</f>
        <v>0</v>
      </c>
      <c r="W214" s="37">
        <f>Ruimtestaat[[#This Row],[Uitvoeringen werkdagen]]*Ruimtestaat[[#This Row],[Oppervlak (netto)]]</f>
        <v>5600</v>
      </c>
      <c r="X214" s="37">
        <f>IF(V214&gt;0,Ruimtestaat[[#This Row],[Prest. (m2 /jaar) werkdagen]]/Ruimtestaat[[#This Row],[Norm (m2/uur) werkdagen]],0)</f>
        <v>0</v>
      </c>
      <c r="Y214" s="37">
        <f>Ruimtestaat[[#This Row],[uren / jaar werkdagen]]*Tariefsopbouw!$D$38</f>
        <v>0</v>
      </c>
      <c r="Z214" s="37">
        <f>IF(Ruimtestaat[[#This Row],[Frequentie weekend]]&gt;0,VALUE(LEFT(T214,1))*R214,0)</f>
        <v>0</v>
      </c>
      <c r="AA214" s="37">
        <f>IF($Z214&gt;0,VLOOKUP($J214,Ruimtegroepen[],3,FALSE)*VLOOKUP($L214,Vloersoorten[],3,FALSE)*VLOOKUP($T214,Frequenties[],3,FALSE)*VLOOKUP($A214,Locaties[],3,FALSE),0)</f>
        <v>0</v>
      </c>
      <c r="AB214" s="37">
        <f>Ruimtestaat[[#This Row],[Uitvoeringen weekend]]*Ruimtestaat[[#This Row],[Oppervlak (netto)]]</f>
        <v>0</v>
      </c>
      <c r="AC214" s="37">
        <f>IF(AA214&gt;0,Ruimtestaat[[#This Row],[Prest. (m2 /jaar) weekend]]/Ruimtestaat[[#This Row],[Norm (m2/uur) weekend]],0)</f>
        <v>0</v>
      </c>
      <c r="AD214" s="37">
        <f>Ruimtestaat[[#This Row],[uren / jaar weekend]]*Tariefsopbouw!$D$40</f>
        <v>0</v>
      </c>
      <c r="AE214" s="89">
        <f>Ruimtestaat[[#This Row],[Prest. (m2 /jaar) weekend]]+Ruimtestaat[[#This Row],[Prest. (m2 /jaar) werkdagen]]</f>
        <v>5600</v>
      </c>
      <c r="AF214" s="89">
        <f>Ruimtestaat[[#This Row],[uren / jaar weekend]]+Ruimtestaat[[#This Row],[uren / jaar werkdagen]]</f>
        <v>0</v>
      </c>
      <c r="AG214" s="90">
        <f>Ruimtestaat[[#This Row],[kosten / jaar weekend]]+Ruimtestaat[[#This Row],[kosten / jaar werkdagen]]</f>
        <v>0</v>
      </c>
      <c r="AH214" s="253"/>
      <c r="AI214" s="252" t="str">
        <f>IF(Ruimtestaat[[#This Row],[Frequentie werkdagen]]="","",_xlfn.CONCAT(Ruimtestaat[[#This Row],[Ruimte code]],"-",Ruimtestaat[[#This Row],[Frequentie werkdagen]]," ",Ruimtestaat[[#This Row],[Vloer code]]))</f>
        <v>5-10w P</v>
      </c>
      <c r="AJ214" s="247" t="str">
        <f>_xlfn.IFNA(VLOOKUP(Ruimtestaat[[#This Row],[Programmacode
Regulier]],Programma!$F$4:$Y$36148,2,0),"_")</f>
        <v>_</v>
      </c>
      <c r="AK214" s="247" t="str">
        <f>_xlfn.IFNA(VLOOKUP(Ruimtestaat[[#This Row],[Programmacode
Regulier]],Programma!$F$4:$Y$36148,3,0),"_")</f>
        <v>_</v>
      </c>
      <c r="AL214" s="247" t="str">
        <f>_xlfn.IFNA(VLOOKUP(Ruimtestaat[[#This Row],[Programmacode
Regulier]],Programma!$F$4:$Y$36148,4,0),"_")</f>
        <v>_</v>
      </c>
      <c r="AM214" s="247" t="str">
        <f>_xlfn.IFNA(VLOOKUP(Ruimtestaat[[#This Row],[Programmacode
Regulier]],Programma!$F$4:$Y$36148,5,0),"_")</f>
        <v>4w</v>
      </c>
      <c r="AN214" s="247" t="str">
        <f>_xlfn.IFNA(VLOOKUP(Ruimtestaat[[#This Row],[Programmacode
Regulier]],Programma!$F$4:$Y$36148,6,0),"_")</f>
        <v>1w</v>
      </c>
      <c r="AO214" s="247" t="str">
        <f>_xlfn.IFNA(VLOOKUP(Ruimtestaat[[#This Row],[Programmacode
Regulier]],Programma!$F$4:$Y$36148,7,0),"_")</f>
        <v>_</v>
      </c>
      <c r="AP214" s="247" t="str">
        <f>_xlfn.IFNA(VLOOKUP(Ruimtestaat[[#This Row],[Programmacode
Regulier]],Programma!$F$4:$Y$36148,8,0),"_")</f>
        <v>_</v>
      </c>
      <c r="AQ214" s="247" t="str">
        <f>_xlfn.IFNA(VLOOKUP(Ruimtestaat[[#This Row],[Programmacode
Regulier]],Programma!$F$4:$Y$36148,9,0),"_")</f>
        <v>5w</v>
      </c>
      <c r="AR214" s="248" t="str">
        <f>_xlfn.IFNA(VLOOKUP(Ruimtestaat[[#This Row],[Programmacode
Regulier]],Programma!$F$4:$Y$36148,10,0),"_")</f>
        <v>_</v>
      </c>
      <c r="AS214" s="248" t="str">
        <f>_xlfn.IFNA(VLOOKUP(Ruimtestaat[[#This Row],[Programmacode
Regulier]],Programma!$F$4:$Y$36148,11,0),"_")</f>
        <v>_</v>
      </c>
      <c r="AT214" s="248" t="str">
        <f>_xlfn.IFNA(VLOOKUP(Ruimtestaat[[#This Row],[Programmacode
Regulier]],Programma!$F$4:$Y$36148,12,0),"_")</f>
        <v>_</v>
      </c>
      <c r="AU214" s="248" t="str">
        <f>_xlfn.IFNA(VLOOKUP(Ruimtestaat[[#This Row],[Programmacode
Regulier]],Programma!$F$4:$Y$36148,13,0),"_")</f>
        <v>_</v>
      </c>
      <c r="AV214" s="248" t="str">
        <f>_xlfn.IFNA(VLOOKUP(Ruimtestaat[[#This Row],[Programmacode
Regulier]],Programma!$F$4:$Y$36148,14,0),"_")</f>
        <v>_</v>
      </c>
      <c r="AW214" s="248" t="str">
        <f>_xlfn.IFNA(VLOOKUP(Ruimtestaat[[#This Row],[Programmacode
Regulier]],Programma!$F$4:$Y$36148,15,0),"_")</f>
        <v>_</v>
      </c>
      <c r="AX214" s="248" t="str">
        <f>_xlfn.IFNA(VLOOKUP(Ruimtestaat[[#This Row],[Programmacode
Regulier]],Programma!$F$4:$Y$36148,16,0),"_")</f>
        <v>_</v>
      </c>
      <c r="AY214" s="248" t="str">
        <f>_xlfn.IFNA(VLOOKUP(Ruimtestaat[[#This Row],[Programmacode
Regulier]],Programma!$F$4:$Y$36148,17,0),"_")</f>
        <v>_</v>
      </c>
      <c r="AZ214" s="249" t="str">
        <f>_xlfn.IFNA(VLOOKUP(Ruimtestaat[[#This Row],[Programmacode
Regulier]],Programma!$F$4:$Y$36148,18,0),"_")</f>
        <v>4w</v>
      </c>
      <c r="BA214" s="249" t="str">
        <f>_xlfn.IFNA(VLOOKUP(Ruimtestaat[[#This Row],[Programmacode
Regulier]],Programma!$F$4:$Y$36148,19,0),"_")</f>
        <v>1w</v>
      </c>
      <c r="BB214" s="249" t="str">
        <f>_xlfn.IFNA(VLOOKUP(Ruimtestaat[[#This Row],[Programmacode
Regulier]],Programma!$F$4:$Y$36148,20,0),"_")</f>
        <v>5w</v>
      </c>
      <c r="BC214" s="250"/>
      <c r="BD214" s="212" t="str">
        <f>IF(Ruimtestaat[[#This Row],[Frequentie weekend]]="","",_xlfn.CONCAT(Ruimtestaat[[#This Row],[Ruimte code]],"-",Ruimtestaat[[#This Row],[Frequentie weekend]]," ",Ruimtestaat[[#This Row],[Vloer code]]))</f>
        <v/>
      </c>
      <c r="BE214" s="247" t="str">
        <f>_xlfn.IFNA(VLOOKUP(Ruimtestaat[[#This Row],[Code Weekend]],Programma!$F$4:$Y$36148,2,0),"_")</f>
        <v>_</v>
      </c>
      <c r="BF214" s="247" t="str">
        <f>_xlfn.IFNA(VLOOKUP(Ruimtestaat[[#This Row],[Code Weekend]],Programma!$F$4:$Y$36148,3,0),"_")</f>
        <v>_</v>
      </c>
      <c r="BG214" s="247" t="str">
        <f>_xlfn.IFNA(VLOOKUP(Ruimtestaat[[#This Row],[Code Weekend]],Programma!$F$4:$Y$36148,4,0),"_")</f>
        <v>_</v>
      </c>
      <c r="BH214" s="247" t="str">
        <f>_xlfn.IFNA(VLOOKUP(Ruimtestaat[[#This Row],[Code Weekend]],Programma!$F$4:$Y$36148,5,0),"_")</f>
        <v>_</v>
      </c>
      <c r="BI214" s="247" t="str">
        <f>_xlfn.IFNA(VLOOKUP(Ruimtestaat[[#This Row],[Code Weekend]],Programma!$F$4:$Y$36148,6,0),"_")</f>
        <v>_</v>
      </c>
      <c r="BJ214" s="247" t="str">
        <f>_xlfn.IFNA(VLOOKUP(Ruimtestaat[[#This Row],[Code Weekend]],Programma!$F$4:$Y$36148,7,0),"_")</f>
        <v>_</v>
      </c>
      <c r="BK214" s="247" t="str">
        <f>_xlfn.IFNA(VLOOKUP(Ruimtestaat[[#This Row],[Code Weekend]],Programma!$F$4:$Y$36148,8,0),"_")</f>
        <v>_</v>
      </c>
      <c r="BL214" s="247" t="str">
        <f>_xlfn.IFNA(VLOOKUP(Ruimtestaat[[#This Row],[Code Weekend]],Programma!$F$4:$Y$36148,9,0),"_")</f>
        <v>_</v>
      </c>
      <c r="BM214" s="248" t="str">
        <f>_xlfn.IFNA(VLOOKUP(Ruimtestaat[[#This Row],[Code Weekend]],Programma!$F$4:$Y$36148,10,0),"_")</f>
        <v>_</v>
      </c>
      <c r="BN214" s="248" t="str">
        <f>_xlfn.IFNA(VLOOKUP(Ruimtestaat[[#This Row],[Code Weekend]],Programma!$F$4:$Y$36148,11,0),"_")</f>
        <v>_</v>
      </c>
      <c r="BO214" s="248" t="str">
        <f>_xlfn.IFNA(VLOOKUP(Ruimtestaat[[#This Row],[Code Weekend]],Programma!$F$4:$Y$36148,12,0),"_")</f>
        <v>_</v>
      </c>
      <c r="BP214" s="248" t="str">
        <f>_xlfn.IFNA(VLOOKUP(Ruimtestaat[[#This Row],[Code Weekend]],Programma!$F$4:$Y$36148,13,0),"_")</f>
        <v>_</v>
      </c>
      <c r="BQ214" s="248" t="str">
        <f>_xlfn.IFNA(VLOOKUP(Ruimtestaat[[#This Row],[Code Weekend]],Programma!$F$4:$Y$36148,14,0),"_")</f>
        <v>_</v>
      </c>
      <c r="BR214" s="248" t="str">
        <f>_xlfn.IFNA(VLOOKUP(Ruimtestaat[[#This Row],[Code Weekend]],Programma!$F$4:$Y$36148,15,0),"_")</f>
        <v>_</v>
      </c>
      <c r="BS214" s="248" t="str">
        <f>_xlfn.IFNA(VLOOKUP(Ruimtestaat[[#This Row],[Code Weekend]],Programma!$F$4:$Y$36148,16,0),"_")</f>
        <v>_</v>
      </c>
      <c r="BT214" s="248" t="str">
        <f>_xlfn.IFNA(VLOOKUP(Ruimtestaat[[#This Row],[Code Weekend]],Programma!$F$4:$Y$36148,17,0),"_")</f>
        <v>_</v>
      </c>
      <c r="BU214" s="249" t="str">
        <f>_xlfn.IFNA(VLOOKUP(Ruimtestaat[[#This Row],[Code Weekend]],Programma!$F$4:$Y$36148,18,0),"_")</f>
        <v>_</v>
      </c>
      <c r="BV214" s="249" t="str">
        <f>_xlfn.IFNA(VLOOKUP(Ruimtestaat[[#This Row],[Code Weekend]],Programma!$F$4:$Y$36148,19,0),"_")</f>
        <v>_</v>
      </c>
      <c r="BW214" s="249" t="str">
        <f>_xlfn.IFNA(VLOOKUP(Ruimtestaat[[#This Row],[Code Weekend]],Programma!$F$4:$Y$36148,20,0),"_")</f>
        <v>_</v>
      </c>
    </row>
    <row r="215" spans="1:75" ht="12.75" customHeight="1">
      <c r="A215" s="334">
        <v>1</v>
      </c>
      <c r="B215" s="334" t="str">
        <f>VLOOKUP(Ruimtestaat[[#This Row],[Code]],Locaties[#All],2,FALSE)</f>
        <v>ESH Secondary School</v>
      </c>
      <c r="C215" s="212" t="str">
        <f>VLOOKUP(Ruimtestaat[[#This Row],[Code]],Locaties[#All],4,FALSE)</f>
        <v>Oostduinlaan 50</v>
      </c>
      <c r="D215" s="212" t="str">
        <f>VLOOKUP(Ruimtestaat[[#This Row],[Code]],Locaties[#All],5,FALSE)</f>
        <v>2596 JP</v>
      </c>
      <c r="E215" s="212" t="str">
        <f>VLOOKUP(Ruimtestaat[[#This Row],[Code]],Locaties[#All],6,FALSE)</f>
        <v>Den Haag</v>
      </c>
      <c r="F215" s="335"/>
      <c r="G215" s="334" t="s">
        <v>1737</v>
      </c>
      <c r="H215" s="334" t="s">
        <v>1721</v>
      </c>
      <c r="I215" s="335" t="s">
        <v>1756</v>
      </c>
      <c r="J215" s="212">
        <v>3</v>
      </c>
      <c r="K215" s="336" t="str">
        <f>VLOOKUP(J215,Ruimtegroepen[],2,FALSE)</f>
        <v>Reproruimte</v>
      </c>
      <c r="L215" s="212" t="s">
        <v>123</v>
      </c>
      <c r="M215" s="334" t="s">
        <v>144</v>
      </c>
      <c r="N215" s="337">
        <v>7</v>
      </c>
      <c r="O215" s="331"/>
      <c r="P215" s="332" t="str">
        <f>VLOOKUP(Ruimtestaat[[#This Row],[Ruimte code]],Ruimtegroepen[],4,FALSE)</f>
        <v>V  (Verkeersruimte)</v>
      </c>
      <c r="Q215" s="332"/>
      <c r="R215" s="333">
        <v>40</v>
      </c>
      <c r="S215" s="333" t="s">
        <v>2</v>
      </c>
      <c r="T215" s="37"/>
      <c r="U215" s="37">
        <f>IF(R215&gt;0,IF(RIGHT(Ruimtestaat[[#This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15" s="37">
        <f>IF(U215&gt;0,VLOOKUP($J215,Ruimtegroepen[],3,FALSE)*VLOOKUP($L215,Vloersoorten[],3,FALSE)*VLOOKUP($S215,Frequenties[],3,FALSE)*VLOOKUP($A215,Locaties[],3,FALSE),0)</f>
        <v>0</v>
      </c>
      <c r="W215" s="37">
        <f>Ruimtestaat[[#This Row],[Uitvoeringen werkdagen]]*Ruimtestaat[[#This Row],[Oppervlak (netto)]]</f>
        <v>1400</v>
      </c>
      <c r="X215" s="37">
        <f>IF(V215&gt;0,Ruimtestaat[[#This Row],[Prest. (m2 /jaar) werkdagen]]/Ruimtestaat[[#This Row],[Norm (m2/uur) werkdagen]],0)</f>
        <v>0</v>
      </c>
      <c r="Y215" s="37">
        <f>Ruimtestaat[[#This Row],[uren / jaar werkdagen]]*Tariefsopbouw!$D$38</f>
        <v>0</v>
      </c>
      <c r="Z215" s="37">
        <f>IF(Ruimtestaat[[#This Row],[Frequentie weekend]]&gt;0,VALUE(LEFT(T215,1))*R215,0)</f>
        <v>0</v>
      </c>
      <c r="AA215" s="37">
        <f>IF($Z215&gt;0,VLOOKUP($J215,Ruimtegroepen[],3,FALSE)*VLOOKUP($L215,Vloersoorten[],3,FALSE)*VLOOKUP($T215,Frequenties[],3,FALSE)*VLOOKUP($A215,Locaties[],3,FALSE),0)</f>
        <v>0</v>
      </c>
      <c r="AB215" s="37">
        <f>Ruimtestaat[[#This Row],[Uitvoeringen weekend]]*Ruimtestaat[[#This Row],[Oppervlak (netto)]]</f>
        <v>0</v>
      </c>
      <c r="AC215" s="37">
        <f>IF(AA215&gt;0,Ruimtestaat[[#This Row],[Prest. (m2 /jaar) weekend]]/Ruimtestaat[[#This Row],[Norm (m2/uur) weekend]],0)</f>
        <v>0</v>
      </c>
      <c r="AD215" s="37">
        <f>Ruimtestaat[[#This Row],[uren / jaar weekend]]*Tariefsopbouw!$D$40</f>
        <v>0</v>
      </c>
      <c r="AE215" s="89">
        <f>Ruimtestaat[[#This Row],[Prest. (m2 /jaar) weekend]]+Ruimtestaat[[#This Row],[Prest. (m2 /jaar) werkdagen]]</f>
        <v>1400</v>
      </c>
      <c r="AF215" s="89">
        <f>Ruimtestaat[[#This Row],[uren / jaar weekend]]+Ruimtestaat[[#This Row],[uren / jaar werkdagen]]</f>
        <v>0</v>
      </c>
      <c r="AG215" s="90">
        <f>Ruimtestaat[[#This Row],[kosten / jaar weekend]]+Ruimtestaat[[#This Row],[kosten / jaar werkdagen]]</f>
        <v>0</v>
      </c>
      <c r="AH215" s="253"/>
      <c r="AI215" s="252" t="str">
        <f>IF(Ruimtestaat[[#This Row],[Frequentie werkdagen]]="","",_xlfn.CONCAT(Ruimtestaat[[#This Row],[Ruimte code]],"-",Ruimtestaat[[#This Row],[Frequentie werkdagen]]," ",Ruimtestaat[[#This Row],[Vloer code]]))</f>
        <v>3-5w P</v>
      </c>
      <c r="AJ215" s="247" t="str">
        <f>_xlfn.IFNA(VLOOKUP(Ruimtestaat[[#This Row],[Programmacode
Regulier]],Programma!$F$4:$Y$36148,2,0),"_")</f>
        <v>_</v>
      </c>
      <c r="AK215" s="247" t="str">
        <f>_xlfn.IFNA(VLOOKUP(Ruimtestaat[[#This Row],[Programmacode
Regulier]],Programma!$F$4:$Y$36148,3,0),"_")</f>
        <v>_</v>
      </c>
      <c r="AL215" s="247" t="str">
        <f>_xlfn.IFNA(VLOOKUP(Ruimtestaat[[#This Row],[Programmacode
Regulier]],Programma!$F$4:$Y$36148,4,0),"_")</f>
        <v>5w</v>
      </c>
      <c r="AM215" s="247" t="str">
        <f>_xlfn.IFNA(VLOOKUP(Ruimtestaat[[#This Row],[Programmacode
Regulier]],Programma!$F$4:$Y$36148,5,0),"_")</f>
        <v>1w</v>
      </c>
      <c r="AN215" s="247" t="str">
        <f>_xlfn.IFNA(VLOOKUP(Ruimtestaat[[#This Row],[Programmacode
Regulier]],Programma!$F$4:$Y$36148,6,0),"_")</f>
        <v>1m</v>
      </c>
      <c r="AO215" s="247" t="str">
        <f>_xlfn.IFNA(VLOOKUP(Ruimtestaat[[#This Row],[Programmacode
Regulier]],Programma!$F$4:$Y$36148,7,0),"_")</f>
        <v>_</v>
      </c>
      <c r="AP215" s="247" t="str">
        <f>_xlfn.IFNA(VLOOKUP(Ruimtestaat[[#This Row],[Programmacode
Regulier]],Programma!$F$4:$Y$36148,8,0),"_")</f>
        <v>_</v>
      </c>
      <c r="AQ215" s="247" t="str">
        <f>_xlfn.IFNA(VLOOKUP(Ruimtestaat[[#This Row],[Programmacode
Regulier]],Programma!$F$4:$Y$36148,9,0),"_")</f>
        <v>_</v>
      </c>
      <c r="AR215" s="248" t="str">
        <f>_xlfn.IFNA(VLOOKUP(Ruimtestaat[[#This Row],[Programmacode
Regulier]],Programma!$F$4:$Y$36148,10,0),"_")</f>
        <v>5w</v>
      </c>
      <c r="AS215" s="248" t="str">
        <f>_xlfn.IFNA(VLOOKUP(Ruimtestaat[[#This Row],[Programmacode
Regulier]],Programma!$F$4:$Y$36148,11,0),"_")</f>
        <v>5w</v>
      </c>
      <c r="AT215" s="248" t="str">
        <f>_xlfn.IFNA(VLOOKUP(Ruimtestaat[[#This Row],[Programmacode
Regulier]],Programma!$F$4:$Y$36148,12,0),"_")</f>
        <v>1w</v>
      </c>
      <c r="AU215" s="248" t="str">
        <f>_xlfn.IFNA(VLOOKUP(Ruimtestaat[[#This Row],[Programmacode
Regulier]],Programma!$F$4:$Y$36148,13,0),"_")</f>
        <v>1w</v>
      </c>
      <c r="AV215" s="248" t="str">
        <f>_xlfn.IFNA(VLOOKUP(Ruimtestaat[[#This Row],[Programmacode
Regulier]],Programma!$F$4:$Y$36148,14,0),"_")</f>
        <v>1m</v>
      </c>
      <c r="AW215" s="248" t="str">
        <f>_xlfn.IFNA(VLOOKUP(Ruimtestaat[[#This Row],[Programmacode
Regulier]],Programma!$F$4:$Y$36148,15,0),"_")</f>
        <v>2j</v>
      </c>
      <c r="AX215" s="248" t="str">
        <f>_xlfn.IFNA(VLOOKUP(Ruimtestaat[[#This Row],[Programmacode
Regulier]],Programma!$F$4:$Y$36148,16,0),"_")</f>
        <v>1j</v>
      </c>
      <c r="AY215" s="248" t="str">
        <f>_xlfn.IFNA(VLOOKUP(Ruimtestaat[[#This Row],[Programmacode
Regulier]],Programma!$F$4:$Y$36148,17,0),"_")</f>
        <v>_</v>
      </c>
      <c r="AZ215" s="249" t="str">
        <f>_xlfn.IFNA(VLOOKUP(Ruimtestaat[[#This Row],[Programmacode
Regulier]],Programma!$F$4:$Y$36148,18,0),"_")</f>
        <v>_</v>
      </c>
      <c r="BA215" s="249" t="str">
        <f>_xlfn.IFNA(VLOOKUP(Ruimtestaat[[#This Row],[Programmacode
Regulier]],Programma!$F$4:$Y$36148,19,0),"_")</f>
        <v>_</v>
      </c>
      <c r="BB215" s="249" t="str">
        <f>_xlfn.IFNA(VLOOKUP(Ruimtestaat[[#This Row],[Programmacode
Regulier]],Programma!$F$4:$Y$36148,20,0),"_")</f>
        <v>_</v>
      </c>
      <c r="BC215" s="250"/>
      <c r="BD215" s="212" t="str">
        <f>IF(Ruimtestaat[[#This Row],[Frequentie weekend]]="","",_xlfn.CONCAT(Ruimtestaat[[#This Row],[Ruimte code]],"-",Ruimtestaat[[#This Row],[Frequentie weekend]]," ",Ruimtestaat[[#This Row],[Vloer code]]))</f>
        <v/>
      </c>
      <c r="BE215" s="247" t="str">
        <f>_xlfn.IFNA(VLOOKUP(Ruimtestaat[[#This Row],[Code Weekend]],Programma!$F$4:$Y$36148,2,0),"_")</f>
        <v>_</v>
      </c>
      <c r="BF215" s="247" t="str">
        <f>_xlfn.IFNA(VLOOKUP(Ruimtestaat[[#This Row],[Code Weekend]],Programma!$F$4:$Y$36148,3,0),"_")</f>
        <v>_</v>
      </c>
      <c r="BG215" s="247" t="str">
        <f>_xlfn.IFNA(VLOOKUP(Ruimtestaat[[#This Row],[Code Weekend]],Programma!$F$4:$Y$36148,4,0),"_")</f>
        <v>_</v>
      </c>
      <c r="BH215" s="247" t="str">
        <f>_xlfn.IFNA(VLOOKUP(Ruimtestaat[[#This Row],[Code Weekend]],Programma!$F$4:$Y$36148,5,0),"_")</f>
        <v>_</v>
      </c>
      <c r="BI215" s="247" t="str">
        <f>_xlfn.IFNA(VLOOKUP(Ruimtestaat[[#This Row],[Code Weekend]],Programma!$F$4:$Y$36148,6,0),"_")</f>
        <v>_</v>
      </c>
      <c r="BJ215" s="247" t="str">
        <f>_xlfn.IFNA(VLOOKUP(Ruimtestaat[[#This Row],[Code Weekend]],Programma!$F$4:$Y$36148,7,0),"_")</f>
        <v>_</v>
      </c>
      <c r="BK215" s="247" t="str">
        <f>_xlfn.IFNA(VLOOKUP(Ruimtestaat[[#This Row],[Code Weekend]],Programma!$F$4:$Y$36148,8,0),"_")</f>
        <v>_</v>
      </c>
      <c r="BL215" s="247" t="str">
        <f>_xlfn.IFNA(VLOOKUP(Ruimtestaat[[#This Row],[Code Weekend]],Programma!$F$4:$Y$36148,9,0),"_")</f>
        <v>_</v>
      </c>
      <c r="BM215" s="248" t="str">
        <f>_xlfn.IFNA(VLOOKUP(Ruimtestaat[[#This Row],[Code Weekend]],Programma!$F$4:$Y$36148,10,0),"_")</f>
        <v>_</v>
      </c>
      <c r="BN215" s="248" t="str">
        <f>_xlfn.IFNA(VLOOKUP(Ruimtestaat[[#This Row],[Code Weekend]],Programma!$F$4:$Y$36148,11,0),"_")</f>
        <v>_</v>
      </c>
      <c r="BO215" s="248" t="str">
        <f>_xlfn.IFNA(VLOOKUP(Ruimtestaat[[#This Row],[Code Weekend]],Programma!$F$4:$Y$36148,12,0),"_")</f>
        <v>_</v>
      </c>
      <c r="BP215" s="248" t="str">
        <f>_xlfn.IFNA(VLOOKUP(Ruimtestaat[[#This Row],[Code Weekend]],Programma!$F$4:$Y$36148,13,0),"_")</f>
        <v>_</v>
      </c>
      <c r="BQ215" s="248" t="str">
        <f>_xlfn.IFNA(VLOOKUP(Ruimtestaat[[#This Row],[Code Weekend]],Programma!$F$4:$Y$36148,14,0),"_")</f>
        <v>_</v>
      </c>
      <c r="BR215" s="248" t="str">
        <f>_xlfn.IFNA(VLOOKUP(Ruimtestaat[[#This Row],[Code Weekend]],Programma!$F$4:$Y$36148,15,0),"_")</f>
        <v>_</v>
      </c>
      <c r="BS215" s="248" t="str">
        <f>_xlfn.IFNA(VLOOKUP(Ruimtestaat[[#This Row],[Code Weekend]],Programma!$F$4:$Y$36148,16,0),"_")</f>
        <v>_</v>
      </c>
      <c r="BT215" s="248" t="str">
        <f>_xlfn.IFNA(VLOOKUP(Ruimtestaat[[#This Row],[Code Weekend]],Programma!$F$4:$Y$36148,17,0),"_")</f>
        <v>_</v>
      </c>
      <c r="BU215" s="249" t="str">
        <f>_xlfn.IFNA(VLOOKUP(Ruimtestaat[[#This Row],[Code Weekend]],Programma!$F$4:$Y$36148,18,0),"_")</f>
        <v>_</v>
      </c>
      <c r="BV215" s="249" t="str">
        <f>_xlfn.IFNA(VLOOKUP(Ruimtestaat[[#This Row],[Code Weekend]],Programma!$F$4:$Y$36148,19,0),"_")</f>
        <v>_</v>
      </c>
      <c r="BW215" s="249" t="str">
        <f>_xlfn.IFNA(VLOOKUP(Ruimtestaat[[#This Row],[Code Weekend]],Programma!$F$4:$Y$36148,20,0),"_")</f>
        <v>_</v>
      </c>
    </row>
    <row r="216" spans="1:75" ht="12.75" customHeight="1">
      <c r="A216" s="334">
        <v>1</v>
      </c>
      <c r="B216" s="334" t="str">
        <f>VLOOKUP(Ruimtestaat[[#This Row],[Code]],Locaties[#All],2,FALSE)</f>
        <v>ESH Secondary School</v>
      </c>
      <c r="C216" s="212" t="str">
        <f>VLOOKUP(Ruimtestaat[[#This Row],[Code]],Locaties[#All],4,FALSE)</f>
        <v>Oostduinlaan 50</v>
      </c>
      <c r="D216" s="212" t="str">
        <f>VLOOKUP(Ruimtestaat[[#This Row],[Code]],Locaties[#All],5,FALSE)</f>
        <v>2596 JP</v>
      </c>
      <c r="E216" s="212" t="str">
        <f>VLOOKUP(Ruimtestaat[[#This Row],[Code]],Locaties[#All],6,FALSE)</f>
        <v>Den Haag</v>
      </c>
      <c r="F216" s="335"/>
      <c r="G216" s="334" t="s">
        <v>1737</v>
      </c>
      <c r="H216" s="334" t="s">
        <v>1722</v>
      </c>
      <c r="I216" s="335" t="s">
        <v>1397</v>
      </c>
      <c r="J216" s="328">
        <v>21</v>
      </c>
      <c r="K216" s="336" t="str">
        <f>VLOOKUP(J216,Ruimtegroepen[],2,FALSE)</f>
        <v>Niet in onderhoud</v>
      </c>
      <c r="L216" s="212" t="s">
        <v>123</v>
      </c>
      <c r="M216" s="334" t="s">
        <v>144</v>
      </c>
      <c r="N216" s="337"/>
      <c r="O216" s="331">
        <v>6</v>
      </c>
      <c r="P216" s="332" t="str">
        <f>VLOOKUP(Ruimtestaat[[#This Row],[Ruimte code]],Ruimtegroepen[],4,FALSE)</f>
        <v>NIO</v>
      </c>
      <c r="Q216" s="332"/>
      <c r="R216" s="333"/>
      <c r="S216" s="333"/>
      <c r="T216" s="37"/>
      <c r="U216" s="37">
        <f>IF(R216&gt;0,IF(RIGHT(Ruimtestaat[[#This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216" s="37">
        <f>IF(U216&gt;0,VLOOKUP($J216,Ruimtegroepen[],3,FALSE)*VLOOKUP($L216,Vloersoorten[],3,FALSE)*VLOOKUP($S216,Frequenties[],3,FALSE)*VLOOKUP($A216,Locaties[],3,FALSE),0)</f>
        <v>0</v>
      </c>
      <c r="W216" s="37">
        <f>Ruimtestaat[[#This Row],[Uitvoeringen werkdagen]]*Ruimtestaat[[#This Row],[Oppervlak (netto)]]</f>
        <v>0</v>
      </c>
      <c r="X216" s="37">
        <f>IF(V216&gt;0,Ruimtestaat[[#This Row],[Prest. (m2 /jaar) werkdagen]]/Ruimtestaat[[#This Row],[Norm (m2/uur) werkdagen]],0)</f>
        <v>0</v>
      </c>
      <c r="Y216" s="37">
        <f>Ruimtestaat[[#This Row],[uren / jaar werkdagen]]*Tariefsopbouw!$D$38</f>
        <v>0</v>
      </c>
      <c r="Z216" s="37">
        <f>IF(Ruimtestaat[[#This Row],[Frequentie weekend]]&gt;0,VALUE(LEFT(T216,1))*R216,0)</f>
        <v>0</v>
      </c>
      <c r="AA216" s="37">
        <f>IF($Z216&gt;0,VLOOKUP($J216,Ruimtegroepen[],3,FALSE)*VLOOKUP($L216,Vloersoorten[],3,FALSE)*VLOOKUP($T216,Frequenties[],3,FALSE)*VLOOKUP($A216,Locaties[],3,FALSE),0)</f>
        <v>0</v>
      </c>
      <c r="AB216" s="37">
        <f>Ruimtestaat[[#This Row],[Uitvoeringen weekend]]*Ruimtestaat[[#This Row],[Oppervlak (netto)]]</f>
        <v>0</v>
      </c>
      <c r="AC216" s="37">
        <f>IF(AA216&gt;0,Ruimtestaat[[#This Row],[Prest. (m2 /jaar) weekend]]/Ruimtestaat[[#This Row],[Norm (m2/uur) weekend]],0)</f>
        <v>0</v>
      </c>
      <c r="AD216" s="37">
        <f>Ruimtestaat[[#This Row],[uren / jaar weekend]]*Tariefsopbouw!$D$40</f>
        <v>0</v>
      </c>
      <c r="AE216" s="89">
        <f>Ruimtestaat[[#This Row],[Prest. (m2 /jaar) weekend]]+Ruimtestaat[[#This Row],[Prest. (m2 /jaar) werkdagen]]</f>
        <v>0</v>
      </c>
      <c r="AF216" s="89">
        <f>Ruimtestaat[[#This Row],[uren / jaar weekend]]+Ruimtestaat[[#This Row],[uren / jaar werkdagen]]</f>
        <v>0</v>
      </c>
      <c r="AG216" s="90">
        <f>Ruimtestaat[[#This Row],[kosten / jaar weekend]]+Ruimtestaat[[#This Row],[kosten / jaar werkdagen]]</f>
        <v>0</v>
      </c>
      <c r="AH216" s="253"/>
      <c r="AI216" s="252" t="str">
        <f>IF(Ruimtestaat[[#This Row],[Frequentie werkdagen]]="","",_xlfn.CONCAT(Ruimtestaat[[#This Row],[Ruimte code]],"-",Ruimtestaat[[#This Row],[Frequentie werkdagen]]," ",Ruimtestaat[[#This Row],[Vloer code]]))</f>
        <v/>
      </c>
      <c r="AJ216" s="247" t="str">
        <f>_xlfn.IFNA(VLOOKUP(Ruimtestaat[[#This Row],[Programmacode
Regulier]],Programma!$F$4:$Y$36148,2,0),"_")</f>
        <v>_</v>
      </c>
      <c r="AK216" s="247" t="str">
        <f>_xlfn.IFNA(VLOOKUP(Ruimtestaat[[#This Row],[Programmacode
Regulier]],Programma!$F$4:$Y$36148,3,0),"_")</f>
        <v>_</v>
      </c>
      <c r="AL216" s="247" t="str">
        <f>_xlfn.IFNA(VLOOKUP(Ruimtestaat[[#This Row],[Programmacode
Regulier]],Programma!$F$4:$Y$36148,4,0),"_")</f>
        <v>_</v>
      </c>
      <c r="AM216" s="247" t="str">
        <f>_xlfn.IFNA(VLOOKUP(Ruimtestaat[[#This Row],[Programmacode
Regulier]],Programma!$F$4:$Y$36148,5,0),"_")</f>
        <v>_</v>
      </c>
      <c r="AN216" s="247" t="str">
        <f>_xlfn.IFNA(VLOOKUP(Ruimtestaat[[#This Row],[Programmacode
Regulier]],Programma!$F$4:$Y$36148,6,0),"_")</f>
        <v>_</v>
      </c>
      <c r="AO216" s="247" t="str">
        <f>_xlfn.IFNA(VLOOKUP(Ruimtestaat[[#This Row],[Programmacode
Regulier]],Programma!$F$4:$Y$36148,7,0),"_")</f>
        <v>_</v>
      </c>
      <c r="AP216" s="247" t="str">
        <f>_xlfn.IFNA(VLOOKUP(Ruimtestaat[[#This Row],[Programmacode
Regulier]],Programma!$F$4:$Y$36148,8,0),"_")</f>
        <v>_</v>
      </c>
      <c r="AQ216" s="247" t="str">
        <f>_xlfn.IFNA(VLOOKUP(Ruimtestaat[[#This Row],[Programmacode
Regulier]],Programma!$F$4:$Y$36148,9,0),"_")</f>
        <v>_</v>
      </c>
      <c r="AR216" s="248" t="str">
        <f>_xlfn.IFNA(VLOOKUP(Ruimtestaat[[#This Row],[Programmacode
Regulier]],Programma!$F$4:$Y$36148,10,0),"_")</f>
        <v>_</v>
      </c>
      <c r="AS216" s="248" t="str">
        <f>_xlfn.IFNA(VLOOKUP(Ruimtestaat[[#This Row],[Programmacode
Regulier]],Programma!$F$4:$Y$36148,11,0),"_")</f>
        <v>_</v>
      </c>
      <c r="AT216" s="248" t="str">
        <f>_xlfn.IFNA(VLOOKUP(Ruimtestaat[[#This Row],[Programmacode
Regulier]],Programma!$F$4:$Y$36148,12,0),"_")</f>
        <v>_</v>
      </c>
      <c r="AU216" s="248" t="str">
        <f>_xlfn.IFNA(VLOOKUP(Ruimtestaat[[#This Row],[Programmacode
Regulier]],Programma!$F$4:$Y$36148,13,0),"_")</f>
        <v>_</v>
      </c>
      <c r="AV216" s="248" t="str">
        <f>_xlfn.IFNA(VLOOKUP(Ruimtestaat[[#This Row],[Programmacode
Regulier]],Programma!$F$4:$Y$36148,14,0),"_")</f>
        <v>_</v>
      </c>
      <c r="AW216" s="248" t="str">
        <f>_xlfn.IFNA(VLOOKUP(Ruimtestaat[[#This Row],[Programmacode
Regulier]],Programma!$F$4:$Y$36148,15,0),"_")</f>
        <v>_</v>
      </c>
      <c r="AX216" s="248" t="str">
        <f>_xlfn.IFNA(VLOOKUP(Ruimtestaat[[#This Row],[Programmacode
Regulier]],Programma!$F$4:$Y$36148,16,0),"_")</f>
        <v>_</v>
      </c>
      <c r="AY216" s="248" t="str">
        <f>_xlfn.IFNA(VLOOKUP(Ruimtestaat[[#This Row],[Programmacode
Regulier]],Programma!$F$4:$Y$36148,17,0),"_")</f>
        <v>_</v>
      </c>
      <c r="AZ216" s="249" t="str">
        <f>_xlfn.IFNA(VLOOKUP(Ruimtestaat[[#This Row],[Programmacode
Regulier]],Programma!$F$4:$Y$36148,18,0),"_")</f>
        <v>_</v>
      </c>
      <c r="BA216" s="249" t="str">
        <f>_xlfn.IFNA(VLOOKUP(Ruimtestaat[[#This Row],[Programmacode
Regulier]],Programma!$F$4:$Y$36148,19,0),"_")</f>
        <v>_</v>
      </c>
      <c r="BB216" s="249" t="str">
        <f>_xlfn.IFNA(VLOOKUP(Ruimtestaat[[#This Row],[Programmacode
Regulier]],Programma!$F$4:$Y$36148,20,0),"_")</f>
        <v>_</v>
      </c>
      <c r="BC216" s="250"/>
      <c r="BD216" s="212" t="str">
        <f>IF(Ruimtestaat[[#This Row],[Frequentie weekend]]="","",_xlfn.CONCAT(Ruimtestaat[[#This Row],[Ruimte code]],"-",Ruimtestaat[[#This Row],[Frequentie weekend]]," ",Ruimtestaat[[#This Row],[Vloer code]]))</f>
        <v/>
      </c>
      <c r="BE216" s="247" t="str">
        <f>_xlfn.IFNA(VLOOKUP(Ruimtestaat[[#This Row],[Code Weekend]],Programma!$F$4:$Y$36148,2,0),"_")</f>
        <v>_</v>
      </c>
      <c r="BF216" s="247" t="str">
        <f>_xlfn.IFNA(VLOOKUP(Ruimtestaat[[#This Row],[Code Weekend]],Programma!$F$4:$Y$36148,3,0),"_")</f>
        <v>_</v>
      </c>
      <c r="BG216" s="247" t="str">
        <f>_xlfn.IFNA(VLOOKUP(Ruimtestaat[[#This Row],[Code Weekend]],Programma!$F$4:$Y$36148,4,0),"_")</f>
        <v>_</v>
      </c>
      <c r="BH216" s="247" t="str">
        <f>_xlfn.IFNA(VLOOKUP(Ruimtestaat[[#This Row],[Code Weekend]],Programma!$F$4:$Y$36148,5,0),"_")</f>
        <v>_</v>
      </c>
      <c r="BI216" s="247" t="str">
        <f>_xlfn.IFNA(VLOOKUP(Ruimtestaat[[#This Row],[Code Weekend]],Programma!$F$4:$Y$36148,6,0),"_")</f>
        <v>_</v>
      </c>
      <c r="BJ216" s="247" t="str">
        <f>_xlfn.IFNA(VLOOKUP(Ruimtestaat[[#This Row],[Code Weekend]],Programma!$F$4:$Y$36148,7,0),"_")</f>
        <v>_</v>
      </c>
      <c r="BK216" s="247" t="str">
        <f>_xlfn.IFNA(VLOOKUP(Ruimtestaat[[#This Row],[Code Weekend]],Programma!$F$4:$Y$36148,8,0),"_")</f>
        <v>_</v>
      </c>
      <c r="BL216" s="247" t="str">
        <f>_xlfn.IFNA(VLOOKUP(Ruimtestaat[[#This Row],[Code Weekend]],Programma!$F$4:$Y$36148,9,0),"_")</f>
        <v>_</v>
      </c>
      <c r="BM216" s="248" t="str">
        <f>_xlfn.IFNA(VLOOKUP(Ruimtestaat[[#This Row],[Code Weekend]],Programma!$F$4:$Y$36148,10,0),"_")</f>
        <v>_</v>
      </c>
      <c r="BN216" s="248" t="str">
        <f>_xlfn.IFNA(VLOOKUP(Ruimtestaat[[#This Row],[Code Weekend]],Programma!$F$4:$Y$36148,11,0),"_")</f>
        <v>_</v>
      </c>
      <c r="BO216" s="248" t="str">
        <f>_xlfn.IFNA(VLOOKUP(Ruimtestaat[[#This Row],[Code Weekend]],Programma!$F$4:$Y$36148,12,0),"_")</f>
        <v>_</v>
      </c>
      <c r="BP216" s="248" t="str">
        <f>_xlfn.IFNA(VLOOKUP(Ruimtestaat[[#This Row],[Code Weekend]],Programma!$F$4:$Y$36148,13,0),"_")</f>
        <v>_</v>
      </c>
      <c r="BQ216" s="248" t="str">
        <f>_xlfn.IFNA(VLOOKUP(Ruimtestaat[[#This Row],[Code Weekend]],Programma!$F$4:$Y$36148,14,0),"_")</f>
        <v>_</v>
      </c>
      <c r="BR216" s="248" t="str">
        <f>_xlfn.IFNA(VLOOKUP(Ruimtestaat[[#This Row],[Code Weekend]],Programma!$F$4:$Y$36148,15,0),"_")</f>
        <v>_</v>
      </c>
      <c r="BS216" s="248" t="str">
        <f>_xlfn.IFNA(VLOOKUP(Ruimtestaat[[#This Row],[Code Weekend]],Programma!$F$4:$Y$36148,16,0),"_")</f>
        <v>_</v>
      </c>
      <c r="BT216" s="248" t="str">
        <f>_xlfn.IFNA(VLOOKUP(Ruimtestaat[[#This Row],[Code Weekend]],Programma!$F$4:$Y$36148,17,0),"_")</f>
        <v>_</v>
      </c>
      <c r="BU216" s="249" t="str">
        <f>_xlfn.IFNA(VLOOKUP(Ruimtestaat[[#This Row],[Code Weekend]],Programma!$F$4:$Y$36148,18,0),"_")</f>
        <v>_</v>
      </c>
      <c r="BV216" s="249" t="str">
        <f>_xlfn.IFNA(VLOOKUP(Ruimtestaat[[#This Row],[Code Weekend]],Programma!$F$4:$Y$36148,19,0),"_")</f>
        <v>_</v>
      </c>
      <c r="BW216" s="249" t="str">
        <f>_xlfn.IFNA(VLOOKUP(Ruimtestaat[[#This Row],[Code Weekend]],Programma!$F$4:$Y$36148,20,0),"_")</f>
        <v>_</v>
      </c>
    </row>
    <row r="217" spans="1:75" ht="12.75" customHeight="1">
      <c r="A217" s="334">
        <v>1</v>
      </c>
      <c r="B217" s="334" t="str">
        <f>VLOOKUP(Ruimtestaat[[#This Row],[Code]],Locaties[#All],2,FALSE)</f>
        <v>ESH Secondary School</v>
      </c>
      <c r="C217" s="212" t="str">
        <f>VLOOKUP(Ruimtestaat[[#This Row],[Code]],Locaties[#All],4,FALSE)</f>
        <v>Oostduinlaan 50</v>
      </c>
      <c r="D217" s="212" t="str">
        <f>VLOOKUP(Ruimtestaat[[#This Row],[Code]],Locaties[#All],5,FALSE)</f>
        <v>2596 JP</v>
      </c>
      <c r="E217" s="212" t="str">
        <f>VLOOKUP(Ruimtestaat[[#This Row],[Code]],Locaties[#All],6,FALSE)</f>
        <v>Den Haag</v>
      </c>
      <c r="F217" s="335"/>
      <c r="G217" s="334" t="s">
        <v>1737</v>
      </c>
      <c r="H217" s="334" t="s">
        <v>1723</v>
      </c>
      <c r="I217" s="335" t="s">
        <v>1485</v>
      </c>
      <c r="J217" s="328">
        <v>21</v>
      </c>
      <c r="K217" s="336" t="str">
        <f>VLOOKUP(J217,Ruimtegroepen[],2,FALSE)</f>
        <v>Niet in onderhoud</v>
      </c>
      <c r="L217" s="212" t="s">
        <v>123</v>
      </c>
      <c r="M217" s="334" t="s">
        <v>144</v>
      </c>
      <c r="N217" s="337"/>
      <c r="O217" s="331">
        <v>3</v>
      </c>
      <c r="P217" s="332" t="str">
        <f>VLOOKUP(Ruimtestaat[[#This Row],[Ruimte code]],Ruimtegroepen[],4,FALSE)</f>
        <v>NIO</v>
      </c>
      <c r="Q217" s="332"/>
      <c r="R217" s="333"/>
      <c r="S217" s="333"/>
      <c r="T217" s="37"/>
      <c r="U217" s="37">
        <f>IF(R217&gt;0,IF(RIGHT(Ruimtestaat[[#This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217" s="37">
        <f>IF(U217&gt;0,VLOOKUP($J217,Ruimtegroepen[],3,FALSE)*VLOOKUP($L217,Vloersoorten[],3,FALSE)*VLOOKUP($S217,Frequenties[],3,FALSE)*VLOOKUP($A217,Locaties[],3,FALSE),0)</f>
        <v>0</v>
      </c>
      <c r="W217" s="37">
        <f>Ruimtestaat[[#This Row],[Uitvoeringen werkdagen]]*Ruimtestaat[[#This Row],[Oppervlak (netto)]]</f>
        <v>0</v>
      </c>
      <c r="X217" s="37">
        <f>IF(V217&gt;0,Ruimtestaat[[#This Row],[Prest. (m2 /jaar) werkdagen]]/Ruimtestaat[[#This Row],[Norm (m2/uur) werkdagen]],0)</f>
        <v>0</v>
      </c>
      <c r="Y217" s="37">
        <f>Ruimtestaat[[#This Row],[uren / jaar werkdagen]]*Tariefsopbouw!$D$38</f>
        <v>0</v>
      </c>
      <c r="Z217" s="37">
        <f>IF(Ruimtestaat[[#This Row],[Frequentie weekend]]&gt;0,VALUE(LEFT(T217,1))*R217,0)</f>
        <v>0</v>
      </c>
      <c r="AA217" s="37">
        <f>IF($Z217&gt;0,VLOOKUP($J217,Ruimtegroepen[],3,FALSE)*VLOOKUP($L217,Vloersoorten[],3,FALSE)*VLOOKUP($T217,Frequenties[],3,FALSE)*VLOOKUP($A217,Locaties[],3,FALSE),0)</f>
        <v>0</v>
      </c>
      <c r="AB217" s="37">
        <f>Ruimtestaat[[#This Row],[Uitvoeringen weekend]]*Ruimtestaat[[#This Row],[Oppervlak (netto)]]</f>
        <v>0</v>
      </c>
      <c r="AC217" s="37">
        <f>IF(AA217&gt;0,Ruimtestaat[[#This Row],[Prest. (m2 /jaar) weekend]]/Ruimtestaat[[#This Row],[Norm (m2/uur) weekend]],0)</f>
        <v>0</v>
      </c>
      <c r="AD217" s="37">
        <f>Ruimtestaat[[#This Row],[uren / jaar weekend]]*Tariefsopbouw!$D$40</f>
        <v>0</v>
      </c>
      <c r="AE217" s="89">
        <f>Ruimtestaat[[#This Row],[Prest. (m2 /jaar) weekend]]+Ruimtestaat[[#This Row],[Prest. (m2 /jaar) werkdagen]]</f>
        <v>0</v>
      </c>
      <c r="AF217" s="89">
        <f>Ruimtestaat[[#This Row],[uren / jaar weekend]]+Ruimtestaat[[#This Row],[uren / jaar werkdagen]]</f>
        <v>0</v>
      </c>
      <c r="AG217" s="90">
        <f>Ruimtestaat[[#This Row],[kosten / jaar weekend]]+Ruimtestaat[[#This Row],[kosten / jaar werkdagen]]</f>
        <v>0</v>
      </c>
      <c r="AH217" s="253"/>
      <c r="AI217" s="252" t="str">
        <f>IF(Ruimtestaat[[#This Row],[Frequentie werkdagen]]="","",_xlfn.CONCAT(Ruimtestaat[[#This Row],[Ruimte code]],"-",Ruimtestaat[[#This Row],[Frequentie werkdagen]]," ",Ruimtestaat[[#This Row],[Vloer code]]))</f>
        <v/>
      </c>
      <c r="AJ217" s="247" t="str">
        <f>_xlfn.IFNA(VLOOKUP(Ruimtestaat[[#This Row],[Programmacode
Regulier]],Programma!$F$4:$Y$36148,2,0),"_")</f>
        <v>_</v>
      </c>
      <c r="AK217" s="247" t="str">
        <f>_xlfn.IFNA(VLOOKUP(Ruimtestaat[[#This Row],[Programmacode
Regulier]],Programma!$F$4:$Y$36148,3,0),"_")</f>
        <v>_</v>
      </c>
      <c r="AL217" s="247" t="str">
        <f>_xlfn.IFNA(VLOOKUP(Ruimtestaat[[#This Row],[Programmacode
Regulier]],Programma!$F$4:$Y$36148,4,0),"_")</f>
        <v>_</v>
      </c>
      <c r="AM217" s="247" t="str">
        <f>_xlfn.IFNA(VLOOKUP(Ruimtestaat[[#This Row],[Programmacode
Regulier]],Programma!$F$4:$Y$36148,5,0),"_")</f>
        <v>_</v>
      </c>
      <c r="AN217" s="247" t="str">
        <f>_xlfn.IFNA(VLOOKUP(Ruimtestaat[[#This Row],[Programmacode
Regulier]],Programma!$F$4:$Y$36148,6,0),"_")</f>
        <v>_</v>
      </c>
      <c r="AO217" s="247" t="str">
        <f>_xlfn.IFNA(VLOOKUP(Ruimtestaat[[#This Row],[Programmacode
Regulier]],Programma!$F$4:$Y$36148,7,0),"_")</f>
        <v>_</v>
      </c>
      <c r="AP217" s="247" t="str">
        <f>_xlfn.IFNA(VLOOKUP(Ruimtestaat[[#This Row],[Programmacode
Regulier]],Programma!$F$4:$Y$36148,8,0),"_")</f>
        <v>_</v>
      </c>
      <c r="AQ217" s="247" t="str">
        <f>_xlfn.IFNA(VLOOKUP(Ruimtestaat[[#This Row],[Programmacode
Regulier]],Programma!$F$4:$Y$36148,9,0),"_")</f>
        <v>_</v>
      </c>
      <c r="AR217" s="248" t="str">
        <f>_xlfn.IFNA(VLOOKUP(Ruimtestaat[[#This Row],[Programmacode
Regulier]],Programma!$F$4:$Y$36148,10,0),"_")</f>
        <v>_</v>
      </c>
      <c r="AS217" s="248" t="str">
        <f>_xlfn.IFNA(VLOOKUP(Ruimtestaat[[#This Row],[Programmacode
Regulier]],Programma!$F$4:$Y$36148,11,0),"_")</f>
        <v>_</v>
      </c>
      <c r="AT217" s="248" t="str">
        <f>_xlfn.IFNA(VLOOKUP(Ruimtestaat[[#This Row],[Programmacode
Regulier]],Programma!$F$4:$Y$36148,12,0),"_")</f>
        <v>_</v>
      </c>
      <c r="AU217" s="248" t="str">
        <f>_xlfn.IFNA(VLOOKUP(Ruimtestaat[[#This Row],[Programmacode
Regulier]],Programma!$F$4:$Y$36148,13,0),"_")</f>
        <v>_</v>
      </c>
      <c r="AV217" s="248" t="str">
        <f>_xlfn.IFNA(VLOOKUP(Ruimtestaat[[#This Row],[Programmacode
Regulier]],Programma!$F$4:$Y$36148,14,0),"_")</f>
        <v>_</v>
      </c>
      <c r="AW217" s="248" t="str">
        <f>_xlfn.IFNA(VLOOKUP(Ruimtestaat[[#This Row],[Programmacode
Regulier]],Programma!$F$4:$Y$36148,15,0),"_")</f>
        <v>_</v>
      </c>
      <c r="AX217" s="248" t="str">
        <f>_xlfn.IFNA(VLOOKUP(Ruimtestaat[[#This Row],[Programmacode
Regulier]],Programma!$F$4:$Y$36148,16,0),"_")</f>
        <v>_</v>
      </c>
      <c r="AY217" s="248" t="str">
        <f>_xlfn.IFNA(VLOOKUP(Ruimtestaat[[#This Row],[Programmacode
Regulier]],Programma!$F$4:$Y$36148,17,0),"_")</f>
        <v>_</v>
      </c>
      <c r="AZ217" s="249" t="str">
        <f>_xlfn.IFNA(VLOOKUP(Ruimtestaat[[#This Row],[Programmacode
Regulier]],Programma!$F$4:$Y$36148,18,0),"_")</f>
        <v>_</v>
      </c>
      <c r="BA217" s="249" t="str">
        <f>_xlfn.IFNA(VLOOKUP(Ruimtestaat[[#This Row],[Programmacode
Regulier]],Programma!$F$4:$Y$36148,19,0),"_")</f>
        <v>_</v>
      </c>
      <c r="BB217" s="249" t="str">
        <f>_xlfn.IFNA(VLOOKUP(Ruimtestaat[[#This Row],[Programmacode
Regulier]],Programma!$F$4:$Y$36148,20,0),"_")</f>
        <v>_</v>
      </c>
      <c r="BC217" s="250"/>
      <c r="BD217" s="212" t="str">
        <f>IF(Ruimtestaat[[#This Row],[Frequentie weekend]]="","",_xlfn.CONCAT(Ruimtestaat[[#This Row],[Ruimte code]],"-",Ruimtestaat[[#This Row],[Frequentie weekend]]," ",Ruimtestaat[[#This Row],[Vloer code]]))</f>
        <v/>
      </c>
      <c r="BE217" s="247" t="str">
        <f>_xlfn.IFNA(VLOOKUP(Ruimtestaat[[#This Row],[Code Weekend]],Programma!$F$4:$Y$36148,2,0),"_")</f>
        <v>_</v>
      </c>
      <c r="BF217" s="247" t="str">
        <f>_xlfn.IFNA(VLOOKUP(Ruimtestaat[[#This Row],[Code Weekend]],Programma!$F$4:$Y$36148,3,0),"_")</f>
        <v>_</v>
      </c>
      <c r="BG217" s="247" t="str">
        <f>_xlfn.IFNA(VLOOKUP(Ruimtestaat[[#This Row],[Code Weekend]],Programma!$F$4:$Y$36148,4,0),"_")</f>
        <v>_</v>
      </c>
      <c r="BH217" s="247" t="str">
        <f>_xlfn.IFNA(VLOOKUP(Ruimtestaat[[#This Row],[Code Weekend]],Programma!$F$4:$Y$36148,5,0),"_")</f>
        <v>_</v>
      </c>
      <c r="BI217" s="247" t="str">
        <f>_xlfn.IFNA(VLOOKUP(Ruimtestaat[[#This Row],[Code Weekend]],Programma!$F$4:$Y$36148,6,0),"_")</f>
        <v>_</v>
      </c>
      <c r="BJ217" s="247" t="str">
        <f>_xlfn.IFNA(VLOOKUP(Ruimtestaat[[#This Row],[Code Weekend]],Programma!$F$4:$Y$36148,7,0),"_")</f>
        <v>_</v>
      </c>
      <c r="BK217" s="247" t="str">
        <f>_xlfn.IFNA(VLOOKUP(Ruimtestaat[[#This Row],[Code Weekend]],Programma!$F$4:$Y$36148,8,0),"_")</f>
        <v>_</v>
      </c>
      <c r="BL217" s="247" t="str">
        <f>_xlfn.IFNA(VLOOKUP(Ruimtestaat[[#This Row],[Code Weekend]],Programma!$F$4:$Y$36148,9,0),"_")</f>
        <v>_</v>
      </c>
      <c r="BM217" s="248" t="str">
        <f>_xlfn.IFNA(VLOOKUP(Ruimtestaat[[#This Row],[Code Weekend]],Programma!$F$4:$Y$36148,10,0),"_")</f>
        <v>_</v>
      </c>
      <c r="BN217" s="248" t="str">
        <f>_xlfn.IFNA(VLOOKUP(Ruimtestaat[[#This Row],[Code Weekend]],Programma!$F$4:$Y$36148,11,0),"_")</f>
        <v>_</v>
      </c>
      <c r="BO217" s="248" t="str">
        <f>_xlfn.IFNA(VLOOKUP(Ruimtestaat[[#This Row],[Code Weekend]],Programma!$F$4:$Y$36148,12,0),"_")</f>
        <v>_</v>
      </c>
      <c r="BP217" s="248" t="str">
        <f>_xlfn.IFNA(VLOOKUP(Ruimtestaat[[#This Row],[Code Weekend]],Programma!$F$4:$Y$36148,13,0),"_")</f>
        <v>_</v>
      </c>
      <c r="BQ217" s="248" t="str">
        <f>_xlfn.IFNA(VLOOKUP(Ruimtestaat[[#This Row],[Code Weekend]],Programma!$F$4:$Y$36148,14,0),"_")</f>
        <v>_</v>
      </c>
      <c r="BR217" s="248" t="str">
        <f>_xlfn.IFNA(VLOOKUP(Ruimtestaat[[#This Row],[Code Weekend]],Programma!$F$4:$Y$36148,15,0),"_")</f>
        <v>_</v>
      </c>
      <c r="BS217" s="248" t="str">
        <f>_xlfn.IFNA(VLOOKUP(Ruimtestaat[[#This Row],[Code Weekend]],Programma!$F$4:$Y$36148,16,0),"_")</f>
        <v>_</v>
      </c>
      <c r="BT217" s="248" t="str">
        <f>_xlfn.IFNA(VLOOKUP(Ruimtestaat[[#This Row],[Code Weekend]],Programma!$F$4:$Y$36148,17,0),"_")</f>
        <v>_</v>
      </c>
      <c r="BU217" s="249" t="str">
        <f>_xlfn.IFNA(VLOOKUP(Ruimtestaat[[#This Row],[Code Weekend]],Programma!$F$4:$Y$36148,18,0),"_")</f>
        <v>_</v>
      </c>
      <c r="BV217" s="249" t="str">
        <f>_xlfn.IFNA(VLOOKUP(Ruimtestaat[[#This Row],[Code Weekend]],Programma!$F$4:$Y$36148,19,0),"_")</f>
        <v>_</v>
      </c>
      <c r="BW217" s="249" t="str">
        <f>_xlfn.IFNA(VLOOKUP(Ruimtestaat[[#This Row],[Code Weekend]],Programma!$F$4:$Y$36148,20,0),"_")</f>
        <v>_</v>
      </c>
    </row>
    <row r="218" spans="1:75" ht="12.75" customHeight="1">
      <c r="A218" s="334">
        <v>1</v>
      </c>
      <c r="B218" s="334" t="str">
        <f>VLOOKUP(Ruimtestaat[[#This Row],[Code]],Locaties[#All],2,FALSE)</f>
        <v>ESH Secondary School</v>
      </c>
      <c r="C218" s="212" t="str">
        <f>VLOOKUP(Ruimtestaat[[#This Row],[Code]],Locaties[#All],4,FALSE)</f>
        <v>Oostduinlaan 50</v>
      </c>
      <c r="D218" s="212" t="str">
        <f>VLOOKUP(Ruimtestaat[[#This Row],[Code]],Locaties[#All],5,FALSE)</f>
        <v>2596 JP</v>
      </c>
      <c r="E218" s="212" t="str">
        <f>VLOOKUP(Ruimtestaat[[#This Row],[Code]],Locaties[#All],6,FALSE)</f>
        <v>Den Haag</v>
      </c>
      <c r="F218" s="335"/>
      <c r="G218" s="334" t="s">
        <v>1737</v>
      </c>
      <c r="H218" s="334" t="s">
        <v>1724</v>
      </c>
      <c r="I218" s="335" t="s">
        <v>1395</v>
      </c>
      <c r="J218" s="252" t="s">
        <v>1422</v>
      </c>
      <c r="K218" s="336" t="str">
        <f>VLOOKUP(J218,Ruimtegroepen[],2,FALSE)</f>
        <v>Gangen/hallen andere verdiepingen</v>
      </c>
      <c r="L218" s="212" t="s">
        <v>123</v>
      </c>
      <c r="M218" s="334" t="s">
        <v>144</v>
      </c>
      <c r="N218" s="337">
        <v>42</v>
      </c>
      <c r="O218" s="331"/>
      <c r="P218" s="332" t="str">
        <f>VLOOKUP(Ruimtestaat[[#This Row],[Ruimte code]],Ruimtegroepen[],4,FALSE)</f>
        <v>V  (Verkeersruimte)</v>
      </c>
      <c r="Q218" s="332"/>
      <c r="R218" s="333">
        <v>40</v>
      </c>
      <c r="S218" s="333" t="s">
        <v>2</v>
      </c>
      <c r="T218" s="37"/>
      <c r="U218" s="37">
        <f>IF(R218&gt;0,IF(RIGHT(Ruimtestaat[[#This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18" s="37">
        <f>IF(U218&gt;0,VLOOKUP($J218,Ruimtegroepen[],3,FALSE)*VLOOKUP($L218,Vloersoorten[],3,FALSE)*VLOOKUP($S218,Frequenties[],3,FALSE)*VLOOKUP($A218,Locaties[],3,FALSE),0)</f>
        <v>0</v>
      </c>
      <c r="W218" s="37">
        <f>Ruimtestaat[[#This Row],[Uitvoeringen werkdagen]]*Ruimtestaat[[#This Row],[Oppervlak (netto)]]</f>
        <v>8400</v>
      </c>
      <c r="X218" s="37">
        <f>IF(V218&gt;0,Ruimtestaat[[#This Row],[Prest. (m2 /jaar) werkdagen]]/Ruimtestaat[[#This Row],[Norm (m2/uur) werkdagen]],0)</f>
        <v>0</v>
      </c>
      <c r="Y218" s="37">
        <f>Ruimtestaat[[#This Row],[uren / jaar werkdagen]]*Tariefsopbouw!$D$38</f>
        <v>0</v>
      </c>
      <c r="Z218" s="37">
        <f>IF(Ruimtestaat[[#This Row],[Frequentie weekend]]&gt;0,VALUE(LEFT(T218,1))*R218,0)</f>
        <v>0</v>
      </c>
      <c r="AA218" s="37">
        <f>IF($Z218&gt;0,VLOOKUP($J218,Ruimtegroepen[],3,FALSE)*VLOOKUP($L218,Vloersoorten[],3,FALSE)*VLOOKUP($T218,Frequenties[],3,FALSE)*VLOOKUP($A218,Locaties[],3,FALSE),0)</f>
        <v>0</v>
      </c>
      <c r="AB218" s="37">
        <f>Ruimtestaat[[#This Row],[Uitvoeringen weekend]]*Ruimtestaat[[#This Row],[Oppervlak (netto)]]</f>
        <v>0</v>
      </c>
      <c r="AC218" s="37">
        <f>IF(AA218&gt;0,Ruimtestaat[[#This Row],[Prest. (m2 /jaar) weekend]]/Ruimtestaat[[#This Row],[Norm (m2/uur) weekend]],0)</f>
        <v>0</v>
      </c>
      <c r="AD218" s="37">
        <f>Ruimtestaat[[#This Row],[uren / jaar weekend]]*Tariefsopbouw!$D$40</f>
        <v>0</v>
      </c>
      <c r="AE218" s="89">
        <f>Ruimtestaat[[#This Row],[Prest. (m2 /jaar) weekend]]+Ruimtestaat[[#This Row],[Prest. (m2 /jaar) werkdagen]]</f>
        <v>8400</v>
      </c>
      <c r="AF218" s="89">
        <f>Ruimtestaat[[#This Row],[uren / jaar weekend]]+Ruimtestaat[[#This Row],[uren / jaar werkdagen]]</f>
        <v>0</v>
      </c>
      <c r="AG218" s="90">
        <f>Ruimtestaat[[#This Row],[kosten / jaar weekend]]+Ruimtestaat[[#This Row],[kosten / jaar werkdagen]]</f>
        <v>0</v>
      </c>
      <c r="AH218" s="253"/>
      <c r="AI218" s="252" t="str">
        <f>IF(Ruimtestaat[[#This Row],[Frequentie werkdagen]]="","",_xlfn.CONCAT(Ruimtestaat[[#This Row],[Ruimte code]],"-",Ruimtestaat[[#This Row],[Frequentie werkdagen]]," ",Ruimtestaat[[#This Row],[Vloer code]]))</f>
        <v>6a-5w P</v>
      </c>
      <c r="AJ218" s="247" t="str">
        <f>_xlfn.IFNA(VLOOKUP(Ruimtestaat[[#This Row],[Programmacode
Regulier]],Programma!$F$4:$Y$36148,2,0),"_")</f>
        <v>_</v>
      </c>
      <c r="AK218" s="247" t="str">
        <f>_xlfn.IFNA(VLOOKUP(Ruimtestaat[[#This Row],[Programmacode
Regulier]],Programma!$F$4:$Y$36148,3,0),"_")</f>
        <v>_</v>
      </c>
      <c r="AL218" s="247" t="str">
        <f>_xlfn.IFNA(VLOOKUP(Ruimtestaat[[#This Row],[Programmacode
Regulier]],Programma!$F$4:$Y$36148,4,0),"_")</f>
        <v>5w</v>
      </c>
      <c r="AM218" s="247" t="str">
        <f>_xlfn.IFNA(VLOOKUP(Ruimtestaat[[#This Row],[Programmacode
Regulier]],Programma!$F$4:$Y$36148,5,0),"_")</f>
        <v>4w</v>
      </c>
      <c r="AN218" s="247" t="str">
        <f>_xlfn.IFNA(VLOOKUP(Ruimtestaat[[#This Row],[Programmacode
Regulier]],Programma!$F$4:$Y$36148,6,0),"_")</f>
        <v>1w</v>
      </c>
      <c r="AO218" s="247" t="str">
        <f>_xlfn.IFNA(VLOOKUP(Ruimtestaat[[#This Row],[Programmacode
Regulier]],Programma!$F$4:$Y$36148,7,0),"_")</f>
        <v>_</v>
      </c>
      <c r="AP218" s="247" t="str">
        <f>_xlfn.IFNA(VLOOKUP(Ruimtestaat[[#This Row],[Programmacode
Regulier]],Programma!$F$4:$Y$36148,8,0),"_")</f>
        <v>_</v>
      </c>
      <c r="AQ218" s="247" t="str">
        <f>_xlfn.IFNA(VLOOKUP(Ruimtestaat[[#This Row],[Programmacode
Regulier]],Programma!$F$4:$Y$36148,9,0),"_")</f>
        <v>_</v>
      </c>
      <c r="AR218" s="248" t="str">
        <f>_xlfn.IFNA(VLOOKUP(Ruimtestaat[[#This Row],[Programmacode
Regulier]],Programma!$F$4:$Y$36148,10,0),"_")</f>
        <v>5w</v>
      </c>
      <c r="AS218" s="248" t="str">
        <f>_xlfn.IFNA(VLOOKUP(Ruimtestaat[[#This Row],[Programmacode
Regulier]],Programma!$F$4:$Y$36148,11,0),"_")</f>
        <v>5w</v>
      </c>
      <c r="AT218" s="248" t="str">
        <f>_xlfn.IFNA(VLOOKUP(Ruimtestaat[[#This Row],[Programmacode
Regulier]],Programma!$F$4:$Y$36148,12,0),"_")</f>
        <v>1w</v>
      </c>
      <c r="AU218" s="248" t="str">
        <f>_xlfn.IFNA(VLOOKUP(Ruimtestaat[[#This Row],[Programmacode
Regulier]],Programma!$F$4:$Y$36148,13,0),"_")</f>
        <v>1w</v>
      </c>
      <c r="AV218" s="248" t="str">
        <f>_xlfn.IFNA(VLOOKUP(Ruimtestaat[[#This Row],[Programmacode
Regulier]],Programma!$F$4:$Y$36148,14,0),"_")</f>
        <v>1m</v>
      </c>
      <c r="AW218" s="248" t="str">
        <f>_xlfn.IFNA(VLOOKUP(Ruimtestaat[[#This Row],[Programmacode
Regulier]],Programma!$F$4:$Y$36148,15,0),"_")</f>
        <v>2j</v>
      </c>
      <c r="AX218" s="248" t="str">
        <f>_xlfn.IFNA(VLOOKUP(Ruimtestaat[[#This Row],[Programmacode
Regulier]],Programma!$F$4:$Y$36148,16,0),"_")</f>
        <v>1j</v>
      </c>
      <c r="AY218" s="248" t="str">
        <f>_xlfn.IFNA(VLOOKUP(Ruimtestaat[[#This Row],[Programmacode
Regulier]],Programma!$F$4:$Y$36148,17,0),"_")</f>
        <v>_</v>
      </c>
      <c r="AZ218" s="249" t="str">
        <f>_xlfn.IFNA(VLOOKUP(Ruimtestaat[[#This Row],[Programmacode
Regulier]],Programma!$F$4:$Y$36148,18,0),"_")</f>
        <v>_</v>
      </c>
      <c r="BA218" s="249" t="str">
        <f>_xlfn.IFNA(VLOOKUP(Ruimtestaat[[#This Row],[Programmacode
Regulier]],Programma!$F$4:$Y$36148,19,0),"_")</f>
        <v>_</v>
      </c>
      <c r="BB218" s="249" t="str">
        <f>_xlfn.IFNA(VLOOKUP(Ruimtestaat[[#This Row],[Programmacode
Regulier]],Programma!$F$4:$Y$36148,20,0),"_")</f>
        <v>_</v>
      </c>
      <c r="BC218" s="250"/>
      <c r="BD218" s="212" t="str">
        <f>IF(Ruimtestaat[[#This Row],[Frequentie weekend]]="","",_xlfn.CONCAT(Ruimtestaat[[#This Row],[Ruimte code]],"-",Ruimtestaat[[#This Row],[Frequentie weekend]]," ",Ruimtestaat[[#This Row],[Vloer code]]))</f>
        <v/>
      </c>
      <c r="BE218" s="247" t="str">
        <f>_xlfn.IFNA(VLOOKUP(Ruimtestaat[[#This Row],[Code Weekend]],Programma!$F$4:$Y$36148,2,0),"_")</f>
        <v>_</v>
      </c>
      <c r="BF218" s="247" t="str">
        <f>_xlfn.IFNA(VLOOKUP(Ruimtestaat[[#This Row],[Code Weekend]],Programma!$F$4:$Y$36148,3,0),"_")</f>
        <v>_</v>
      </c>
      <c r="BG218" s="247" t="str">
        <f>_xlfn.IFNA(VLOOKUP(Ruimtestaat[[#This Row],[Code Weekend]],Programma!$F$4:$Y$36148,4,0),"_")</f>
        <v>_</v>
      </c>
      <c r="BH218" s="247" t="str">
        <f>_xlfn.IFNA(VLOOKUP(Ruimtestaat[[#This Row],[Code Weekend]],Programma!$F$4:$Y$36148,5,0),"_")</f>
        <v>_</v>
      </c>
      <c r="BI218" s="247" t="str">
        <f>_xlfn.IFNA(VLOOKUP(Ruimtestaat[[#This Row],[Code Weekend]],Programma!$F$4:$Y$36148,6,0),"_")</f>
        <v>_</v>
      </c>
      <c r="BJ218" s="247" t="str">
        <f>_xlfn.IFNA(VLOOKUP(Ruimtestaat[[#This Row],[Code Weekend]],Programma!$F$4:$Y$36148,7,0),"_")</f>
        <v>_</v>
      </c>
      <c r="BK218" s="247" t="str">
        <f>_xlfn.IFNA(VLOOKUP(Ruimtestaat[[#This Row],[Code Weekend]],Programma!$F$4:$Y$36148,8,0),"_")</f>
        <v>_</v>
      </c>
      <c r="BL218" s="247" t="str">
        <f>_xlfn.IFNA(VLOOKUP(Ruimtestaat[[#This Row],[Code Weekend]],Programma!$F$4:$Y$36148,9,0),"_")</f>
        <v>_</v>
      </c>
      <c r="BM218" s="248" t="str">
        <f>_xlfn.IFNA(VLOOKUP(Ruimtestaat[[#This Row],[Code Weekend]],Programma!$F$4:$Y$36148,10,0),"_")</f>
        <v>_</v>
      </c>
      <c r="BN218" s="248" t="str">
        <f>_xlfn.IFNA(VLOOKUP(Ruimtestaat[[#This Row],[Code Weekend]],Programma!$F$4:$Y$36148,11,0),"_")</f>
        <v>_</v>
      </c>
      <c r="BO218" s="248" t="str">
        <f>_xlfn.IFNA(VLOOKUP(Ruimtestaat[[#This Row],[Code Weekend]],Programma!$F$4:$Y$36148,12,0),"_")</f>
        <v>_</v>
      </c>
      <c r="BP218" s="248" t="str">
        <f>_xlfn.IFNA(VLOOKUP(Ruimtestaat[[#This Row],[Code Weekend]],Programma!$F$4:$Y$36148,13,0),"_")</f>
        <v>_</v>
      </c>
      <c r="BQ218" s="248" t="str">
        <f>_xlfn.IFNA(VLOOKUP(Ruimtestaat[[#This Row],[Code Weekend]],Programma!$F$4:$Y$36148,14,0),"_")</f>
        <v>_</v>
      </c>
      <c r="BR218" s="248" t="str">
        <f>_xlfn.IFNA(VLOOKUP(Ruimtestaat[[#This Row],[Code Weekend]],Programma!$F$4:$Y$36148,15,0),"_")</f>
        <v>_</v>
      </c>
      <c r="BS218" s="248" t="str">
        <f>_xlfn.IFNA(VLOOKUP(Ruimtestaat[[#This Row],[Code Weekend]],Programma!$F$4:$Y$36148,16,0),"_")</f>
        <v>_</v>
      </c>
      <c r="BT218" s="248" t="str">
        <f>_xlfn.IFNA(VLOOKUP(Ruimtestaat[[#This Row],[Code Weekend]],Programma!$F$4:$Y$36148,17,0),"_")</f>
        <v>_</v>
      </c>
      <c r="BU218" s="249" t="str">
        <f>_xlfn.IFNA(VLOOKUP(Ruimtestaat[[#This Row],[Code Weekend]],Programma!$F$4:$Y$36148,18,0),"_")</f>
        <v>_</v>
      </c>
      <c r="BV218" s="249" t="str">
        <f>_xlfn.IFNA(VLOOKUP(Ruimtestaat[[#This Row],[Code Weekend]],Programma!$F$4:$Y$36148,19,0),"_")</f>
        <v>_</v>
      </c>
      <c r="BW218" s="249" t="str">
        <f>_xlfn.IFNA(VLOOKUP(Ruimtestaat[[#This Row],[Code Weekend]],Programma!$F$4:$Y$36148,20,0),"_")</f>
        <v>_</v>
      </c>
    </row>
    <row r="219" spans="1:75" ht="12.75" customHeight="1">
      <c r="A219" s="334">
        <v>1</v>
      </c>
      <c r="B219" s="334" t="str">
        <f>VLOOKUP(Ruimtestaat[[#This Row],[Code]],Locaties[#All],2,FALSE)</f>
        <v>ESH Secondary School</v>
      </c>
      <c r="C219" s="212" t="str">
        <f>VLOOKUP(Ruimtestaat[[#This Row],[Code]],Locaties[#All],4,FALSE)</f>
        <v>Oostduinlaan 50</v>
      </c>
      <c r="D219" s="212" t="str">
        <f>VLOOKUP(Ruimtestaat[[#This Row],[Code]],Locaties[#All],5,FALSE)</f>
        <v>2596 JP</v>
      </c>
      <c r="E219" s="212" t="str">
        <f>VLOOKUP(Ruimtestaat[[#This Row],[Code]],Locaties[#All],6,FALSE)</f>
        <v>Den Haag</v>
      </c>
      <c r="F219" s="335"/>
      <c r="G219" s="334" t="s">
        <v>1737</v>
      </c>
      <c r="H219" s="334" t="s">
        <v>1725</v>
      </c>
      <c r="I219" s="335" t="s">
        <v>1735</v>
      </c>
      <c r="J219" s="212" t="s">
        <v>1761</v>
      </c>
      <c r="K219" s="336" t="str">
        <f>VLOOKUP(J219,Ruimtegroepen[],2,FALSE)</f>
        <v>Praktijklokalen</v>
      </c>
      <c r="L219" s="212" t="s">
        <v>123</v>
      </c>
      <c r="M219" s="334" t="s">
        <v>144</v>
      </c>
      <c r="N219" s="337">
        <v>85</v>
      </c>
      <c r="O219" s="331"/>
      <c r="P219" s="332" t="str">
        <f>VLOOKUP(Ruimtestaat[[#This Row],[Ruimte code]],Ruimtegroepen[],4,FALSE)</f>
        <v>L  (Lesruimte)</v>
      </c>
      <c r="Q219" s="332"/>
      <c r="R219" s="333">
        <v>40</v>
      </c>
      <c r="S219" s="333" t="s">
        <v>2</v>
      </c>
      <c r="T219" s="37"/>
      <c r="U219" s="37">
        <f>IF(R219&gt;0,IF(RIGHT(Ruimtestaat[[#This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19" s="37">
        <f>IF(U219&gt;0,VLOOKUP($J219,Ruimtegroepen[],3,FALSE)*VLOOKUP($L219,Vloersoorten[],3,FALSE)*VLOOKUP($S219,Frequenties[],3,FALSE)*VLOOKUP($A219,Locaties[],3,FALSE),0)</f>
        <v>0</v>
      </c>
      <c r="W219" s="37">
        <f>Ruimtestaat[[#This Row],[Uitvoeringen werkdagen]]*Ruimtestaat[[#This Row],[Oppervlak (netto)]]</f>
        <v>17000</v>
      </c>
      <c r="X219" s="37">
        <f>IF(V219&gt;0,Ruimtestaat[[#This Row],[Prest. (m2 /jaar) werkdagen]]/Ruimtestaat[[#This Row],[Norm (m2/uur) werkdagen]],0)</f>
        <v>0</v>
      </c>
      <c r="Y219" s="37">
        <f>Ruimtestaat[[#This Row],[uren / jaar werkdagen]]*Tariefsopbouw!$D$38</f>
        <v>0</v>
      </c>
      <c r="Z219" s="37">
        <f>IF(Ruimtestaat[[#This Row],[Frequentie weekend]]&gt;0,VALUE(LEFT(T219,1))*R219,0)</f>
        <v>0</v>
      </c>
      <c r="AA219" s="37">
        <f>IF($Z219&gt;0,VLOOKUP($J219,Ruimtegroepen[],3,FALSE)*VLOOKUP($L219,Vloersoorten[],3,FALSE)*VLOOKUP($T219,Frequenties[],3,FALSE)*VLOOKUP($A219,Locaties[],3,FALSE),0)</f>
        <v>0</v>
      </c>
      <c r="AB219" s="37">
        <f>Ruimtestaat[[#This Row],[Uitvoeringen weekend]]*Ruimtestaat[[#This Row],[Oppervlak (netto)]]</f>
        <v>0</v>
      </c>
      <c r="AC219" s="37">
        <f>IF(AA219&gt;0,Ruimtestaat[[#This Row],[Prest. (m2 /jaar) weekend]]/Ruimtestaat[[#This Row],[Norm (m2/uur) weekend]],0)</f>
        <v>0</v>
      </c>
      <c r="AD219" s="37">
        <f>Ruimtestaat[[#This Row],[uren / jaar weekend]]*Tariefsopbouw!$D$40</f>
        <v>0</v>
      </c>
      <c r="AE219" s="89">
        <f>Ruimtestaat[[#This Row],[Prest. (m2 /jaar) weekend]]+Ruimtestaat[[#This Row],[Prest. (m2 /jaar) werkdagen]]</f>
        <v>17000</v>
      </c>
      <c r="AF219" s="89">
        <f>Ruimtestaat[[#This Row],[uren / jaar weekend]]+Ruimtestaat[[#This Row],[uren / jaar werkdagen]]</f>
        <v>0</v>
      </c>
      <c r="AG219" s="90">
        <f>Ruimtestaat[[#This Row],[kosten / jaar weekend]]+Ruimtestaat[[#This Row],[kosten / jaar werkdagen]]</f>
        <v>0</v>
      </c>
      <c r="AH219" s="253"/>
      <c r="AI219" s="252" t="str">
        <f>IF(Ruimtestaat[[#This Row],[Frequentie werkdagen]]="","",_xlfn.CONCAT(Ruimtestaat[[#This Row],[Ruimte code]],"-",Ruimtestaat[[#This Row],[Frequentie werkdagen]]," ",Ruimtestaat[[#This Row],[Vloer code]]))</f>
        <v>14a-5w P</v>
      </c>
      <c r="AJ219" s="247" t="str">
        <f>_xlfn.IFNA(VLOOKUP(Ruimtestaat[[#This Row],[Programmacode
Regulier]],Programma!$F$4:$Y$36148,2,0),"_")</f>
        <v>_</v>
      </c>
      <c r="AK219" s="247" t="str">
        <f>_xlfn.IFNA(VLOOKUP(Ruimtestaat[[#This Row],[Programmacode
Regulier]],Programma!$F$4:$Y$36148,3,0),"_")</f>
        <v>_</v>
      </c>
      <c r="AL219" s="247" t="str">
        <f>_xlfn.IFNA(VLOOKUP(Ruimtestaat[[#This Row],[Programmacode
Regulier]],Programma!$F$4:$Y$36148,4,0),"_")</f>
        <v>_</v>
      </c>
      <c r="AM219" s="247" t="str">
        <f>_xlfn.IFNA(VLOOKUP(Ruimtestaat[[#This Row],[Programmacode
Regulier]],Programma!$F$4:$Y$36148,5,0),"_")</f>
        <v>_</v>
      </c>
      <c r="AN219" s="247" t="str">
        <f>_xlfn.IFNA(VLOOKUP(Ruimtestaat[[#This Row],[Programmacode
Regulier]],Programma!$F$4:$Y$36148,6,0),"_")</f>
        <v>_</v>
      </c>
      <c r="AO219" s="247" t="str">
        <f>_xlfn.IFNA(VLOOKUP(Ruimtestaat[[#This Row],[Programmacode
Regulier]],Programma!$F$4:$Y$36148,7,0),"_")</f>
        <v>_</v>
      </c>
      <c r="AP219" s="247" t="str">
        <f>_xlfn.IFNA(VLOOKUP(Ruimtestaat[[#This Row],[Programmacode
Regulier]],Programma!$F$4:$Y$36148,8,0),"_")</f>
        <v>_</v>
      </c>
      <c r="AQ219" s="247" t="str">
        <f>_xlfn.IFNA(VLOOKUP(Ruimtestaat[[#This Row],[Programmacode
Regulier]],Programma!$F$4:$Y$36148,9,0),"_")</f>
        <v>_</v>
      </c>
      <c r="AR219" s="248" t="str">
        <f>_xlfn.IFNA(VLOOKUP(Ruimtestaat[[#This Row],[Programmacode
Regulier]],Programma!$F$4:$Y$36148,10,0),"_")</f>
        <v>_</v>
      </c>
      <c r="AS219" s="248" t="str">
        <f>_xlfn.IFNA(VLOOKUP(Ruimtestaat[[#This Row],[Programmacode
Regulier]],Programma!$F$4:$Y$36148,11,0),"_")</f>
        <v>_</v>
      </c>
      <c r="AT219" s="248" t="str">
        <f>_xlfn.IFNA(VLOOKUP(Ruimtestaat[[#This Row],[Programmacode
Regulier]],Programma!$F$4:$Y$36148,12,0),"_")</f>
        <v>_</v>
      </c>
      <c r="AU219" s="248" t="str">
        <f>_xlfn.IFNA(VLOOKUP(Ruimtestaat[[#This Row],[Programmacode
Regulier]],Programma!$F$4:$Y$36148,13,0),"_")</f>
        <v>_</v>
      </c>
      <c r="AV219" s="248" t="str">
        <f>_xlfn.IFNA(VLOOKUP(Ruimtestaat[[#This Row],[Programmacode
Regulier]],Programma!$F$4:$Y$36148,14,0),"_")</f>
        <v>_</v>
      </c>
      <c r="AW219" s="248" t="str">
        <f>_xlfn.IFNA(VLOOKUP(Ruimtestaat[[#This Row],[Programmacode
Regulier]],Programma!$F$4:$Y$36148,15,0),"_")</f>
        <v>_</v>
      </c>
      <c r="AX219" s="248" t="str">
        <f>_xlfn.IFNA(VLOOKUP(Ruimtestaat[[#This Row],[Programmacode
Regulier]],Programma!$F$4:$Y$36148,16,0),"_")</f>
        <v>_</v>
      </c>
      <c r="AY219" s="248" t="str">
        <f>_xlfn.IFNA(VLOOKUP(Ruimtestaat[[#This Row],[Programmacode
Regulier]],Programma!$F$4:$Y$36148,17,0),"_")</f>
        <v>_</v>
      </c>
      <c r="AZ219" s="249" t="str">
        <f>_xlfn.IFNA(VLOOKUP(Ruimtestaat[[#This Row],[Programmacode
Regulier]],Programma!$F$4:$Y$36148,18,0),"_")</f>
        <v>_</v>
      </c>
      <c r="BA219" s="249" t="str">
        <f>_xlfn.IFNA(VLOOKUP(Ruimtestaat[[#This Row],[Programmacode
Regulier]],Programma!$F$4:$Y$36148,19,0),"_")</f>
        <v>_</v>
      </c>
      <c r="BB219" s="249" t="str">
        <f>_xlfn.IFNA(VLOOKUP(Ruimtestaat[[#This Row],[Programmacode
Regulier]],Programma!$F$4:$Y$36148,20,0),"_")</f>
        <v>_</v>
      </c>
      <c r="BC219" s="250"/>
      <c r="BD219" s="212" t="str">
        <f>IF(Ruimtestaat[[#This Row],[Frequentie weekend]]="","",_xlfn.CONCAT(Ruimtestaat[[#This Row],[Ruimte code]],"-",Ruimtestaat[[#This Row],[Frequentie weekend]]," ",Ruimtestaat[[#This Row],[Vloer code]]))</f>
        <v/>
      </c>
      <c r="BE219" s="247" t="str">
        <f>_xlfn.IFNA(VLOOKUP(Ruimtestaat[[#This Row],[Code Weekend]],Programma!$F$4:$Y$36148,2,0),"_")</f>
        <v>_</v>
      </c>
      <c r="BF219" s="247" t="str">
        <f>_xlfn.IFNA(VLOOKUP(Ruimtestaat[[#This Row],[Code Weekend]],Programma!$F$4:$Y$36148,3,0),"_")</f>
        <v>_</v>
      </c>
      <c r="BG219" s="247" t="str">
        <f>_xlfn.IFNA(VLOOKUP(Ruimtestaat[[#This Row],[Code Weekend]],Programma!$F$4:$Y$36148,4,0),"_")</f>
        <v>_</v>
      </c>
      <c r="BH219" s="247" t="str">
        <f>_xlfn.IFNA(VLOOKUP(Ruimtestaat[[#This Row],[Code Weekend]],Programma!$F$4:$Y$36148,5,0),"_")</f>
        <v>_</v>
      </c>
      <c r="BI219" s="247" t="str">
        <f>_xlfn.IFNA(VLOOKUP(Ruimtestaat[[#This Row],[Code Weekend]],Programma!$F$4:$Y$36148,6,0),"_")</f>
        <v>_</v>
      </c>
      <c r="BJ219" s="247" t="str">
        <f>_xlfn.IFNA(VLOOKUP(Ruimtestaat[[#This Row],[Code Weekend]],Programma!$F$4:$Y$36148,7,0),"_")</f>
        <v>_</v>
      </c>
      <c r="BK219" s="247" t="str">
        <f>_xlfn.IFNA(VLOOKUP(Ruimtestaat[[#This Row],[Code Weekend]],Programma!$F$4:$Y$36148,8,0),"_")</f>
        <v>_</v>
      </c>
      <c r="BL219" s="247" t="str">
        <f>_xlfn.IFNA(VLOOKUP(Ruimtestaat[[#This Row],[Code Weekend]],Programma!$F$4:$Y$36148,9,0),"_")</f>
        <v>_</v>
      </c>
      <c r="BM219" s="248" t="str">
        <f>_xlfn.IFNA(VLOOKUP(Ruimtestaat[[#This Row],[Code Weekend]],Programma!$F$4:$Y$36148,10,0),"_")</f>
        <v>_</v>
      </c>
      <c r="BN219" s="248" t="str">
        <f>_xlfn.IFNA(VLOOKUP(Ruimtestaat[[#This Row],[Code Weekend]],Programma!$F$4:$Y$36148,11,0),"_")</f>
        <v>_</v>
      </c>
      <c r="BO219" s="248" t="str">
        <f>_xlfn.IFNA(VLOOKUP(Ruimtestaat[[#This Row],[Code Weekend]],Programma!$F$4:$Y$36148,12,0),"_")</f>
        <v>_</v>
      </c>
      <c r="BP219" s="248" t="str">
        <f>_xlfn.IFNA(VLOOKUP(Ruimtestaat[[#This Row],[Code Weekend]],Programma!$F$4:$Y$36148,13,0),"_")</f>
        <v>_</v>
      </c>
      <c r="BQ219" s="248" t="str">
        <f>_xlfn.IFNA(VLOOKUP(Ruimtestaat[[#This Row],[Code Weekend]],Programma!$F$4:$Y$36148,14,0),"_")</f>
        <v>_</v>
      </c>
      <c r="BR219" s="248" t="str">
        <f>_xlfn.IFNA(VLOOKUP(Ruimtestaat[[#This Row],[Code Weekend]],Programma!$F$4:$Y$36148,15,0),"_")</f>
        <v>_</v>
      </c>
      <c r="BS219" s="248" t="str">
        <f>_xlfn.IFNA(VLOOKUP(Ruimtestaat[[#This Row],[Code Weekend]],Programma!$F$4:$Y$36148,16,0),"_")</f>
        <v>_</v>
      </c>
      <c r="BT219" s="248" t="str">
        <f>_xlfn.IFNA(VLOOKUP(Ruimtestaat[[#This Row],[Code Weekend]],Programma!$F$4:$Y$36148,17,0),"_")</f>
        <v>_</v>
      </c>
      <c r="BU219" s="249" t="str">
        <f>_xlfn.IFNA(VLOOKUP(Ruimtestaat[[#This Row],[Code Weekend]],Programma!$F$4:$Y$36148,18,0),"_")</f>
        <v>_</v>
      </c>
      <c r="BV219" s="249" t="str">
        <f>_xlfn.IFNA(VLOOKUP(Ruimtestaat[[#This Row],[Code Weekend]],Programma!$F$4:$Y$36148,19,0),"_")</f>
        <v>_</v>
      </c>
      <c r="BW219" s="249" t="str">
        <f>_xlfn.IFNA(VLOOKUP(Ruimtestaat[[#This Row],[Code Weekend]],Programma!$F$4:$Y$36148,20,0),"_")</f>
        <v>_</v>
      </c>
    </row>
    <row r="220" spans="1:75" ht="12.75" customHeight="1">
      <c r="A220" s="334">
        <v>1</v>
      </c>
      <c r="B220" s="334" t="str">
        <f>VLOOKUP(Ruimtestaat[[#This Row],[Code]],Locaties[#All],2,FALSE)</f>
        <v>ESH Secondary School</v>
      </c>
      <c r="C220" s="212" t="str">
        <f>VLOOKUP(Ruimtestaat[[#This Row],[Code]],Locaties[#All],4,FALSE)</f>
        <v>Oostduinlaan 50</v>
      </c>
      <c r="D220" s="212" t="str">
        <f>VLOOKUP(Ruimtestaat[[#This Row],[Code]],Locaties[#All],5,FALSE)</f>
        <v>2596 JP</v>
      </c>
      <c r="E220" s="212" t="str">
        <f>VLOOKUP(Ruimtestaat[[#This Row],[Code]],Locaties[#All],6,FALSE)</f>
        <v>Den Haag</v>
      </c>
      <c r="F220" s="335"/>
      <c r="G220" s="334" t="s">
        <v>1737</v>
      </c>
      <c r="H220" s="334" t="s">
        <v>1726</v>
      </c>
      <c r="I220" s="335" t="s">
        <v>1736</v>
      </c>
      <c r="J220" s="212">
        <v>1</v>
      </c>
      <c r="K220" s="336" t="str">
        <f>VLOOKUP(J220,Ruimtegroepen[],2,FALSE)</f>
        <v>Magazijnen/bergingen</v>
      </c>
      <c r="L220" s="212" t="s">
        <v>123</v>
      </c>
      <c r="M220" s="334" t="s">
        <v>144</v>
      </c>
      <c r="N220" s="337">
        <v>23</v>
      </c>
      <c r="O220" s="331"/>
      <c r="P220" s="332" t="str">
        <f>VLOOKUP(Ruimtestaat[[#This Row],[Ruimte code]],Ruimtegroepen[],4,FALSE)</f>
        <v>V  (Verkeersruimte)</v>
      </c>
      <c r="Q220" s="332"/>
      <c r="R220" s="333">
        <v>40</v>
      </c>
      <c r="S220" s="333" t="s">
        <v>16</v>
      </c>
      <c r="T220" s="37"/>
      <c r="U220" s="37">
        <f>IF(R220&gt;0,IF(RIGHT(Ruimtestaat[[#This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220" s="37">
        <f>IF(U220&gt;0,VLOOKUP($J220,Ruimtegroepen[],3,FALSE)*VLOOKUP($L220,Vloersoorten[],3,FALSE)*VLOOKUP($S220,Frequenties[],3,FALSE)*VLOOKUP($A220,Locaties[],3,FALSE),0)</f>
        <v>0</v>
      </c>
      <c r="W220" s="37">
        <f>Ruimtestaat[[#This Row],[Uitvoeringen werkdagen]]*Ruimtestaat[[#This Row],[Oppervlak (netto)]]</f>
        <v>276</v>
      </c>
      <c r="X220" s="37">
        <f>IF(V220&gt;0,Ruimtestaat[[#This Row],[Prest. (m2 /jaar) werkdagen]]/Ruimtestaat[[#This Row],[Norm (m2/uur) werkdagen]],0)</f>
        <v>0</v>
      </c>
      <c r="Y220" s="37">
        <f>Ruimtestaat[[#This Row],[uren / jaar werkdagen]]*Tariefsopbouw!$D$38</f>
        <v>0</v>
      </c>
      <c r="Z220" s="37">
        <f>IF(Ruimtestaat[[#This Row],[Frequentie weekend]]&gt;0,VALUE(LEFT(T220,1))*R220,0)</f>
        <v>0</v>
      </c>
      <c r="AA220" s="37">
        <f>IF($Z220&gt;0,VLOOKUP($J220,Ruimtegroepen[],3,FALSE)*VLOOKUP($L220,Vloersoorten[],3,FALSE)*VLOOKUP($T220,Frequenties[],3,FALSE)*VLOOKUP($A220,Locaties[],3,FALSE),0)</f>
        <v>0</v>
      </c>
      <c r="AB220" s="37">
        <f>Ruimtestaat[[#This Row],[Uitvoeringen weekend]]*Ruimtestaat[[#This Row],[Oppervlak (netto)]]</f>
        <v>0</v>
      </c>
      <c r="AC220" s="37">
        <f>IF(AA220&gt;0,Ruimtestaat[[#This Row],[Prest. (m2 /jaar) weekend]]/Ruimtestaat[[#This Row],[Norm (m2/uur) weekend]],0)</f>
        <v>0</v>
      </c>
      <c r="AD220" s="37">
        <f>Ruimtestaat[[#This Row],[uren / jaar weekend]]*Tariefsopbouw!$D$40</f>
        <v>0</v>
      </c>
      <c r="AE220" s="89">
        <f>Ruimtestaat[[#This Row],[Prest. (m2 /jaar) weekend]]+Ruimtestaat[[#This Row],[Prest. (m2 /jaar) werkdagen]]</f>
        <v>276</v>
      </c>
      <c r="AF220" s="89">
        <f>Ruimtestaat[[#This Row],[uren / jaar weekend]]+Ruimtestaat[[#This Row],[uren / jaar werkdagen]]</f>
        <v>0</v>
      </c>
      <c r="AG220" s="90">
        <f>Ruimtestaat[[#This Row],[kosten / jaar weekend]]+Ruimtestaat[[#This Row],[kosten / jaar werkdagen]]</f>
        <v>0</v>
      </c>
      <c r="AH220" s="253"/>
      <c r="AI220" s="252" t="str">
        <f>IF(Ruimtestaat[[#This Row],[Frequentie werkdagen]]="","",_xlfn.CONCAT(Ruimtestaat[[#This Row],[Ruimte code]],"-",Ruimtestaat[[#This Row],[Frequentie werkdagen]]," ",Ruimtestaat[[#This Row],[Vloer code]]))</f>
        <v>1-1m P</v>
      </c>
      <c r="AJ220" s="247" t="str">
        <f>_xlfn.IFNA(VLOOKUP(Ruimtestaat[[#This Row],[Programmacode
Regulier]],Programma!$F$4:$Y$36148,2,0),"_")</f>
        <v>_</v>
      </c>
      <c r="AK220" s="247" t="str">
        <f>_xlfn.IFNA(VLOOKUP(Ruimtestaat[[#This Row],[Programmacode
Regulier]],Programma!$F$4:$Y$36148,3,0),"_")</f>
        <v>_</v>
      </c>
      <c r="AL220" s="247" t="str">
        <f>_xlfn.IFNA(VLOOKUP(Ruimtestaat[[#This Row],[Programmacode
Regulier]],Programma!$F$4:$Y$36148,4,0),"_")</f>
        <v>1m</v>
      </c>
      <c r="AM220" s="247" t="str">
        <f>_xlfn.IFNA(VLOOKUP(Ruimtestaat[[#This Row],[Programmacode
Regulier]],Programma!$F$4:$Y$36148,5,0),"_")</f>
        <v>1m</v>
      </c>
      <c r="AN220" s="247" t="str">
        <f>_xlfn.IFNA(VLOOKUP(Ruimtestaat[[#This Row],[Programmacode
Regulier]],Programma!$F$4:$Y$36148,6,0),"_")</f>
        <v>_</v>
      </c>
      <c r="AO220" s="247" t="str">
        <f>_xlfn.IFNA(VLOOKUP(Ruimtestaat[[#This Row],[Programmacode
Regulier]],Programma!$F$4:$Y$36148,7,0),"_")</f>
        <v>_</v>
      </c>
      <c r="AP220" s="247" t="str">
        <f>_xlfn.IFNA(VLOOKUP(Ruimtestaat[[#This Row],[Programmacode
Regulier]],Programma!$F$4:$Y$36148,8,0),"_")</f>
        <v>_</v>
      </c>
      <c r="AQ220" s="247" t="str">
        <f>_xlfn.IFNA(VLOOKUP(Ruimtestaat[[#This Row],[Programmacode
Regulier]],Programma!$F$4:$Y$36148,9,0),"_")</f>
        <v>_</v>
      </c>
      <c r="AR220" s="248" t="str">
        <f>_xlfn.IFNA(VLOOKUP(Ruimtestaat[[#This Row],[Programmacode
Regulier]],Programma!$F$4:$Y$36148,10,0),"_")</f>
        <v>_</v>
      </c>
      <c r="AS220" s="248" t="str">
        <f>_xlfn.IFNA(VLOOKUP(Ruimtestaat[[#This Row],[Programmacode
Regulier]],Programma!$F$4:$Y$36148,11,0),"_")</f>
        <v>_</v>
      </c>
      <c r="AT220" s="248" t="str">
        <f>_xlfn.IFNA(VLOOKUP(Ruimtestaat[[#This Row],[Programmacode
Regulier]],Programma!$F$4:$Y$36148,12,0),"_")</f>
        <v>_</v>
      </c>
      <c r="AU220" s="248" t="str">
        <f>_xlfn.IFNA(VLOOKUP(Ruimtestaat[[#This Row],[Programmacode
Regulier]],Programma!$F$4:$Y$36148,13,0),"_")</f>
        <v>_</v>
      </c>
      <c r="AV220" s="248" t="str">
        <f>_xlfn.IFNA(VLOOKUP(Ruimtestaat[[#This Row],[Programmacode
Regulier]],Programma!$F$4:$Y$36148,14,0),"_")</f>
        <v>1j</v>
      </c>
      <c r="AW220" s="248" t="str">
        <f>_xlfn.IFNA(VLOOKUP(Ruimtestaat[[#This Row],[Programmacode
Regulier]],Programma!$F$4:$Y$36148,15,0),"_")</f>
        <v>1j</v>
      </c>
      <c r="AX220" s="248" t="str">
        <f>_xlfn.IFNA(VLOOKUP(Ruimtestaat[[#This Row],[Programmacode
Regulier]],Programma!$F$4:$Y$36148,16,0),"_")</f>
        <v>1j</v>
      </c>
      <c r="AY220" s="248" t="str">
        <f>_xlfn.IFNA(VLOOKUP(Ruimtestaat[[#This Row],[Programmacode
Regulier]],Programma!$F$4:$Y$36148,17,0),"_")</f>
        <v>_</v>
      </c>
      <c r="AZ220" s="249" t="str">
        <f>_xlfn.IFNA(VLOOKUP(Ruimtestaat[[#This Row],[Programmacode
Regulier]],Programma!$F$4:$Y$36148,18,0),"_")</f>
        <v>_</v>
      </c>
      <c r="BA220" s="249" t="str">
        <f>_xlfn.IFNA(VLOOKUP(Ruimtestaat[[#This Row],[Programmacode
Regulier]],Programma!$F$4:$Y$36148,19,0),"_")</f>
        <v>_</v>
      </c>
      <c r="BB220" s="249" t="str">
        <f>_xlfn.IFNA(VLOOKUP(Ruimtestaat[[#This Row],[Programmacode
Regulier]],Programma!$F$4:$Y$36148,20,0),"_")</f>
        <v>_</v>
      </c>
      <c r="BC220" s="250"/>
      <c r="BD220" s="212" t="str">
        <f>IF(Ruimtestaat[[#This Row],[Frequentie weekend]]="","",_xlfn.CONCAT(Ruimtestaat[[#This Row],[Ruimte code]],"-",Ruimtestaat[[#This Row],[Frequentie weekend]]," ",Ruimtestaat[[#This Row],[Vloer code]]))</f>
        <v/>
      </c>
      <c r="BE220" s="247" t="str">
        <f>_xlfn.IFNA(VLOOKUP(Ruimtestaat[[#This Row],[Code Weekend]],Programma!$F$4:$Y$36148,2,0),"_")</f>
        <v>_</v>
      </c>
      <c r="BF220" s="247" t="str">
        <f>_xlfn.IFNA(VLOOKUP(Ruimtestaat[[#This Row],[Code Weekend]],Programma!$F$4:$Y$36148,3,0),"_")</f>
        <v>_</v>
      </c>
      <c r="BG220" s="247" t="str">
        <f>_xlfn.IFNA(VLOOKUP(Ruimtestaat[[#This Row],[Code Weekend]],Programma!$F$4:$Y$36148,4,0),"_")</f>
        <v>_</v>
      </c>
      <c r="BH220" s="247" t="str">
        <f>_xlfn.IFNA(VLOOKUP(Ruimtestaat[[#This Row],[Code Weekend]],Programma!$F$4:$Y$36148,5,0),"_")</f>
        <v>_</v>
      </c>
      <c r="BI220" s="247" t="str">
        <f>_xlfn.IFNA(VLOOKUP(Ruimtestaat[[#This Row],[Code Weekend]],Programma!$F$4:$Y$36148,6,0),"_")</f>
        <v>_</v>
      </c>
      <c r="BJ220" s="247" t="str">
        <f>_xlfn.IFNA(VLOOKUP(Ruimtestaat[[#This Row],[Code Weekend]],Programma!$F$4:$Y$36148,7,0),"_")</f>
        <v>_</v>
      </c>
      <c r="BK220" s="247" t="str">
        <f>_xlfn.IFNA(VLOOKUP(Ruimtestaat[[#This Row],[Code Weekend]],Programma!$F$4:$Y$36148,8,0),"_")</f>
        <v>_</v>
      </c>
      <c r="BL220" s="247" t="str">
        <f>_xlfn.IFNA(VLOOKUP(Ruimtestaat[[#This Row],[Code Weekend]],Programma!$F$4:$Y$36148,9,0),"_")</f>
        <v>_</v>
      </c>
      <c r="BM220" s="248" t="str">
        <f>_xlfn.IFNA(VLOOKUP(Ruimtestaat[[#This Row],[Code Weekend]],Programma!$F$4:$Y$36148,10,0),"_")</f>
        <v>_</v>
      </c>
      <c r="BN220" s="248" t="str">
        <f>_xlfn.IFNA(VLOOKUP(Ruimtestaat[[#This Row],[Code Weekend]],Programma!$F$4:$Y$36148,11,0),"_")</f>
        <v>_</v>
      </c>
      <c r="BO220" s="248" t="str">
        <f>_xlfn.IFNA(VLOOKUP(Ruimtestaat[[#This Row],[Code Weekend]],Programma!$F$4:$Y$36148,12,0),"_")</f>
        <v>_</v>
      </c>
      <c r="BP220" s="248" t="str">
        <f>_xlfn.IFNA(VLOOKUP(Ruimtestaat[[#This Row],[Code Weekend]],Programma!$F$4:$Y$36148,13,0),"_")</f>
        <v>_</v>
      </c>
      <c r="BQ220" s="248" t="str">
        <f>_xlfn.IFNA(VLOOKUP(Ruimtestaat[[#This Row],[Code Weekend]],Programma!$F$4:$Y$36148,14,0),"_")</f>
        <v>_</v>
      </c>
      <c r="BR220" s="248" t="str">
        <f>_xlfn.IFNA(VLOOKUP(Ruimtestaat[[#This Row],[Code Weekend]],Programma!$F$4:$Y$36148,15,0),"_")</f>
        <v>_</v>
      </c>
      <c r="BS220" s="248" t="str">
        <f>_xlfn.IFNA(VLOOKUP(Ruimtestaat[[#This Row],[Code Weekend]],Programma!$F$4:$Y$36148,16,0),"_")</f>
        <v>_</v>
      </c>
      <c r="BT220" s="248" t="str">
        <f>_xlfn.IFNA(VLOOKUP(Ruimtestaat[[#This Row],[Code Weekend]],Programma!$F$4:$Y$36148,17,0),"_")</f>
        <v>_</v>
      </c>
      <c r="BU220" s="249" t="str">
        <f>_xlfn.IFNA(VLOOKUP(Ruimtestaat[[#This Row],[Code Weekend]],Programma!$F$4:$Y$36148,18,0),"_")</f>
        <v>_</v>
      </c>
      <c r="BV220" s="249" t="str">
        <f>_xlfn.IFNA(VLOOKUP(Ruimtestaat[[#This Row],[Code Weekend]],Programma!$F$4:$Y$36148,19,0),"_")</f>
        <v>_</v>
      </c>
      <c r="BW220" s="249" t="str">
        <f>_xlfn.IFNA(VLOOKUP(Ruimtestaat[[#This Row],[Code Weekend]],Programma!$F$4:$Y$36148,20,0),"_")</f>
        <v>_</v>
      </c>
    </row>
    <row r="221" spans="1:75" ht="12.75" customHeight="1">
      <c r="A221" s="334">
        <v>1</v>
      </c>
      <c r="B221" s="334" t="str">
        <f>VLOOKUP(Ruimtestaat[[#This Row],[Code]],Locaties[#All],2,FALSE)</f>
        <v>ESH Secondary School</v>
      </c>
      <c r="C221" s="212" t="str">
        <f>VLOOKUP(Ruimtestaat[[#This Row],[Code]],Locaties[#All],4,FALSE)</f>
        <v>Oostduinlaan 50</v>
      </c>
      <c r="D221" s="212" t="str">
        <f>VLOOKUP(Ruimtestaat[[#This Row],[Code]],Locaties[#All],5,FALSE)</f>
        <v>2596 JP</v>
      </c>
      <c r="E221" s="212" t="str">
        <f>VLOOKUP(Ruimtestaat[[#This Row],[Code]],Locaties[#All],6,FALSE)</f>
        <v>Den Haag</v>
      </c>
      <c r="F221" s="335"/>
      <c r="G221" s="334" t="s">
        <v>1737</v>
      </c>
      <c r="H221" s="334" t="s">
        <v>1727</v>
      </c>
      <c r="I221" s="335" t="s">
        <v>1735</v>
      </c>
      <c r="J221" s="212" t="s">
        <v>1761</v>
      </c>
      <c r="K221" s="336" t="str">
        <f>VLOOKUP(J221,Ruimtegroepen[],2,FALSE)</f>
        <v>Praktijklokalen</v>
      </c>
      <c r="L221" s="212" t="s">
        <v>123</v>
      </c>
      <c r="M221" s="334" t="s">
        <v>144</v>
      </c>
      <c r="N221" s="337">
        <v>94</v>
      </c>
      <c r="O221" s="331"/>
      <c r="P221" s="332" t="str">
        <f>VLOOKUP(Ruimtestaat[[#This Row],[Ruimte code]],Ruimtegroepen[],4,FALSE)</f>
        <v>L  (Lesruimte)</v>
      </c>
      <c r="Q221" s="332"/>
      <c r="R221" s="333">
        <v>40</v>
      </c>
      <c r="S221" s="333" t="s">
        <v>2</v>
      </c>
      <c r="T221" s="37"/>
      <c r="U221" s="37">
        <f>IF(R221&gt;0,IF(RIGHT(Ruimtestaat[[#This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21" s="37">
        <f>IF(U221&gt;0,VLOOKUP($J221,Ruimtegroepen[],3,FALSE)*VLOOKUP($L221,Vloersoorten[],3,FALSE)*VLOOKUP($S221,Frequenties[],3,FALSE)*VLOOKUP($A221,Locaties[],3,FALSE),0)</f>
        <v>0</v>
      </c>
      <c r="W221" s="37">
        <f>Ruimtestaat[[#This Row],[Uitvoeringen werkdagen]]*Ruimtestaat[[#This Row],[Oppervlak (netto)]]</f>
        <v>18800</v>
      </c>
      <c r="X221" s="37">
        <f>IF(V221&gt;0,Ruimtestaat[[#This Row],[Prest. (m2 /jaar) werkdagen]]/Ruimtestaat[[#This Row],[Norm (m2/uur) werkdagen]],0)</f>
        <v>0</v>
      </c>
      <c r="Y221" s="37">
        <f>Ruimtestaat[[#This Row],[uren / jaar werkdagen]]*Tariefsopbouw!$D$38</f>
        <v>0</v>
      </c>
      <c r="Z221" s="37">
        <f>IF(Ruimtestaat[[#This Row],[Frequentie weekend]]&gt;0,VALUE(LEFT(T221,1))*R221,0)</f>
        <v>0</v>
      </c>
      <c r="AA221" s="37">
        <f>IF($Z221&gt;0,VLOOKUP($J221,Ruimtegroepen[],3,FALSE)*VLOOKUP($L221,Vloersoorten[],3,FALSE)*VLOOKUP($T221,Frequenties[],3,FALSE)*VLOOKUP($A221,Locaties[],3,FALSE),0)</f>
        <v>0</v>
      </c>
      <c r="AB221" s="37">
        <f>Ruimtestaat[[#This Row],[Uitvoeringen weekend]]*Ruimtestaat[[#This Row],[Oppervlak (netto)]]</f>
        <v>0</v>
      </c>
      <c r="AC221" s="37">
        <f>IF(AA221&gt;0,Ruimtestaat[[#This Row],[Prest. (m2 /jaar) weekend]]/Ruimtestaat[[#This Row],[Norm (m2/uur) weekend]],0)</f>
        <v>0</v>
      </c>
      <c r="AD221" s="37">
        <f>Ruimtestaat[[#This Row],[uren / jaar weekend]]*Tariefsopbouw!$D$40</f>
        <v>0</v>
      </c>
      <c r="AE221" s="89">
        <f>Ruimtestaat[[#This Row],[Prest. (m2 /jaar) weekend]]+Ruimtestaat[[#This Row],[Prest. (m2 /jaar) werkdagen]]</f>
        <v>18800</v>
      </c>
      <c r="AF221" s="89">
        <f>Ruimtestaat[[#This Row],[uren / jaar weekend]]+Ruimtestaat[[#This Row],[uren / jaar werkdagen]]</f>
        <v>0</v>
      </c>
      <c r="AG221" s="90">
        <f>Ruimtestaat[[#This Row],[kosten / jaar weekend]]+Ruimtestaat[[#This Row],[kosten / jaar werkdagen]]</f>
        <v>0</v>
      </c>
      <c r="AH221" s="253"/>
      <c r="AI221" s="252" t="str">
        <f>IF(Ruimtestaat[[#This Row],[Frequentie werkdagen]]="","",_xlfn.CONCAT(Ruimtestaat[[#This Row],[Ruimte code]],"-",Ruimtestaat[[#This Row],[Frequentie werkdagen]]," ",Ruimtestaat[[#This Row],[Vloer code]]))</f>
        <v>14a-5w P</v>
      </c>
      <c r="AJ221" s="247" t="str">
        <f>_xlfn.IFNA(VLOOKUP(Ruimtestaat[[#This Row],[Programmacode
Regulier]],Programma!$F$4:$Y$36148,2,0),"_")</f>
        <v>_</v>
      </c>
      <c r="AK221" s="247" t="str">
        <f>_xlfn.IFNA(VLOOKUP(Ruimtestaat[[#This Row],[Programmacode
Regulier]],Programma!$F$4:$Y$36148,3,0),"_")</f>
        <v>_</v>
      </c>
      <c r="AL221" s="247" t="str">
        <f>_xlfn.IFNA(VLOOKUP(Ruimtestaat[[#This Row],[Programmacode
Regulier]],Programma!$F$4:$Y$36148,4,0),"_")</f>
        <v>_</v>
      </c>
      <c r="AM221" s="247" t="str">
        <f>_xlfn.IFNA(VLOOKUP(Ruimtestaat[[#This Row],[Programmacode
Regulier]],Programma!$F$4:$Y$36148,5,0),"_")</f>
        <v>_</v>
      </c>
      <c r="AN221" s="247" t="str">
        <f>_xlfn.IFNA(VLOOKUP(Ruimtestaat[[#This Row],[Programmacode
Regulier]],Programma!$F$4:$Y$36148,6,0),"_")</f>
        <v>_</v>
      </c>
      <c r="AO221" s="247" t="str">
        <f>_xlfn.IFNA(VLOOKUP(Ruimtestaat[[#This Row],[Programmacode
Regulier]],Programma!$F$4:$Y$36148,7,0),"_")</f>
        <v>_</v>
      </c>
      <c r="AP221" s="247" t="str">
        <f>_xlfn.IFNA(VLOOKUP(Ruimtestaat[[#This Row],[Programmacode
Regulier]],Programma!$F$4:$Y$36148,8,0),"_")</f>
        <v>_</v>
      </c>
      <c r="AQ221" s="247" t="str">
        <f>_xlfn.IFNA(VLOOKUP(Ruimtestaat[[#This Row],[Programmacode
Regulier]],Programma!$F$4:$Y$36148,9,0),"_")</f>
        <v>_</v>
      </c>
      <c r="AR221" s="248" t="str">
        <f>_xlfn.IFNA(VLOOKUP(Ruimtestaat[[#This Row],[Programmacode
Regulier]],Programma!$F$4:$Y$36148,10,0),"_")</f>
        <v>_</v>
      </c>
      <c r="AS221" s="248" t="str">
        <f>_xlfn.IFNA(VLOOKUP(Ruimtestaat[[#This Row],[Programmacode
Regulier]],Programma!$F$4:$Y$36148,11,0),"_")</f>
        <v>_</v>
      </c>
      <c r="AT221" s="248" t="str">
        <f>_xlfn.IFNA(VLOOKUP(Ruimtestaat[[#This Row],[Programmacode
Regulier]],Programma!$F$4:$Y$36148,12,0),"_")</f>
        <v>_</v>
      </c>
      <c r="AU221" s="248" t="str">
        <f>_xlfn.IFNA(VLOOKUP(Ruimtestaat[[#This Row],[Programmacode
Regulier]],Programma!$F$4:$Y$36148,13,0),"_")</f>
        <v>_</v>
      </c>
      <c r="AV221" s="248" t="str">
        <f>_xlfn.IFNA(VLOOKUP(Ruimtestaat[[#This Row],[Programmacode
Regulier]],Programma!$F$4:$Y$36148,14,0),"_")</f>
        <v>_</v>
      </c>
      <c r="AW221" s="248" t="str">
        <f>_xlfn.IFNA(VLOOKUP(Ruimtestaat[[#This Row],[Programmacode
Regulier]],Programma!$F$4:$Y$36148,15,0),"_")</f>
        <v>_</v>
      </c>
      <c r="AX221" s="248" t="str">
        <f>_xlfn.IFNA(VLOOKUP(Ruimtestaat[[#This Row],[Programmacode
Regulier]],Programma!$F$4:$Y$36148,16,0),"_")</f>
        <v>_</v>
      </c>
      <c r="AY221" s="248" t="str">
        <f>_xlfn.IFNA(VLOOKUP(Ruimtestaat[[#This Row],[Programmacode
Regulier]],Programma!$F$4:$Y$36148,17,0),"_")</f>
        <v>_</v>
      </c>
      <c r="AZ221" s="249" t="str">
        <f>_xlfn.IFNA(VLOOKUP(Ruimtestaat[[#This Row],[Programmacode
Regulier]],Programma!$F$4:$Y$36148,18,0),"_")</f>
        <v>_</v>
      </c>
      <c r="BA221" s="249" t="str">
        <f>_xlfn.IFNA(VLOOKUP(Ruimtestaat[[#This Row],[Programmacode
Regulier]],Programma!$F$4:$Y$36148,19,0),"_")</f>
        <v>_</v>
      </c>
      <c r="BB221" s="249" t="str">
        <f>_xlfn.IFNA(VLOOKUP(Ruimtestaat[[#This Row],[Programmacode
Regulier]],Programma!$F$4:$Y$36148,20,0),"_")</f>
        <v>_</v>
      </c>
      <c r="BC221" s="250"/>
      <c r="BD221" s="212" t="str">
        <f>IF(Ruimtestaat[[#This Row],[Frequentie weekend]]="","",_xlfn.CONCAT(Ruimtestaat[[#This Row],[Ruimte code]],"-",Ruimtestaat[[#This Row],[Frequentie weekend]]," ",Ruimtestaat[[#This Row],[Vloer code]]))</f>
        <v/>
      </c>
      <c r="BE221" s="247" t="str">
        <f>_xlfn.IFNA(VLOOKUP(Ruimtestaat[[#This Row],[Code Weekend]],Programma!$F$4:$Y$36148,2,0),"_")</f>
        <v>_</v>
      </c>
      <c r="BF221" s="247" t="str">
        <f>_xlfn.IFNA(VLOOKUP(Ruimtestaat[[#This Row],[Code Weekend]],Programma!$F$4:$Y$36148,3,0),"_")</f>
        <v>_</v>
      </c>
      <c r="BG221" s="247" t="str">
        <f>_xlfn.IFNA(VLOOKUP(Ruimtestaat[[#This Row],[Code Weekend]],Programma!$F$4:$Y$36148,4,0),"_")</f>
        <v>_</v>
      </c>
      <c r="BH221" s="247" t="str">
        <f>_xlfn.IFNA(VLOOKUP(Ruimtestaat[[#This Row],[Code Weekend]],Programma!$F$4:$Y$36148,5,0),"_")</f>
        <v>_</v>
      </c>
      <c r="BI221" s="247" t="str">
        <f>_xlfn.IFNA(VLOOKUP(Ruimtestaat[[#This Row],[Code Weekend]],Programma!$F$4:$Y$36148,6,0),"_")</f>
        <v>_</v>
      </c>
      <c r="BJ221" s="247" t="str">
        <f>_xlfn.IFNA(VLOOKUP(Ruimtestaat[[#This Row],[Code Weekend]],Programma!$F$4:$Y$36148,7,0),"_")</f>
        <v>_</v>
      </c>
      <c r="BK221" s="247" t="str">
        <f>_xlfn.IFNA(VLOOKUP(Ruimtestaat[[#This Row],[Code Weekend]],Programma!$F$4:$Y$36148,8,0),"_")</f>
        <v>_</v>
      </c>
      <c r="BL221" s="247" t="str">
        <f>_xlfn.IFNA(VLOOKUP(Ruimtestaat[[#This Row],[Code Weekend]],Programma!$F$4:$Y$36148,9,0),"_")</f>
        <v>_</v>
      </c>
      <c r="BM221" s="248" t="str">
        <f>_xlfn.IFNA(VLOOKUP(Ruimtestaat[[#This Row],[Code Weekend]],Programma!$F$4:$Y$36148,10,0),"_")</f>
        <v>_</v>
      </c>
      <c r="BN221" s="248" t="str">
        <f>_xlfn.IFNA(VLOOKUP(Ruimtestaat[[#This Row],[Code Weekend]],Programma!$F$4:$Y$36148,11,0),"_")</f>
        <v>_</v>
      </c>
      <c r="BO221" s="248" t="str">
        <f>_xlfn.IFNA(VLOOKUP(Ruimtestaat[[#This Row],[Code Weekend]],Programma!$F$4:$Y$36148,12,0),"_")</f>
        <v>_</v>
      </c>
      <c r="BP221" s="248" t="str">
        <f>_xlfn.IFNA(VLOOKUP(Ruimtestaat[[#This Row],[Code Weekend]],Programma!$F$4:$Y$36148,13,0),"_")</f>
        <v>_</v>
      </c>
      <c r="BQ221" s="248" t="str">
        <f>_xlfn.IFNA(VLOOKUP(Ruimtestaat[[#This Row],[Code Weekend]],Programma!$F$4:$Y$36148,14,0),"_")</f>
        <v>_</v>
      </c>
      <c r="BR221" s="248" t="str">
        <f>_xlfn.IFNA(VLOOKUP(Ruimtestaat[[#This Row],[Code Weekend]],Programma!$F$4:$Y$36148,15,0),"_")</f>
        <v>_</v>
      </c>
      <c r="BS221" s="248" t="str">
        <f>_xlfn.IFNA(VLOOKUP(Ruimtestaat[[#This Row],[Code Weekend]],Programma!$F$4:$Y$36148,16,0),"_")</f>
        <v>_</v>
      </c>
      <c r="BT221" s="248" t="str">
        <f>_xlfn.IFNA(VLOOKUP(Ruimtestaat[[#This Row],[Code Weekend]],Programma!$F$4:$Y$36148,17,0),"_")</f>
        <v>_</v>
      </c>
      <c r="BU221" s="249" t="str">
        <f>_xlfn.IFNA(VLOOKUP(Ruimtestaat[[#This Row],[Code Weekend]],Programma!$F$4:$Y$36148,18,0),"_")</f>
        <v>_</v>
      </c>
      <c r="BV221" s="249" t="str">
        <f>_xlfn.IFNA(VLOOKUP(Ruimtestaat[[#This Row],[Code Weekend]],Programma!$F$4:$Y$36148,19,0),"_")</f>
        <v>_</v>
      </c>
      <c r="BW221" s="249" t="str">
        <f>_xlfn.IFNA(VLOOKUP(Ruimtestaat[[#This Row],[Code Weekend]],Programma!$F$4:$Y$36148,20,0),"_")</f>
        <v>_</v>
      </c>
    </row>
    <row r="222" spans="1:75" ht="12.75" customHeight="1">
      <c r="A222" s="334">
        <v>1</v>
      </c>
      <c r="B222" s="334" t="str">
        <f>VLOOKUP(Ruimtestaat[[#This Row],[Code]],Locaties[#All],2,FALSE)</f>
        <v>ESH Secondary School</v>
      </c>
      <c r="C222" s="212" t="str">
        <f>VLOOKUP(Ruimtestaat[[#This Row],[Code]],Locaties[#All],4,FALSE)</f>
        <v>Oostduinlaan 50</v>
      </c>
      <c r="D222" s="212" t="str">
        <f>VLOOKUP(Ruimtestaat[[#This Row],[Code]],Locaties[#All],5,FALSE)</f>
        <v>2596 JP</v>
      </c>
      <c r="E222" s="212" t="str">
        <f>VLOOKUP(Ruimtestaat[[#This Row],[Code]],Locaties[#All],6,FALSE)</f>
        <v>Den Haag</v>
      </c>
      <c r="F222" s="335"/>
      <c r="G222" s="334" t="s">
        <v>1757</v>
      </c>
      <c r="H222" s="334" t="s">
        <v>1738</v>
      </c>
      <c r="I222" s="335" t="s">
        <v>1750</v>
      </c>
      <c r="J222" s="328">
        <v>10</v>
      </c>
      <c r="K222" s="336" t="str">
        <f>VLOOKUP(J222,Ruimtegroepen[],2,FALSE)</f>
        <v>Trappenhuizen/lift</v>
      </c>
      <c r="L222" s="212" t="s">
        <v>123</v>
      </c>
      <c r="M222" s="334" t="s">
        <v>144</v>
      </c>
      <c r="N222" s="337">
        <v>15</v>
      </c>
      <c r="O222" s="331"/>
      <c r="P222" s="332" t="str">
        <f>VLOOKUP(Ruimtestaat[[#This Row],[Ruimte code]],Ruimtegroepen[],4,FALSE)</f>
        <v>V  (Verkeersruimte)</v>
      </c>
      <c r="Q222" s="332"/>
      <c r="R222" s="333">
        <v>40</v>
      </c>
      <c r="S222" s="333" t="s">
        <v>2</v>
      </c>
      <c r="T222" s="37"/>
      <c r="U222" s="37">
        <f>IF(R222&gt;0,IF(RIGHT(Ruimtestaat[[#This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22" s="37">
        <f>IF(U222&gt;0,VLOOKUP($J222,Ruimtegroepen[],3,FALSE)*VLOOKUP($L222,Vloersoorten[],3,FALSE)*VLOOKUP($S222,Frequenties[],3,FALSE)*VLOOKUP($A222,Locaties[],3,FALSE),0)</f>
        <v>0</v>
      </c>
      <c r="W222" s="37">
        <f>Ruimtestaat[[#This Row],[Uitvoeringen werkdagen]]*Ruimtestaat[[#This Row],[Oppervlak (netto)]]</f>
        <v>3000</v>
      </c>
      <c r="X222" s="37">
        <f>IF(V222&gt;0,Ruimtestaat[[#This Row],[Prest. (m2 /jaar) werkdagen]]/Ruimtestaat[[#This Row],[Norm (m2/uur) werkdagen]],0)</f>
        <v>0</v>
      </c>
      <c r="Y222" s="37">
        <f>Ruimtestaat[[#This Row],[uren / jaar werkdagen]]*Tariefsopbouw!$D$38</f>
        <v>0</v>
      </c>
      <c r="Z222" s="37">
        <f>IF(Ruimtestaat[[#This Row],[Frequentie weekend]]&gt;0,VALUE(LEFT(T222,1))*R222,0)</f>
        <v>0</v>
      </c>
      <c r="AA222" s="37">
        <f>IF($Z222&gt;0,VLOOKUP($J222,Ruimtegroepen[],3,FALSE)*VLOOKUP($L222,Vloersoorten[],3,FALSE)*VLOOKUP($T222,Frequenties[],3,FALSE)*VLOOKUP($A222,Locaties[],3,FALSE),0)</f>
        <v>0</v>
      </c>
      <c r="AB222" s="37">
        <f>Ruimtestaat[[#This Row],[Uitvoeringen weekend]]*Ruimtestaat[[#This Row],[Oppervlak (netto)]]</f>
        <v>0</v>
      </c>
      <c r="AC222" s="37">
        <f>IF(AA222&gt;0,Ruimtestaat[[#This Row],[Prest. (m2 /jaar) weekend]]/Ruimtestaat[[#This Row],[Norm (m2/uur) weekend]],0)</f>
        <v>0</v>
      </c>
      <c r="AD222" s="37">
        <f>Ruimtestaat[[#This Row],[uren / jaar weekend]]*Tariefsopbouw!$D$40</f>
        <v>0</v>
      </c>
      <c r="AE222" s="89">
        <f>Ruimtestaat[[#This Row],[Prest. (m2 /jaar) weekend]]+Ruimtestaat[[#This Row],[Prest. (m2 /jaar) werkdagen]]</f>
        <v>3000</v>
      </c>
      <c r="AF222" s="89">
        <f>Ruimtestaat[[#This Row],[uren / jaar weekend]]+Ruimtestaat[[#This Row],[uren / jaar werkdagen]]</f>
        <v>0</v>
      </c>
      <c r="AG222" s="90">
        <f>Ruimtestaat[[#This Row],[kosten / jaar weekend]]+Ruimtestaat[[#This Row],[kosten / jaar werkdagen]]</f>
        <v>0</v>
      </c>
      <c r="AH222" s="253"/>
      <c r="AI222" s="252" t="str">
        <f>IF(Ruimtestaat[[#This Row],[Frequentie werkdagen]]="","",_xlfn.CONCAT(Ruimtestaat[[#This Row],[Ruimte code]],"-",Ruimtestaat[[#This Row],[Frequentie werkdagen]]," ",Ruimtestaat[[#This Row],[Vloer code]]))</f>
        <v>10-5w P</v>
      </c>
      <c r="AJ222" s="247" t="str">
        <f>_xlfn.IFNA(VLOOKUP(Ruimtestaat[[#This Row],[Programmacode
Regulier]],Programma!$F$4:$Y$36148,2,0),"_")</f>
        <v>_</v>
      </c>
      <c r="AK222" s="247" t="str">
        <f>_xlfn.IFNA(VLOOKUP(Ruimtestaat[[#This Row],[Programmacode
Regulier]],Programma!$F$4:$Y$36148,3,0),"_")</f>
        <v>5w</v>
      </c>
      <c r="AL222" s="247" t="str">
        <f>_xlfn.IFNA(VLOOKUP(Ruimtestaat[[#This Row],[Programmacode
Regulier]],Programma!$F$4:$Y$36148,4,0),"_")</f>
        <v>_</v>
      </c>
      <c r="AM222" s="247" t="str">
        <f>_xlfn.IFNA(VLOOKUP(Ruimtestaat[[#This Row],[Programmacode
Regulier]],Programma!$F$4:$Y$36148,5,0),"_")</f>
        <v>5w</v>
      </c>
      <c r="AN222" s="247" t="str">
        <f>_xlfn.IFNA(VLOOKUP(Ruimtestaat[[#This Row],[Programmacode
Regulier]],Programma!$F$4:$Y$36148,6,0),"_")</f>
        <v>1m</v>
      </c>
      <c r="AO222" s="247" t="str">
        <f>_xlfn.IFNA(VLOOKUP(Ruimtestaat[[#This Row],[Programmacode
Regulier]],Programma!$F$4:$Y$36148,7,0),"_")</f>
        <v>_</v>
      </c>
      <c r="AP222" s="247" t="str">
        <f>_xlfn.IFNA(VLOOKUP(Ruimtestaat[[#This Row],[Programmacode
Regulier]],Programma!$F$4:$Y$36148,8,0),"_")</f>
        <v>_</v>
      </c>
      <c r="AQ222" s="247" t="str">
        <f>_xlfn.IFNA(VLOOKUP(Ruimtestaat[[#This Row],[Programmacode
Regulier]],Programma!$F$4:$Y$36148,9,0),"_")</f>
        <v>_</v>
      </c>
      <c r="AR222" s="248" t="str">
        <f>_xlfn.IFNA(VLOOKUP(Ruimtestaat[[#This Row],[Programmacode
Regulier]],Programma!$F$4:$Y$36148,10,0),"_")</f>
        <v>5w</v>
      </c>
      <c r="AS222" s="248" t="str">
        <f>_xlfn.IFNA(VLOOKUP(Ruimtestaat[[#This Row],[Programmacode
Regulier]],Programma!$F$4:$Y$36148,11,0),"_")</f>
        <v>5w</v>
      </c>
      <c r="AT222" s="248" t="str">
        <f>_xlfn.IFNA(VLOOKUP(Ruimtestaat[[#This Row],[Programmacode
Regulier]],Programma!$F$4:$Y$36148,12,0),"_")</f>
        <v>1w</v>
      </c>
      <c r="AU222" s="248" t="str">
        <f>_xlfn.IFNA(VLOOKUP(Ruimtestaat[[#This Row],[Programmacode
Regulier]],Programma!$F$4:$Y$36148,13,0),"_")</f>
        <v>1w</v>
      </c>
      <c r="AV222" s="248" t="str">
        <f>_xlfn.IFNA(VLOOKUP(Ruimtestaat[[#This Row],[Programmacode
Regulier]],Programma!$F$4:$Y$36148,14,0),"_")</f>
        <v>1m</v>
      </c>
      <c r="AW222" s="248" t="str">
        <f>_xlfn.IFNA(VLOOKUP(Ruimtestaat[[#This Row],[Programmacode
Regulier]],Programma!$F$4:$Y$36148,15,0),"_")</f>
        <v>2j</v>
      </c>
      <c r="AX222" s="248" t="str">
        <f>_xlfn.IFNA(VLOOKUP(Ruimtestaat[[#This Row],[Programmacode
Regulier]],Programma!$F$4:$Y$36148,16,0),"_")</f>
        <v>1j</v>
      </c>
      <c r="AY222" s="248" t="str">
        <f>_xlfn.IFNA(VLOOKUP(Ruimtestaat[[#This Row],[Programmacode
Regulier]],Programma!$F$4:$Y$36148,17,0),"_")</f>
        <v>_</v>
      </c>
      <c r="AZ222" s="249" t="str">
        <f>_xlfn.IFNA(VLOOKUP(Ruimtestaat[[#This Row],[Programmacode
Regulier]],Programma!$F$4:$Y$36148,18,0),"_")</f>
        <v>_</v>
      </c>
      <c r="BA222" s="249" t="str">
        <f>_xlfn.IFNA(VLOOKUP(Ruimtestaat[[#This Row],[Programmacode
Regulier]],Programma!$F$4:$Y$36148,19,0),"_")</f>
        <v>_</v>
      </c>
      <c r="BB222" s="249" t="str">
        <f>_xlfn.IFNA(VLOOKUP(Ruimtestaat[[#This Row],[Programmacode
Regulier]],Programma!$F$4:$Y$36148,20,0),"_")</f>
        <v>_</v>
      </c>
      <c r="BC222" s="250"/>
      <c r="BD222" s="212" t="str">
        <f>IF(Ruimtestaat[[#This Row],[Frequentie weekend]]="","",_xlfn.CONCAT(Ruimtestaat[[#This Row],[Ruimte code]],"-",Ruimtestaat[[#This Row],[Frequentie weekend]]," ",Ruimtestaat[[#This Row],[Vloer code]]))</f>
        <v/>
      </c>
      <c r="BE222" s="247" t="str">
        <f>_xlfn.IFNA(VLOOKUP(Ruimtestaat[[#This Row],[Code Weekend]],Programma!$F$4:$Y$36148,2,0),"_")</f>
        <v>_</v>
      </c>
      <c r="BF222" s="247" t="str">
        <f>_xlfn.IFNA(VLOOKUP(Ruimtestaat[[#This Row],[Code Weekend]],Programma!$F$4:$Y$36148,3,0),"_")</f>
        <v>_</v>
      </c>
      <c r="BG222" s="247" t="str">
        <f>_xlfn.IFNA(VLOOKUP(Ruimtestaat[[#This Row],[Code Weekend]],Programma!$F$4:$Y$36148,4,0),"_")</f>
        <v>_</v>
      </c>
      <c r="BH222" s="247" t="str">
        <f>_xlfn.IFNA(VLOOKUP(Ruimtestaat[[#This Row],[Code Weekend]],Programma!$F$4:$Y$36148,5,0),"_")</f>
        <v>_</v>
      </c>
      <c r="BI222" s="247" t="str">
        <f>_xlfn.IFNA(VLOOKUP(Ruimtestaat[[#This Row],[Code Weekend]],Programma!$F$4:$Y$36148,6,0),"_")</f>
        <v>_</v>
      </c>
      <c r="BJ222" s="247" t="str">
        <f>_xlfn.IFNA(VLOOKUP(Ruimtestaat[[#This Row],[Code Weekend]],Programma!$F$4:$Y$36148,7,0),"_")</f>
        <v>_</v>
      </c>
      <c r="BK222" s="247" t="str">
        <f>_xlfn.IFNA(VLOOKUP(Ruimtestaat[[#This Row],[Code Weekend]],Programma!$F$4:$Y$36148,8,0),"_")</f>
        <v>_</v>
      </c>
      <c r="BL222" s="247" t="str">
        <f>_xlfn.IFNA(VLOOKUP(Ruimtestaat[[#This Row],[Code Weekend]],Programma!$F$4:$Y$36148,9,0),"_")</f>
        <v>_</v>
      </c>
      <c r="BM222" s="248" t="str">
        <f>_xlfn.IFNA(VLOOKUP(Ruimtestaat[[#This Row],[Code Weekend]],Programma!$F$4:$Y$36148,10,0),"_")</f>
        <v>_</v>
      </c>
      <c r="BN222" s="248" t="str">
        <f>_xlfn.IFNA(VLOOKUP(Ruimtestaat[[#This Row],[Code Weekend]],Programma!$F$4:$Y$36148,11,0),"_")</f>
        <v>_</v>
      </c>
      <c r="BO222" s="248" t="str">
        <f>_xlfn.IFNA(VLOOKUP(Ruimtestaat[[#This Row],[Code Weekend]],Programma!$F$4:$Y$36148,12,0),"_")</f>
        <v>_</v>
      </c>
      <c r="BP222" s="248" t="str">
        <f>_xlfn.IFNA(VLOOKUP(Ruimtestaat[[#This Row],[Code Weekend]],Programma!$F$4:$Y$36148,13,0),"_")</f>
        <v>_</v>
      </c>
      <c r="BQ222" s="248" t="str">
        <f>_xlfn.IFNA(VLOOKUP(Ruimtestaat[[#This Row],[Code Weekend]],Programma!$F$4:$Y$36148,14,0),"_")</f>
        <v>_</v>
      </c>
      <c r="BR222" s="248" t="str">
        <f>_xlfn.IFNA(VLOOKUP(Ruimtestaat[[#This Row],[Code Weekend]],Programma!$F$4:$Y$36148,15,0),"_")</f>
        <v>_</v>
      </c>
      <c r="BS222" s="248" t="str">
        <f>_xlfn.IFNA(VLOOKUP(Ruimtestaat[[#This Row],[Code Weekend]],Programma!$F$4:$Y$36148,16,0),"_")</f>
        <v>_</v>
      </c>
      <c r="BT222" s="248" t="str">
        <f>_xlfn.IFNA(VLOOKUP(Ruimtestaat[[#This Row],[Code Weekend]],Programma!$F$4:$Y$36148,17,0),"_")</f>
        <v>_</v>
      </c>
      <c r="BU222" s="249" t="str">
        <f>_xlfn.IFNA(VLOOKUP(Ruimtestaat[[#This Row],[Code Weekend]],Programma!$F$4:$Y$36148,18,0),"_")</f>
        <v>_</v>
      </c>
      <c r="BV222" s="249" t="str">
        <f>_xlfn.IFNA(VLOOKUP(Ruimtestaat[[#This Row],[Code Weekend]],Programma!$F$4:$Y$36148,19,0),"_")</f>
        <v>_</v>
      </c>
      <c r="BW222" s="249" t="str">
        <f>_xlfn.IFNA(VLOOKUP(Ruimtestaat[[#This Row],[Code Weekend]],Programma!$F$4:$Y$36148,20,0),"_")</f>
        <v>_</v>
      </c>
    </row>
    <row r="223" spans="1:75" ht="12.75" customHeight="1">
      <c r="A223" s="334">
        <v>1</v>
      </c>
      <c r="B223" s="334" t="str">
        <f>VLOOKUP(Ruimtestaat[[#This Row],[Code]],Locaties[#All],2,FALSE)</f>
        <v>ESH Secondary School</v>
      </c>
      <c r="C223" s="212" t="str">
        <f>VLOOKUP(Ruimtestaat[[#This Row],[Code]],Locaties[#All],4,FALSE)</f>
        <v>Oostduinlaan 50</v>
      </c>
      <c r="D223" s="212" t="str">
        <f>VLOOKUP(Ruimtestaat[[#This Row],[Code]],Locaties[#All],5,FALSE)</f>
        <v>2596 JP</v>
      </c>
      <c r="E223" s="212" t="str">
        <f>VLOOKUP(Ruimtestaat[[#This Row],[Code]],Locaties[#All],6,FALSE)</f>
        <v>Den Haag</v>
      </c>
      <c r="F223" s="335"/>
      <c r="G223" s="334" t="s">
        <v>1757</v>
      </c>
      <c r="H223" s="334" t="s">
        <v>1739</v>
      </c>
      <c r="I223" s="335" t="s">
        <v>1612</v>
      </c>
      <c r="J223" s="328">
        <v>1</v>
      </c>
      <c r="K223" s="336" t="str">
        <f>VLOOKUP(J223,Ruimtegroepen[],2,FALSE)</f>
        <v>Magazijnen/bergingen</v>
      </c>
      <c r="L223" s="212" t="s">
        <v>123</v>
      </c>
      <c r="M223" s="334" t="s">
        <v>144</v>
      </c>
      <c r="N223" s="337">
        <v>14</v>
      </c>
      <c r="O223" s="331"/>
      <c r="P223" s="332" t="str">
        <f>VLOOKUP(Ruimtestaat[[#This Row],[Ruimte code]],Ruimtegroepen[],4,FALSE)</f>
        <v>V  (Verkeersruimte)</v>
      </c>
      <c r="Q223" s="332"/>
      <c r="R223" s="333">
        <v>40</v>
      </c>
      <c r="S223" s="333" t="s">
        <v>16</v>
      </c>
      <c r="T223" s="37"/>
      <c r="U223" s="37">
        <f>IF(R223&gt;0,IF(RIGHT(Ruimtestaat[[#This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223" s="37">
        <f>IF(U223&gt;0,VLOOKUP($J223,Ruimtegroepen[],3,FALSE)*VLOOKUP($L223,Vloersoorten[],3,FALSE)*VLOOKUP($S223,Frequenties[],3,FALSE)*VLOOKUP($A223,Locaties[],3,FALSE),0)</f>
        <v>0</v>
      </c>
      <c r="W223" s="37">
        <f>Ruimtestaat[[#This Row],[Uitvoeringen werkdagen]]*Ruimtestaat[[#This Row],[Oppervlak (netto)]]</f>
        <v>168</v>
      </c>
      <c r="X223" s="37">
        <f>IF(V223&gt;0,Ruimtestaat[[#This Row],[Prest. (m2 /jaar) werkdagen]]/Ruimtestaat[[#This Row],[Norm (m2/uur) werkdagen]],0)</f>
        <v>0</v>
      </c>
      <c r="Y223" s="37">
        <f>Ruimtestaat[[#This Row],[uren / jaar werkdagen]]*Tariefsopbouw!$D$38</f>
        <v>0</v>
      </c>
      <c r="Z223" s="37">
        <f>IF(Ruimtestaat[[#This Row],[Frequentie weekend]]&gt;0,VALUE(LEFT(T223,1))*R223,0)</f>
        <v>0</v>
      </c>
      <c r="AA223" s="37">
        <f>IF($Z223&gt;0,VLOOKUP($J223,Ruimtegroepen[],3,FALSE)*VLOOKUP($L223,Vloersoorten[],3,FALSE)*VLOOKUP($T223,Frequenties[],3,FALSE)*VLOOKUP($A223,Locaties[],3,FALSE),0)</f>
        <v>0</v>
      </c>
      <c r="AB223" s="37">
        <f>Ruimtestaat[[#This Row],[Uitvoeringen weekend]]*Ruimtestaat[[#This Row],[Oppervlak (netto)]]</f>
        <v>0</v>
      </c>
      <c r="AC223" s="37">
        <f>IF(AA223&gt;0,Ruimtestaat[[#This Row],[Prest. (m2 /jaar) weekend]]/Ruimtestaat[[#This Row],[Norm (m2/uur) weekend]],0)</f>
        <v>0</v>
      </c>
      <c r="AD223" s="37">
        <f>Ruimtestaat[[#This Row],[uren / jaar weekend]]*Tariefsopbouw!$D$40</f>
        <v>0</v>
      </c>
      <c r="AE223" s="89">
        <f>Ruimtestaat[[#This Row],[Prest. (m2 /jaar) weekend]]+Ruimtestaat[[#This Row],[Prest. (m2 /jaar) werkdagen]]</f>
        <v>168</v>
      </c>
      <c r="AF223" s="89">
        <f>Ruimtestaat[[#This Row],[uren / jaar weekend]]+Ruimtestaat[[#This Row],[uren / jaar werkdagen]]</f>
        <v>0</v>
      </c>
      <c r="AG223" s="90">
        <f>Ruimtestaat[[#This Row],[kosten / jaar weekend]]+Ruimtestaat[[#This Row],[kosten / jaar werkdagen]]</f>
        <v>0</v>
      </c>
      <c r="AH223" s="253"/>
      <c r="AI223" s="252" t="str">
        <f>IF(Ruimtestaat[[#This Row],[Frequentie werkdagen]]="","",_xlfn.CONCAT(Ruimtestaat[[#This Row],[Ruimte code]],"-",Ruimtestaat[[#This Row],[Frequentie werkdagen]]," ",Ruimtestaat[[#This Row],[Vloer code]]))</f>
        <v>1-1m P</v>
      </c>
      <c r="AJ223" s="247" t="str">
        <f>_xlfn.IFNA(VLOOKUP(Ruimtestaat[[#This Row],[Programmacode
Regulier]],Programma!$F$4:$Y$36148,2,0),"_")</f>
        <v>_</v>
      </c>
      <c r="AK223" s="247" t="str">
        <f>_xlfn.IFNA(VLOOKUP(Ruimtestaat[[#This Row],[Programmacode
Regulier]],Programma!$F$4:$Y$36148,3,0),"_")</f>
        <v>_</v>
      </c>
      <c r="AL223" s="247" t="str">
        <f>_xlfn.IFNA(VLOOKUP(Ruimtestaat[[#This Row],[Programmacode
Regulier]],Programma!$F$4:$Y$36148,4,0),"_")</f>
        <v>1m</v>
      </c>
      <c r="AM223" s="247" t="str">
        <f>_xlfn.IFNA(VLOOKUP(Ruimtestaat[[#This Row],[Programmacode
Regulier]],Programma!$F$4:$Y$36148,5,0),"_")</f>
        <v>1m</v>
      </c>
      <c r="AN223" s="247" t="str">
        <f>_xlfn.IFNA(VLOOKUP(Ruimtestaat[[#This Row],[Programmacode
Regulier]],Programma!$F$4:$Y$36148,6,0),"_")</f>
        <v>_</v>
      </c>
      <c r="AO223" s="247" t="str">
        <f>_xlfn.IFNA(VLOOKUP(Ruimtestaat[[#This Row],[Programmacode
Regulier]],Programma!$F$4:$Y$36148,7,0),"_")</f>
        <v>_</v>
      </c>
      <c r="AP223" s="247" t="str">
        <f>_xlfn.IFNA(VLOOKUP(Ruimtestaat[[#This Row],[Programmacode
Regulier]],Programma!$F$4:$Y$36148,8,0),"_")</f>
        <v>_</v>
      </c>
      <c r="AQ223" s="247" t="str">
        <f>_xlfn.IFNA(VLOOKUP(Ruimtestaat[[#This Row],[Programmacode
Regulier]],Programma!$F$4:$Y$36148,9,0),"_")</f>
        <v>_</v>
      </c>
      <c r="AR223" s="248" t="str">
        <f>_xlfn.IFNA(VLOOKUP(Ruimtestaat[[#This Row],[Programmacode
Regulier]],Programma!$F$4:$Y$36148,10,0),"_")</f>
        <v>_</v>
      </c>
      <c r="AS223" s="248" t="str">
        <f>_xlfn.IFNA(VLOOKUP(Ruimtestaat[[#This Row],[Programmacode
Regulier]],Programma!$F$4:$Y$36148,11,0),"_")</f>
        <v>_</v>
      </c>
      <c r="AT223" s="248" t="str">
        <f>_xlfn.IFNA(VLOOKUP(Ruimtestaat[[#This Row],[Programmacode
Regulier]],Programma!$F$4:$Y$36148,12,0),"_")</f>
        <v>_</v>
      </c>
      <c r="AU223" s="248" t="str">
        <f>_xlfn.IFNA(VLOOKUP(Ruimtestaat[[#This Row],[Programmacode
Regulier]],Programma!$F$4:$Y$36148,13,0),"_")</f>
        <v>_</v>
      </c>
      <c r="AV223" s="248" t="str">
        <f>_xlfn.IFNA(VLOOKUP(Ruimtestaat[[#This Row],[Programmacode
Regulier]],Programma!$F$4:$Y$36148,14,0),"_")</f>
        <v>1j</v>
      </c>
      <c r="AW223" s="248" t="str">
        <f>_xlfn.IFNA(VLOOKUP(Ruimtestaat[[#This Row],[Programmacode
Regulier]],Programma!$F$4:$Y$36148,15,0),"_")</f>
        <v>1j</v>
      </c>
      <c r="AX223" s="248" t="str">
        <f>_xlfn.IFNA(VLOOKUP(Ruimtestaat[[#This Row],[Programmacode
Regulier]],Programma!$F$4:$Y$36148,16,0),"_")</f>
        <v>1j</v>
      </c>
      <c r="AY223" s="248" t="str">
        <f>_xlfn.IFNA(VLOOKUP(Ruimtestaat[[#This Row],[Programmacode
Regulier]],Programma!$F$4:$Y$36148,17,0),"_")</f>
        <v>_</v>
      </c>
      <c r="AZ223" s="249" t="str">
        <f>_xlfn.IFNA(VLOOKUP(Ruimtestaat[[#This Row],[Programmacode
Regulier]],Programma!$F$4:$Y$36148,18,0),"_")</f>
        <v>_</v>
      </c>
      <c r="BA223" s="249" t="str">
        <f>_xlfn.IFNA(VLOOKUP(Ruimtestaat[[#This Row],[Programmacode
Regulier]],Programma!$F$4:$Y$36148,19,0),"_")</f>
        <v>_</v>
      </c>
      <c r="BB223" s="249" t="str">
        <f>_xlfn.IFNA(VLOOKUP(Ruimtestaat[[#This Row],[Programmacode
Regulier]],Programma!$F$4:$Y$36148,20,0),"_")</f>
        <v>_</v>
      </c>
      <c r="BC223" s="250"/>
      <c r="BD223" s="212" t="str">
        <f>IF(Ruimtestaat[[#This Row],[Frequentie weekend]]="","",_xlfn.CONCAT(Ruimtestaat[[#This Row],[Ruimte code]],"-",Ruimtestaat[[#This Row],[Frequentie weekend]]," ",Ruimtestaat[[#This Row],[Vloer code]]))</f>
        <v/>
      </c>
      <c r="BE223" s="247" t="str">
        <f>_xlfn.IFNA(VLOOKUP(Ruimtestaat[[#This Row],[Code Weekend]],Programma!$F$4:$Y$36148,2,0),"_")</f>
        <v>_</v>
      </c>
      <c r="BF223" s="247" t="str">
        <f>_xlfn.IFNA(VLOOKUP(Ruimtestaat[[#This Row],[Code Weekend]],Programma!$F$4:$Y$36148,3,0),"_")</f>
        <v>_</v>
      </c>
      <c r="BG223" s="247" t="str">
        <f>_xlfn.IFNA(VLOOKUP(Ruimtestaat[[#This Row],[Code Weekend]],Programma!$F$4:$Y$36148,4,0),"_")</f>
        <v>_</v>
      </c>
      <c r="BH223" s="247" t="str">
        <f>_xlfn.IFNA(VLOOKUP(Ruimtestaat[[#This Row],[Code Weekend]],Programma!$F$4:$Y$36148,5,0),"_")</f>
        <v>_</v>
      </c>
      <c r="BI223" s="247" t="str">
        <f>_xlfn.IFNA(VLOOKUP(Ruimtestaat[[#This Row],[Code Weekend]],Programma!$F$4:$Y$36148,6,0),"_")</f>
        <v>_</v>
      </c>
      <c r="BJ223" s="247" t="str">
        <f>_xlfn.IFNA(VLOOKUP(Ruimtestaat[[#This Row],[Code Weekend]],Programma!$F$4:$Y$36148,7,0),"_")</f>
        <v>_</v>
      </c>
      <c r="BK223" s="247" t="str">
        <f>_xlfn.IFNA(VLOOKUP(Ruimtestaat[[#This Row],[Code Weekend]],Programma!$F$4:$Y$36148,8,0),"_")</f>
        <v>_</v>
      </c>
      <c r="BL223" s="247" t="str">
        <f>_xlfn.IFNA(VLOOKUP(Ruimtestaat[[#This Row],[Code Weekend]],Programma!$F$4:$Y$36148,9,0),"_")</f>
        <v>_</v>
      </c>
      <c r="BM223" s="248" t="str">
        <f>_xlfn.IFNA(VLOOKUP(Ruimtestaat[[#This Row],[Code Weekend]],Programma!$F$4:$Y$36148,10,0),"_")</f>
        <v>_</v>
      </c>
      <c r="BN223" s="248" t="str">
        <f>_xlfn.IFNA(VLOOKUP(Ruimtestaat[[#This Row],[Code Weekend]],Programma!$F$4:$Y$36148,11,0),"_")</f>
        <v>_</v>
      </c>
      <c r="BO223" s="248" t="str">
        <f>_xlfn.IFNA(VLOOKUP(Ruimtestaat[[#This Row],[Code Weekend]],Programma!$F$4:$Y$36148,12,0),"_")</f>
        <v>_</v>
      </c>
      <c r="BP223" s="248" t="str">
        <f>_xlfn.IFNA(VLOOKUP(Ruimtestaat[[#This Row],[Code Weekend]],Programma!$F$4:$Y$36148,13,0),"_")</f>
        <v>_</v>
      </c>
      <c r="BQ223" s="248" t="str">
        <f>_xlfn.IFNA(VLOOKUP(Ruimtestaat[[#This Row],[Code Weekend]],Programma!$F$4:$Y$36148,14,0),"_")</f>
        <v>_</v>
      </c>
      <c r="BR223" s="248" t="str">
        <f>_xlfn.IFNA(VLOOKUP(Ruimtestaat[[#This Row],[Code Weekend]],Programma!$F$4:$Y$36148,15,0),"_")</f>
        <v>_</v>
      </c>
      <c r="BS223" s="248" t="str">
        <f>_xlfn.IFNA(VLOOKUP(Ruimtestaat[[#This Row],[Code Weekend]],Programma!$F$4:$Y$36148,16,0),"_")</f>
        <v>_</v>
      </c>
      <c r="BT223" s="248" t="str">
        <f>_xlfn.IFNA(VLOOKUP(Ruimtestaat[[#This Row],[Code Weekend]],Programma!$F$4:$Y$36148,17,0),"_")</f>
        <v>_</v>
      </c>
      <c r="BU223" s="249" t="str">
        <f>_xlfn.IFNA(VLOOKUP(Ruimtestaat[[#This Row],[Code Weekend]],Programma!$F$4:$Y$36148,18,0),"_")</f>
        <v>_</v>
      </c>
      <c r="BV223" s="249" t="str">
        <f>_xlfn.IFNA(VLOOKUP(Ruimtestaat[[#This Row],[Code Weekend]],Programma!$F$4:$Y$36148,19,0),"_")</f>
        <v>_</v>
      </c>
      <c r="BW223" s="249" t="str">
        <f>_xlfn.IFNA(VLOOKUP(Ruimtestaat[[#This Row],[Code Weekend]],Programma!$F$4:$Y$36148,20,0),"_")</f>
        <v>_</v>
      </c>
    </row>
    <row r="224" spans="1:75" ht="12.75" customHeight="1">
      <c r="A224" s="334">
        <v>1</v>
      </c>
      <c r="B224" s="334" t="str">
        <f>VLOOKUP(Ruimtestaat[[#This Row],[Code]],Locaties[#All],2,FALSE)</f>
        <v>ESH Secondary School</v>
      </c>
      <c r="C224" s="212" t="str">
        <f>VLOOKUP(Ruimtestaat[[#This Row],[Code]],Locaties[#All],4,FALSE)</f>
        <v>Oostduinlaan 50</v>
      </c>
      <c r="D224" s="212" t="str">
        <f>VLOOKUP(Ruimtestaat[[#This Row],[Code]],Locaties[#All],5,FALSE)</f>
        <v>2596 JP</v>
      </c>
      <c r="E224" s="212" t="str">
        <f>VLOOKUP(Ruimtestaat[[#This Row],[Code]],Locaties[#All],6,FALSE)</f>
        <v>Den Haag</v>
      </c>
      <c r="F224" s="335"/>
      <c r="G224" s="334" t="s">
        <v>1757</v>
      </c>
      <c r="H224" s="334" t="s">
        <v>1740</v>
      </c>
      <c r="I224" s="335" t="s">
        <v>1751</v>
      </c>
      <c r="J224" s="333">
        <v>16</v>
      </c>
      <c r="K224" s="336" t="str">
        <f>VLOOKUP(J224,Ruimtegroepen[],2,FALSE)</f>
        <v>Leslokalen</v>
      </c>
      <c r="L224" s="212" t="s">
        <v>123</v>
      </c>
      <c r="M224" s="334" t="s">
        <v>144</v>
      </c>
      <c r="N224" s="337">
        <v>34</v>
      </c>
      <c r="O224" s="331"/>
      <c r="P224" s="332" t="str">
        <f>VLOOKUP(Ruimtestaat[[#This Row],[Ruimte code]],Ruimtegroepen[],4,FALSE)</f>
        <v>L  (Lesruimte)</v>
      </c>
      <c r="Q224" s="332"/>
      <c r="R224" s="333">
        <v>40</v>
      </c>
      <c r="S224" s="333" t="s">
        <v>2</v>
      </c>
      <c r="T224" s="37"/>
      <c r="U224" s="37">
        <f>IF(R224&gt;0,IF(RIGHT(Ruimtestaat[[#This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24" s="37">
        <f>IF(U224&gt;0,VLOOKUP($J224,Ruimtegroepen[],3,FALSE)*VLOOKUP($L224,Vloersoorten[],3,FALSE)*VLOOKUP($S224,Frequenties[],3,FALSE)*VLOOKUP($A224,Locaties[],3,FALSE),0)</f>
        <v>0</v>
      </c>
      <c r="W224" s="37">
        <f>Ruimtestaat[[#This Row],[Uitvoeringen werkdagen]]*Ruimtestaat[[#This Row],[Oppervlak (netto)]]</f>
        <v>6800</v>
      </c>
      <c r="X224" s="37">
        <f>IF(V224&gt;0,Ruimtestaat[[#This Row],[Prest. (m2 /jaar) werkdagen]]/Ruimtestaat[[#This Row],[Norm (m2/uur) werkdagen]],0)</f>
        <v>0</v>
      </c>
      <c r="Y224" s="37">
        <f>Ruimtestaat[[#This Row],[uren / jaar werkdagen]]*Tariefsopbouw!$D$38</f>
        <v>0</v>
      </c>
      <c r="Z224" s="37">
        <f>IF(Ruimtestaat[[#This Row],[Frequentie weekend]]&gt;0,VALUE(LEFT(T224,1))*R224,0)</f>
        <v>0</v>
      </c>
      <c r="AA224" s="37">
        <f>IF($Z224&gt;0,VLOOKUP($J224,Ruimtegroepen[],3,FALSE)*VLOOKUP($L224,Vloersoorten[],3,FALSE)*VLOOKUP($T224,Frequenties[],3,FALSE)*VLOOKUP($A224,Locaties[],3,FALSE),0)</f>
        <v>0</v>
      </c>
      <c r="AB224" s="37">
        <f>Ruimtestaat[[#This Row],[Uitvoeringen weekend]]*Ruimtestaat[[#This Row],[Oppervlak (netto)]]</f>
        <v>0</v>
      </c>
      <c r="AC224" s="37">
        <f>IF(AA224&gt;0,Ruimtestaat[[#This Row],[Prest. (m2 /jaar) weekend]]/Ruimtestaat[[#This Row],[Norm (m2/uur) weekend]],0)</f>
        <v>0</v>
      </c>
      <c r="AD224" s="37">
        <f>Ruimtestaat[[#This Row],[uren / jaar weekend]]*Tariefsopbouw!$D$40</f>
        <v>0</v>
      </c>
      <c r="AE224" s="89">
        <f>Ruimtestaat[[#This Row],[Prest. (m2 /jaar) weekend]]+Ruimtestaat[[#This Row],[Prest. (m2 /jaar) werkdagen]]</f>
        <v>6800</v>
      </c>
      <c r="AF224" s="89">
        <f>Ruimtestaat[[#This Row],[uren / jaar weekend]]+Ruimtestaat[[#This Row],[uren / jaar werkdagen]]</f>
        <v>0</v>
      </c>
      <c r="AG224" s="90">
        <f>Ruimtestaat[[#This Row],[kosten / jaar weekend]]+Ruimtestaat[[#This Row],[kosten / jaar werkdagen]]</f>
        <v>0</v>
      </c>
      <c r="AH224" s="253"/>
      <c r="AI224" s="252" t="str">
        <f>IF(Ruimtestaat[[#This Row],[Frequentie werkdagen]]="","",_xlfn.CONCAT(Ruimtestaat[[#This Row],[Ruimte code]],"-",Ruimtestaat[[#This Row],[Frequentie werkdagen]]," ",Ruimtestaat[[#This Row],[Vloer code]]))</f>
        <v>16-5w P</v>
      </c>
      <c r="AJ224" s="247" t="str">
        <f>_xlfn.IFNA(VLOOKUP(Ruimtestaat[[#This Row],[Programmacode
Regulier]],Programma!$F$4:$Y$36148,2,0),"_")</f>
        <v>_</v>
      </c>
      <c r="AK224" s="247" t="str">
        <f>_xlfn.IFNA(VLOOKUP(Ruimtestaat[[#This Row],[Programmacode
Regulier]],Programma!$F$4:$Y$36148,3,0),"_")</f>
        <v>_</v>
      </c>
      <c r="AL224" s="247" t="str">
        <f>_xlfn.IFNA(VLOOKUP(Ruimtestaat[[#This Row],[Programmacode
Regulier]],Programma!$F$4:$Y$36148,4,0),"_")</f>
        <v>5w</v>
      </c>
      <c r="AM224" s="247" t="str">
        <f>_xlfn.IFNA(VLOOKUP(Ruimtestaat[[#This Row],[Programmacode
Regulier]],Programma!$F$4:$Y$36148,5,0),"_")</f>
        <v>1w</v>
      </c>
      <c r="AN224" s="247" t="str">
        <f>_xlfn.IFNA(VLOOKUP(Ruimtestaat[[#This Row],[Programmacode
Regulier]],Programma!$F$4:$Y$36148,6,0),"_")</f>
        <v>1m</v>
      </c>
      <c r="AO224" s="247" t="str">
        <f>_xlfn.IFNA(VLOOKUP(Ruimtestaat[[#This Row],[Programmacode
Regulier]],Programma!$F$4:$Y$36148,7,0),"_")</f>
        <v>_</v>
      </c>
      <c r="AP224" s="247" t="str">
        <f>_xlfn.IFNA(VLOOKUP(Ruimtestaat[[#This Row],[Programmacode
Regulier]],Programma!$F$4:$Y$36148,8,0),"_")</f>
        <v>_</v>
      </c>
      <c r="AQ224" s="247" t="str">
        <f>_xlfn.IFNA(VLOOKUP(Ruimtestaat[[#This Row],[Programmacode
Regulier]],Programma!$F$4:$Y$36148,9,0),"_")</f>
        <v>_</v>
      </c>
      <c r="AR224" s="248" t="str">
        <f>_xlfn.IFNA(VLOOKUP(Ruimtestaat[[#This Row],[Programmacode
Regulier]],Programma!$F$4:$Y$36148,10,0),"_")</f>
        <v>5w</v>
      </c>
      <c r="AS224" s="248" t="str">
        <f>_xlfn.IFNA(VLOOKUP(Ruimtestaat[[#This Row],[Programmacode
Regulier]],Programma!$F$4:$Y$36148,11,0),"_")</f>
        <v>5w</v>
      </c>
      <c r="AT224" s="248" t="str">
        <f>_xlfn.IFNA(VLOOKUP(Ruimtestaat[[#This Row],[Programmacode
Regulier]],Programma!$F$4:$Y$36148,12,0),"_")</f>
        <v>1w</v>
      </c>
      <c r="AU224" s="248" t="str">
        <f>_xlfn.IFNA(VLOOKUP(Ruimtestaat[[#This Row],[Programmacode
Regulier]],Programma!$F$4:$Y$36148,13,0),"_")</f>
        <v>1w</v>
      </c>
      <c r="AV224" s="248" t="str">
        <f>_xlfn.IFNA(VLOOKUP(Ruimtestaat[[#This Row],[Programmacode
Regulier]],Programma!$F$4:$Y$36148,14,0),"_")</f>
        <v>1m</v>
      </c>
      <c r="AW224" s="248" t="str">
        <f>_xlfn.IFNA(VLOOKUP(Ruimtestaat[[#This Row],[Programmacode
Regulier]],Programma!$F$4:$Y$36148,15,0),"_")</f>
        <v>2j</v>
      </c>
      <c r="AX224" s="248" t="str">
        <f>_xlfn.IFNA(VLOOKUP(Ruimtestaat[[#This Row],[Programmacode
Regulier]],Programma!$F$4:$Y$36148,16,0),"_")</f>
        <v>1j</v>
      </c>
      <c r="AY224" s="248" t="str">
        <f>_xlfn.IFNA(VLOOKUP(Ruimtestaat[[#This Row],[Programmacode
Regulier]],Programma!$F$4:$Y$36148,17,0),"_")</f>
        <v>_</v>
      </c>
      <c r="AZ224" s="249" t="str">
        <f>_xlfn.IFNA(VLOOKUP(Ruimtestaat[[#This Row],[Programmacode
Regulier]],Programma!$F$4:$Y$36148,18,0),"_")</f>
        <v>_</v>
      </c>
      <c r="BA224" s="249" t="str">
        <f>_xlfn.IFNA(VLOOKUP(Ruimtestaat[[#This Row],[Programmacode
Regulier]],Programma!$F$4:$Y$36148,19,0),"_")</f>
        <v>_</v>
      </c>
      <c r="BB224" s="249" t="str">
        <f>_xlfn.IFNA(VLOOKUP(Ruimtestaat[[#This Row],[Programmacode
Regulier]],Programma!$F$4:$Y$36148,20,0),"_")</f>
        <v>_</v>
      </c>
      <c r="BC224" s="250"/>
      <c r="BD224" s="212" t="str">
        <f>IF(Ruimtestaat[[#This Row],[Frequentie weekend]]="","",_xlfn.CONCAT(Ruimtestaat[[#This Row],[Ruimte code]],"-",Ruimtestaat[[#This Row],[Frequentie weekend]]," ",Ruimtestaat[[#This Row],[Vloer code]]))</f>
        <v/>
      </c>
      <c r="BE224" s="247" t="str">
        <f>_xlfn.IFNA(VLOOKUP(Ruimtestaat[[#This Row],[Code Weekend]],Programma!$F$4:$Y$36148,2,0),"_")</f>
        <v>_</v>
      </c>
      <c r="BF224" s="247" t="str">
        <f>_xlfn.IFNA(VLOOKUP(Ruimtestaat[[#This Row],[Code Weekend]],Programma!$F$4:$Y$36148,3,0),"_")</f>
        <v>_</v>
      </c>
      <c r="BG224" s="247" t="str">
        <f>_xlfn.IFNA(VLOOKUP(Ruimtestaat[[#This Row],[Code Weekend]],Programma!$F$4:$Y$36148,4,0),"_")</f>
        <v>_</v>
      </c>
      <c r="BH224" s="247" t="str">
        <f>_xlfn.IFNA(VLOOKUP(Ruimtestaat[[#This Row],[Code Weekend]],Programma!$F$4:$Y$36148,5,0),"_")</f>
        <v>_</v>
      </c>
      <c r="BI224" s="247" t="str">
        <f>_xlfn.IFNA(VLOOKUP(Ruimtestaat[[#This Row],[Code Weekend]],Programma!$F$4:$Y$36148,6,0),"_")</f>
        <v>_</v>
      </c>
      <c r="BJ224" s="247" t="str">
        <f>_xlfn.IFNA(VLOOKUP(Ruimtestaat[[#This Row],[Code Weekend]],Programma!$F$4:$Y$36148,7,0),"_")</f>
        <v>_</v>
      </c>
      <c r="BK224" s="247" t="str">
        <f>_xlfn.IFNA(VLOOKUP(Ruimtestaat[[#This Row],[Code Weekend]],Programma!$F$4:$Y$36148,8,0),"_")</f>
        <v>_</v>
      </c>
      <c r="BL224" s="247" t="str">
        <f>_xlfn.IFNA(VLOOKUP(Ruimtestaat[[#This Row],[Code Weekend]],Programma!$F$4:$Y$36148,9,0),"_")</f>
        <v>_</v>
      </c>
      <c r="BM224" s="248" t="str">
        <f>_xlfn.IFNA(VLOOKUP(Ruimtestaat[[#This Row],[Code Weekend]],Programma!$F$4:$Y$36148,10,0),"_")</f>
        <v>_</v>
      </c>
      <c r="BN224" s="248" t="str">
        <f>_xlfn.IFNA(VLOOKUP(Ruimtestaat[[#This Row],[Code Weekend]],Programma!$F$4:$Y$36148,11,0),"_")</f>
        <v>_</v>
      </c>
      <c r="BO224" s="248" t="str">
        <f>_xlfn.IFNA(VLOOKUP(Ruimtestaat[[#This Row],[Code Weekend]],Programma!$F$4:$Y$36148,12,0),"_")</f>
        <v>_</v>
      </c>
      <c r="BP224" s="248" t="str">
        <f>_xlfn.IFNA(VLOOKUP(Ruimtestaat[[#This Row],[Code Weekend]],Programma!$F$4:$Y$36148,13,0),"_")</f>
        <v>_</v>
      </c>
      <c r="BQ224" s="248" t="str">
        <f>_xlfn.IFNA(VLOOKUP(Ruimtestaat[[#This Row],[Code Weekend]],Programma!$F$4:$Y$36148,14,0),"_")</f>
        <v>_</v>
      </c>
      <c r="BR224" s="248" t="str">
        <f>_xlfn.IFNA(VLOOKUP(Ruimtestaat[[#This Row],[Code Weekend]],Programma!$F$4:$Y$36148,15,0),"_")</f>
        <v>_</v>
      </c>
      <c r="BS224" s="248" t="str">
        <f>_xlfn.IFNA(VLOOKUP(Ruimtestaat[[#This Row],[Code Weekend]],Programma!$F$4:$Y$36148,16,0),"_")</f>
        <v>_</v>
      </c>
      <c r="BT224" s="248" t="str">
        <f>_xlfn.IFNA(VLOOKUP(Ruimtestaat[[#This Row],[Code Weekend]],Programma!$F$4:$Y$36148,17,0),"_")</f>
        <v>_</v>
      </c>
      <c r="BU224" s="249" t="str">
        <f>_xlfn.IFNA(VLOOKUP(Ruimtestaat[[#This Row],[Code Weekend]],Programma!$F$4:$Y$36148,18,0),"_")</f>
        <v>_</v>
      </c>
      <c r="BV224" s="249" t="str">
        <f>_xlfn.IFNA(VLOOKUP(Ruimtestaat[[#This Row],[Code Weekend]],Programma!$F$4:$Y$36148,19,0),"_")</f>
        <v>_</v>
      </c>
      <c r="BW224" s="249" t="str">
        <f>_xlfn.IFNA(VLOOKUP(Ruimtestaat[[#This Row],[Code Weekend]],Programma!$F$4:$Y$36148,20,0),"_")</f>
        <v>_</v>
      </c>
    </row>
    <row r="225" spans="1:75" ht="12.75" customHeight="1">
      <c r="A225" s="334">
        <v>1</v>
      </c>
      <c r="B225" s="334" t="str">
        <f>VLOOKUP(Ruimtestaat[[#This Row],[Code]],Locaties[#All],2,FALSE)</f>
        <v>ESH Secondary School</v>
      </c>
      <c r="C225" s="212" t="str">
        <f>VLOOKUP(Ruimtestaat[[#This Row],[Code]],Locaties[#All],4,FALSE)</f>
        <v>Oostduinlaan 50</v>
      </c>
      <c r="D225" s="212" t="str">
        <f>VLOOKUP(Ruimtestaat[[#This Row],[Code]],Locaties[#All],5,FALSE)</f>
        <v>2596 JP</v>
      </c>
      <c r="E225" s="212" t="str">
        <f>VLOOKUP(Ruimtestaat[[#This Row],[Code]],Locaties[#All],6,FALSE)</f>
        <v>Den Haag</v>
      </c>
      <c r="F225" s="335"/>
      <c r="G225" s="334" t="s">
        <v>1757</v>
      </c>
      <c r="H225" s="334" t="s">
        <v>1741</v>
      </c>
      <c r="I225" s="335" t="s">
        <v>1752</v>
      </c>
      <c r="J225" s="333">
        <v>16</v>
      </c>
      <c r="K225" s="336" t="str">
        <f>VLOOKUP(J225,Ruimtegroepen[],2,FALSE)</f>
        <v>Leslokalen</v>
      </c>
      <c r="L225" s="212" t="s">
        <v>123</v>
      </c>
      <c r="M225" s="334" t="s">
        <v>144</v>
      </c>
      <c r="N225" s="337">
        <v>34</v>
      </c>
      <c r="O225" s="331"/>
      <c r="P225" s="332" t="str">
        <f>VLOOKUP(Ruimtestaat[[#This Row],[Ruimte code]],Ruimtegroepen[],4,FALSE)</f>
        <v>L  (Lesruimte)</v>
      </c>
      <c r="Q225" s="332"/>
      <c r="R225" s="333">
        <v>40</v>
      </c>
      <c r="S225" s="333" t="s">
        <v>2</v>
      </c>
      <c r="T225" s="37"/>
      <c r="U225" s="37">
        <f>IF(R225&gt;0,IF(RIGHT(Ruimtestaat[[#This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25" s="37">
        <f>IF(U225&gt;0,VLOOKUP($J225,Ruimtegroepen[],3,FALSE)*VLOOKUP($L225,Vloersoorten[],3,FALSE)*VLOOKUP($S225,Frequenties[],3,FALSE)*VLOOKUP($A225,Locaties[],3,FALSE),0)</f>
        <v>0</v>
      </c>
      <c r="W225" s="37">
        <f>Ruimtestaat[[#This Row],[Uitvoeringen werkdagen]]*Ruimtestaat[[#This Row],[Oppervlak (netto)]]</f>
        <v>6800</v>
      </c>
      <c r="X225" s="37">
        <f>IF(V225&gt;0,Ruimtestaat[[#This Row],[Prest. (m2 /jaar) werkdagen]]/Ruimtestaat[[#This Row],[Norm (m2/uur) werkdagen]],0)</f>
        <v>0</v>
      </c>
      <c r="Y225" s="37">
        <f>Ruimtestaat[[#This Row],[uren / jaar werkdagen]]*Tariefsopbouw!$D$38</f>
        <v>0</v>
      </c>
      <c r="Z225" s="37">
        <f>IF(Ruimtestaat[[#This Row],[Frequentie weekend]]&gt;0,VALUE(LEFT(T225,1))*R225,0)</f>
        <v>0</v>
      </c>
      <c r="AA225" s="37">
        <f>IF($Z225&gt;0,VLOOKUP($J225,Ruimtegroepen[],3,FALSE)*VLOOKUP($L225,Vloersoorten[],3,FALSE)*VLOOKUP($T225,Frequenties[],3,FALSE)*VLOOKUP($A225,Locaties[],3,FALSE),0)</f>
        <v>0</v>
      </c>
      <c r="AB225" s="37">
        <f>Ruimtestaat[[#This Row],[Uitvoeringen weekend]]*Ruimtestaat[[#This Row],[Oppervlak (netto)]]</f>
        <v>0</v>
      </c>
      <c r="AC225" s="37">
        <f>IF(AA225&gt;0,Ruimtestaat[[#This Row],[Prest. (m2 /jaar) weekend]]/Ruimtestaat[[#This Row],[Norm (m2/uur) weekend]],0)</f>
        <v>0</v>
      </c>
      <c r="AD225" s="37">
        <f>Ruimtestaat[[#This Row],[uren / jaar weekend]]*Tariefsopbouw!$D$40</f>
        <v>0</v>
      </c>
      <c r="AE225" s="89">
        <f>Ruimtestaat[[#This Row],[Prest. (m2 /jaar) weekend]]+Ruimtestaat[[#This Row],[Prest. (m2 /jaar) werkdagen]]</f>
        <v>6800</v>
      </c>
      <c r="AF225" s="89">
        <f>Ruimtestaat[[#This Row],[uren / jaar weekend]]+Ruimtestaat[[#This Row],[uren / jaar werkdagen]]</f>
        <v>0</v>
      </c>
      <c r="AG225" s="90">
        <f>Ruimtestaat[[#This Row],[kosten / jaar weekend]]+Ruimtestaat[[#This Row],[kosten / jaar werkdagen]]</f>
        <v>0</v>
      </c>
      <c r="AH225" s="253"/>
      <c r="AI225" s="252" t="str">
        <f>IF(Ruimtestaat[[#This Row],[Frequentie werkdagen]]="","",_xlfn.CONCAT(Ruimtestaat[[#This Row],[Ruimte code]],"-",Ruimtestaat[[#This Row],[Frequentie werkdagen]]," ",Ruimtestaat[[#This Row],[Vloer code]]))</f>
        <v>16-5w P</v>
      </c>
      <c r="AJ225" s="247" t="str">
        <f>_xlfn.IFNA(VLOOKUP(Ruimtestaat[[#This Row],[Programmacode
Regulier]],Programma!$F$4:$Y$36148,2,0),"_")</f>
        <v>_</v>
      </c>
      <c r="AK225" s="247" t="str">
        <f>_xlfn.IFNA(VLOOKUP(Ruimtestaat[[#This Row],[Programmacode
Regulier]],Programma!$F$4:$Y$36148,3,0),"_")</f>
        <v>_</v>
      </c>
      <c r="AL225" s="247" t="str">
        <f>_xlfn.IFNA(VLOOKUP(Ruimtestaat[[#This Row],[Programmacode
Regulier]],Programma!$F$4:$Y$36148,4,0),"_")</f>
        <v>5w</v>
      </c>
      <c r="AM225" s="247" t="str">
        <f>_xlfn.IFNA(VLOOKUP(Ruimtestaat[[#This Row],[Programmacode
Regulier]],Programma!$F$4:$Y$36148,5,0),"_")</f>
        <v>1w</v>
      </c>
      <c r="AN225" s="247" t="str">
        <f>_xlfn.IFNA(VLOOKUP(Ruimtestaat[[#This Row],[Programmacode
Regulier]],Programma!$F$4:$Y$36148,6,0),"_")</f>
        <v>1m</v>
      </c>
      <c r="AO225" s="247" t="str">
        <f>_xlfn.IFNA(VLOOKUP(Ruimtestaat[[#This Row],[Programmacode
Regulier]],Programma!$F$4:$Y$36148,7,0),"_")</f>
        <v>_</v>
      </c>
      <c r="AP225" s="247" t="str">
        <f>_xlfn.IFNA(VLOOKUP(Ruimtestaat[[#This Row],[Programmacode
Regulier]],Programma!$F$4:$Y$36148,8,0),"_")</f>
        <v>_</v>
      </c>
      <c r="AQ225" s="247" t="str">
        <f>_xlfn.IFNA(VLOOKUP(Ruimtestaat[[#This Row],[Programmacode
Regulier]],Programma!$F$4:$Y$36148,9,0),"_")</f>
        <v>_</v>
      </c>
      <c r="AR225" s="248" t="str">
        <f>_xlfn.IFNA(VLOOKUP(Ruimtestaat[[#This Row],[Programmacode
Regulier]],Programma!$F$4:$Y$36148,10,0),"_")</f>
        <v>5w</v>
      </c>
      <c r="AS225" s="248" t="str">
        <f>_xlfn.IFNA(VLOOKUP(Ruimtestaat[[#This Row],[Programmacode
Regulier]],Programma!$F$4:$Y$36148,11,0),"_")</f>
        <v>5w</v>
      </c>
      <c r="AT225" s="248" t="str">
        <f>_xlfn.IFNA(VLOOKUP(Ruimtestaat[[#This Row],[Programmacode
Regulier]],Programma!$F$4:$Y$36148,12,0),"_")</f>
        <v>1w</v>
      </c>
      <c r="AU225" s="248" t="str">
        <f>_xlfn.IFNA(VLOOKUP(Ruimtestaat[[#This Row],[Programmacode
Regulier]],Programma!$F$4:$Y$36148,13,0),"_")</f>
        <v>1w</v>
      </c>
      <c r="AV225" s="248" t="str">
        <f>_xlfn.IFNA(VLOOKUP(Ruimtestaat[[#This Row],[Programmacode
Regulier]],Programma!$F$4:$Y$36148,14,0),"_")</f>
        <v>1m</v>
      </c>
      <c r="AW225" s="248" t="str">
        <f>_xlfn.IFNA(VLOOKUP(Ruimtestaat[[#This Row],[Programmacode
Regulier]],Programma!$F$4:$Y$36148,15,0),"_")</f>
        <v>2j</v>
      </c>
      <c r="AX225" s="248" t="str">
        <f>_xlfn.IFNA(VLOOKUP(Ruimtestaat[[#This Row],[Programmacode
Regulier]],Programma!$F$4:$Y$36148,16,0),"_")</f>
        <v>1j</v>
      </c>
      <c r="AY225" s="248" t="str">
        <f>_xlfn.IFNA(VLOOKUP(Ruimtestaat[[#This Row],[Programmacode
Regulier]],Programma!$F$4:$Y$36148,17,0),"_")</f>
        <v>_</v>
      </c>
      <c r="AZ225" s="249" t="str">
        <f>_xlfn.IFNA(VLOOKUP(Ruimtestaat[[#This Row],[Programmacode
Regulier]],Programma!$F$4:$Y$36148,18,0),"_")</f>
        <v>_</v>
      </c>
      <c r="BA225" s="249" t="str">
        <f>_xlfn.IFNA(VLOOKUP(Ruimtestaat[[#This Row],[Programmacode
Regulier]],Programma!$F$4:$Y$36148,19,0),"_")</f>
        <v>_</v>
      </c>
      <c r="BB225" s="249" t="str">
        <f>_xlfn.IFNA(VLOOKUP(Ruimtestaat[[#This Row],[Programmacode
Regulier]],Programma!$F$4:$Y$36148,20,0),"_")</f>
        <v>_</v>
      </c>
      <c r="BC225" s="250"/>
      <c r="BD225" s="212" t="str">
        <f>IF(Ruimtestaat[[#This Row],[Frequentie weekend]]="","",_xlfn.CONCAT(Ruimtestaat[[#This Row],[Ruimte code]],"-",Ruimtestaat[[#This Row],[Frequentie weekend]]," ",Ruimtestaat[[#This Row],[Vloer code]]))</f>
        <v/>
      </c>
      <c r="BE225" s="247" t="str">
        <f>_xlfn.IFNA(VLOOKUP(Ruimtestaat[[#This Row],[Code Weekend]],Programma!$F$4:$Y$36148,2,0),"_")</f>
        <v>_</v>
      </c>
      <c r="BF225" s="247" t="str">
        <f>_xlfn.IFNA(VLOOKUP(Ruimtestaat[[#This Row],[Code Weekend]],Programma!$F$4:$Y$36148,3,0),"_")</f>
        <v>_</v>
      </c>
      <c r="BG225" s="247" t="str">
        <f>_xlfn.IFNA(VLOOKUP(Ruimtestaat[[#This Row],[Code Weekend]],Programma!$F$4:$Y$36148,4,0),"_")</f>
        <v>_</v>
      </c>
      <c r="BH225" s="247" t="str">
        <f>_xlfn.IFNA(VLOOKUP(Ruimtestaat[[#This Row],[Code Weekend]],Programma!$F$4:$Y$36148,5,0),"_")</f>
        <v>_</v>
      </c>
      <c r="BI225" s="247" t="str">
        <f>_xlfn.IFNA(VLOOKUP(Ruimtestaat[[#This Row],[Code Weekend]],Programma!$F$4:$Y$36148,6,0),"_")</f>
        <v>_</v>
      </c>
      <c r="BJ225" s="247" t="str">
        <f>_xlfn.IFNA(VLOOKUP(Ruimtestaat[[#This Row],[Code Weekend]],Programma!$F$4:$Y$36148,7,0),"_")</f>
        <v>_</v>
      </c>
      <c r="BK225" s="247" t="str">
        <f>_xlfn.IFNA(VLOOKUP(Ruimtestaat[[#This Row],[Code Weekend]],Programma!$F$4:$Y$36148,8,0),"_")</f>
        <v>_</v>
      </c>
      <c r="BL225" s="247" t="str">
        <f>_xlfn.IFNA(VLOOKUP(Ruimtestaat[[#This Row],[Code Weekend]],Programma!$F$4:$Y$36148,9,0),"_")</f>
        <v>_</v>
      </c>
      <c r="BM225" s="248" t="str">
        <f>_xlfn.IFNA(VLOOKUP(Ruimtestaat[[#This Row],[Code Weekend]],Programma!$F$4:$Y$36148,10,0),"_")</f>
        <v>_</v>
      </c>
      <c r="BN225" s="248" t="str">
        <f>_xlfn.IFNA(VLOOKUP(Ruimtestaat[[#This Row],[Code Weekend]],Programma!$F$4:$Y$36148,11,0),"_")</f>
        <v>_</v>
      </c>
      <c r="BO225" s="248" t="str">
        <f>_xlfn.IFNA(VLOOKUP(Ruimtestaat[[#This Row],[Code Weekend]],Programma!$F$4:$Y$36148,12,0),"_")</f>
        <v>_</v>
      </c>
      <c r="BP225" s="248" t="str">
        <f>_xlfn.IFNA(VLOOKUP(Ruimtestaat[[#This Row],[Code Weekend]],Programma!$F$4:$Y$36148,13,0),"_")</f>
        <v>_</v>
      </c>
      <c r="BQ225" s="248" t="str">
        <f>_xlfn.IFNA(VLOOKUP(Ruimtestaat[[#This Row],[Code Weekend]],Programma!$F$4:$Y$36148,14,0),"_")</f>
        <v>_</v>
      </c>
      <c r="BR225" s="248" t="str">
        <f>_xlfn.IFNA(VLOOKUP(Ruimtestaat[[#This Row],[Code Weekend]],Programma!$F$4:$Y$36148,15,0),"_")</f>
        <v>_</v>
      </c>
      <c r="BS225" s="248" t="str">
        <f>_xlfn.IFNA(VLOOKUP(Ruimtestaat[[#This Row],[Code Weekend]],Programma!$F$4:$Y$36148,16,0),"_")</f>
        <v>_</v>
      </c>
      <c r="BT225" s="248" t="str">
        <f>_xlfn.IFNA(VLOOKUP(Ruimtestaat[[#This Row],[Code Weekend]],Programma!$F$4:$Y$36148,17,0),"_")</f>
        <v>_</v>
      </c>
      <c r="BU225" s="249" t="str">
        <f>_xlfn.IFNA(VLOOKUP(Ruimtestaat[[#This Row],[Code Weekend]],Programma!$F$4:$Y$36148,18,0),"_")</f>
        <v>_</v>
      </c>
      <c r="BV225" s="249" t="str">
        <f>_xlfn.IFNA(VLOOKUP(Ruimtestaat[[#This Row],[Code Weekend]],Programma!$F$4:$Y$36148,19,0),"_")</f>
        <v>_</v>
      </c>
      <c r="BW225" s="249" t="str">
        <f>_xlfn.IFNA(VLOOKUP(Ruimtestaat[[#This Row],[Code Weekend]],Programma!$F$4:$Y$36148,20,0),"_")</f>
        <v>_</v>
      </c>
    </row>
    <row r="226" spans="1:75" ht="12.75" customHeight="1">
      <c r="A226" s="334">
        <v>1</v>
      </c>
      <c r="B226" s="334" t="str">
        <f>VLOOKUP(Ruimtestaat[[#This Row],[Code]],Locaties[#All],2,FALSE)</f>
        <v>ESH Secondary School</v>
      </c>
      <c r="C226" s="212" t="str">
        <f>VLOOKUP(Ruimtestaat[[#This Row],[Code]],Locaties[#All],4,FALSE)</f>
        <v>Oostduinlaan 50</v>
      </c>
      <c r="D226" s="212" t="str">
        <f>VLOOKUP(Ruimtestaat[[#This Row],[Code]],Locaties[#All],5,FALSE)</f>
        <v>2596 JP</v>
      </c>
      <c r="E226" s="212" t="str">
        <f>VLOOKUP(Ruimtestaat[[#This Row],[Code]],Locaties[#All],6,FALSE)</f>
        <v>Den Haag</v>
      </c>
      <c r="F226" s="335"/>
      <c r="G226" s="334" t="s">
        <v>1757</v>
      </c>
      <c r="H226" s="334" t="s">
        <v>1742</v>
      </c>
      <c r="I226" s="335" t="s">
        <v>1753</v>
      </c>
      <c r="J226" s="333">
        <v>16</v>
      </c>
      <c r="K226" s="336" t="str">
        <f>VLOOKUP(J226,Ruimtegroepen[],2,FALSE)</f>
        <v>Leslokalen</v>
      </c>
      <c r="L226" s="212" t="s">
        <v>123</v>
      </c>
      <c r="M226" s="334" t="s">
        <v>144</v>
      </c>
      <c r="N226" s="337">
        <v>34</v>
      </c>
      <c r="O226" s="331"/>
      <c r="P226" s="332" t="str">
        <f>VLOOKUP(Ruimtestaat[[#This Row],[Ruimte code]],Ruimtegroepen[],4,FALSE)</f>
        <v>L  (Lesruimte)</v>
      </c>
      <c r="Q226" s="332"/>
      <c r="R226" s="333">
        <v>40</v>
      </c>
      <c r="S226" s="333" t="s">
        <v>2</v>
      </c>
      <c r="T226" s="37"/>
      <c r="U226" s="37">
        <f>IF(R226&gt;0,IF(RIGHT(Ruimtestaat[[#This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26" s="37">
        <f>IF(U226&gt;0,VLOOKUP($J226,Ruimtegroepen[],3,FALSE)*VLOOKUP($L226,Vloersoorten[],3,FALSE)*VLOOKUP($S226,Frequenties[],3,FALSE)*VLOOKUP($A226,Locaties[],3,FALSE),0)</f>
        <v>0</v>
      </c>
      <c r="W226" s="37">
        <f>Ruimtestaat[[#This Row],[Uitvoeringen werkdagen]]*Ruimtestaat[[#This Row],[Oppervlak (netto)]]</f>
        <v>6800</v>
      </c>
      <c r="X226" s="37">
        <f>IF(V226&gt;0,Ruimtestaat[[#This Row],[Prest. (m2 /jaar) werkdagen]]/Ruimtestaat[[#This Row],[Norm (m2/uur) werkdagen]],0)</f>
        <v>0</v>
      </c>
      <c r="Y226" s="37">
        <f>Ruimtestaat[[#This Row],[uren / jaar werkdagen]]*Tariefsopbouw!$D$38</f>
        <v>0</v>
      </c>
      <c r="Z226" s="37">
        <f>IF(Ruimtestaat[[#This Row],[Frequentie weekend]]&gt;0,VALUE(LEFT(T226,1))*R226,0)</f>
        <v>0</v>
      </c>
      <c r="AA226" s="37">
        <f>IF($Z226&gt;0,VLOOKUP($J226,Ruimtegroepen[],3,FALSE)*VLOOKUP($L226,Vloersoorten[],3,FALSE)*VLOOKUP($T226,Frequenties[],3,FALSE)*VLOOKUP($A226,Locaties[],3,FALSE),0)</f>
        <v>0</v>
      </c>
      <c r="AB226" s="37">
        <f>Ruimtestaat[[#This Row],[Uitvoeringen weekend]]*Ruimtestaat[[#This Row],[Oppervlak (netto)]]</f>
        <v>0</v>
      </c>
      <c r="AC226" s="37">
        <f>IF(AA226&gt;0,Ruimtestaat[[#This Row],[Prest. (m2 /jaar) weekend]]/Ruimtestaat[[#This Row],[Norm (m2/uur) weekend]],0)</f>
        <v>0</v>
      </c>
      <c r="AD226" s="37">
        <f>Ruimtestaat[[#This Row],[uren / jaar weekend]]*Tariefsopbouw!$D$40</f>
        <v>0</v>
      </c>
      <c r="AE226" s="89">
        <f>Ruimtestaat[[#This Row],[Prest. (m2 /jaar) weekend]]+Ruimtestaat[[#This Row],[Prest. (m2 /jaar) werkdagen]]</f>
        <v>6800</v>
      </c>
      <c r="AF226" s="89">
        <f>Ruimtestaat[[#This Row],[uren / jaar weekend]]+Ruimtestaat[[#This Row],[uren / jaar werkdagen]]</f>
        <v>0</v>
      </c>
      <c r="AG226" s="90">
        <f>Ruimtestaat[[#This Row],[kosten / jaar weekend]]+Ruimtestaat[[#This Row],[kosten / jaar werkdagen]]</f>
        <v>0</v>
      </c>
      <c r="AH226" s="253"/>
      <c r="AI226" s="252" t="str">
        <f>IF(Ruimtestaat[[#This Row],[Frequentie werkdagen]]="","",_xlfn.CONCAT(Ruimtestaat[[#This Row],[Ruimte code]],"-",Ruimtestaat[[#This Row],[Frequentie werkdagen]]," ",Ruimtestaat[[#This Row],[Vloer code]]))</f>
        <v>16-5w P</v>
      </c>
      <c r="AJ226" s="247" t="str">
        <f>_xlfn.IFNA(VLOOKUP(Ruimtestaat[[#This Row],[Programmacode
Regulier]],Programma!$F$4:$Y$36148,2,0),"_")</f>
        <v>_</v>
      </c>
      <c r="AK226" s="247" t="str">
        <f>_xlfn.IFNA(VLOOKUP(Ruimtestaat[[#This Row],[Programmacode
Regulier]],Programma!$F$4:$Y$36148,3,0),"_")</f>
        <v>_</v>
      </c>
      <c r="AL226" s="247" t="str">
        <f>_xlfn.IFNA(VLOOKUP(Ruimtestaat[[#This Row],[Programmacode
Regulier]],Programma!$F$4:$Y$36148,4,0),"_")</f>
        <v>5w</v>
      </c>
      <c r="AM226" s="247" t="str">
        <f>_xlfn.IFNA(VLOOKUP(Ruimtestaat[[#This Row],[Programmacode
Regulier]],Programma!$F$4:$Y$36148,5,0),"_")</f>
        <v>1w</v>
      </c>
      <c r="AN226" s="247" t="str">
        <f>_xlfn.IFNA(VLOOKUP(Ruimtestaat[[#This Row],[Programmacode
Regulier]],Programma!$F$4:$Y$36148,6,0),"_")</f>
        <v>1m</v>
      </c>
      <c r="AO226" s="247" t="str">
        <f>_xlfn.IFNA(VLOOKUP(Ruimtestaat[[#This Row],[Programmacode
Regulier]],Programma!$F$4:$Y$36148,7,0),"_")</f>
        <v>_</v>
      </c>
      <c r="AP226" s="247" t="str">
        <f>_xlfn.IFNA(VLOOKUP(Ruimtestaat[[#This Row],[Programmacode
Regulier]],Programma!$F$4:$Y$36148,8,0),"_")</f>
        <v>_</v>
      </c>
      <c r="AQ226" s="247" t="str">
        <f>_xlfn.IFNA(VLOOKUP(Ruimtestaat[[#This Row],[Programmacode
Regulier]],Programma!$F$4:$Y$36148,9,0),"_")</f>
        <v>_</v>
      </c>
      <c r="AR226" s="248" t="str">
        <f>_xlfn.IFNA(VLOOKUP(Ruimtestaat[[#This Row],[Programmacode
Regulier]],Programma!$F$4:$Y$36148,10,0),"_")</f>
        <v>5w</v>
      </c>
      <c r="AS226" s="248" t="str">
        <f>_xlfn.IFNA(VLOOKUP(Ruimtestaat[[#This Row],[Programmacode
Regulier]],Programma!$F$4:$Y$36148,11,0),"_")</f>
        <v>5w</v>
      </c>
      <c r="AT226" s="248" t="str">
        <f>_xlfn.IFNA(VLOOKUP(Ruimtestaat[[#This Row],[Programmacode
Regulier]],Programma!$F$4:$Y$36148,12,0),"_")</f>
        <v>1w</v>
      </c>
      <c r="AU226" s="248" t="str">
        <f>_xlfn.IFNA(VLOOKUP(Ruimtestaat[[#This Row],[Programmacode
Regulier]],Programma!$F$4:$Y$36148,13,0),"_")</f>
        <v>1w</v>
      </c>
      <c r="AV226" s="248" t="str">
        <f>_xlfn.IFNA(VLOOKUP(Ruimtestaat[[#This Row],[Programmacode
Regulier]],Programma!$F$4:$Y$36148,14,0),"_")</f>
        <v>1m</v>
      </c>
      <c r="AW226" s="248" t="str">
        <f>_xlfn.IFNA(VLOOKUP(Ruimtestaat[[#This Row],[Programmacode
Regulier]],Programma!$F$4:$Y$36148,15,0),"_")</f>
        <v>2j</v>
      </c>
      <c r="AX226" s="248" t="str">
        <f>_xlfn.IFNA(VLOOKUP(Ruimtestaat[[#This Row],[Programmacode
Regulier]],Programma!$F$4:$Y$36148,16,0),"_")</f>
        <v>1j</v>
      </c>
      <c r="AY226" s="248" t="str">
        <f>_xlfn.IFNA(VLOOKUP(Ruimtestaat[[#This Row],[Programmacode
Regulier]],Programma!$F$4:$Y$36148,17,0),"_")</f>
        <v>_</v>
      </c>
      <c r="AZ226" s="249" t="str">
        <f>_xlfn.IFNA(VLOOKUP(Ruimtestaat[[#This Row],[Programmacode
Regulier]],Programma!$F$4:$Y$36148,18,0),"_")</f>
        <v>_</v>
      </c>
      <c r="BA226" s="249" t="str">
        <f>_xlfn.IFNA(VLOOKUP(Ruimtestaat[[#This Row],[Programmacode
Regulier]],Programma!$F$4:$Y$36148,19,0),"_")</f>
        <v>_</v>
      </c>
      <c r="BB226" s="249" t="str">
        <f>_xlfn.IFNA(VLOOKUP(Ruimtestaat[[#This Row],[Programmacode
Regulier]],Programma!$F$4:$Y$36148,20,0),"_")</f>
        <v>_</v>
      </c>
      <c r="BC226" s="250"/>
      <c r="BD226" s="212" t="str">
        <f>IF(Ruimtestaat[[#This Row],[Frequentie weekend]]="","",_xlfn.CONCAT(Ruimtestaat[[#This Row],[Ruimte code]],"-",Ruimtestaat[[#This Row],[Frequentie weekend]]," ",Ruimtestaat[[#This Row],[Vloer code]]))</f>
        <v/>
      </c>
      <c r="BE226" s="247" t="str">
        <f>_xlfn.IFNA(VLOOKUP(Ruimtestaat[[#This Row],[Code Weekend]],Programma!$F$4:$Y$36148,2,0),"_")</f>
        <v>_</v>
      </c>
      <c r="BF226" s="247" t="str">
        <f>_xlfn.IFNA(VLOOKUP(Ruimtestaat[[#This Row],[Code Weekend]],Programma!$F$4:$Y$36148,3,0),"_")</f>
        <v>_</v>
      </c>
      <c r="BG226" s="247" t="str">
        <f>_xlfn.IFNA(VLOOKUP(Ruimtestaat[[#This Row],[Code Weekend]],Programma!$F$4:$Y$36148,4,0),"_")</f>
        <v>_</v>
      </c>
      <c r="BH226" s="247" t="str">
        <f>_xlfn.IFNA(VLOOKUP(Ruimtestaat[[#This Row],[Code Weekend]],Programma!$F$4:$Y$36148,5,0),"_")</f>
        <v>_</v>
      </c>
      <c r="BI226" s="247" t="str">
        <f>_xlfn.IFNA(VLOOKUP(Ruimtestaat[[#This Row],[Code Weekend]],Programma!$F$4:$Y$36148,6,0),"_")</f>
        <v>_</v>
      </c>
      <c r="BJ226" s="247" t="str">
        <f>_xlfn.IFNA(VLOOKUP(Ruimtestaat[[#This Row],[Code Weekend]],Programma!$F$4:$Y$36148,7,0),"_")</f>
        <v>_</v>
      </c>
      <c r="BK226" s="247" t="str">
        <f>_xlfn.IFNA(VLOOKUP(Ruimtestaat[[#This Row],[Code Weekend]],Programma!$F$4:$Y$36148,8,0),"_")</f>
        <v>_</v>
      </c>
      <c r="BL226" s="247" t="str">
        <f>_xlfn.IFNA(VLOOKUP(Ruimtestaat[[#This Row],[Code Weekend]],Programma!$F$4:$Y$36148,9,0),"_")</f>
        <v>_</v>
      </c>
      <c r="BM226" s="248" t="str">
        <f>_xlfn.IFNA(VLOOKUP(Ruimtestaat[[#This Row],[Code Weekend]],Programma!$F$4:$Y$36148,10,0),"_")</f>
        <v>_</v>
      </c>
      <c r="BN226" s="248" t="str">
        <f>_xlfn.IFNA(VLOOKUP(Ruimtestaat[[#This Row],[Code Weekend]],Programma!$F$4:$Y$36148,11,0),"_")</f>
        <v>_</v>
      </c>
      <c r="BO226" s="248" t="str">
        <f>_xlfn.IFNA(VLOOKUP(Ruimtestaat[[#This Row],[Code Weekend]],Programma!$F$4:$Y$36148,12,0),"_")</f>
        <v>_</v>
      </c>
      <c r="BP226" s="248" t="str">
        <f>_xlfn.IFNA(VLOOKUP(Ruimtestaat[[#This Row],[Code Weekend]],Programma!$F$4:$Y$36148,13,0),"_")</f>
        <v>_</v>
      </c>
      <c r="BQ226" s="248" t="str">
        <f>_xlfn.IFNA(VLOOKUP(Ruimtestaat[[#This Row],[Code Weekend]],Programma!$F$4:$Y$36148,14,0),"_")</f>
        <v>_</v>
      </c>
      <c r="BR226" s="248" t="str">
        <f>_xlfn.IFNA(VLOOKUP(Ruimtestaat[[#This Row],[Code Weekend]],Programma!$F$4:$Y$36148,15,0),"_")</f>
        <v>_</v>
      </c>
      <c r="BS226" s="248" t="str">
        <f>_xlfn.IFNA(VLOOKUP(Ruimtestaat[[#This Row],[Code Weekend]],Programma!$F$4:$Y$36148,16,0),"_")</f>
        <v>_</v>
      </c>
      <c r="BT226" s="248" t="str">
        <f>_xlfn.IFNA(VLOOKUP(Ruimtestaat[[#This Row],[Code Weekend]],Programma!$F$4:$Y$36148,17,0),"_")</f>
        <v>_</v>
      </c>
      <c r="BU226" s="249" t="str">
        <f>_xlfn.IFNA(VLOOKUP(Ruimtestaat[[#This Row],[Code Weekend]],Programma!$F$4:$Y$36148,18,0),"_")</f>
        <v>_</v>
      </c>
      <c r="BV226" s="249" t="str">
        <f>_xlfn.IFNA(VLOOKUP(Ruimtestaat[[#This Row],[Code Weekend]],Programma!$F$4:$Y$36148,19,0),"_")</f>
        <v>_</v>
      </c>
      <c r="BW226" s="249" t="str">
        <f>_xlfn.IFNA(VLOOKUP(Ruimtestaat[[#This Row],[Code Weekend]],Programma!$F$4:$Y$36148,20,0),"_")</f>
        <v>_</v>
      </c>
    </row>
    <row r="227" spans="1:75" ht="12.75" customHeight="1">
      <c r="A227" s="334">
        <v>1</v>
      </c>
      <c r="B227" s="334" t="str">
        <f>VLOOKUP(Ruimtestaat[[#This Row],[Code]],Locaties[#All],2,FALSE)</f>
        <v>ESH Secondary School</v>
      </c>
      <c r="C227" s="212" t="str">
        <f>VLOOKUP(Ruimtestaat[[#This Row],[Code]],Locaties[#All],4,FALSE)</f>
        <v>Oostduinlaan 50</v>
      </c>
      <c r="D227" s="212" t="str">
        <f>VLOOKUP(Ruimtestaat[[#This Row],[Code]],Locaties[#All],5,FALSE)</f>
        <v>2596 JP</v>
      </c>
      <c r="E227" s="212" t="str">
        <f>VLOOKUP(Ruimtestaat[[#This Row],[Code]],Locaties[#All],6,FALSE)</f>
        <v>Den Haag</v>
      </c>
      <c r="F227" s="335"/>
      <c r="G227" s="334" t="s">
        <v>1757</v>
      </c>
      <c r="H227" s="334" t="s">
        <v>1743</v>
      </c>
      <c r="I227" s="335" t="s">
        <v>1754</v>
      </c>
      <c r="J227" s="333">
        <v>16</v>
      </c>
      <c r="K227" s="336" t="str">
        <f>VLOOKUP(J227,Ruimtegroepen[],2,FALSE)</f>
        <v>Leslokalen</v>
      </c>
      <c r="L227" s="212" t="s">
        <v>123</v>
      </c>
      <c r="M227" s="334" t="s">
        <v>144</v>
      </c>
      <c r="N227" s="337">
        <v>34</v>
      </c>
      <c r="O227" s="331"/>
      <c r="P227" s="332" t="str">
        <f>VLOOKUP(Ruimtestaat[[#This Row],[Ruimte code]],Ruimtegroepen[],4,FALSE)</f>
        <v>L  (Lesruimte)</v>
      </c>
      <c r="Q227" s="332"/>
      <c r="R227" s="333">
        <v>40</v>
      </c>
      <c r="S227" s="333" t="s">
        <v>2</v>
      </c>
      <c r="T227" s="37"/>
      <c r="U227" s="37">
        <f>IF(R227&gt;0,IF(RIGHT(Ruimtestaat[[#This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27" s="37">
        <f>IF(U227&gt;0,VLOOKUP($J227,Ruimtegroepen[],3,FALSE)*VLOOKUP($L227,Vloersoorten[],3,FALSE)*VLOOKUP($S227,Frequenties[],3,FALSE)*VLOOKUP($A227,Locaties[],3,FALSE),0)</f>
        <v>0</v>
      </c>
      <c r="W227" s="37">
        <f>Ruimtestaat[[#This Row],[Uitvoeringen werkdagen]]*Ruimtestaat[[#This Row],[Oppervlak (netto)]]</f>
        <v>6800</v>
      </c>
      <c r="X227" s="37">
        <f>IF(V227&gt;0,Ruimtestaat[[#This Row],[Prest. (m2 /jaar) werkdagen]]/Ruimtestaat[[#This Row],[Norm (m2/uur) werkdagen]],0)</f>
        <v>0</v>
      </c>
      <c r="Y227" s="37">
        <f>Ruimtestaat[[#This Row],[uren / jaar werkdagen]]*Tariefsopbouw!$D$38</f>
        <v>0</v>
      </c>
      <c r="Z227" s="37">
        <f>IF(Ruimtestaat[[#This Row],[Frequentie weekend]]&gt;0,VALUE(LEFT(T227,1))*R227,0)</f>
        <v>0</v>
      </c>
      <c r="AA227" s="37">
        <f>IF($Z227&gt;0,VLOOKUP($J227,Ruimtegroepen[],3,FALSE)*VLOOKUP($L227,Vloersoorten[],3,FALSE)*VLOOKUP($T227,Frequenties[],3,FALSE)*VLOOKUP($A227,Locaties[],3,FALSE),0)</f>
        <v>0</v>
      </c>
      <c r="AB227" s="37">
        <f>Ruimtestaat[[#This Row],[Uitvoeringen weekend]]*Ruimtestaat[[#This Row],[Oppervlak (netto)]]</f>
        <v>0</v>
      </c>
      <c r="AC227" s="37">
        <f>IF(AA227&gt;0,Ruimtestaat[[#This Row],[Prest. (m2 /jaar) weekend]]/Ruimtestaat[[#This Row],[Norm (m2/uur) weekend]],0)</f>
        <v>0</v>
      </c>
      <c r="AD227" s="37">
        <f>Ruimtestaat[[#This Row],[uren / jaar weekend]]*Tariefsopbouw!$D$40</f>
        <v>0</v>
      </c>
      <c r="AE227" s="89">
        <f>Ruimtestaat[[#This Row],[Prest. (m2 /jaar) weekend]]+Ruimtestaat[[#This Row],[Prest. (m2 /jaar) werkdagen]]</f>
        <v>6800</v>
      </c>
      <c r="AF227" s="89">
        <f>Ruimtestaat[[#This Row],[uren / jaar weekend]]+Ruimtestaat[[#This Row],[uren / jaar werkdagen]]</f>
        <v>0</v>
      </c>
      <c r="AG227" s="90">
        <f>Ruimtestaat[[#This Row],[kosten / jaar weekend]]+Ruimtestaat[[#This Row],[kosten / jaar werkdagen]]</f>
        <v>0</v>
      </c>
      <c r="AH227" s="253"/>
      <c r="AI227" s="252" t="str">
        <f>IF(Ruimtestaat[[#This Row],[Frequentie werkdagen]]="","",_xlfn.CONCAT(Ruimtestaat[[#This Row],[Ruimte code]],"-",Ruimtestaat[[#This Row],[Frequentie werkdagen]]," ",Ruimtestaat[[#This Row],[Vloer code]]))</f>
        <v>16-5w P</v>
      </c>
      <c r="AJ227" s="247" t="str">
        <f>_xlfn.IFNA(VLOOKUP(Ruimtestaat[[#This Row],[Programmacode
Regulier]],Programma!$F$4:$Y$36148,2,0),"_")</f>
        <v>_</v>
      </c>
      <c r="AK227" s="247" t="str">
        <f>_xlfn.IFNA(VLOOKUP(Ruimtestaat[[#This Row],[Programmacode
Regulier]],Programma!$F$4:$Y$36148,3,0),"_")</f>
        <v>_</v>
      </c>
      <c r="AL227" s="247" t="str">
        <f>_xlfn.IFNA(VLOOKUP(Ruimtestaat[[#This Row],[Programmacode
Regulier]],Programma!$F$4:$Y$36148,4,0),"_")</f>
        <v>5w</v>
      </c>
      <c r="AM227" s="247" t="str">
        <f>_xlfn.IFNA(VLOOKUP(Ruimtestaat[[#This Row],[Programmacode
Regulier]],Programma!$F$4:$Y$36148,5,0),"_")</f>
        <v>1w</v>
      </c>
      <c r="AN227" s="247" t="str">
        <f>_xlfn.IFNA(VLOOKUP(Ruimtestaat[[#This Row],[Programmacode
Regulier]],Programma!$F$4:$Y$36148,6,0),"_")</f>
        <v>1m</v>
      </c>
      <c r="AO227" s="247" t="str">
        <f>_xlfn.IFNA(VLOOKUP(Ruimtestaat[[#This Row],[Programmacode
Regulier]],Programma!$F$4:$Y$36148,7,0),"_")</f>
        <v>_</v>
      </c>
      <c r="AP227" s="247" t="str">
        <f>_xlfn.IFNA(VLOOKUP(Ruimtestaat[[#This Row],[Programmacode
Regulier]],Programma!$F$4:$Y$36148,8,0),"_")</f>
        <v>_</v>
      </c>
      <c r="AQ227" s="247" t="str">
        <f>_xlfn.IFNA(VLOOKUP(Ruimtestaat[[#This Row],[Programmacode
Regulier]],Programma!$F$4:$Y$36148,9,0),"_")</f>
        <v>_</v>
      </c>
      <c r="AR227" s="248" t="str">
        <f>_xlfn.IFNA(VLOOKUP(Ruimtestaat[[#This Row],[Programmacode
Regulier]],Programma!$F$4:$Y$36148,10,0),"_")</f>
        <v>5w</v>
      </c>
      <c r="AS227" s="248" t="str">
        <f>_xlfn.IFNA(VLOOKUP(Ruimtestaat[[#This Row],[Programmacode
Regulier]],Programma!$F$4:$Y$36148,11,0),"_")</f>
        <v>5w</v>
      </c>
      <c r="AT227" s="248" t="str">
        <f>_xlfn.IFNA(VLOOKUP(Ruimtestaat[[#This Row],[Programmacode
Regulier]],Programma!$F$4:$Y$36148,12,0),"_")</f>
        <v>1w</v>
      </c>
      <c r="AU227" s="248" t="str">
        <f>_xlfn.IFNA(VLOOKUP(Ruimtestaat[[#This Row],[Programmacode
Regulier]],Programma!$F$4:$Y$36148,13,0),"_")</f>
        <v>1w</v>
      </c>
      <c r="AV227" s="248" t="str">
        <f>_xlfn.IFNA(VLOOKUP(Ruimtestaat[[#This Row],[Programmacode
Regulier]],Programma!$F$4:$Y$36148,14,0),"_")</f>
        <v>1m</v>
      </c>
      <c r="AW227" s="248" t="str">
        <f>_xlfn.IFNA(VLOOKUP(Ruimtestaat[[#This Row],[Programmacode
Regulier]],Programma!$F$4:$Y$36148,15,0),"_")</f>
        <v>2j</v>
      </c>
      <c r="AX227" s="248" t="str">
        <f>_xlfn.IFNA(VLOOKUP(Ruimtestaat[[#This Row],[Programmacode
Regulier]],Programma!$F$4:$Y$36148,16,0),"_")</f>
        <v>1j</v>
      </c>
      <c r="AY227" s="248" t="str">
        <f>_xlfn.IFNA(VLOOKUP(Ruimtestaat[[#This Row],[Programmacode
Regulier]],Programma!$F$4:$Y$36148,17,0),"_")</f>
        <v>_</v>
      </c>
      <c r="AZ227" s="249" t="str">
        <f>_xlfn.IFNA(VLOOKUP(Ruimtestaat[[#This Row],[Programmacode
Regulier]],Programma!$F$4:$Y$36148,18,0),"_")</f>
        <v>_</v>
      </c>
      <c r="BA227" s="249" t="str">
        <f>_xlfn.IFNA(VLOOKUP(Ruimtestaat[[#This Row],[Programmacode
Regulier]],Programma!$F$4:$Y$36148,19,0),"_")</f>
        <v>_</v>
      </c>
      <c r="BB227" s="249" t="str">
        <f>_xlfn.IFNA(VLOOKUP(Ruimtestaat[[#This Row],[Programmacode
Regulier]],Programma!$F$4:$Y$36148,20,0),"_")</f>
        <v>_</v>
      </c>
      <c r="BC227" s="250"/>
      <c r="BD227" s="212" t="str">
        <f>IF(Ruimtestaat[[#This Row],[Frequentie weekend]]="","",_xlfn.CONCAT(Ruimtestaat[[#This Row],[Ruimte code]],"-",Ruimtestaat[[#This Row],[Frequentie weekend]]," ",Ruimtestaat[[#This Row],[Vloer code]]))</f>
        <v/>
      </c>
      <c r="BE227" s="247" t="str">
        <f>_xlfn.IFNA(VLOOKUP(Ruimtestaat[[#This Row],[Code Weekend]],Programma!$F$4:$Y$36148,2,0),"_")</f>
        <v>_</v>
      </c>
      <c r="BF227" s="247" t="str">
        <f>_xlfn.IFNA(VLOOKUP(Ruimtestaat[[#This Row],[Code Weekend]],Programma!$F$4:$Y$36148,3,0),"_")</f>
        <v>_</v>
      </c>
      <c r="BG227" s="247" t="str">
        <f>_xlfn.IFNA(VLOOKUP(Ruimtestaat[[#This Row],[Code Weekend]],Programma!$F$4:$Y$36148,4,0),"_")</f>
        <v>_</v>
      </c>
      <c r="BH227" s="247" t="str">
        <f>_xlfn.IFNA(VLOOKUP(Ruimtestaat[[#This Row],[Code Weekend]],Programma!$F$4:$Y$36148,5,0),"_")</f>
        <v>_</v>
      </c>
      <c r="BI227" s="247" t="str">
        <f>_xlfn.IFNA(VLOOKUP(Ruimtestaat[[#This Row],[Code Weekend]],Programma!$F$4:$Y$36148,6,0),"_")</f>
        <v>_</v>
      </c>
      <c r="BJ227" s="247" t="str">
        <f>_xlfn.IFNA(VLOOKUP(Ruimtestaat[[#This Row],[Code Weekend]],Programma!$F$4:$Y$36148,7,0),"_")</f>
        <v>_</v>
      </c>
      <c r="BK227" s="247" t="str">
        <f>_xlfn.IFNA(VLOOKUP(Ruimtestaat[[#This Row],[Code Weekend]],Programma!$F$4:$Y$36148,8,0),"_")</f>
        <v>_</v>
      </c>
      <c r="BL227" s="247" t="str">
        <f>_xlfn.IFNA(VLOOKUP(Ruimtestaat[[#This Row],[Code Weekend]],Programma!$F$4:$Y$36148,9,0),"_")</f>
        <v>_</v>
      </c>
      <c r="BM227" s="248" t="str">
        <f>_xlfn.IFNA(VLOOKUP(Ruimtestaat[[#This Row],[Code Weekend]],Programma!$F$4:$Y$36148,10,0),"_")</f>
        <v>_</v>
      </c>
      <c r="BN227" s="248" t="str">
        <f>_xlfn.IFNA(VLOOKUP(Ruimtestaat[[#This Row],[Code Weekend]],Programma!$F$4:$Y$36148,11,0),"_")</f>
        <v>_</v>
      </c>
      <c r="BO227" s="248" t="str">
        <f>_xlfn.IFNA(VLOOKUP(Ruimtestaat[[#This Row],[Code Weekend]],Programma!$F$4:$Y$36148,12,0),"_")</f>
        <v>_</v>
      </c>
      <c r="BP227" s="248" t="str">
        <f>_xlfn.IFNA(VLOOKUP(Ruimtestaat[[#This Row],[Code Weekend]],Programma!$F$4:$Y$36148,13,0),"_")</f>
        <v>_</v>
      </c>
      <c r="BQ227" s="248" t="str">
        <f>_xlfn.IFNA(VLOOKUP(Ruimtestaat[[#This Row],[Code Weekend]],Programma!$F$4:$Y$36148,14,0),"_")</f>
        <v>_</v>
      </c>
      <c r="BR227" s="248" t="str">
        <f>_xlfn.IFNA(VLOOKUP(Ruimtestaat[[#This Row],[Code Weekend]],Programma!$F$4:$Y$36148,15,0),"_")</f>
        <v>_</v>
      </c>
      <c r="BS227" s="248" t="str">
        <f>_xlfn.IFNA(VLOOKUP(Ruimtestaat[[#This Row],[Code Weekend]],Programma!$F$4:$Y$36148,16,0),"_")</f>
        <v>_</v>
      </c>
      <c r="BT227" s="248" t="str">
        <f>_xlfn.IFNA(VLOOKUP(Ruimtestaat[[#This Row],[Code Weekend]],Programma!$F$4:$Y$36148,17,0),"_")</f>
        <v>_</v>
      </c>
      <c r="BU227" s="249" t="str">
        <f>_xlfn.IFNA(VLOOKUP(Ruimtestaat[[#This Row],[Code Weekend]],Programma!$F$4:$Y$36148,18,0),"_")</f>
        <v>_</v>
      </c>
      <c r="BV227" s="249" t="str">
        <f>_xlfn.IFNA(VLOOKUP(Ruimtestaat[[#This Row],[Code Weekend]],Programma!$F$4:$Y$36148,19,0),"_")</f>
        <v>_</v>
      </c>
      <c r="BW227" s="249" t="str">
        <f>_xlfn.IFNA(VLOOKUP(Ruimtestaat[[#This Row],[Code Weekend]],Programma!$F$4:$Y$36148,20,0),"_")</f>
        <v>_</v>
      </c>
    </row>
    <row r="228" spans="1:75" ht="12.75" customHeight="1">
      <c r="A228" s="334">
        <v>1</v>
      </c>
      <c r="B228" s="334" t="str">
        <f>VLOOKUP(Ruimtestaat[[#This Row],[Code]],Locaties[#All],2,FALSE)</f>
        <v>ESH Secondary School</v>
      </c>
      <c r="C228" s="212" t="str">
        <f>VLOOKUP(Ruimtestaat[[#This Row],[Code]],Locaties[#All],4,FALSE)</f>
        <v>Oostduinlaan 50</v>
      </c>
      <c r="D228" s="212" t="str">
        <f>VLOOKUP(Ruimtestaat[[#This Row],[Code]],Locaties[#All],5,FALSE)</f>
        <v>2596 JP</v>
      </c>
      <c r="E228" s="212" t="str">
        <f>VLOOKUP(Ruimtestaat[[#This Row],[Code]],Locaties[#All],6,FALSE)</f>
        <v>Den Haag</v>
      </c>
      <c r="F228" s="335"/>
      <c r="G228" s="334" t="s">
        <v>1757</v>
      </c>
      <c r="H228" s="334" t="s">
        <v>1744</v>
      </c>
      <c r="I228" s="335" t="s">
        <v>1755</v>
      </c>
      <c r="J228" s="333">
        <v>16</v>
      </c>
      <c r="K228" s="336" t="str">
        <f>VLOOKUP(J228,Ruimtegroepen[],2,FALSE)</f>
        <v>Leslokalen</v>
      </c>
      <c r="L228" s="212" t="s">
        <v>123</v>
      </c>
      <c r="M228" s="334" t="s">
        <v>144</v>
      </c>
      <c r="N228" s="337">
        <v>34</v>
      </c>
      <c r="O228" s="331"/>
      <c r="P228" s="332" t="str">
        <f>VLOOKUP(Ruimtestaat[[#This Row],[Ruimte code]],Ruimtegroepen[],4,FALSE)</f>
        <v>L  (Lesruimte)</v>
      </c>
      <c r="Q228" s="332"/>
      <c r="R228" s="333">
        <v>40</v>
      </c>
      <c r="S228" s="333" t="s">
        <v>2</v>
      </c>
      <c r="T228" s="37"/>
      <c r="U228" s="37">
        <f>IF(R228&gt;0,IF(RIGHT(Ruimtestaat[[#This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28" s="37">
        <f>IF(U228&gt;0,VLOOKUP($J228,Ruimtegroepen[],3,FALSE)*VLOOKUP($L228,Vloersoorten[],3,FALSE)*VLOOKUP($S228,Frequenties[],3,FALSE)*VLOOKUP($A228,Locaties[],3,FALSE),0)</f>
        <v>0</v>
      </c>
      <c r="W228" s="37">
        <f>Ruimtestaat[[#This Row],[Uitvoeringen werkdagen]]*Ruimtestaat[[#This Row],[Oppervlak (netto)]]</f>
        <v>6800</v>
      </c>
      <c r="X228" s="37">
        <f>IF(V228&gt;0,Ruimtestaat[[#This Row],[Prest. (m2 /jaar) werkdagen]]/Ruimtestaat[[#This Row],[Norm (m2/uur) werkdagen]],0)</f>
        <v>0</v>
      </c>
      <c r="Y228" s="37">
        <f>Ruimtestaat[[#This Row],[uren / jaar werkdagen]]*Tariefsopbouw!$D$38</f>
        <v>0</v>
      </c>
      <c r="Z228" s="37">
        <f>IF(Ruimtestaat[[#This Row],[Frequentie weekend]]&gt;0,VALUE(LEFT(T228,1))*R228,0)</f>
        <v>0</v>
      </c>
      <c r="AA228" s="37">
        <f>IF($Z228&gt;0,VLOOKUP($J228,Ruimtegroepen[],3,FALSE)*VLOOKUP($L228,Vloersoorten[],3,FALSE)*VLOOKUP($T228,Frequenties[],3,FALSE)*VLOOKUP($A228,Locaties[],3,FALSE),0)</f>
        <v>0</v>
      </c>
      <c r="AB228" s="37">
        <f>Ruimtestaat[[#This Row],[Uitvoeringen weekend]]*Ruimtestaat[[#This Row],[Oppervlak (netto)]]</f>
        <v>0</v>
      </c>
      <c r="AC228" s="37">
        <f>IF(AA228&gt;0,Ruimtestaat[[#This Row],[Prest. (m2 /jaar) weekend]]/Ruimtestaat[[#This Row],[Norm (m2/uur) weekend]],0)</f>
        <v>0</v>
      </c>
      <c r="AD228" s="37">
        <f>Ruimtestaat[[#This Row],[uren / jaar weekend]]*Tariefsopbouw!$D$40</f>
        <v>0</v>
      </c>
      <c r="AE228" s="89">
        <f>Ruimtestaat[[#This Row],[Prest. (m2 /jaar) weekend]]+Ruimtestaat[[#This Row],[Prest. (m2 /jaar) werkdagen]]</f>
        <v>6800</v>
      </c>
      <c r="AF228" s="89">
        <f>Ruimtestaat[[#This Row],[uren / jaar weekend]]+Ruimtestaat[[#This Row],[uren / jaar werkdagen]]</f>
        <v>0</v>
      </c>
      <c r="AG228" s="90">
        <f>Ruimtestaat[[#This Row],[kosten / jaar weekend]]+Ruimtestaat[[#This Row],[kosten / jaar werkdagen]]</f>
        <v>0</v>
      </c>
      <c r="AH228" s="253"/>
      <c r="AI228" s="252" t="str">
        <f>IF(Ruimtestaat[[#This Row],[Frequentie werkdagen]]="","",_xlfn.CONCAT(Ruimtestaat[[#This Row],[Ruimte code]],"-",Ruimtestaat[[#This Row],[Frequentie werkdagen]]," ",Ruimtestaat[[#This Row],[Vloer code]]))</f>
        <v>16-5w P</v>
      </c>
      <c r="AJ228" s="247" t="str">
        <f>_xlfn.IFNA(VLOOKUP(Ruimtestaat[[#This Row],[Programmacode
Regulier]],Programma!$F$4:$Y$36148,2,0),"_")</f>
        <v>_</v>
      </c>
      <c r="AK228" s="247" t="str">
        <f>_xlfn.IFNA(VLOOKUP(Ruimtestaat[[#This Row],[Programmacode
Regulier]],Programma!$F$4:$Y$36148,3,0),"_")</f>
        <v>_</v>
      </c>
      <c r="AL228" s="247" t="str">
        <f>_xlfn.IFNA(VLOOKUP(Ruimtestaat[[#This Row],[Programmacode
Regulier]],Programma!$F$4:$Y$36148,4,0),"_")</f>
        <v>5w</v>
      </c>
      <c r="AM228" s="247" t="str">
        <f>_xlfn.IFNA(VLOOKUP(Ruimtestaat[[#This Row],[Programmacode
Regulier]],Programma!$F$4:$Y$36148,5,0),"_")</f>
        <v>1w</v>
      </c>
      <c r="AN228" s="247" t="str">
        <f>_xlfn.IFNA(VLOOKUP(Ruimtestaat[[#This Row],[Programmacode
Regulier]],Programma!$F$4:$Y$36148,6,0),"_")</f>
        <v>1m</v>
      </c>
      <c r="AO228" s="247" t="str">
        <f>_xlfn.IFNA(VLOOKUP(Ruimtestaat[[#This Row],[Programmacode
Regulier]],Programma!$F$4:$Y$36148,7,0),"_")</f>
        <v>_</v>
      </c>
      <c r="AP228" s="247" t="str">
        <f>_xlfn.IFNA(VLOOKUP(Ruimtestaat[[#This Row],[Programmacode
Regulier]],Programma!$F$4:$Y$36148,8,0),"_")</f>
        <v>_</v>
      </c>
      <c r="AQ228" s="247" t="str">
        <f>_xlfn.IFNA(VLOOKUP(Ruimtestaat[[#This Row],[Programmacode
Regulier]],Programma!$F$4:$Y$36148,9,0),"_")</f>
        <v>_</v>
      </c>
      <c r="AR228" s="248" t="str">
        <f>_xlfn.IFNA(VLOOKUP(Ruimtestaat[[#This Row],[Programmacode
Regulier]],Programma!$F$4:$Y$36148,10,0),"_")</f>
        <v>5w</v>
      </c>
      <c r="AS228" s="248" t="str">
        <f>_xlfn.IFNA(VLOOKUP(Ruimtestaat[[#This Row],[Programmacode
Regulier]],Programma!$F$4:$Y$36148,11,0),"_")</f>
        <v>5w</v>
      </c>
      <c r="AT228" s="248" t="str">
        <f>_xlfn.IFNA(VLOOKUP(Ruimtestaat[[#This Row],[Programmacode
Regulier]],Programma!$F$4:$Y$36148,12,0),"_")</f>
        <v>1w</v>
      </c>
      <c r="AU228" s="248" t="str">
        <f>_xlfn.IFNA(VLOOKUP(Ruimtestaat[[#This Row],[Programmacode
Regulier]],Programma!$F$4:$Y$36148,13,0),"_")</f>
        <v>1w</v>
      </c>
      <c r="AV228" s="248" t="str">
        <f>_xlfn.IFNA(VLOOKUP(Ruimtestaat[[#This Row],[Programmacode
Regulier]],Programma!$F$4:$Y$36148,14,0),"_")</f>
        <v>1m</v>
      </c>
      <c r="AW228" s="248" t="str">
        <f>_xlfn.IFNA(VLOOKUP(Ruimtestaat[[#This Row],[Programmacode
Regulier]],Programma!$F$4:$Y$36148,15,0),"_")</f>
        <v>2j</v>
      </c>
      <c r="AX228" s="248" t="str">
        <f>_xlfn.IFNA(VLOOKUP(Ruimtestaat[[#This Row],[Programmacode
Regulier]],Programma!$F$4:$Y$36148,16,0),"_")</f>
        <v>1j</v>
      </c>
      <c r="AY228" s="248" t="str">
        <f>_xlfn.IFNA(VLOOKUP(Ruimtestaat[[#This Row],[Programmacode
Regulier]],Programma!$F$4:$Y$36148,17,0),"_")</f>
        <v>_</v>
      </c>
      <c r="AZ228" s="249" t="str">
        <f>_xlfn.IFNA(VLOOKUP(Ruimtestaat[[#This Row],[Programmacode
Regulier]],Programma!$F$4:$Y$36148,18,0),"_")</f>
        <v>_</v>
      </c>
      <c r="BA228" s="249" t="str">
        <f>_xlfn.IFNA(VLOOKUP(Ruimtestaat[[#This Row],[Programmacode
Regulier]],Programma!$F$4:$Y$36148,19,0),"_")</f>
        <v>_</v>
      </c>
      <c r="BB228" s="249" t="str">
        <f>_xlfn.IFNA(VLOOKUP(Ruimtestaat[[#This Row],[Programmacode
Regulier]],Programma!$F$4:$Y$36148,20,0),"_")</f>
        <v>_</v>
      </c>
      <c r="BC228" s="250"/>
      <c r="BD228" s="212" t="str">
        <f>IF(Ruimtestaat[[#This Row],[Frequentie weekend]]="","",_xlfn.CONCAT(Ruimtestaat[[#This Row],[Ruimte code]],"-",Ruimtestaat[[#This Row],[Frequentie weekend]]," ",Ruimtestaat[[#This Row],[Vloer code]]))</f>
        <v/>
      </c>
      <c r="BE228" s="247" t="str">
        <f>_xlfn.IFNA(VLOOKUP(Ruimtestaat[[#This Row],[Code Weekend]],Programma!$F$4:$Y$36148,2,0),"_")</f>
        <v>_</v>
      </c>
      <c r="BF228" s="247" t="str">
        <f>_xlfn.IFNA(VLOOKUP(Ruimtestaat[[#This Row],[Code Weekend]],Programma!$F$4:$Y$36148,3,0),"_")</f>
        <v>_</v>
      </c>
      <c r="BG228" s="247" t="str">
        <f>_xlfn.IFNA(VLOOKUP(Ruimtestaat[[#This Row],[Code Weekend]],Programma!$F$4:$Y$36148,4,0),"_")</f>
        <v>_</v>
      </c>
      <c r="BH228" s="247" t="str">
        <f>_xlfn.IFNA(VLOOKUP(Ruimtestaat[[#This Row],[Code Weekend]],Programma!$F$4:$Y$36148,5,0),"_")</f>
        <v>_</v>
      </c>
      <c r="BI228" s="247" t="str">
        <f>_xlfn.IFNA(VLOOKUP(Ruimtestaat[[#This Row],[Code Weekend]],Programma!$F$4:$Y$36148,6,0),"_")</f>
        <v>_</v>
      </c>
      <c r="BJ228" s="247" t="str">
        <f>_xlfn.IFNA(VLOOKUP(Ruimtestaat[[#This Row],[Code Weekend]],Programma!$F$4:$Y$36148,7,0),"_")</f>
        <v>_</v>
      </c>
      <c r="BK228" s="247" t="str">
        <f>_xlfn.IFNA(VLOOKUP(Ruimtestaat[[#This Row],[Code Weekend]],Programma!$F$4:$Y$36148,8,0),"_")</f>
        <v>_</v>
      </c>
      <c r="BL228" s="247" t="str">
        <f>_xlfn.IFNA(VLOOKUP(Ruimtestaat[[#This Row],[Code Weekend]],Programma!$F$4:$Y$36148,9,0),"_")</f>
        <v>_</v>
      </c>
      <c r="BM228" s="248" t="str">
        <f>_xlfn.IFNA(VLOOKUP(Ruimtestaat[[#This Row],[Code Weekend]],Programma!$F$4:$Y$36148,10,0),"_")</f>
        <v>_</v>
      </c>
      <c r="BN228" s="248" t="str">
        <f>_xlfn.IFNA(VLOOKUP(Ruimtestaat[[#This Row],[Code Weekend]],Programma!$F$4:$Y$36148,11,0),"_")</f>
        <v>_</v>
      </c>
      <c r="BO228" s="248" t="str">
        <f>_xlfn.IFNA(VLOOKUP(Ruimtestaat[[#This Row],[Code Weekend]],Programma!$F$4:$Y$36148,12,0),"_")</f>
        <v>_</v>
      </c>
      <c r="BP228" s="248" t="str">
        <f>_xlfn.IFNA(VLOOKUP(Ruimtestaat[[#This Row],[Code Weekend]],Programma!$F$4:$Y$36148,13,0),"_")</f>
        <v>_</v>
      </c>
      <c r="BQ228" s="248" t="str">
        <f>_xlfn.IFNA(VLOOKUP(Ruimtestaat[[#This Row],[Code Weekend]],Programma!$F$4:$Y$36148,14,0),"_")</f>
        <v>_</v>
      </c>
      <c r="BR228" s="248" t="str">
        <f>_xlfn.IFNA(VLOOKUP(Ruimtestaat[[#This Row],[Code Weekend]],Programma!$F$4:$Y$36148,15,0),"_")</f>
        <v>_</v>
      </c>
      <c r="BS228" s="248" t="str">
        <f>_xlfn.IFNA(VLOOKUP(Ruimtestaat[[#This Row],[Code Weekend]],Programma!$F$4:$Y$36148,16,0),"_")</f>
        <v>_</v>
      </c>
      <c r="BT228" s="248" t="str">
        <f>_xlfn.IFNA(VLOOKUP(Ruimtestaat[[#This Row],[Code Weekend]],Programma!$F$4:$Y$36148,17,0),"_")</f>
        <v>_</v>
      </c>
      <c r="BU228" s="249" t="str">
        <f>_xlfn.IFNA(VLOOKUP(Ruimtestaat[[#This Row],[Code Weekend]],Programma!$F$4:$Y$36148,18,0),"_")</f>
        <v>_</v>
      </c>
      <c r="BV228" s="249" t="str">
        <f>_xlfn.IFNA(VLOOKUP(Ruimtestaat[[#This Row],[Code Weekend]],Programma!$F$4:$Y$36148,19,0),"_")</f>
        <v>_</v>
      </c>
      <c r="BW228" s="249" t="str">
        <f>_xlfn.IFNA(VLOOKUP(Ruimtestaat[[#This Row],[Code Weekend]],Programma!$F$4:$Y$36148,20,0),"_")</f>
        <v>_</v>
      </c>
    </row>
    <row r="229" spans="1:75" ht="12.75" customHeight="1">
      <c r="A229" s="334">
        <v>1</v>
      </c>
      <c r="B229" s="334" t="str">
        <f>VLOOKUP(Ruimtestaat[[#This Row],[Code]],Locaties[#All],2,FALSE)</f>
        <v>ESH Secondary School</v>
      </c>
      <c r="C229" s="212" t="str">
        <f>VLOOKUP(Ruimtestaat[[#This Row],[Code]],Locaties[#All],4,FALSE)</f>
        <v>Oostduinlaan 50</v>
      </c>
      <c r="D229" s="212" t="str">
        <f>VLOOKUP(Ruimtestaat[[#This Row],[Code]],Locaties[#All],5,FALSE)</f>
        <v>2596 JP</v>
      </c>
      <c r="E229" s="212" t="str">
        <f>VLOOKUP(Ruimtestaat[[#This Row],[Code]],Locaties[#All],6,FALSE)</f>
        <v>Den Haag</v>
      </c>
      <c r="F229" s="335"/>
      <c r="G229" s="334" t="s">
        <v>1757</v>
      </c>
      <c r="H229" s="334">
        <v>3.09</v>
      </c>
      <c r="I229" s="335" t="s">
        <v>1755</v>
      </c>
      <c r="J229" s="333">
        <v>16</v>
      </c>
      <c r="K229" s="336" t="str">
        <f>VLOOKUP(J229,Ruimtegroepen[],2,FALSE)</f>
        <v>Leslokalen</v>
      </c>
      <c r="L229" s="212" t="s">
        <v>123</v>
      </c>
      <c r="M229" s="334" t="s">
        <v>144</v>
      </c>
      <c r="N229" s="337">
        <v>34</v>
      </c>
      <c r="O229" s="331"/>
      <c r="P229" s="332" t="str">
        <f>VLOOKUP(Ruimtestaat[[#This Row],[Ruimte code]],Ruimtegroepen[],4,FALSE)</f>
        <v>L  (Lesruimte)</v>
      </c>
      <c r="Q229" s="332"/>
      <c r="R229" s="333">
        <v>40</v>
      </c>
      <c r="S229" s="333" t="s">
        <v>2</v>
      </c>
      <c r="T229" s="37"/>
      <c r="U229" s="37">
        <f>IF(R229&gt;0,IF(RIGHT(Ruimtestaat[[#This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29" s="37">
        <f>IF(U229&gt;0,VLOOKUP($J229,Ruimtegroepen[],3,FALSE)*VLOOKUP($L229,Vloersoorten[],3,FALSE)*VLOOKUP($S229,Frequenties[],3,FALSE)*VLOOKUP($A229,Locaties[],3,FALSE),0)</f>
        <v>0</v>
      </c>
      <c r="W229" s="37">
        <f>Ruimtestaat[[#This Row],[Uitvoeringen werkdagen]]*Ruimtestaat[[#This Row],[Oppervlak (netto)]]</f>
        <v>6800</v>
      </c>
      <c r="X229" s="37">
        <f>IF(V229&gt;0,Ruimtestaat[[#This Row],[Prest. (m2 /jaar) werkdagen]]/Ruimtestaat[[#This Row],[Norm (m2/uur) werkdagen]],0)</f>
        <v>0</v>
      </c>
      <c r="Y229" s="37">
        <f>Ruimtestaat[[#This Row],[uren / jaar werkdagen]]*Tariefsopbouw!$D$38</f>
        <v>0</v>
      </c>
      <c r="Z229" s="37">
        <f>IF(Ruimtestaat[[#This Row],[Frequentie weekend]]&gt;0,VALUE(LEFT(T229,1))*R229,0)</f>
        <v>0</v>
      </c>
      <c r="AA229" s="37">
        <f>IF($Z229&gt;0,VLOOKUP($J229,Ruimtegroepen[],3,FALSE)*VLOOKUP($L229,Vloersoorten[],3,FALSE)*VLOOKUP($T229,Frequenties[],3,FALSE)*VLOOKUP($A229,Locaties[],3,FALSE),0)</f>
        <v>0</v>
      </c>
      <c r="AB229" s="37">
        <f>Ruimtestaat[[#This Row],[Uitvoeringen weekend]]*Ruimtestaat[[#This Row],[Oppervlak (netto)]]</f>
        <v>0</v>
      </c>
      <c r="AC229" s="37">
        <f>IF(AA229&gt;0,Ruimtestaat[[#This Row],[Prest. (m2 /jaar) weekend]]/Ruimtestaat[[#This Row],[Norm (m2/uur) weekend]],0)</f>
        <v>0</v>
      </c>
      <c r="AD229" s="37">
        <f>Ruimtestaat[[#This Row],[uren / jaar weekend]]*Tariefsopbouw!$D$40</f>
        <v>0</v>
      </c>
      <c r="AE229" s="89">
        <f>Ruimtestaat[[#This Row],[Prest. (m2 /jaar) weekend]]+Ruimtestaat[[#This Row],[Prest. (m2 /jaar) werkdagen]]</f>
        <v>6800</v>
      </c>
      <c r="AF229" s="89">
        <f>Ruimtestaat[[#This Row],[uren / jaar weekend]]+Ruimtestaat[[#This Row],[uren / jaar werkdagen]]</f>
        <v>0</v>
      </c>
      <c r="AG229" s="90">
        <f>Ruimtestaat[[#This Row],[kosten / jaar weekend]]+Ruimtestaat[[#This Row],[kosten / jaar werkdagen]]</f>
        <v>0</v>
      </c>
      <c r="AH229" s="253"/>
      <c r="AI229" s="252" t="str">
        <f>IF(Ruimtestaat[[#This Row],[Frequentie werkdagen]]="","",_xlfn.CONCAT(Ruimtestaat[[#This Row],[Ruimte code]],"-",Ruimtestaat[[#This Row],[Frequentie werkdagen]]," ",Ruimtestaat[[#This Row],[Vloer code]]))</f>
        <v>16-5w P</v>
      </c>
      <c r="AJ229" s="247" t="str">
        <f>_xlfn.IFNA(VLOOKUP(Ruimtestaat[[#This Row],[Programmacode
Regulier]],Programma!$F$4:$Y$36148,2,0),"_")</f>
        <v>_</v>
      </c>
      <c r="AK229" s="247" t="str">
        <f>_xlfn.IFNA(VLOOKUP(Ruimtestaat[[#This Row],[Programmacode
Regulier]],Programma!$F$4:$Y$36148,3,0),"_")</f>
        <v>_</v>
      </c>
      <c r="AL229" s="247" t="str">
        <f>_xlfn.IFNA(VLOOKUP(Ruimtestaat[[#This Row],[Programmacode
Regulier]],Programma!$F$4:$Y$36148,4,0),"_")</f>
        <v>5w</v>
      </c>
      <c r="AM229" s="247" t="str">
        <f>_xlfn.IFNA(VLOOKUP(Ruimtestaat[[#This Row],[Programmacode
Regulier]],Programma!$F$4:$Y$36148,5,0),"_")</f>
        <v>1w</v>
      </c>
      <c r="AN229" s="247" t="str">
        <f>_xlfn.IFNA(VLOOKUP(Ruimtestaat[[#This Row],[Programmacode
Regulier]],Programma!$F$4:$Y$36148,6,0),"_")</f>
        <v>1m</v>
      </c>
      <c r="AO229" s="247" t="str">
        <f>_xlfn.IFNA(VLOOKUP(Ruimtestaat[[#This Row],[Programmacode
Regulier]],Programma!$F$4:$Y$36148,7,0),"_")</f>
        <v>_</v>
      </c>
      <c r="AP229" s="247" t="str">
        <f>_xlfn.IFNA(VLOOKUP(Ruimtestaat[[#This Row],[Programmacode
Regulier]],Programma!$F$4:$Y$36148,8,0),"_")</f>
        <v>_</v>
      </c>
      <c r="AQ229" s="247" t="str">
        <f>_xlfn.IFNA(VLOOKUP(Ruimtestaat[[#This Row],[Programmacode
Regulier]],Programma!$F$4:$Y$36148,9,0),"_")</f>
        <v>_</v>
      </c>
      <c r="AR229" s="248" t="str">
        <f>_xlfn.IFNA(VLOOKUP(Ruimtestaat[[#This Row],[Programmacode
Regulier]],Programma!$F$4:$Y$36148,10,0),"_")</f>
        <v>5w</v>
      </c>
      <c r="AS229" s="248" t="str">
        <f>_xlfn.IFNA(VLOOKUP(Ruimtestaat[[#This Row],[Programmacode
Regulier]],Programma!$F$4:$Y$36148,11,0),"_")</f>
        <v>5w</v>
      </c>
      <c r="AT229" s="248" t="str">
        <f>_xlfn.IFNA(VLOOKUP(Ruimtestaat[[#This Row],[Programmacode
Regulier]],Programma!$F$4:$Y$36148,12,0),"_")</f>
        <v>1w</v>
      </c>
      <c r="AU229" s="248" t="str">
        <f>_xlfn.IFNA(VLOOKUP(Ruimtestaat[[#This Row],[Programmacode
Regulier]],Programma!$F$4:$Y$36148,13,0),"_")</f>
        <v>1w</v>
      </c>
      <c r="AV229" s="248" t="str">
        <f>_xlfn.IFNA(VLOOKUP(Ruimtestaat[[#This Row],[Programmacode
Regulier]],Programma!$F$4:$Y$36148,14,0),"_")</f>
        <v>1m</v>
      </c>
      <c r="AW229" s="248" t="str">
        <f>_xlfn.IFNA(VLOOKUP(Ruimtestaat[[#This Row],[Programmacode
Regulier]],Programma!$F$4:$Y$36148,15,0),"_")</f>
        <v>2j</v>
      </c>
      <c r="AX229" s="248" t="str">
        <f>_xlfn.IFNA(VLOOKUP(Ruimtestaat[[#This Row],[Programmacode
Regulier]],Programma!$F$4:$Y$36148,16,0),"_")</f>
        <v>1j</v>
      </c>
      <c r="AY229" s="248" t="str">
        <f>_xlfn.IFNA(VLOOKUP(Ruimtestaat[[#This Row],[Programmacode
Regulier]],Programma!$F$4:$Y$36148,17,0),"_")</f>
        <v>_</v>
      </c>
      <c r="AZ229" s="249" t="str">
        <f>_xlfn.IFNA(VLOOKUP(Ruimtestaat[[#This Row],[Programmacode
Regulier]],Programma!$F$4:$Y$36148,18,0),"_")</f>
        <v>_</v>
      </c>
      <c r="BA229" s="249" t="str">
        <f>_xlfn.IFNA(VLOOKUP(Ruimtestaat[[#This Row],[Programmacode
Regulier]],Programma!$F$4:$Y$36148,19,0),"_")</f>
        <v>_</v>
      </c>
      <c r="BB229" s="249" t="str">
        <f>_xlfn.IFNA(VLOOKUP(Ruimtestaat[[#This Row],[Programmacode
Regulier]],Programma!$F$4:$Y$36148,20,0),"_")</f>
        <v>_</v>
      </c>
      <c r="BC229" s="250"/>
      <c r="BD229" s="212" t="str">
        <f>IF(Ruimtestaat[[#This Row],[Frequentie weekend]]="","",_xlfn.CONCAT(Ruimtestaat[[#This Row],[Ruimte code]],"-",Ruimtestaat[[#This Row],[Frequentie weekend]]," ",Ruimtestaat[[#This Row],[Vloer code]]))</f>
        <v/>
      </c>
      <c r="BE229" s="247" t="str">
        <f>_xlfn.IFNA(VLOOKUP(Ruimtestaat[[#This Row],[Code Weekend]],Programma!$F$4:$Y$36148,2,0),"_")</f>
        <v>_</v>
      </c>
      <c r="BF229" s="247" t="str">
        <f>_xlfn.IFNA(VLOOKUP(Ruimtestaat[[#This Row],[Code Weekend]],Programma!$F$4:$Y$36148,3,0),"_")</f>
        <v>_</v>
      </c>
      <c r="BG229" s="247" t="str">
        <f>_xlfn.IFNA(VLOOKUP(Ruimtestaat[[#This Row],[Code Weekend]],Programma!$F$4:$Y$36148,4,0),"_")</f>
        <v>_</v>
      </c>
      <c r="BH229" s="247" t="str">
        <f>_xlfn.IFNA(VLOOKUP(Ruimtestaat[[#This Row],[Code Weekend]],Programma!$F$4:$Y$36148,5,0),"_")</f>
        <v>_</v>
      </c>
      <c r="BI229" s="247" t="str">
        <f>_xlfn.IFNA(VLOOKUP(Ruimtestaat[[#This Row],[Code Weekend]],Programma!$F$4:$Y$36148,6,0),"_")</f>
        <v>_</v>
      </c>
      <c r="BJ229" s="247" t="str">
        <f>_xlfn.IFNA(VLOOKUP(Ruimtestaat[[#This Row],[Code Weekend]],Programma!$F$4:$Y$36148,7,0),"_")</f>
        <v>_</v>
      </c>
      <c r="BK229" s="247" t="str">
        <f>_xlfn.IFNA(VLOOKUP(Ruimtestaat[[#This Row],[Code Weekend]],Programma!$F$4:$Y$36148,8,0),"_")</f>
        <v>_</v>
      </c>
      <c r="BL229" s="247" t="str">
        <f>_xlfn.IFNA(VLOOKUP(Ruimtestaat[[#This Row],[Code Weekend]],Programma!$F$4:$Y$36148,9,0),"_")</f>
        <v>_</v>
      </c>
      <c r="BM229" s="248" t="str">
        <f>_xlfn.IFNA(VLOOKUP(Ruimtestaat[[#This Row],[Code Weekend]],Programma!$F$4:$Y$36148,10,0),"_")</f>
        <v>_</v>
      </c>
      <c r="BN229" s="248" t="str">
        <f>_xlfn.IFNA(VLOOKUP(Ruimtestaat[[#This Row],[Code Weekend]],Programma!$F$4:$Y$36148,11,0),"_")</f>
        <v>_</v>
      </c>
      <c r="BO229" s="248" t="str">
        <f>_xlfn.IFNA(VLOOKUP(Ruimtestaat[[#This Row],[Code Weekend]],Programma!$F$4:$Y$36148,12,0),"_")</f>
        <v>_</v>
      </c>
      <c r="BP229" s="248" t="str">
        <f>_xlfn.IFNA(VLOOKUP(Ruimtestaat[[#This Row],[Code Weekend]],Programma!$F$4:$Y$36148,13,0),"_")</f>
        <v>_</v>
      </c>
      <c r="BQ229" s="248" t="str">
        <f>_xlfn.IFNA(VLOOKUP(Ruimtestaat[[#This Row],[Code Weekend]],Programma!$F$4:$Y$36148,14,0),"_")</f>
        <v>_</v>
      </c>
      <c r="BR229" s="248" t="str">
        <f>_xlfn.IFNA(VLOOKUP(Ruimtestaat[[#This Row],[Code Weekend]],Programma!$F$4:$Y$36148,15,0),"_")</f>
        <v>_</v>
      </c>
      <c r="BS229" s="248" t="str">
        <f>_xlfn.IFNA(VLOOKUP(Ruimtestaat[[#This Row],[Code Weekend]],Programma!$F$4:$Y$36148,16,0),"_")</f>
        <v>_</v>
      </c>
      <c r="BT229" s="248" t="str">
        <f>_xlfn.IFNA(VLOOKUP(Ruimtestaat[[#This Row],[Code Weekend]],Programma!$F$4:$Y$36148,17,0),"_")</f>
        <v>_</v>
      </c>
      <c r="BU229" s="249" t="str">
        <f>_xlfn.IFNA(VLOOKUP(Ruimtestaat[[#This Row],[Code Weekend]],Programma!$F$4:$Y$36148,18,0),"_")</f>
        <v>_</v>
      </c>
      <c r="BV229" s="249" t="str">
        <f>_xlfn.IFNA(VLOOKUP(Ruimtestaat[[#This Row],[Code Weekend]],Programma!$F$4:$Y$36148,19,0),"_")</f>
        <v>_</v>
      </c>
      <c r="BW229" s="249" t="str">
        <f>_xlfn.IFNA(VLOOKUP(Ruimtestaat[[#This Row],[Code Weekend]],Programma!$F$4:$Y$36148,20,0),"_")</f>
        <v>_</v>
      </c>
    </row>
    <row r="230" spans="1:75" ht="12.75" customHeight="1">
      <c r="A230" s="334">
        <v>1</v>
      </c>
      <c r="B230" s="334" t="str">
        <f>VLOOKUP(Ruimtestaat[[#This Row],[Code]],Locaties[#All],2,FALSE)</f>
        <v>ESH Secondary School</v>
      </c>
      <c r="C230" s="212" t="str">
        <f>VLOOKUP(Ruimtestaat[[#This Row],[Code]],Locaties[#All],4,FALSE)</f>
        <v>Oostduinlaan 50</v>
      </c>
      <c r="D230" s="212" t="str">
        <f>VLOOKUP(Ruimtestaat[[#This Row],[Code]],Locaties[#All],5,FALSE)</f>
        <v>2596 JP</v>
      </c>
      <c r="E230" s="212" t="str">
        <f>VLOOKUP(Ruimtestaat[[#This Row],[Code]],Locaties[#All],6,FALSE)</f>
        <v>Den Haag</v>
      </c>
      <c r="F230" s="335"/>
      <c r="G230" s="334" t="s">
        <v>1757</v>
      </c>
      <c r="H230" s="334" t="s">
        <v>1745</v>
      </c>
      <c r="I230" s="335" t="s">
        <v>1394</v>
      </c>
      <c r="J230" s="328">
        <v>10</v>
      </c>
      <c r="K230" s="336" t="str">
        <f>VLOOKUP(J230,Ruimtegroepen[],2,FALSE)</f>
        <v>Trappenhuizen/lift</v>
      </c>
      <c r="L230" s="212" t="s">
        <v>122</v>
      </c>
      <c r="M230" s="334" t="s">
        <v>143</v>
      </c>
      <c r="N230" s="337">
        <v>7</v>
      </c>
      <c r="O230" s="331"/>
      <c r="P230" s="332" t="str">
        <f>VLOOKUP(Ruimtestaat[[#This Row],[Ruimte code]],Ruimtegroepen[],4,FALSE)</f>
        <v>V  (Verkeersruimte)</v>
      </c>
      <c r="Q230" s="332"/>
      <c r="R230" s="333">
        <v>40</v>
      </c>
      <c r="S230" s="333" t="s">
        <v>2</v>
      </c>
      <c r="T230" s="37"/>
      <c r="U230" s="37">
        <f>IF(R230&gt;0,IF(RIGHT(Ruimtestaat[[#This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30" s="37">
        <f>IF(U230&gt;0,VLOOKUP($J230,Ruimtegroepen[],3,FALSE)*VLOOKUP($L230,Vloersoorten[],3,FALSE)*VLOOKUP($S230,Frequenties[],3,FALSE)*VLOOKUP($A230,Locaties[],3,FALSE),0)</f>
        <v>0</v>
      </c>
      <c r="W230" s="37">
        <f>Ruimtestaat[[#This Row],[Uitvoeringen werkdagen]]*Ruimtestaat[[#This Row],[Oppervlak (netto)]]</f>
        <v>1400</v>
      </c>
      <c r="X230" s="37">
        <f>IF(V230&gt;0,Ruimtestaat[[#This Row],[Prest. (m2 /jaar) werkdagen]]/Ruimtestaat[[#This Row],[Norm (m2/uur) werkdagen]],0)</f>
        <v>0</v>
      </c>
      <c r="Y230" s="37">
        <f>Ruimtestaat[[#This Row],[uren / jaar werkdagen]]*Tariefsopbouw!$D$38</f>
        <v>0</v>
      </c>
      <c r="Z230" s="37">
        <f>IF(Ruimtestaat[[#This Row],[Frequentie weekend]]&gt;0,VALUE(LEFT(T230,1))*R230,0)</f>
        <v>0</v>
      </c>
      <c r="AA230" s="37">
        <f>IF($Z230&gt;0,VLOOKUP($J230,Ruimtegroepen[],3,FALSE)*VLOOKUP($L230,Vloersoorten[],3,FALSE)*VLOOKUP($T230,Frequenties[],3,FALSE)*VLOOKUP($A230,Locaties[],3,FALSE),0)</f>
        <v>0</v>
      </c>
      <c r="AB230" s="37">
        <f>Ruimtestaat[[#This Row],[Uitvoeringen weekend]]*Ruimtestaat[[#This Row],[Oppervlak (netto)]]</f>
        <v>0</v>
      </c>
      <c r="AC230" s="37">
        <f>IF(AA230&gt;0,Ruimtestaat[[#This Row],[Prest. (m2 /jaar) weekend]]/Ruimtestaat[[#This Row],[Norm (m2/uur) weekend]],0)</f>
        <v>0</v>
      </c>
      <c r="AD230" s="37">
        <f>Ruimtestaat[[#This Row],[uren / jaar weekend]]*Tariefsopbouw!$D$40</f>
        <v>0</v>
      </c>
      <c r="AE230" s="89">
        <f>Ruimtestaat[[#This Row],[Prest. (m2 /jaar) weekend]]+Ruimtestaat[[#This Row],[Prest. (m2 /jaar) werkdagen]]</f>
        <v>1400</v>
      </c>
      <c r="AF230" s="89">
        <f>Ruimtestaat[[#This Row],[uren / jaar weekend]]+Ruimtestaat[[#This Row],[uren / jaar werkdagen]]</f>
        <v>0</v>
      </c>
      <c r="AG230" s="90">
        <f>Ruimtestaat[[#This Row],[kosten / jaar weekend]]+Ruimtestaat[[#This Row],[kosten / jaar werkdagen]]</f>
        <v>0</v>
      </c>
      <c r="AH230" s="253"/>
      <c r="AI230" s="252" t="str">
        <f>IF(Ruimtestaat[[#This Row],[Frequentie werkdagen]]="","",_xlfn.CONCAT(Ruimtestaat[[#This Row],[Ruimte code]],"-",Ruimtestaat[[#This Row],[Frequentie werkdagen]]," ",Ruimtestaat[[#This Row],[Vloer code]]))</f>
        <v>10-5w S</v>
      </c>
      <c r="AJ230" s="247" t="str">
        <f>_xlfn.IFNA(VLOOKUP(Ruimtestaat[[#This Row],[Programmacode
Regulier]],Programma!$F$4:$Y$36148,2,0),"_")</f>
        <v>_</v>
      </c>
      <c r="AK230" s="247" t="str">
        <f>_xlfn.IFNA(VLOOKUP(Ruimtestaat[[#This Row],[Programmacode
Regulier]],Programma!$F$4:$Y$36148,3,0),"_")</f>
        <v>5w</v>
      </c>
      <c r="AL230" s="247" t="str">
        <f>_xlfn.IFNA(VLOOKUP(Ruimtestaat[[#This Row],[Programmacode
Regulier]],Programma!$F$4:$Y$36148,4,0),"_")</f>
        <v>_</v>
      </c>
      <c r="AM230" s="247" t="str">
        <f>_xlfn.IFNA(VLOOKUP(Ruimtestaat[[#This Row],[Programmacode
Regulier]],Programma!$F$4:$Y$36148,5,0),"_")</f>
        <v>5w</v>
      </c>
      <c r="AN230" s="247" t="str">
        <f>_xlfn.IFNA(VLOOKUP(Ruimtestaat[[#This Row],[Programmacode
Regulier]],Programma!$F$4:$Y$36148,6,0),"_")</f>
        <v>1m</v>
      </c>
      <c r="AO230" s="247" t="str">
        <f>_xlfn.IFNA(VLOOKUP(Ruimtestaat[[#This Row],[Programmacode
Regulier]],Programma!$F$4:$Y$36148,7,0),"_")</f>
        <v>_</v>
      </c>
      <c r="AP230" s="247" t="str">
        <f>_xlfn.IFNA(VLOOKUP(Ruimtestaat[[#This Row],[Programmacode
Regulier]],Programma!$F$4:$Y$36148,8,0),"_")</f>
        <v>_</v>
      </c>
      <c r="AQ230" s="247" t="str">
        <f>_xlfn.IFNA(VLOOKUP(Ruimtestaat[[#This Row],[Programmacode
Regulier]],Programma!$F$4:$Y$36148,9,0),"_")</f>
        <v>_</v>
      </c>
      <c r="AR230" s="248" t="str">
        <f>_xlfn.IFNA(VLOOKUP(Ruimtestaat[[#This Row],[Programmacode
Regulier]],Programma!$F$4:$Y$36148,10,0),"_")</f>
        <v>5w</v>
      </c>
      <c r="AS230" s="248" t="str">
        <f>_xlfn.IFNA(VLOOKUP(Ruimtestaat[[#This Row],[Programmacode
Regulier]],Programma!$F$4:$Y$36148,11,0),"_")</f>
        <v>5w</v>
      </c>
      <c r="AT230" s="248" t="str">
        <f>_xlfn.IFNA(VLOOKUP(Ruimtestaat[[#This Row],[Programmacode
Regulier]],Programma!$F$4:$Y$36148,12,0),"_")</f>
        <v>1w</v>
      </c>
      <c r="AU230" s="248" t="str">
        <f>_xlfn.IFNA(VLOOKUP(Ruimtestaat[[#This Row],[Programmacode
Regulier]],Programma!$F$4:$Y$36148,13,0),"_")</f>
        <v>1w</v>
      </c>
      <c r="AV230" s="248" t="str">
        <f>_xlfn.IFNA(VLOOKUP(Ruimtestaat[[#This Row],[Programmacode
Regulier]],Programma!$F$4:$Y$36148,14,0),"_")</f>
        <v>1m</v>
      </c>
      <c r="AW230" s="248" t="str">
        <f>_xlfn.IFNA(VLOOKUP(Ruimtestaat[[#This Row],[Programmacode
Regulier]],Programma!$F$4:$Y$36148,15,0),"_")</f>
        <v>2j</v>
      </c>
      <c r="AX230" s="248" t="str">
        <f>_xlfn.IFNA(VLOOKUP(Ruimtestaat[[#This Row],[Programmacode
Regulier]],Programma!$F$4:$Y$36148,16,0),"_")</f>
        <v>1j</v>
      </c>
      <c r="AY230" s="248" t="str">
        <f>_xlfn.IFNA(VLOOKUP(Ruimtestaat[[#This Row],[Programmacode
Regulier]],Programma!$F$4:$Y$36148,17,0),"_")</f>
        <v>_</v>
      </c>
      <c r="AZ230" s="249" t="str">
        <f>_xlfn.IFNA(VLOOKUP(Ruimtestaat[[#This Row],[Programmacode
Regulier]],Programma!$F$4:$Y$36148,18,0),"_")</f>
        <v>_</v>
      </c>
      <c r="BA230" s="249" t="str">
        <f>_xlfn.IFNA(VLOOKUP(Ruimtestaat[[#This Row],[Programmacode
Regulier]],Programma!$F$4:$Y$36148,19,0),"_")</f>
        <v>_</v>
      </c>
      <c r="BB230" s="249" t="str">
        <f>_xlfn.IFNA(VLOOKUP(Ruimtestaat[[#This Row],[Programmacode
Regulier]],Programma!$F$4:$Y$36148,20,0),"_")</f>
        <v>_</v>
      </c>
      <c r="BC230" s="250"/>
      <c r="BD230" s="212" t="str">
        <f>IF(Ruimtestaat[[#This Row],[Frequentie weekend]]="","",_xlfn.CONCAT(Ruimtestaat[[#This Row],[Ruimte code]],"-",Ruimtestaat[[#This Row],[Frequentie weekend]]," ",Ruimtestaat[[#This Row],[Vloer code]]))</f>
        <v/>
      </c>
      <c r="BE230" s="247" t="str">
        <f>_xlfn.IFNA(VLOOKUP(Ruimtestaat[[#This Row],[Code Weekend]],Programma!$F$4:$Y$36148,2,0),"_")</f>
        <v>_</v>
      </c>
      <c r="BF230" s="247" t="str">
        <f>_xlfn.IFNA(VLOOKUP(Ruimtestaat[[#This Row],[Code Weekend]],Programma!$F$4:$Y$36148,3,0),"_")</f>
        <v>_</v>
      </c>
      <c r="BG230" s="247" t="str">
        <f>_xlfn.IFNA(VLOOKUP(Ruimtestaat[[#This Row],[Code Weekend]],Programma!$F$4:$Y$36148,4,0),"_")</f>
        <v>_</v>
      </c>
      <c r="BH230" s="247" t="str">
        <f>_xlfn.IFNA(VLOOKUP(Ruimtestaat[[#This Row],[Code Weekend]],Programma!$F$4:$Y$36148,5,0),"_")</f>
        <v>_</v>
      </c>
      <c r="BI230" s="247" t="str">
        <f>_xlfn.IFNA(VLOOKUP(Ruimtestaat[[#This Row],[Code Weekend]],Programma!$F$4:$Y$36148,6,0),"_")</f>
        <v>_</v>
      </c>
      <c r="BJ230" s="247" t="str">
        <f>_xlfn.IFNA(VLOOKUP(Ruimtestaat[[#This Row],[Code Weekend]],Programma!$F$4:$Y$36148,7,0),"_")</f>
        <v>_</v>
      </c>
      <c r="BK230" s="247" t="str">
        <f>_xlfn.IFNA(VLOOKUP(Ruimtestaat[[#This Row],[Code Weekend]],Programma!$F$4:$Y$36148,8,0),"_")</f>
        <v>_</v>
      </c>
      <c r="BL230" s="247" t="str">
        <f>_xlfn.IFNA(VLOOKUP(Ruimtestaat[[#This Row],[Code Weekend]],Programma!$F$4:$Y$36148,9,0),"_")</f>
        <v>_</v>
      </c>
      <c r="BM230" s="248" t="str">
        <f>_xlfn.IFNA(VLOOKUP(Ruimtestaat[[#This Row],[Code Weekend]],Programma!$F$4:$Y$36148,10,0),"_")</f>
        <v>_</v>
      </c>
      <c r="BN230" s="248" t="str">
        <f>_xlfn.IFNA(VLOOKUP(Ruimtestaat[[#This Row],[Code Weekend]],Programma!$F$4:$Y$36148,11,0),"_")</f>
        <v>_</v>
      </c>
      <c r="BO230" s="248" t="str">
        <f>_xlfn.IFNA(VLOOKUP(Ruimtestaat[[#This Row],[Code Weekend]],Programma!$F$4:$Y$36148,12,0),"_")</f>
        <v>_</v>
      </c>
      <c r="BP230" s="248" t="str">
        <f>_xlfn.IFNA(VLOOKUP(Ruimtestaat[[#This Row],[Code Weekend]],Programma!$F$4:$Y$36148,13,0),"_")</f>
        <v>_</v>
      </c>
      <c r="BQ230" s="248" t="str">
        <f>_xlfn.IFNA(VLOOKUP(Ruimtestaat[[#This Row],[Code Weekend]],Programma!$F$4:$Y$36148,14,0),"_")</f>
        <v>_</v>
      </c>
      <c r="BR230" s="248" t="str">
        <f>_xlfn.IFNA(VLOOKUP(Ruimtestaat[[#This Row],[Code Weekend]],Programma!$F$4:$Y$36148,15,0),"_")</f>
        <v>_</v>
      </c>
      <c r="BS230" s="248" t="str">
        <f>_xlfn.IFNA(VLOOKUP(Ruimtestaat[[#This Row],[Code Weekend]],Programma!$F$4:$Y$36148,16,0),"_")</f>
        <v>_</v>
      </c>
      <c r="BT230" s="248" t="str">
        <f>_xlfn.IFNA(VLOOKUP(Ruimtestaat[[#This Row],[Code Weekend]],Programma!$F$4:$Y$36148,17,0),"_")</f>
        <v>_</v>
      </c>
      <c r="BU230" s="249" t="str">
        <f>_xlfn.IFNA(VLOOKUP(Ruimtestaat[[#This Row],[Code Weekend]],Programma!$F$4:$Y$36148,18,0),"_")</f>
        <v>_</v>
      </c>
      <c r="BV230" s="249" t="str">
        <f>_xlfn.IFNA(VLOOKUP(Ruimtestaat[[#This Row],[Code Weekend]],Programma!$F$4:$Y$36148,19,0),"_")</f>
        <v>_</v>
      </c>
      <c r="BW230" s="249" t="str">
        <f>_xlfn.IFNA(VLOOKUP(Ruimtestaat[[#This Row],[Code Weekend]],Programma!$F$4:$Y$36148,20,0),"_")</f>
        <v>_</v>
      </c>
    </row>
    <row r="231" spans="1:75" ht="12.75" customHeight="1">
      <c r="A231" s="334">
        <v>1</v>
      </c>
      <c r="B231" s="334" t="str">
        <f>VLOOKUP(Ruimtestaat[[#This Row],[Code]],Locaties[#All],2,FALSE)</f>
        <v>ESH Secondary School</v>
      </c>
      <c r="C231" s="212" t="str">
        <f>VLOOKUP(Ruimtestaat[[#This Row],[Code]],Locaties[#All],4,FALSE)</f>
        <v>Oostduinlaan 50</v>
      </c>
      <c r="D231" s="212" t="str">
        <f>VLOOKUP(Ruimtestaat[[#This Row],[Code]],Locaties[#All],5,FALSE)</f>
        <v>2596 JP</v>
      </c>
      <c r="E231" s="212" t="str">
        <f>VLOOKUP(Ruimtestaat[[#This Row],[Code]],Locaties[#All],6,FALSE)</f>
        <v>Den Haag</v>
      </c>
      <c r="F231" s="335"/>
      <c r="G231" s="334" t="s">
        <v>1757</v>
      </c>
      <c r="H231" s="334" t="s">
        <v>1746</v>
      </c>
      <c r="I231" s="335" t="s">
        <v>1395</v>
      </c>
      <c r="J231" s="252" t="s">
        <v>1422</v>
      </c>
      <c r="K231" s="336" t="str">
        <f>VLOOKUP(J231,Ruimtegroepen[],2,FALSE)</f>
        <v>Gangen/hallen andere verdiepingen</v>
      </c>
      <c r="L231" s="212" t="s">
        <v>123</v>
      </c>
      <c r="M231" s="334" t="s">
        <v>144</v>
      </c>
      <c r="N231" s="337">
        <v>140</v>
      </c>
      <c r="O231" s="331"/>
      <c r="P231" s="332" t="str">
        <f>VLOOKUP(Ruimtestaat[[#This Row],[Ruimte code]],Ruimtegroepen[],4,FALSE)</f>
        <v>V  (Verkeersruimte)</v>
      </c>
      <c r="Q231" s="332"/>
      <c r="R231" s="333">
        <v>40</v>
      </c>
      <c r="S231" s="333" t="s">
        <v>2</v>
      </c>
      <c r="T231" s="37"/>
      <c r="U231" s="37">
        <f>IF(R231&gt;0,IF(RIGHT(Ruimtestaat[[#This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31" s="37">
        <f>IF(U231&gt;0,VLOOKUP($J231,Ruimtegroepen[],3,FALSE)*VLOOKUP($L231,Vloersoorten[],3,FALSE)*VLOOKUP($S231,Frequenties[],3,FALSE)*VLOOKUP($A231,Locaties[],3,FALSE),0)</f>
        <v>0</v>
      </c>
      <c r="W231" s="37">
        <f>Ruimtestaat[[#This Row],[Uitvoeringen werkdagen]]*Ruimtestaat[[#This Row],[Oppervlak (netto)]]</f>
        <v>28000</v>
      </c>
      <c r="X231" s="37">
        <f>IF(V231&gt;0,Ruimtestaat[[#This Row],[Prest. (m2 /jaar) werkdagen]]/Ruimtestaat[[#This Row],[Norm (m2/uur) werkdagen]],0)</f>
        <v>0</v>
      </c>
      <c r="Y231" s="37">
        <f>Ruimtestaat[[#This Row],[uren / jaar werkdagen]]*Tariefsopbouw!$D$38</f>
        <v>0</v>
      </c>
      <c r="Z231" s="37">
        <f>IF(Ruimtestaat[[#This Row],[Frequentie weekend]]&gt;0,VALUE(LEFT(T231,1))*R231,0)</f>
        <v>0</v>
      </c>
      <c r="AA231" s="37">
        <f>IF($Z231&gt;0,VLOOKUP($J231,Ruimtegroepen[],3,FALSE)*VLOOKUP($L231,Vloersoorten[],3,FALSE)*VLOOKUP($T231,Frequenties[],3,FALSE)*VLOOKUP($A231,Locaties[],3,FALSE),0)</f>
        <v>0</v>
      </c>
      <c r="AB231" s="37">
        <f>Ruimtestaat[[#This Row],[Uitvoeringen weekend]]*Ruimtestaat[[#This Row],[Oppervlak (netto)]]</f>
        <v>0</v>
      </c>
      <c r="AC231" s="37">
        <f>IF(AA231&gt;0,Ruimtestaat[[#This Row],[Prest. (m2 /jaar) weekend]]/Ruimtestaat[[#This Row],[Norm (m2/uur) weekend]],0)</f>
        <v>0</v>
      </c>
      <c r="AD231" s="37">
        <f>Ruimtestaat[[#This Row],[uren / jaar weekend]]*Tariefsopbouw!$D$40</f>
        <v>0</v>
      </c>
      <c r="AE231" s="89">
        <f>Ruimtestaat[[#This Row],[Prest. (m2 /jaar) weekend]]+Ruimtestaat[[#This Row],[Prest. (m2 /jaar) werkdagen]]</f>
        <v>28000</v>
      </c>
      <c r="AF231" s="89">
        <f>Ruimtestaat[[#This Row],[uren / jaar weekend]]+Ruimtestaat[[#This Row],[uren / jaar werkdagen]]</f>
        <v>0</v>
      </c>
      <c r="AG231" s="90">
        <f>Ruimtestaat[[#This Row],[kosten / jaar weekend]]+Ruimtestaat[[#This Row],[kosten / jaar werkdagen]]</f>
        <v>0</v>
      </c>
      <c r="AH231" s="253"/>
      <c r="AI231" s="252" t="str">
        <f>IF(Ruimtestaat[[#This Row],[Frequentie werkdagen]]="","",_xlfn.CONCAT(Ruimtestaat[[#This Row],[Ruimte code]],"-",Ruimtestaat[[#This Row],[Frequentie werkdagen]]," ",Ruimtestaat[[#This Row],[Vloer code]]))</f>
        <v>6a-5w P</v>
      </c>
      <c r="AJ231" s="247" t="str">
        <f>_xlfn.IFNA(VLOOKUP(Ruimtestaat[[#This Row],[Programmacode
Regulier]],Programma!$F$4:$Y$36148,2,0),"_")</f>
        <v>_</v>
      </c>
      <c r="AK231" s="247" t="str">
        <f>_xlfn.IFNA(VLOOKUP(Ruimtestaat[[#This Row],[Programmacode
Regulier]],Programma!$F$4:$Y$36148,3,0),"_")</f>
        <v>_</v>
      </c>
      <c r="AL231" s="247" t="str">
        <f>_xlfn.IFNA(VLOOKUP(Ruimtestaat[[#This Row],[Programmacode
Regulier]],Programma!$F$4:$Y$36148,4,0),"_")</f>
        <v>5w</v>
      </c>
      <c r="AM231" s="247" t="str">
        <f>_xlfn.IFNA(VLOOKUP(Ruimtestaat[[#This Row],[Programmacode
Regulier]],Programma!$F$4:$Y$36148,5,0),"_")</f>
        <v>4w</v>
      </c>
      <c r="AN231" s="247" t="str">
        <f>_xlfn.IFNA(VLOOKUP(Ruimtestaat[[#This Row],[Programmacode
Regulier]],Programma!$F$4:$Y$36148,6,0),"_")</f>
        <v>1w</v>
      </c>
      <c r="AO231" s="247" t="str">
        <f>_xlfn.IFNA(VLOOKUP(Ruimtestaat[[#This Row],[Programmacode
Regulier]],Programma!$F$4:$Y$36148,7,0),"_")</f>
        <v>_</v>
      </c>
      <c r="AP231" s="247" t="str">
        <f>_xlfn.IFNA(VLOOKUP(Ruimtestaat[[#This Row],[Programmacode
Regulier]],Programma!$F$4:$Y$36148,8,0),"_")</f>
        <v>_</v>
      </c>
      <c r="AQ231" s="247" t="str">
        <f>_xlfn.IFNA(VLOOKUP(Ruimtestaat[[#This Row],[Programmacode
Regulier]],Programma!$F$4:$Y$36148,9,0),"_")</f>
        <v>_</v>
      </c>
      <c r="AR231" s="248" t="str">
        <f>_xlfn.IFNA(VLOOKUP(Ruimtestaat[[#This Row],[Programmacode
Regulier]],Programma!$F$4:$Y$36148,10,0),"_")</f>
        <v>5w</v>
      </c>
      <c r="AS231" s="248" t="str">
        <f>_xlfn.IFNA(VLOOKUP(Ruimtestaat[[#This Row],[Programmacode
Regulier]],Programma!$F$4:$Y$36148,11,0),"_")</f>
        <v>5w</v>
      </c>
      <c r="AT231" s="248" t="str">
        <f>_xlfn.IFNA(VLOOKUP(Ruimtestaat[[#This Row],[Programmacode
Regulier]],Programma!$F$4:$Y$36148,12,0),"_")</f>
        <v>1w</v>
      </c>
      <c r="AU231" s="248" t="str">
        <f>_xlfn.IFNA(VLOOKUP(Ruimtestaat[[#This Row],[Programmacode
Regulier]],Programma!$F$4:$Y$36148,13,0),"_")</f>
        <v>1w</v>
      </c>
      <c r="AV231" s="248" t="str">
        <f>_xlfn.IFNA(VLOOKUP(Ruimtestaat[[#This Row],[Programmacode
Regulier]],Programma!$F$4:$Y$36148,14,0),"_")</f>
        <v>1m</v>
      </c>
      <c r="AW231" s="248" t="str">
        <f>_xlfn.IFNA(VLOOKUP(Ruimtestaat[[#This Row],[Programmacode
Regulier]],Programma!$F$4:$Y$36148,15,0),"_")</f>
        <v>2j</v>
      </c>
      <c r="AX231" s="248" t="str">
        <f>_xlfn.IFNA(VLOOKUP(Ruimtestaat[[#This Row],[Programmacode
Regulier]],Programma!$F$4:$Y$36148,16,0),"_")</f>
        <v>1j</v>
      </c>
      <c r="AY231" s="248" t="str">
        <f>_xlfn.IFNA(VLOOKUP(Ruimtestaat[[#This Row],[Programmacode
Regulier]],Programma!$F$4:$Y$36148,17,0),"_")</f>
        <v>_</v>
      </c>
      <c r="AZ231" s="249" t="str">
        <f>_xlfn.IFNA(VLOOKUP(Ruimtestaat[[#This Row],[Programmacode
Regulier]],Programma!$F$4:$Y$36148,18,0),"_")</f>
        <v>_</v>
      </c>
      <c r="BA231" s="249" t="str">
        <f>_xlfn.IFNA(VLOOKUP(Ruimtestaat[[#This Row],[Programmacode
Regulier]],Programma!$F$4:$Y$36148,19,0),"_")</f>
        <v>_</v>
      </c>
      <c r="BB231" s="249" t="str">
        <f>_xlfn.IFNA(VLOOKUP(Ruimtestaat[[#This Row],[Programmacode
Regulier]],Programma!$F$4:$Y$36148,20,0),"_")</f>
        <v>_</v>
      </c>
      <c r="BC231" s="250"/>
      <c r="BD231" s="212" t="str">
        <f>IF(Ruimtestaat[[#This Row],[Frequentie weekend]]="","",_xlfn.CONCAT(Ruimtestaat[[#This Row],[Ruimte code]],"-",Ruimtestaat[[#This Row],[Frequentie weekend]]," ",Ruimtestaat[[#This Row],[Vloer code]]))</f>
        <v/>
      </c>
      <c r="BE231" s="247" t="str">
        <f>_xlfn.IFNA(VLOOKUP(Ruimtestaat[[#This Row],[Code Weekend]],Programma!$F$4:$Y$36148,2,0),"_")</f>
        <v>_</v>
      </c>
      <c r="BF231" s="247" t="str">
        <f>_xlfn.IFNA(VLOOKUP(Ruimtestaat[[#This Row],[Code Weekend]],Programma!$F$4:$Y$36148,3,0),"_")</f>
        <v>_</v>
      </c>
      <c r="BG231" s="247" t="str">
        <f>_xlfn.IFNA(VLOOKUP(Ruimtestaat[[#This Row],[Code Weekend]],Programma!$F$4:$Y$36148,4,0),"_")</f>
        <v>_</v>
      </c>
      <c r="BH231" s="247" t="str">
        <f>_xlfn.IFNA(VLOOKUP(Ruimtestaat[[#This Row],[Code Weekend]],Programma!$F$4:$Y$36148,5,0),"_")</f>
        <v>_</v>
      </c>
      <c r="BI231" s="247" t="str">
        <f>_xlfn.IFNA(VLOOKUP(Ruimtestaat[[#This Row],[Code Weekend]],Programma!$F$4:$Y$36148,6,0),"_")</f>
        <v>_</v>
      </c>
      <c r="BJ231" s="247" t="str">
        <f>_xlfn.IFNA(VLOOKUP(Ruimtestaat[[#This Row],[Code Weekend]],Programma!$F$4:$Y$36148,7,0),"_")</f>
        <v>_</v>
      </c>
      <c r="BK231" s="247" t="str">
        <f>_xlfn.IFNA(VLOOKUP(Ruimtestaat[[#This Row],[Code Weekend]],Programma!$F$4:$Y$36148,8,0),"_")</f>
        <v>_</v>
      </c>
      <c r="BL231" s="247" t="str">
        <f>_xlfn.IFNA(VLOOKUP(Ruimtestaat[[#This Row],[Code Weekend]],Programma!$F$4:$Y$36148,9,0),"_")</f>
        <v>_</v>
      </c>
      <c r="BM231" s="248" t="str">
        <f>_xlfn.IFNA(VLOOKUP(Ruimtestaat[[#This Row],[Code Weekend]],Programma!$F$4:$Y$36148,10,0),"_")</f>
        <v>_</v>
      </c>
      <c r="BN231" s="248" t="str">
        <f>_xlfn.IFNA(VLOOKUP(Ruimtestaat[[#This Row],[Code Weekend]],Programma!$F$4:$Y$36148,11,0),"_")</f>
        <v>_</v>
      </c>
      <c r="BO231" s="248" t="str">
        <f>_xlfn.IFNA(VLOOKUP(Ruimtestaat[[#This Row],[Code Weekend]],Programma!$F$4:$Y$36148,12,0),"_")</f>
        <v>_</v>
      </c>
      <c r="BP231" s="248" t="str">
        <f>_xlfn.IFNA(VLOOKUP(Ruimtestaat[[#This Row],[Code Weekend]],Programma!$F$4:$Y$36148,13,0),"_")</f>
        <v>_</v>
      </c>
      <c r="BQ231" s="248" t="str">
        <f>_xlfn.IFNA(VLOOKUP(Ruimtestaat[[#This Row],[Code Weekend]],Programma!$F$4:$Y$36148,14,0),"_")</f>
        <v>_</v>
      </c>
      <c r="BR231" s="248" t="str">
        <f>_xlfn.IFNA(VLOOKUP(Ruimtestaat[[#This Row],[Code Weekend]],Programma!$F$4:$Y$36148,15,0),"_")</f>
        <v>_</v>
      </c>
      <c r="BS231" s="248" t="str">
        <f>_xlfn.IFNA(VLOOKUP(Ruimtestaat[[#This Row],[Code Weekend]],Programma!$F$4:$Y$36148,16,0),"_")</f>
        <v>_</v>
      </c>
      <c r="BT231" s="248" t="str">
        <f>_xlfn.IFNA(VLOOKUP(Ruimtestaat[[#This Row],[Code Weekend]],Programma!$F$4:$Y$36148,17,0),"_")</f>
        <v>_</v>
      </c>
      <c r="BU231" s="249" t="str">
        <f>_xlfn.IFNA(VLOOKUP(Ruimtestaat[[#This Row],[Code Weekend]],Programma!$F$4:$Y$36148,18,0),"_")</f>
        <v>_</v>
      </c>
      <c r="BV231" s="249" t="str">
        <f>_xlfn.IFNA(VLOOKUP(Ruimtestaat[[#This Row],[Code Weekend]],Programma!$F$4:$Y$36148,19,0),"_")</f>
        <v>_</v>
      </c>
      <c r="BW231" s="249" t="str">
        <f>_xlfn.IFNA(VLOOKUP(Ruimtestaat[[#This Row],[Code Weekend]],Programma!$F$4:$Y$36148,20,0),"_")</f>
        <v>_</v>
      </c>
    </row>
    <row r="232" spans="1:75" ht="12.75" customHeight="1">
      <c r="A232" s="334">
        <v>1</v>
      </c>
      <c r="B232" s="334" t="str">
        <f>VLOOKUP(Ruimtestaat[[#This Row],[Code]],Locaties[#All],2,FALSE)</f>
        <v>ESH Secondary School</v>
      </c>
      <c r="C232" s="212" t="str">
        <f>VLOOKUP(Ruimtestaat[[#This Row],[Code]],Locaties[#All],4,FALSE)</f>
        <v>Oostduinlaan 50</v>
      </c>
      <c r="D232" s="212" t="str">
        <f>VLOOKUP(Ruimtestaat[[#This Row],[Code]],Locaties[#All],5,FALSE)</f>
        <v>2596 JP</v>
      </c>
      <c r="E232" s="212" t="str">
        <f>VLOOKUP(Ruimtestaat[[#This Row],[Code]],Locaties[#All],6,FALSE)</f>
        <v>Den Haag</v>
      </c>
      <c r="F232" s="335"/>
      <c r="G232" s="334" t="s">
        <v>1757</v>
      </c>
      <c r="H232" s="334" t="s">
        <v>1747</v>
      </c>
      <c r="I232" s="335" t="s">
        <v>1756</v>
      </c>
      <c r="J232" s="212">
        <v>3</v>
      </c>
      <c r="K232" s="336" t="str">
        <f>VLOOKUP(J232,Ruimtegroepen[],2,FALSE)</f>
        <v>Reproruimte</v>
      </c>
      <c r="L232" s="212" t="s">
        <v>123</v>
      </c>
      <c r="M232" s="334" t="s">
        <v>144</v>
      </c>
      <c r="N232" s="337">
        <v>2</v>
      </c>
      <c r="O232" s="331"/>
      <c r="P232" s="332" t="str">
        <f>VLOOKUP(Ruimtestaat[[#This Row],[Ruimte code]],Ruimtegroepen[],4,FALSE)</f>
        <v>V  (Verkeersruimte)</v>
      </c>
      <c r="Q232" s="332"/>
      <c r="R232" s="333">
        <v>40</v>
      </c>
      <c r="S232" s="333" t="s">
        <v>2</v>
      </c>
      <c r="T232" s="37"/>
      <c r="U232" s="37">
        <f>IF(R232&gt;0,IF(RIGHT(Ruimtestaat[[#This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32" s="37">
        <f>IF(U232&gt;0,VLOOKUP($J232,Ruimtegroepen[],3,FALSE)*VLOOKUP($L232,Vloersoorten[],3,FALSE)*VLOOKUP($S232,Frequenties[],3,FALSE)*VLOOKUP($A232,Locaties[],3,FALSE),0)</f>
        <v>0</v>
      </c>
      <c r="W232" s="37">
        <f>Ruimtestaat[[#This Row],[Uitvoeringen werkdagen]]*Ruimtestaat[[#This Row],[Oppervlak (netto)]]</f>
        <v>400</v>
      </c>
      <c r="X232" s="37">
        <f>IF(V232&gt;0,Ruimtestaat[[#This Row],[Prest. (m2 /jaar) werkdagen]]/Ruimtestaat[[#This Row],[Norm (m2/uur) werkdagen]],0)</f>
        <v>0</v>
      </c>
      <c r="Y232" s="37">
        <f>Ruimtestaat[[#This Row],[uren / jaar werkdagen]]*Tariefsopbouw!$D$38</f>
        <v>0</v>
      </c>
      <c r="Z232" s="37">
        <f>IF(Ruimtestaat[[#This Row],[Frequentie weekend]]&gt;0,VALUE(LEFT(T232,1))*R232,0)</f>
        <v>0</v>
      </c>
      <c r="AA232" s="37">
        <f>IF($Z232&gt;0,VLOOKUP($J232,Ruimtegroepen[],3,FALSE)*VLOOKUP($L232,Vloersoorten[],3,FALSE)*VLOOKUP($T232,Frequenties[],3,FALSE)*VLOOKUP($A232,Locaties[],3,FALSE),0)</f>
        <v>0</v>
      </c>
      <c r="AB232" s="37">
        <f>Ruimtestaat[[#This Row],[Uitvoeringen weekend]]*Ruimtestaat[[#This Row],[Oppervlak (netto)]]</f>
        <v>0</v>
      </c>
      <c r="AC232" s="37">
        <f>IF(AA232&gt;0,Ruimtestaat[[#This Row],[Prest. (m2 /jaar) weekend]]/Ruimtestaat[[#This Row],[Norm (m2/uur) weekend]],0)</f>
        <v>0</v>
      </c>
      <c r="AD232" s="37">
        <f>Ruimtestaat[[#This Row],[uren / jaar weekend]]*Tariefsopbouw!$D$40</f>
        <v>0</v>
      </c>
      <c r="AE232" s="89">
        <f>Ruimtestaat[[#This Row],[Prest. (m2 /jaar) weekend]]+Ruimtestaat[[#This Row],[Prest. (m2 /jaar) werkdagen]]</f>
        <v>400</v>
      </c>
      <c r="AF232" s="89">
        <f>Ruimtestaat[[#This Row],[uren / jaar weekend]]+Ruimtestaat[[#This Row],[uren / jaar werkdagen]]</f>
        <v>0</v>
      </c>
      <c r="AG232" s="90">
        <f>Ruimtestaat[[#This Row],[kosten / jaar weekend]]+Ruimtestaat[[#This Row],[kosten / jaar werkdagen]]</f>
        <v>0</v>
      </c>
      <c r="AH232" s="253"/>
      <c r="AI232" s="252" t="str">
        <f>IF(Ruimtestaat[[#This Row],[Frequentie werkdagen]]="","",_xlfn.CONCAT(Ruimtestaat[[#This Row],[Ruimte code]],"-",Ruimtestaat[[#This Row],[Frequentie werkdagen]]," ",Ruimtestaat[[#This Row],[Vloer code]]))</f>
        <v>3-5w P</v>
      </c>
      <c r="AJ232" s="247" t="str">
        <f>_xlfn.IFNA(VLOOKUP(Ruimtestaat[[#This Row],[Programmacode
Regulier]],Programma!$F$4:$Y$36148,2,0),"_")</f>
        <v>_</v>
      </c>
      <c r="AK232" s="247" t="str">
        <f>_xlfn.IFNA(VLOOKUP(Ruimtestaat[[#This Row],[Programmacode
Regulier]],Programma!$F$4:$Y$36148,3,0),"_")</f>
        <v>_</v>
      </c>
      <c r="AL232" s="247" t="str">
        <f>_xlfn.IFNA(VLOOKUP(Ruimtestaat[[#This Row],[Programmacode
Regulier]],Programma!$F$4:$Y$36148,4,0),"_")</f>
        <v>5w</v>
      </c>
      <c r="AM232" s="247" t="str">
        <f>_xlfn.IFNA(VLOOKUP(Ruimtestaat[[#This Row],[Programmacode
Regulier]],Programma!$F$4:$Y$36148,5,0),"_")</f>
        <v>1w</v>
      </c>
      <c r="AN232" s="247" t="str">
        <f>_xlfn.IFNA(VLOOKUP(Ruimtestaat[[#This Row],[Programmacode
Regulier]],Programma!$F$4:$Y$36148,6,0),"_")</f>
        <v>1m</v>
      </c>
      <c r="AO232" s="247" t="str">
        <f>_xlfn.IFNA(VLOOKUP(Ruimtestaat[[#This Row],[Programmacode
Regulier]],Programma!$F$4:$Y$36148,7,0),"_")</f>
        <v>_</v>
      </c>
      <c r="AP232" s="247" t="str">
        <f>_xlfn.IFNA(VLOOKUP(Ruimtestaat[[#This Row],[Programmacode
Regulier]],Programma!$F$4:$Y$36148,8,0),"_")</f>
        <v>_</v>
      </c>
      <c r="AQ232" s="247" t="str">
        <f>_xlfn.IFNA(VLOOKUP(Ruimtestaat[[#This Row],[Programmacode
Regulier]],Programma!$F$4:$Y$36148,9,0),"_")</f>
        <v>_</v>
      </c>
      <c r="AR232" s="248" t="str">
        <f>_xlfn.IFNA(VLOOKUP(Ruimtestaat[[#This Row],[Programmacode
Regulier]],Programma!$F$4:$Y$36148,10,0),"_")</f>
        <v>5w</v>
      </c>
      <c r="AS232" s="248" t="str">
        <f>_xlfn.IFNA(VLOOKUP(Ruimtestaat[[#This Row],[Programmacode
Regulier]],Programma!$F$4:$Y$36148,11,0),"_")</f>
        <v>5w</v>
      </c>
      <c r="AT232" s="248" t="str">
        <f>_xlfn.IFNA(VLOOKUP(Ruimtestaat[[#This Row],[Programmacode
Regulier]],Programma!$F$4:$Y$36148,12,0),"_")</f>
        <v>1w</v>
      </c>
      <c r="AU232" s="248" t="str">
        <f>_xlfn.IFNA(VLOOKUP(Ruimtestaat[[#This Row],[Programmacode
Regulier]],Programma!$F$4:$Y$36148,13,0),"_")</f>
        <v>1w</v>
      </c>
      <c r="AV232" s="248" t="str">
        <f>_xlfn.IFNA(VLOOKUP(Ruimtestaat[[#This Row],[Programmacode
Regulier]],Programma!$F$4:$Y$36148,14,0),"_")</f>
        <v>1m</v>
      </c>
      <c r="AW232" s="248" t="str">
        <f>_xlfn.IFNA(VLOOKUP(Ruimtestaat[[#This Row],[Programmacode
Regulier]],Programma!$F$4:$Y$36148,15,0),"_")</f>
        <v>2j</v>
      </c>
      <c r="AX232" s="248" t="str">
        <f>_xlfn.IFNA(VLOOKUP(Ruimtestaat[[#This Row],[Programmacode
Regulier]],Programma!$F$4:$Y$36148,16,0),"_")</f>
        <v>1j</v>
      </c>
      <c r="AY232" s="248" t="str">
        <f>_xlfn.IFNA(VLOOKUP(Ruimtestaat[[#This Row],[Programmacode
Regulier]],Programma!$F$4:$Y$36148,17,0),"_")</f>
        <v>_</v>
      </c>
      <c r="AZ232" s="249" t="str">
        <f>_xlfn.IFNA(VLOOKUP(Ruimtestaat[[#This Row],[Programmacode
Regulier]],Programma!$F$4:$Y$36148,18,0),"_")</f>
        <v>_</v>
      </c>
      <c r="BA232" s="249" t="str">
        <f>_xlfn.IFNA(VLOOKUP(Ruimtestaat[[#This Row],[Programmacode
Regulier]],Programma!$F$4:$Y$36148,19,0),"_")</f>
        <v>_</v>
      </c>
      <c r="BB232" s="249" t="str">
        <f>_xlfn.IFNA(VLOOKUP(Ruimtestaat[[#This Row],[Programmacode
Regulier]],Programma!$F$4:$Y$36148,20,0),"_")</f>
        <v>_</v>
      </c>
      <c r="BC232" s="250"/>
      <c r="BD232" s="212" t="str">
        <f>IF(Ruimtestaat[[#This Row],[Frequentie weekend]]="","",_xlfn.CONCAT(Ruimtestaat[[#This Row],[Ruimte code]],"-",Ruimtestaat[[#This Row],[Frequentie weekend]]," ",Ruimtestaat[[#This Row],[Vloer code]]))</f>
        <v/>
      </c>
      <c r="BE232" s="247" t="str">
        <f>_xlfn.IFNA(VLOOKUP(Ruimtestaat[[#This Row],[Code Weekend]],Programma!$F$4:$Y$36148,2,0),"_")</f>
        <v>_</v>
      </c>
      <c r="BF232" s="247" t="str">
        <f>_xlfn.IFNA(VLOOKUP(Ruimtestaat[[#This Row],[Code Weekend]],Programma!$F$4:$Y$36148,3,0),"_")</f>
        <v>_</v>
      </c>
      <c r="BG232" s="247" t="str">
        <f>_xlfn.IFNA(VLOOKUP(Ruimtestaat[[#This Row],[Code Weekend]],Programma!$F$4:$Y$36148,4,0),"_")</f>
        <v>_</v>
      </c>
      <c r="BH232" s="247" t="str">
        <f>_xlfn.IFNA(VLOOKUP(Ruimtestaat[[#This Row],[Code Weekend]],Programma!$F$4:$Y$36148,5,0),"_")</f>
        <v>_</v>
      </c>
      <c r="BI232" s="247" t="str">
        <f>_xlfn.IFNA(VLOOKUP(Ruimtestaat[[#This Row],[Code Weekend]],Programma!$F$4:$Y$36148,6,0),"_")</f>
        <v>_</v>
      </c>
      <c r="BJ232" s="247" t="str">
        <f>_xlfn.IFNA(VLOOKUP(Ruimtestaat[[#This Row],[Code Weekend]],Programma!$F$4:$Y$36148,7,0),"_")</f>
        <v>_</v>
      </c>
      <c r="BK232" s="247" t="str">
        <f>_xlfn.IFNA(VLOOKUP(Ruimtestaat[[#This Row],[Code Weekend]],Programma!$F$4:$Y$36148,8,0),"_")</f>
        <v>_</v>
      </c>
      <c r="BL232" s="247" t="str">
        <f>_xlfn.IFNA(VLOOKUP(Ruimtestaat[[#This Row],[Code Weekend]],Programma!$F$4:$Y$36148,9,0),"_")</f>
        <v>_</v>
      </c>
      <c r="BM232" s="248" t="str">
        <f>_xlfn.IFNA(VLOOKUP(Ruimtestaat[[#This Row],[Code Weekend]],Programma!$F$4:$Y$36148,10,0),"_")</f>
        <v>_</v>
      </c>
      <c r="BN232" s="248" t="str">
        <f>_xlfn.IFNA(VLOOKUP(Ruimtestaat[[#This Row],[Code Weekend]],Programma!$F$4:$Y$36148,11,0),"_")</f>
        <v>_</v>
      </c>
      <c r="BO232" s="248" t="str">
        <f>_xlfn.IFNA(VLOOKUP(Ruimtestaat[[#This Row],[Code Weekend]],Programma!$F$4:$Y$36148,12,0),"_")</f>
        <v>_</v>
      </c>
      <c r="BP232" s="248" t="str">
        <f>_xlfn.IFNA(VLOOKUP(Ruimtestaat[[#This Row],[Code Weekend]],Programma!$F$4:$Y$36148,13,0),"_")</f>
        <v>_</v>
      </c>
      <c r="BQ232" s="248" t="str">
        <f>_xlfn.IFNA(VLOOKUP(Ruimtestaat[[#This Row],[Code Weekend]],Programma!$F$4:$Y$36148,14,0),"_")</f>
        <v>_</v>
      </c>
      <c r="BR232" s="248" t="str">
        <f>_xlfn.IFNA(VLOOKUP(Ruimtestaat[[#This Row],[Code Weekend]],Programma!$F$4:$Y$36148,15,0),"_")</f>
        <v>_</v>
      </c>
      <c r="BS232" s="248" t="str">
        <f>_xlfn.IFNA(VLOOKUP(Ruimtestaat[[#This Row],[Code Weekend]],Programma!$F$4:$Y$36148,16,0),"_")</f>
        <v>_</v>
      </c>
      <c r="BT232" s="248" t="str">
        <f>_xlfn.IFNA(VLOOKUP(Ruimtestaat[[#This Row],[Code Weekend]],Programma!$F$4:$Y$36148,17,0),"_")</f>
        <v>_</v>
      </c>
      <c r="BU232" s="249" t="str">
        <f>_xlfn.IFNA(VLOOKUP(Ruimtestaat[[#This Row],[Code Weekend]],Programma!$F$4:$Y$36148,18,0),"_")</f>
        <v>_</v>
      </c>
      <c r="BV232" s="249" t="str">
        <f>_xlfn.IFNA(VLOOKUP(Ruimtestaat[[#This Row],[Code Weekend]],Programma!$F$4:$Y$36148,19,0),"_")</f>
        <v>_</v>
      </c>
      <c r="BW232" s="249" t="str">
        <f>_xlfn.IFNA(VLOOKUP(Ruimtestaat[[#This Row],[Code Weekend]],Programma!$F$4:$Y$36148,20,0),"_")</f>
        <v>_</v>
      </c>
    </row>
    <row r="233" spans="1:75" ht="12.75" customHeight="1">
      <c r="A233" s="334">
        <v>1</v>
      </c>
      <c r="B233" s="334" t="str">
        <f>VLOOKUP(Ruimtestaat[[#This Row],[Code]],Locaties[#All],2,FALSE)</f>
        <v>ESH Secondary School</v>
      </c>
      <c r="C233" s="212" t="str">
        <f>VLOOKUP(Ruimtestaat[[#This Row],[Code]],Locaties[#All],4,FALSE)</f>
        <v>Oostduinlaan 50</v>
      </c>
      <c r="D233" s="212" t="str">
        <f>VLOOKUP(Ruimtestaat[[#This Row],[Code]],Locaties[#All],5,FALSE)</f>
        <v>2596 JP</v>
      </c>
      <c r="E233" s="212" t="str">
        <f>VLOOKUP(Ruimtestaat[[#This Row],[Code]],Locaties[#All],6,FALSE)</f>
        <v>Den Haag</v>
      </c>
      <c r="F233" s="335"/>
      <c r="G233" s="334" t="s">
        <v>1757</v>
      </c>
      <c r="H233" s="334" t="s">
        <v>1748</v>
      </c>
      <c r="I233" s="335" t="s">
        <v>1494</v>
      </c>
      <c r="J233" s="328">
        <v>5</v>
      </c>
      <c r="K233" s="336" t="str">
        <f>VLOOKUP(J233,Ruimtegroepen[],2,FALSE)</f>
        <v>Sanitair</v>
      </c>
      <c r="L233" s="212" t="s">
        <v>122</v>
      </c>
      <c r="M233" s="334" t="s">
        <v>1764</v>
      </c>
      <c r="N233" s="337">
        <v>7</v>
      </c>
      <c r="O233" s="331"/>
      <c r="P233" s="332" t="str">
        <f>VLOOKUP(Ruimtestaat[[#This Row],[Ruimte code]],Ruimtegroepen[],4,FALSE)</f>
        <v>S  (Sanitair)</v>
      </c>
      <c r="Q233" s="332"/>
      <c r="R233" s="333">
        <v>40</v>
      </c>
      <c r="S233" s="333" t="s">
        <v>19</v>
      </c>
      <c r="T233" s="37"/>
      <c r="U233" s="37">
        <f>IF(R233&gt;0,IF(RIGHT(Ruimtestaat[[#This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233" s="37">
        <f>IF(U233&gt;0,VLOOKUP($J233,Ruimtegroepen[],3,FALSE)*VLOOKUP($L233,Vloersoorten[],3,FALSE)*VLOOKUP($S233,Frequenties[],3,FALSE)*VLOOKUP($A233,Locaties[],3,FALSE),0)</f>
        <v>0</v>
      </c>
      <c r="W233" s="37">
        <f>Ruimtestaat[[#This Row],[Uitvoeringen werkdagen]]*Ruimtestaat[[#This Row],[Oppervlak (netto)]]</f>
        <v>2800</v>
      </c>
      <c r="X233" s="37">
        <f>IF(V233&gt;0,Ruimtestaat[[#This Row],[Prest. (m2 /jaar) werkdagen]]/Ruimtestaat[[#This Row],[Norm (m2/uur) werkdagen]],0)</f>
        <v>0</v>
      </c>
      <c r="Y233" s="37">
        <f>Ruimtestaat[[#This Row],[uren / jaar werkdagen]]*Tariefsopbouw!$D$38</f>
        <v>0</v>
      </c>
      <c r="Z233" s="37">
        <f>IF(Ruimtestaat[[#This Row],[Frequentie weekend]]&gt;0,VALUE(LEFT(T233,1))*R233,0)</f>
        <v>0</v>
      </c>
      <c r="AA233" s="37">
        <f>IF($Z233&gt;0,VLOOKUP($J233,Ruimtegroepen[],3,FALSE)*VLOOKUP($L233,Vloersoorten[],3,FALSE)*VLOOKUP($T233,Frequenties[],3,FALSE)*VLOOKUP($A233,Locaties[],3,FALSE),0)</f>
        <v>0</v>
      </c>
      <c r="AB233" s="37">
        <f>Ruimtestaat[[#This Row],[Uitvoeringen weekend]]*Ruimtestaat[[#This Row],[Oppervlak (netto)]]</f>
        <v>0</v>
      </c>
      <c r="AC233" s="37">
        <f>IF(AA233&gt;0,Ruimtestaat[[#This Row],[Prest. (m2 /jaar) weekend]]/Ruimtestaat[[#This Row],[Norm (m2/uur) weekend]],0)</f>
        <v>0</v>
      </c>
      <c r="AD233" s="37">
        <f>Ruimtestaat[[#This Row],[uren / jaar weekend]]*Tariefsopbouw!$D$40</f>
        <v>0</v>
      </c>
      <c r="AE233" s="89">
        <f>Ruimtestaat[[#This Row],[Prest. (m2 /jaar) weekend]]+Ruimtestaat[[#This Row],[Prest. (m2 /jaar) werkdagen]]</f>
        <v>2800</v>
      </c>
      <c r="AF233" s="89">
        <f>Ruimtestaat[[#This Row],[uren / jaar weekend]]+Ruimtestaat[[#This Row],[uren / jaar werkdagen]]</f>
        <v>0</v>
      </c>
      <c r="AG233" s="90">
        <f>Ruimtestaat[[#This Row],[kosten / jaar weekend]]+Ruimtestaat[[#This Row],[kosten / jaar werkdagen]]</f>
        <v>0</v>
      </c>
      <c r="AH233" s="253"/>
      <c r="AI233" s="252" t="str">
        <f>IF(Ruimtestaat[[#This Row],[Frequentie werkdagen]]="","",_xlfn.CONCAT(Ruimtestaat[[#This Row],[Ruimte code]],"-",Ruimtestaat[[#This Row],[Frequentie werkdagen]]," ",Ruimtestaat[[#This Row],[Vloer code]]))</f>
        <v>5-10w S</v>
      </c>
      <c r="AJ233" s="247" t="str">
        <f>_xlfn.IFNA(VLOOKUP(Ruimtestaat[[#This Row],[Programmacode
Regulier]],Programma!$F$4:$Y$36148,2,0),"_")</f>
        <v>_</v>
      </c>
      <c r="AK233" s="247" t="str">
        <f>_xlfn.IFNA(VLOOKUP(Ruimtestaat[[#This Row],[Programmacode
Regulier]],Programma!$F$4:$Y$36148,3,0),"_")</f>
        <v>_</v>
      </c>
      <c r="AL233" s="247" t="str">
        <f>_xlfn.IFNA(VLOOKUP(Ruimtestaat[[#This Row],[Programmacode
Regulier]],Programma!$F$4:$Y$36148,4,0),"_")</f>
        <v>_</v>
      </c>
      <c r="AM233" s="247" t="str">
        <f>_xlfn.IFNA(VLOOKUP(Ruimtestaat[[#This Row],[Programmacode
Regulier]],Programma!$F$4:$Y$36148,5,0),"_")</f>
        <v>4w</v>
      </c>
      <c r="AN233" s="247" t="str">
        <f>_xlfn.IFNA(VLOOKUP(Ruimtestaat[[#This Row],[Programmacode
Regulier]],Programma!$F$4:$Y$36148,6,0),"_")</f>
        <v>1w</v>
      </c>
      <c r="AO233" s="247" t="str">
        <f>_xlfn.IFNA(VLOOKUP(Ruimtestaat[[#This Row],[Programmacode
Regulier]],Programma!$F$4:$Y$36148,7,0),"_")</f>
        <v>_</v>
      </c>
      <c r="AP233" s="247" t="str">
        <f>_xlfn.IFNA(VLOOKUP(Ruimtestaat[[#This Row],[Programmacode
Regulier]],Programma!$F$4:$Y$36148,8,0),"_")</f>
        <v>_</v>
      </c>
      <c r="AQ233" s="247" t="str">
        <f>_xlfn.IFNA(VLOOKUP(Ruimtestaat[[#This Row],[Programmacode
Regulier]],Programma!$F$4:$Y$36148,9,0),"_")</f>
        <v>5w</v>
      </c>
      <c r="AR233" s="248" t="str">
        <f>_xlfn.IFNA(VLOOKUP(Ruimtestaat[[#This Row],[Programmacode
Regulier]],Programma!$F$4:$Y$36148,10,0),"_")</f>
        <v>_</v>
      </c>
      <c r="AS233" s="248" t="str">
        <f>_xlfn.IFNA(VLOOKUP(Ruimtestaat[[#This Row],[Programmacode
Regulier]],Programma!$F$4:$Y$36148,11,0),"_")</f>
        <v>_</v>
      </c>
      <c r="AT233" s="248" t="str">
        <f>_xlfn.IFNA(VLOOKUP(Ruimtestaat[[#This Row],[Programmacode
Regulier]],Programma!$F$4:$Y$36148,12,0),"_")</f>
        <v>_</v>
      </c>
      <c r="AU233" s="248" t="str">
        <f>_xlfn.IFNA(VLOOKUP(Ruimtestaat[[#This Row],[Programmacode
Regulier]],Programma!$F$4:$Y$36148,13,0),"_")</f>
        <v>_</v>
      </c>
      <c r="AV233" s="248" t="str">
        <f>_xlfn.IFNA(VLOOKUP(Ruimtestaat[[#This Row],[Programmacode
Regulier]],Programma!$F$4:$Y$36148,14,0),"_")</f>
        <v>_</v>
      </c>
      <c r="AW233" s="248" t="str">
        <f>_xlfn.IFNA(VLOOKUP(Ruimtestaat[[#This Row],[Programmacode
Regulier]],Programma!$F$4:$Y$36148,15,0),"_")</f>
        <v>_</v>
      </c>
      <c r="AX233" s="248" t="str">
        <f>_xlfn.IFNA(VLOOKUP(Ruimtestaat[[#This Row],[Programmacode
Regulier]],Programma!$F$4:$Y$36148,16,0),"_")</f>
        <v>_</v>
      </c>
      <c r="AY233" s="248" t="str">
        <f>_xlfn.IFNA(VLOOKUP(Ruimtestaat[[#This Row],[Programmacode
Regulier]],Programma!$F$4:$Y$36148,17,0),"_")</f>
        <v>_</v>
      </c>
      <c r="AZ233" s="249" t="str">
        <f>_xlfn.IFNA(VLOOKUP(Ruimtestaat[[#This Row],[Programmacode
Regulier]],Programma!$F$4:$Y$36148,18,0),"_")</f>
        <v>4w</v>
      </c>
      <c r="BA233" s="249" t="str">
        <f>_xlfn.IFNA(VLOOKUP(Ruimtestaat[[#This Row],[Programmacode
Regulier]],Programma!$F$4:$Y$36148,19,0),"_")</f>
        <v>1w</v>
      </c>
      <c r="BB233" s="249" t="str">
        <f>_xlfn.IFNA(VLOOKUP(Ruimtestaat[[#This Row],[Programmacode
Regulier]],Programma!$F$4:$Y$36148,20,0),"_")</f>
        <v>5w</v>
      </c>
      <c r="BC233" s="250"/>
      <c r="BD233" s="212" t="str">
        <f>IF(Ruimtestaat[[#This Row],[Frequentie weekend]]="","",_xlfn.CONCAT(Ruimtestaat[[#This Row],[Ruimte code]],"-",Ruimtestaat[[#This Row],[Frequentie weekend]]," ",Ruimtestaat[[#This Row],[Vloer code]]))</f>
        <v/>
      </c>
      <c r="BE233" s="247" t="str">
        <f>_xlfn.IFNA(VLOOKUP(Ruimtestaat[[#This Row],[Code Weekend]],Programma!$F$4:$Y$36148,2,0),"_")</f>
        <v>_</v>
      </c>
      <c r="BF233" s="247" t="str">
        <f>_xlfn.IFNA(VLOOKUP(Ruimtestaat[[#This Row],[Code Weekend]],Programma!$F$4:$Y$36148,3,0),"_")</f>
        <v>_</v>
      </c>
      <c r="BG233" s="247" t="str">
        <f>_xlfn.IFNA(VLOOKUP(Ruimtestaat[[#This Row],[Code Weekend]],Programma!$F$4:$Y$36148,4,0),"_")</f>
        <v>_</v>
      </c>
      <c r="BH233" s="247" t="str">
        <f>_xlfn.IFNA(VLOOKUP(Ruimtestaat[[#This Row],[Code Weekend]],Programma!$F$4:$Y$36148,5,0),"_")</f>
        <v>_</v>
      </c>
      <c r="BI233" s="247" t="str">
        <f>_xlfn.IFNA(VLOOKUP(Ruimtestaat[[#This Row],[Code Weekend]],Programma!$F$4:$Y$36148,6,0),"_")</f>
        <v>_</v>
      </c>
      <c r="BJ233" s="247" t="str">
        <f>_xlfn.IFNA(VLOOKUP(Ruimtestaat[[#This Row],[Code Weekend]],Programma!$F$4:$Y$36148,7,0),"_")</f>
        <v>_</v>
      </c>
      <c r="BK233" s="247" t="str">
        <f>_xlfn.IFNA(VLOOKUP(Ruimtestaat[[#This Row],[Code Weekend]],Programma!$F$4:$Y$36148,8,0),"_")</f>
        <v>_</v>
      </c>
      <c r="BL233" s="247" t="str">
        <f>_xlfn.IFNA(VLOOKUP(Ruimtestaat[[#This Row],[Code Weekend]],Programma!$F$4:$Y$36148,9,0),"_")</f>
        <v>_</v>
      </c>
      <c r="BM233" s="248" t="str">
        <f>_xlfn.IFNA(VLOOKUP(Ruimtestaat[[#This Row],[Code Weekend]],Programma!$F$4:$Y$36148,10,0),"_")</f>
        <v>_</v>
      </c>
      <c r="BN233" s="248" t="str">
        <f>_xlfn.IFNA(VLOOKUP(Ruimtestaat[[#This Row],[Code Weekend]],Programma!$F$4:$Y$36148,11,0),"_")</f>
        <v>_</v>
      </c>
      <c r="BO233" s="248" t="str">
        <f>_xlfn.IFNA(VLOOKUP(Ruimtestaat[[#This Row],[Code Weekend]],Programma!$F$4:$Y$36148,12,0),"_")</f>
        <v>_</v>
      </c>
      <c r="BP233" s="248" t="str">
        <f>_xlfn.IFNA(VLOOKUP(Ruimtestaat[[#This Row],[Code Weekend]],Programma!$F$4:$Y$36148,13,0),"_")</f>
        <v>_</v>
      </c>
      <c r="BQ233" s="248" t="str">
        <f>_xlfn.IFNA(VLOOKUP(Ruimtestaat[[#This Row],[Code Weekend]],Programma!$F$4:$Y$36148,14,0),"_")</f>
        <v>_</v>
      </c>
      <c r="BR233" s="248" t="str">
        <f>_xlfn.IFNA(VLOOKUP(Ruimtestaat[[#This Row],[Code Weekend]],Programma!$F$4:$Y$36148,15,0),"_")</f>
        <v>_</v>
      </c>
      <c r="BS233" s="248" t="str">
        <f>_xlfn.IFNA(VLOOKUP(Ruimtestaat[[#This Row],[Code Weekend]],Programma!$F$4:$Y$36148,16,0),"_")</f>
        <v>_</v>
      </c>
      <c r="BT233" s="248" t="str">
        <f>_xlfn.IFNA(VLOOKUP(Ruimtestaat[[#This Row],[Code Weekend]],Programma!$F$4:$Y$36148,17,0),"_")</f>
        <v>_</v>
      </c>
      <c r="BU233" s="249" t="str">
        <f>_xlfn.IFNA(VLOOKUP(Ruimtestaat[[#This Row],[Code Weekend]],Programma!$F$4:$Y$36148,18,0),"_")</f>
        <v>_</v>
      </c>
      <c r="BV233" s="249" t="str">
        <f>_xlfn.IFNA(VLOOKUP(Ruimtestaat[[#This Row],[Code Weekend]],Programma!$F$4:$Y$36148,19,0),"_")</f>
        <v>_</v>
      </c>
      <c r="BW233" s="249" t="str">
        <f>_xlfn.IFNA(VLOOKUP(Ruimtestaat[[#This Row],[Code Weekend]],Programma!$F$4:$Y$36148,20,0),"_")</f>
        <v>_</v>
      </c>
    </row>
    <row r="234" spans="1:75" ht="12.75" customHeight="1">
      <c r="A234" s="334">
        <v>1</v>
      </c>
      <c r="B234" s="334" t="str">
        <f>VLOOKUP(Ruimtestaat[[#This Row],[Code]],Locaties[#All],2,FALSE)</f>
        <v>ESH Secondary School</v>
      </c>
      <c r="C234" s="212" t="str">
        <f>VLOOKUP(Ruimtestaat[[#This Row],[Code]],Locaties[#All],4,FALSE)</f>
        <v>Oostduinlaan 50</v>
      </c>
      <c r="D234" s="212" t="str">
        <f>VLOOKUP(Ruimtestaat[[#This Row],[Code]],Locaties[#All],5,FALSE)</f>
        <v>2596 JP</v>
      </c>
      <c r="E234" s="212" t="str">
        <f>VLOOKUP(Ruimtestaat[[#This Row],[Code]],Locaties[#All],6,FALSE)</f>
        <v>Den Haag</v>
      </c>
      <c r="F234" s="335"/>
      <c r="G234" s="334" t="s">
        <v>1757</v>
      </c>
      <c r="H234" s="334" t="s">
        <v>1749</v>
      </c>
      <c r="I234" s="335" t="s">
        <v>1493</v>
      </c>
      <c r="J234" s="328">
        <v>5</v>
      </c>
      <c r="K234" s="336" t="str">
        <f>VLOOKUP(J234,Ruimtegroepen[],2,FALSE)</f>
        <v>Sanitair</v>
      </c>
      <c r="L234" s="212" t="s">
        <v>122</v>
      </c>
      <c r="M234" s="334" t="s">
        <v>1764</v>
      </c>
      <c r="N234" s="337">
        <v>7</v>
      </c>
      <c r="O234" s="331"/>
      <c r="P234" s="332" t="str">
        <f>VLOOKUP(Ruimtestaat[[#This Row],[Ruimte code]],Ruimtegroepen[],4,FALSE)</f>
        <v>S  (Sanitair)</v>
      </c>
      <c r="Q234" s="332"/>
      <c r="R234" s="333">
        <v>40</v>
      </c>
      <c r="S234" s="333" t="s">
        <v>19</v>
      </c>
      <c r="T234" s="37"/>
      <c r="U234" s="37">
        <f>IF(R234&gt;0,IF(RIGHT(Ruimtestaat[[#This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234" s="37">
        <f>IF(U234&gt;0,VLOOKUP($J234,Ruimtegroepen[],3,FALSE)*VLOOKUP($L234,Vloersoorten[],3,FALSE)*VLOOKUP($S234,Frequenties[],3,FALSE)*VLOOKUP($A234,Locaties[],3,FALSE),0)</f>
        <v>0</v>
      </c>
      <c r="W234" s="37">
        <f>Ruimtestaat[[#This Row],[Uitvoeringen werkdagen]]*Ruimtestaat[[#This Row],[Oppervlak (netto)]]</f>
        <v>2800</v>
      </c>
      <c r="X234" s="37">
        <f>IF(V234&gt;0,Ruimtestaat[[#This Row],[Prest. (m2 /jaar) werkdagen]]/Ruimtestaat[[#This Row],[Norm (m2/uur) werkdagen]],0)</f>
        <v>0</v>
      </c>
      <c r="Y234" s="37">
        <f>Ruimtestaat[[#This Row],[uren / jaar werkdagen]]*Tariefsopbouw!$D$38</f>
        <v>0</v>
      </c>
      <c r="Z234" s="37">
        <f>IF(Ruimtestaat[[#This Row],[Frequentie weekend]]&gt;0,VALUE(LEFT(T234,1))*R234,0)</f>
        <v>0</v>
      </c>
      <c r="AA234" s="37">
        <f>IF($Z234&gt;0,VLOOKUP($J234,Ruimtegroepen[],3,FALSE)*VLOOKUP($L234,Vloersoorten[],3,FALSE)*VLOOKUP($T234,Frequenties[],3,FALSE)*VLOOKUP($A234,Locaties[],3,FALSE),0)</f>
        <v>0</v>
      </c>
      <c r="AB234" s="37">
        <f>Ruimtestaat[[#This Row],[Uitvoeringen weekend]]*Ruimtestaat[[#This Row],[Oppervlak (netto)]]</f>
        <v>0</v>
      </c>
      <c r="AC234" s="37">
        <f>IF(AA234&gt;0,Ruimtestaat[[#This Row],[Prest. (m2 /jaar) weekend]]/Ruimtestaat[[#This Row],[Norm (m2/uur) weekend]],0)</f>
        <v>0</v>
      </c>
      <c r="AD234" s="37">
        <f>Ruimtestaat[[#This Row],[uren / jaar weekend]]*Tariefsopbouw!$D$40</f>
        <v>0</v>
      </c>
      <c r="AE234" s="89">
        <f>Ruimtestaat[[#This Row],[Prest. (m2 /jaar) weekend]]+Ruimtestaat[[#This Row],[Prest. (m2 /jaar) werkdagen]]</f>
        <v>2800</v>
      </c>
      <c r="AF234" s="89">
        <f>Ruimtestaat[[#This Row],[uren / jaar weekend]]+Ruimtestaat[[#This Row],[uren / jaar werkdagen]]</f>
        <v>0</v>
      </c>
      <c r="AG234" s="90">
        <f>Ruimtestaat[[#This Row],[kosten / jaar weekend]]+Ruimtestaat[[#This Row],[kosten / jaar werkdagen]]</f>
        <v>0</v>
      </c>
      <c r="AH234" s="253"/>
      <c r="AI234" s="252" t="str">
        <f>IF(Ruimtestaat[[#This Row],[Frequentie werkdagen]]="","",_xlfn.CONCAT(Ruimtestaat[[#This Row],[Ruimte code]],"-",Ruimtestaat[[#This Row],[Frequentie werkdagen]]," ",Ruimtestaat[[#This Row],[Vloer code]]))</f>
        <v>5-10w S</v>
      </c>
      <c r="AJ234" s="247" t="str">
        <f>_xlfn.IFNA(VLOOKUP(Ruimtestaat[[#This Row],[Programmacode
Regulier]],Programma!$F$4:$Y$36148,2,0),"_")</f>
        <v>_</v>
      </c>
      <c r="AK234" s="247" t="str">
        <f>_xlfn.IFNA(VLOOKUP(Ruimtestaat[[#This Row],[Programmacode
Regulier]],Programma!$F$4:$Y$36148,3,0),"_")</f>
        <v>_</v>
      </c>
      <c r="AL234" s="247" t="str">
        <f>_xlfn.IFNA(VLOOKUP(Ruimtestaat[[#This Row],[Programmacode
Regulier]],Programma!$F$4:$Y$36148,4,0),"_")</f>
        <v>_</v>
      </c>
      <c r="AM234" s="247" t="str">
        <f>_xlfn.IFNA(VLOOKUP(Ruimtestaat[[#This Row],[Programmacode
Regulier]],Programma!$F$4:$Y$36148,5,0),"_")</f>
        <v>4w</v>
      </c>
      <c r="AN234" s="247" t="str">
        <f>_xlfn.IFNA(VLOOKUP(Ruimtestaat[[#This Row],[Programmacode
Regulier]],Programma!$F$4:$Y$36148,6,0),"_")</f>
        <v>1w</v>
      </c>
      <c r="AO234" s="247" t="str">
        <f>_xlfn.IFNA(VLOOKUP(Ruimtestaat[[#This Row],[Programmacode
Regulier]],Programma!$F$4:$Y$36148,7,0),"_")</f>
        <v>_</v>
      </c>
      <c r="AP234" s="247" t="str">
        <f>_xlfn.IFNA(VLOOKUP(Ruimtestaat[[#This Row],[Programmacode
Regulier]],Programma!$F$4:$Y$36148,8,0),"_")</f>
        <v>_</v>
      </c>
      <c r="AQ234" s="247" t="str">
        <f>_xlfn.IFNA(VLOOKUP(Ruimtestaat[[#This Row],[Programmacode
Regulier]],Programma!$F$4:$Y$36148,9,0),"_")</f>
        <v>5w</v>
      </c>
      <c r="AR234" s="248" t="str">
        <f>_xlfn.IFNA(VLOOKUP(Ruimtestaat[[#This Row],[Programmacode
Regulier]],Programma!$F$4:$Y$36148,10,0),"_")</f>
        <v>_</v>
      </c>
      <c r="AS234" s="248" t="str">
        <f>_xlfn.IFNA(VLOOKUP(Ruimtestaat[[#This Row],[Programmacode
Regulier]],Programma!$F$4:$Y$36148,11,0),"_")</f>
        <v>_</v>
      </c>
      <c r="AT234" s="248" t="str">
        <f>_xlfn.IFNA(VLOOKUP(Ruimtestaat[[#This Row],[Programmacode
Regulier]],Programma!$F$4:$Y$36148,12,0),"_")</f>
        <v>_</v>
      </c>
      <c r="AU234" s="248" t="str">
        <f>_xlfn.IFNA(VLOOKUP(Ruimtestaat[[#This Row],[Programmacode
Regulier]],Programma!$F$4:$Y$36148,13,0),"_")</f>
        <v>_</v>
      </c>
      <c r="AV234" s="248" t="str">
        <f>_xlfn.IFNA(VLOOKUP(Ruimtestaat[[#This Row],[Programmacode
Regulier]],Programma!$F$4:$Y$36148,14,0),"_")</f>
        <v>_</v>
      </c>
      <c r="AW234" s="248" t="str">
        <f>_xlfn.IFNA(VLOOKUP(Ruimtestaat[[#This Row],[Programmacode
Regulier]],Programma!$F$4:$Y$36148,15,0),"_")</f>
        <v>_</v>
      </c>
      <c r="AX234" s="248" t="str">
        <f>_xlfn.IFNA(VLOOKUP(Ruimtestaat[[#This Row],[Programmacode
Regulier]],Programma!$F$4:$Y$36148,16,0),"_")</f>
        <v>_</v>
      </c>
      <c r="AY234" s="248" t="str">
        <f>_xlfn.IFNA(VLOOKUP(Ruimtestaat[[#This Row],[Programmacode
Regulier]],Programma!$F$4:$Y$36148,17,0),"_")</f>
        <v>_</v>
      </c>
      <c r="AZ234" s="249" t="str">
        <f>_xlfn.IFNA(VLOOKUP(Ruimtestaat[[#This Row],[Programmacode
Regulier]],Programma!$F$4:$Y$36148,18,0),"_")</f>
        <v>4w</v>
      </c>
      <c r="BA234" s="249" t="str">
        <f>_xlfn.IFNA(VLOOKUP(Ruimtestaat[[#This Row],[Programmacode
Regulier]],Programma!$F$4:$Y$36148,19,0),"_")</f>
        <v>1w</v>
      </c>
      <c r="BB234" s="249" t="str">
        <f>_xlfn.IFNA(VLOOKUP(Ruimtestaat[[#This Row],[Programmacode
Regulier]],Programma!$F$4:$Y$36148,20,0),"_")</f>
        <v>5w</v>
      </c>
      <c r="BC234" s="250"/>
      <c r="BD234" s="212" t="str">
        <f>IF(Ruimtestaat[[#This Row],[Frequentie weekend]]="","",_xlfn.CONCAT(Ruimtestaat[[#This Row],[Ruimte code]],"-",Ruimtestaat[[#This Row],[Frequentie weekend]]," ",Ruimtestaat[[#This Row],[Vloer code]]))</f>
        <v/>
      </c>
      <c r="BE234" s="247" t="str">
        <f>_xlfn.IFNA(VLOOKUP(Ruimtestaat[[#This Row],[Code Weekend]],Programma!$F$4:$Y$36148,2,0),"_")</f>
        <v>_</v>
      </c>
      <c r="BF234" s="247" t="str">
        <f>_xlfn.IFNA(VLOOKUP(Ruimtestaat[[#This Row],[Code Weekend]],Programma!$F$4:$Y$36148,3,0),"_")</f>
        <v>_</v>
      </c>
      <c r="BG234" s="247" t="str">
        <f>_xlfn.IFNA(VLOOKUP(Ruimtestaat[[#This Row],[Code Weekend]],Programma!$F$4:$Y$36148,4,0),"_")</f>
        <v>_</v>
      </c>
      <c r="BH234" s="247" t="str">
        <f>_xlfn.IFNA(VLOOKUP(Ruimtestaat[[#This Row],[Code Weekend]],Programma!$F$4:$Y$36148,5,0),"_")</f>
        <v>_</v>
      </c>
      <c r="BI234" s="247" t="str">
        <f>_xlfn.IFNA(VLOOKUP(Ruimtestaat[[#This Row],[Code Weekend]],Programma!$F$4:$Y$36148,6,0),"_")</f>
        <v>_</v>
      </c>
      <c r="BJ234" s="247" t="str">
        <f>_xlfn.IFNA(VLOOKUP(Ruimtestaat[[#This Row],[Code Weekend]],Programma!$F$4:$Y$36148,7,0),"_")</f>
        <v>_</v>
      </c>
      <c r="BK234" s="247" t="str">
        <f>_xlfn.IFNA(VLOOKUP(Ruimtestaat[[#This Row],[Code Weekend]],Programma!$F$4:$Y$36148,8,0),"_")</f>
        <v>_</v>
      </c>
      <c r="BL234" s="247" t="str">
        <f>_xlfn.IFNA(VLOOKUP(Ruimtestaat[[#This Row],[Code Weekend]],Programma!$F$4:$Y$36148,9,0),"_")</f>
        <v>_</v>
      </c>
      <c r="BM234" s="248" t="str">
        <f>_xlfn.IFNA(VLOOKUP(Ruimtestaat[[#This Row],[Code Weekend]],Programma!$F$4:$Y$36148,10,0),"_")</f>
        <v>_</v>
      </c>
      <c r="BN234" s="248" t="str">
        <f>_xlfn.IFNA(VLOOKUP(Ruimtestaat[[#This Row],[Code Weekend]],Programma!$F$4:$Y$36148,11,0),"_")</f>
        <v>_</v>
      </c>
      <c r="BO234" s="248" t="str">
        <f>_xlfn.IFNA(VLOOKUP(Ruimtestaat[[#This Row],[Code Weekend]],Programma!$F$4:$Y$36148,12,0),"_")</f>
        <v>_</v>
      </c>
      <c r="BP234" s="248" t="str">
        <f>_xlfn.IFNA(VLOOKUP(Ruimtestaat[[#This Row],[Code Weekend]],Programma!$F$4:$Y$36148,13,0),"_")</f>
        <v>_</v>
      </c>
      <c r="BQ234" s="248" t="str">
        <f>_xlfn.IFNA(VLOOKUP(Ruimtestaat[[#This Row],[Code Weekend]],Programma!$F$4:$Y$36148,14,0),"_")</f>
        <v>_</v>
      </c>
      <c r="BR234" s="248" t="str">
        <f>_xlfn.IFNA(VLOOKUP(Ruimtestaat[[#This Row],[Code Weekend]],Programma!$F$4:$Y$36148,15,0),"_")</f>
        <v>_</v>
      </c>
      <c r="BS234" s="248" t="str">
        <f>_xlfn.IFNA(VLOOKUP(Ruimtestaat[[#This Row],[Code Weekend]],Programma!$F$4:$Y$36148,16,0),"_")</f>
        <v>_</v>
      </c>
      <c r="BT234" s="248" t="str">
        <f>_xlfn.IFNA(VLOOKUP(Ruimtestaat[[#This Row],[Code Weekend]],Programma!$F$4:$Y$36148,17,0),"_")</f>
        <v>_</v>
      </c>
      <c r="BU234" s="249" t="str">
        <f>_xlfn.IFNA(VLOOKUP(Ruimtestaat[[#This Row],[Code Weekend]],Programma!$F$4:$Y$36148,18,0),"_")</f>
        <v>_</v>
      </c>
      <c r="BV234" s="249" t="str">
        <f>_xlfn.IFNA(VLOOKUP(Ruimtestaat[[#This Row],[Code Weekend]],Programma!$F$4:$Y$36148,19,0),"_")</f>
        <v>_</v>
      </c>
      <c r="BW234" s="249" t="str">
        <f>_xlfn.IFNA(VLOOKUP(Ruimtestaat[[#This Row],[Code Weekend]],Programma!$F$4:$Y$36148,20,0),"_")</f>
        <v>_</v>
      </c>
    </row>
    <row r="235" spans="1:75" ht="12.75" customHeight="1">
      <c r="A235" s="334">
        <v>1</v>
      </c>
      <c r="B235" s="334" t="str">
        <f>VLOOKUP(Ruimtestaat[[#This Row],[Code]],Locaties[#All],2,FALSE)</f>
        <v>ESH Secondary School</v>
      </c>
      <c r="C235" s="212" t="str">
        <f>VLOOKUP(Ruimtestaat[[#This Row],[Code]],Locaties[#All],4,FALSE)</f>
        <v>Oostduinlaan 50</v>
      </c>
      <c r="D235" s="212" t="str">
        <f>VLOOKUP(Ruimtestaat[[#This Row],[Code]],Locaties[#All],5,FALSE)</f>
        <v>2596 JP</v>
      </c>
      <c r="E235" s="212" t="str">
        <f>VLOOKUP(Ruimtestaat[[#This Row],[Code]],Locaties[#All],6,FALSE)</f>
        <v>Den Haag</v>
      </c>
      <c r="F235" s="335"/>
      <c r="G235" s="334" t="s">
        <v>1757</v>
      </c>
      <c r="H235" s="334" t="s">
        <v>1789</v>
      </c>
      <c r="I235" s="335" t="s">
        <v>1397</v>
      </c>
      <c r="J235" s="328">
        <v>21</v>
      </c>
      <c r="K235" s="336" t="str">
        <f>VLOOKUP(J235,Ruimtegroepen[],2,FALSE)</f>
        <v>Niet in onderhoud</v>
      </c>
      <c r="L235" s="212"/>
      <c r="M235" s="334"/>
      <c r="N235" s="337"/>
      <c r="O235" s="331">
        <v>1</v>
      </c>
      <c r="P235" s="332" t="str">
        <f>VLOOKUP(Ruimtestaat[[#This Row],[Ruimte code]],Ruimtegroepen[],4,FALSE)</f>
        <v>NIO</v>
      </c>
      <c r="Q235" s="332"/>
      <c r="R235" s="333"/>
      <c r="S235" s="333"/>
      <c r="T235" s="37"/>
      <c r="U235" s="37">
        <f>IF(R235&gt;0,IF(RIGHT(Ruimtestaat[[#This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235" s="37">
        <f>IF(U235&gt;0,VLOOKUP($J235,Ruimtegroepen[],3,FALSE)*VLOOKUP($L235,Vloersoorten[],3,FALSE)*VLOOKUP($S235,Frequenties[],3,FALSE)*VLOOKUP($A235,Locaties[],3,FALSE),0)</f>
        <v>0</v>
      </c>
      <c r="W235" s="37">
        <f>Ruimtestaat[[#This Row],[Uitvoeringen werkdagen]]*Ruimtestaat[[#This Row],[Oppervlak (netto)]]</f>
        <v>0</v>
      </c>
      <c r="X235" s="37">
        <f>IF(V235&gt;0,Ruimtestaat[[#This Row],[Prest. (m2 /jaar) werkdagen]]/Ruimtestaat[[#This Row],[Norm (m2/uur) werkdagen]],0)</f>
        <v>0</v>
      </c>
      <c r="Y235" s="37">
        <f>Ruimtestaat[[#This Row],[uren / jaar werkdagen]]*Tariefsopbouw!$D$38</f>
        <v>0</v>
      </c>
      <c r="Z235" s="37">
        <f>IF(Ruimtestaat[[#This Row],[Frequentie weekend]]&gt;0,VALUE(LEFT(T235,1))*R235,0)</f>
        <v>0</v>
      </c>
      <c r="AA235" s="37">
        <f>IF($Z235&gt;0,VLOOKUP($J235,Ruimtegroepen[],3,FALSE)*VLOOKUP($L235,Vloersoorten[],3,FALSE)*VLOOKUP($T235,Frequenties[],3,FALSE)*VLOOKUP($A235,Locaties[],3,FALSE),0)</f>
        <v>0</v>
      </c>
      <c r="AB235" s="37">
        <f>Ruimtestaat[[#This Row],[Uitvoeringen weekend]]*Ruimtestaat[[#This Row],[Oppervlak (netto)]]</f>
        <v>0</v>
      </c>
      <c r="AC235" s="37">
        <f>IF(AA235&gt;0,Ruimtestaat[[#This Row],[Prest. (m2 /jaar) weekend]]/Ruimtestaat[[#This Row],[Norm (m2/uur) weekend]],0)</f>
        <v>0</v>
      </c>
      <c r="AD235" s="37">
        <f>Ruimtestaat[[#This Row],[uren / jaar weekend]]*Tariefsopbouw!$D$40</f>
        <v>0</v>
      </c>
      <c r="AE235" s="89">
        <f>Ruimtestaat[[#This Row],[Prest. (m2 /jaar) weekend]]+Ruimtestaat[[#This Row],[Prest. (m2 /jaar) werkdagen]]</f>
        <v>0</v>
      </c>
      <c r="AF235" s="89">
        <f>Ruimtestaat[[#This Row],[uren / jaar weekend]]+Ruimtestaat[[#This Row],[uren / jaar werkdagen]]</f>
        <v>0</v>
      </c>
      <c r="AG235" s="90">
        <f>Ruimtestaat[[#This Row],[kosten / jaar weekend]]+Ruimtestaat[[#This Row],[kosten / jaar werkdagen]]</f>
        <v>0</v>
      </c>
      <c r="AH235" s="253"/>
      <c r="AI235" s="252" t="str">
        <f>IF(Ruimtestaat[[#This Row],[Frequentie werkdagen]]="","",_xlfn.CONCAT(Ruimtestaat[[#This Row],[Ruimte code]],"-",Ruimtestaat[[#This Row],[Frequentie werkdagen]]," ",Ruimtestaat[[#This Row],[Vloer code]]))</f>
        <v/>
      </c>
      <c r="AJ235" s="247" t="str">
        <f>_xlfn.IFNA(VLOOKUP(Ruimtestaat[[#This Row],[Programmacode
Regulier]],Programma!$F$4:$Y$36148,2,0),"_")</f>
        <v>_</v>
      </c>
      <c r="AK235" s="247" t="str">
        <f>_xlfn.IFNA(VLOOKUP(Ruimtestaat[[#This Row],[Programmacode
Regulier]],Programma!$F$4:$Y$36148,3,0),"_")</f>
        <v>_</v>
      </c>
      <c r="AL235" s="247" t="str">
        <f>_xlfn.IFNA(VLOOKUP(Ruimtestaat[[#This Row],[Programmacode
Regulier]],Programma!$F$4:$Y$36148,4,0),"_")</f>
        <v>_</v>
      </c>
      <c r="AM235" s="247" t="str">
        <f>_xlfn.IFNA(VLOOKUP(Ruimtestaat[[#This Row],[Programmacode
Regulier]],Programma!$F$4:$Y$36148,5,0),"_")</f>
        <v>_</v>
      </c>
      <c r="AN235" s="247" t="str">
        <f>_xlfn.IFNA(VLOOKUP(Ruimtestaat[[#This Row],[Programmacode
Regulier]],Programma!$F$4:$Y$36148,6,0),"_")</f>
        <v>_</v>
      </c>
      <c r="AO235" s="247" t="str">
        <f>_xlfn.IFNA(VLOOKUP(Ruimtestaat[[#This Row],[Programmacode
Regulier]],Programma!$F$4:$Y$36148,7,0),"_")</f>
        <v>_</v>
      </c>
      <c r="AP235" s="247" t="str">
        <f>_xlfn.IFNA(VLOOKUP(Ruimtestaat[[#This Row],[Programmacode
Regulier]],Programma!$F$4:$Y$36148,8,0),"_")</f>
        <v>_</v>
      </c>
      <c r="AQ235" s="247" t="str">
        <f>_xlfn.IFNA(VLOOKUP(Ruimtestaat[[#This Row],[Programmacode
Regulier]],Programma!$F$4:$Y$36148,9,0),"_")</f>
        <v>_</v>
      </c>
      <c r="AR235" s="248" t="str">
        <f>_xlfn.IFNA(VLOOKUP(Ruimtestaat[[#This Row],[Programmacode
Regulier]],Programma!$F$4:$Y$36148,10,0),"_")</f>
        <v>_</v>
      </c>
      <c r="AS235" s="248" t="str">
        <f>_xlfn.IFNA(VLOOKUP(Ruimtestaat[[#This Row],[Programmacode
Regulier]],Programma!$F$4:$Y$36148,11,0),"_")</f>
        <v>_</v>
      </c>
      <c r="AT235" s="248" t="str">
        <f>_xlfn.IFNA(VLOOKUP(Ruimtestaat[[#This Row],[Programmacode
Regulier]],Programma!$F$4:$Y$36148,12,0),"_")</f>
        <v>_</v>
      </c>
      <c r="AU235" s="248" t="str">
        <f>_xlfn.IFNA(VLOOKUP(Ruimtestaat[[#This Row],[Programmacode
Regulier]],Programma!$F$4:$Y$36148,13,0),"_")</f>
        <v>_</v>
      </c>
      <c r="AV235" s="248" t="str">
        <f>_xlfn.IFNA(VLOOKUP(Ruimtestaat[[#This Row],[Programmacode
Regulier]],Programma!$F$4:$Y$36148,14,0),"_")</f>
        <v>_</v>
      </c>
      <c r="AW235" s="248" t="str">
        <f>_xlfn.IFNA(VLOOKUP(Ruimtestaat[[#This Row],[Programmacode
Regulier]],Programma!$F$4:$Y$36148,15,0),"_")</f>
        <v>_</v>
      </c>
      <c r="AX235" s="248" t="str">
        <f>_xlfn.IFNA(VLOOKUP(Ruimtestaat[[#This Row],[Programmacode
Regulier]],Programma!$F$4:$Y$36148,16,0),"_")</f>
        <v>_</v>
      </c>
      <c r="AY235" s="248" t="str">
        <f>_xlfn.IFNA(VLOOKUP(Ruimtestaat[[#This Row],[Programmacode
Regulier]],Programma!$F$4:$Y$36148,17,0),"_")</f>
        <v>_</v>
      </c>
      <c r="AZ235" s="249" t="str">
        <f>_xlfn.IFNA(VLOOKUP(Ruimtestaat[[#This Row],[Programmacode
Regulier]],Programma!$F$4:$Y$36148,18,0),"_")</f>
        <v>_</v>
      </c>
      <c r="BA235" s="249" t="str">
        <f>_xlfn.IFNA(VLOOKUP(Ruimtestaat[[#This Row],[Programmacode
Regulier]],Programma!$F$4:$Y$36148,19,0),"_")</f>
        <v>_</v>
      </c>
      <c r="BB235" s="249" t="str">
        <f>_xlfn.IFNA(VLOOKUP(Ruimtestaat[[#This Row],[Programmacode
Regulier]],Programma!$F$4:$Y$36148,20,0),"_")</f>
        <v>_</v>
      </c>
      <c r="BC235" s="250"/>
      <c r="BD235" s="212" t="str">
        <f>IF(Ruimtestaat[[#This Row],[Frequentie weekend]]="","",_xlfn.CONCAT(Ruimtestaat[[#This Row],[Ruimte code]],"-",Ruimtestaat[[#This Row],[Frequentie weekend]]," ",Ruimtestaat[[#This Row],[Vloer code]]))</f>
        <v/>
      </c>
      <c r="BE235" s="247" t="str">
        <f>_xlfn.IFNA(VLOOKUP(Ruimtestaat[[#This Row],[Code Weekend]],Programma!$F$4:$Y$36148,2,0),"_")</f>
        <v>_</v>
      </c>
      <c r="BF235" s="247" t="str">
        <f>_xlfn.IFNA(VLOOKUP(Ruimtestaat[[#This Row],[Code Weekend]],Programma!$F$4:$Y$36148,3,0),"_")</f>
        <v>_</v>
      </c>
      <c r="BG235" s="247" t="str">
        <f>_xlfn.IFNA(VLOOKUP(Ruimtestaat[[#This Row],[Code Weekend]],Programma!$F$4:$Y$36148,4,0),"_")</f>
        <v>_</v>
      </c>
      <c r="BH235" s="247" t="str">
        <f>_xlfn.IFNA(VLOOKUP(Ruimtestaat[[#This Row],[Code Weekend]],Programma!$F$4:$Y$36148,5,0),"_")</f>
        <v>_</v>
      </c>
      <c r="BI235" s="247" t="str">
        <f>_xlfn.IFNA(VLOOKUP(Ruimtestaat[[#This Row],[Code Weekend]],Programma!$F$4:$Y$36148,6,0),"_")</f>
        <v>_</v>
      </c>
      <c r="BJ235" s="247" t="str">
        <f>_xlfn.IFNA(VLOOKUP(Ruimtestaat[[#This Row],[Code Weekend]],Programma!$F$4:$Y$36148,7,0),"_")</f>
        <v>_</v>
      </c>
      <c r="BK235" s="247" t="str">
        <f>_xlfn.IFNA(VLOOKUP(Ruimtestaat[[#This Row],[Code Weekend]],Programma!$F$4:$Y$36148,8,0),"_")</f>
        <v>_</v>
      </c>
      <c r="BL235" s="247" t="str">
        <f>_xlfn.IFNA(VLOOKUP(Ruimtestaat[[#This Row],[Code Weekend]],Programma!$F$4:$Y$36148,9,0),"_")</f>
        <v>_</v>
      </c>
      <c r="BM235" s="248" t="str">
        <f>_xlfn.IFNA(VLOOKUP(Ruimtestaat[[#This Row],[Code Weekend]],Programma!$F$4:$Y$36148,10,0),"_")</f>
        <v>_</v>
      </c>
      <c r="BN235" s="248" t="str">
        <f>_xlfn.IFNA(VLOOKUP(Ruimtestaat[[#This Row],[Code Weekend]],Programma!$F$4:$Y$36148,11,0),"_")</f>
        <v>_</v>
      </c>
      <c r="BO235" s="248" t="str">
        <f>_xlfn.IFNA(VLOOKUP(Ruimtestaat[[#This Row],[Code Weekend]],Programma!$F$4:$Y$36148,12,0),"_")</f>
        <v>_</v>
      </c>
      <c r="BP235" s="248" t="str">
        <f>_xlfn.IFNA(VLOOKUP(Ruimtestaat[[#This Row],[Code Weekend]],Programma!$F$4:$Y$36148,13,0),"_")</f>
        <v>_</v>
      </c>
      <c r="BQ235" s="248" t="str">
        <f>_xlfn.IFNA(VLOOKUP(Ruimtestaat[[#This Row],[Code Weekend]],Programma!$F$4:$Y$36148,14,0),"_")</f>
        <v>_</v>
      </c>
      <c r="BR235" s="248" t="str">
        <f>_xlfn.IFNA(VLOOKUP(Ruimtestaat[[#This Row],[Code Weekend]],Programma!$F$4:$Y$36148,15,0),"_")</f>
        <v>_</v>
      </c>
      <c r="BS235" s="248" t="str">
        <f>_xlfn.IFNA(VLOOKUP(Ruimtestaat[[#This Row],[Code Weekend]],Programma!$F$4:$Y$36148,16,0),"_")</f>
        <v>_</v>
      </c>
      <c r="BT235" s="248" t="str">
        <f>_xlfn.IFNA(VLOOKUP(Ruimtestaat[[#This Row],[Code Weekend]],Programma!$F$4:$Y$36148,17,0),"_")</f>
        <v>_</v>
      </c>
      <c r="BU235" s="249" t="str">
        <f>_xlfn.IFNA(VLOOKUP(Ruimtestaat[[#This Row],[Code Weekend]],Programma!$F$4:$Y$36148,18,0),"_")</f>
        <v>_</v>
      </c>
      <c r="BV235" s="249" t="str">
        <f>_xlfn.IFNA(VLOOKUP(Ruimtestaat[[#This Row],[Code Weekend]],Programma!$F$4:$Y$36148,19,0),"_")</f>
        <v>_</v>
      </c>
      <c r="BW235" s="249" t="str">
        <f>_xlfn.IFNA(VLOOKUP(Ruimtestaat[[#This Row],[Code Weekend]],Programma!$F$4:$Y$36148,20,0),"_")</f>
        <v>_</v>
      </c>
    </row>
    <row r="236" spans="1:75" ht="12.75" customHeight="1">
      <c r="D236" s="211"/>
      <c r="E236" s="211"/>
      <c r="F236" s="211"/>
      <c r="G236" s="211"/>
      <c r="H236" s="334"/>
      <c r="I236" s="335"/>
      <c r="J236" s="334"/>
      <c r="K236" s="335"/>
      <c r="L236" s="334"/>
      <c r="M236" s="354"/>
      <c r="N236" s="354"/>
      <c r="O236" s="355"/>
      <c r="P236" s="332"/>
      <c r="Q236" s="332"/>
      <c r="R236" s="211"/>
      <c r="S236" s="356"/>
      <c r="AH236" s="253"/>
    </row>
    <row r="237" spans="1:75" ht="12.75" customHeight="1">
      <c r="AH237" s="253"/>
    </row>
    <row r="238" spans="1:75" ht="12.75" customHeight="1">
      <c r="AH238" s="253"/>
    </row>
    <row r="239" spans="1:75" ht="12.75" customHeight="1">
      <c r="AH239" s="253"/>
    </row>
    <row r="240" spans="1:75" ht="12.75" customHeight="1">
      <c r="AH240" s="253"/>
    </row>
    <row r="241" spans="34:34" ht="12.75" customHeight="1">
      <c r="AH241" s="253"/>
    </row>
    <row r="242" spans="34:34" ht="12.75" customHeight="1">
      <c r="AH242" s="253"/>
    </row>
    <row r="243" spans="34:34" ht="12.75" customHeight="1">
      <c r="AH243" s="253"/>
    </row>
    <row r="244" spans="34:34" ht="12.75" customHeight="1">
      <c r="AH244" s="253"/>
    </row>
    <row r="245" spans="34:34" ht="12.75" customHeight="1">
      <c r="AH245" s="253"/>
    </row>
    <row r="246" spans="34:34" ht="12.75" customHeight="1">
      <c r="AH246" s="253"/>
    </row>
    <row r="247" spans="34:34" ht="12.75" customHeight="1">
      <c r="AH247" s="253"/>
    </row>
    <row r="248" spans="34:34" ht="12.75" customHeight="1">
      <c r="AH248" s="253"/>
    </row>
    <row r="249" spans="34:34" ht="12.75" customHeight="1">
      <c r="AH249" s="253"/>
    </row>
    <row r="250" spans="34:34" ht="12.75" customHeight="1">
      <c r="AH250" s="253"/>
    </row>
    <row r="251" spans="34:34" ht="12.75" customHeight="1">
      <c r="AH251" s="253"/>
    </row>
    <row r="252" spans="34:34" ht="12.75" customHeight="1">
      <c r="AH252" s="253"/>
    </row>
    <row r="253" spans="34:34" ht="12.75" customHeight="1">
      <c r="AH253" s="253"/>
    </row>
    <row r="254" spans="34:34" ht="12.75" customHeight="1">
      <c r="AH254" s="253"/>
    </row>
    <row r="255" spans="34:34" ht="12.75" customHeight="1">
      <c r="AH255" s="253"/>
    </row>
    <row r="256" spans="34:34" ht="12.75" customHeight="1">
      <c r="AH256" s="253"/>
    </row>
    <row r="257" spans="34:34" ht="12.75" customHeight="1">
      <c r="AH257" s="253"/>
    </row>
    <row r="258" spans="34:34" ht="12.75" customHeight="1">
      <c r="AH258" s="253"/>
    </row>
    <row r="259" spans="34:34" ht="12.75" customHeight="1">
      <c r="AH259" s="253"/>
    </row>
    <row r="260" spans="34:34" ht="12.75" customHeight="1">
      <c r="AH260" s="253"/>
    </row>
    <row r="261" spans="34:34" ht="12.75" customHeight="1">
      <c r="AH261" s="253"/>
    </row>
    <row r="262" spans="34:34" ht="12.75" customHeight="1">
      <c r="AH262" s="253"/>
    </row>
    <row r="263" spans="34:34" ht="12.75" customHeight="1">
      <c r="AH263" s="253"/>
    </row>
    <row r="264" spans="34:34" ht="12.75" customHeight="1">
      <c r="AH264" s="253"/>
    </row>
    <row r="265" spans="34:34" ht="12.75" customHeight="1">
      <c r="AH265" s="253"/>
    </row>
    <row r="266" spans="34:34" ht="12.75" customHeight="1">
      <c r="AH266" s="253"/>
    </row>
    <row r="267" spans="34:34" ht="12.75" customHeight="1">
      <c r="AH267" s="253"/>
    </row>
    <row r="268" spans="34:34" ht="12.75" customHeight="1">
      <c r="AH268" s="253"/>
    </row>
    <row r="269" spans="34:34" ht="12.75" customHeight="1">
      <c r="AH269" s="253"/>
    </row>
    <row r="270" spans="34:34" ht="12.75" customHeight="1">
      <c r="AH270" s="253"/>
    </row>
    <row r="271" spans="34:34" ht="12.75" customHeight="1">
      <c r="AH271" s="253"/>
    </row>
    <row r="272" spans="34:34" ht="12.75" customHeight="1">
      <c r="AH272" s="253"/>
    </row>
    <row r="273" spans="34:34" ht="12.75" customHeight="1">
      <c r="AH273" s="253"/>
    </row>
    <row r="274" spans="34:34" ht="12.75" customHeight="1">
      <c r="AH274" s="253"/>
    </row>
    <row r="275" spans="34:34" ht="12.75" customHeight="1">
      <c r="AH275" s="253"/>
    </row>
    <row r="276" spans="34:34" ht="12.75" customHeight="1">
      <c r="AH276" s="253"/>
    </row>
    <row r="277" spans="34:34" ht="12.75" customHeight="1">
      <c r="AH277" s="253"/>
    </row>
    <row r="278" spans="34:34" ht="12.75" customHeight="1">
      <c r="AH278" s="253"/>
    </row>
    <row r="279" spans="34:34" ht="12.75" customHeight="1">
      <c r="AH279" s="253"/>
    </row>
    <row r="280" spans="34:34" ht="12.75" customHeight="1">
      <c r="AH280" s="253"/>
    </row>
    <row r="281" spans="34:34" ht="12.75" customHeight="1">
      <c r="AH281" s="253"/>
    </row>
    <row r="282" spans="34:34" ht="12.75" customHeight="1">
      <c r="AH282" s="253"/>
    </row>
    <row r="283" spans="34:34" ht="12.75" customHeight="1">
      <c r="AH283" s="253"/>
    </row>
    <row r="284" spans="34:34" ht="12.75" customHeight="1">
      <c r="AH284" s="253"/>
    </row>
    <row r="285" spans="34:34" ht="12.75" customHeight="1">
      <c r="AH285" s="253"/>
    </row>
    <row r="286" spans="34:34" ht="12.75" customHeight="1">
      <c r="AH286" s="253"/>
    </row>
    <row r="287" spans="34:34" ht="12.75" customHeight="1">
      <c r="AH287" s="253"/>
    </row>
    <row r="288" spans="34:34" ht="12.75" customHeight="1">
      <c r="AH288" s="253"/>
    </row>
    <row r="289" spans="34:34" ht="12.75" customHeight="1">
      <c r="AH289" s="253"/>
    </row>
    <row r="290" spans="34:34" ht="12.75" customHeight="1">
      <c r="AH290" s="253"/>
    </row>
    <row r="291" spans="34:34" ht="12.75" customHeight="1">
      <c r="AH291" s="253"/>
    </row>
    <row r="292" spans="34:34" ht="12.75" customHeight="1">
      <c r="AH292" s="253"/>
    </row>
    <row r="293" spans="34:34" ht="12.75" customHeight="1">
      <c r="AH293" s="253"/>
    </row>
    <row r="294" spans="34:34" ht="12.75" customHeight="1">
      <c r="AH294" s="253"/>
    </row>
    <row r="295" spans="34:34" ht="12.75" customHeight="1">
      <c r="AH295" s="253"/>
    </row>
    <row r="296" spans="34:34" ht="12.75" customHeight="1">
      <c r="AH296" s="253"/>
    </row>
    <row r="297" spans="34:34" ht="12.75" customHeight="1">
      <c r="AH297" s="253"/>
    </row>
    <row r="298" spans="34:34" ht="12.75" customHeight="1">
      <c r="AH298" s="253"/>
    </row>
    <row r="299" spans="34:34" ht="12.75" customHeight="1">
      <c r="AH299" s="253"/>
    </row>
    <row r="300" spans="34:34" ht="12.75" customHeight="1">
      <c r="AH300" s="253"/>
    </row>
    <row r="301" spans="34:34" ht="12.75" customHeight="1">
      <c r="AH301" s="253"/>
    </row>
    <row r="302" spans="34:34" ht="12.75" customHeight="1">
      <c r="AH302" s="253"/>
    </row>
    <row r="303" spans="34:34" ht="12.75" customHeight="1">
      <c r="AH303" s="253"/>
    </row>
    <row r="304" spans="34:34" ht="12.75" customHeight="1">
      <c r="AH304" s="253"/>
    </row>
    <row r="305" spans="34:34" ht="12.75" customHeight="1">
      <c r="AH305" s="253"/>
    </row>
    <row r="306" spans="34:34" ht="12.75" customHeight="1">
      <c r="AH306" s="253"/>
    </row>
    <row r="307" spans="34:34" ht="12.75" customHeight="1">
      <c r="AH307" s="253"/>
    </row>
    <row r="308" spans="34:34" ht="12.75" customHeight="1">
      <c r="AH308" s="253"/>
    </row>
    <row r="309" spans="34:34" ht="12.75" customHeight="1">
      <c r="AH309" s="253"/>
    </row>
    <row r="310" spans="34:34" ht="12.75" customHeight="1">
      <c r="AH310" s="253"/>
    </row>
    <row r="311" spans="34:34" ht="12.75" customHeight="1">
      <c r="AH311" s="253"/>
    </row>
    <row r="312" spans="34:34" ht="12.75" customHeight="1">
      <c r="AH312" s="253"/>
    </row>
    <row r="313" spans="34:34" ht="12.75" customHeight="1">
      <c r="AH313" s="253"/>
    </row>
    <row r="314" spans="34:34" ht="12.75" customHeight="1">
      <c r="AH314" s="253"/>
    </row>
    <row r="315" spans="34:34" ht="12.75" customHeight="1">
      <c r="AH315" s="253"/>
    </row>
    <row r="316" spans="34:34" ht="12.75" customHeight="1">
      <c r="AH316" s="253"/>
    </row>
    <row r="317" spans="34:34" ht="12.75" customHeight="1">
      <c r="AH317" s="253"/>
    </row>
    <row r="318" spans="34:34" ht="12.75" customHeight="1">
      <c r="AH318" s="253"/>
    </row>
    <row r="319" spans="34:34" ht="12.75" customHeight="1">
      <c r="AH319" s="253"/>
    </row>
    <row r="320" spans="34:34" ht="12.75" customHeight="1">
      <c r="AH320" s="253"/>
    </row>
    <row r="321" spans="34:34" ht="12.75" customHeight="1">
      <c r="AH321" s="253"/>
    </row>
    <row r="322" spans="34:34" ht="12.75" customHeight="1">
      <c r="AH322" s="253"/>
    </row>
    <row r="323" spans="34:34" ht="12.75" customHeight="1">
      <c r="AH323" s="253"/>
    </row>
    <row r="324" spans="34:34" ht="12.75" customHeight="1">
      <c r="AH324" s="253"/>
    </row>
    <row r="325" spans="34:34" ht="12.75" customHeight="1">
      <c r="AH325" s="253"/>
    </row>
    <row r="326" spans="34:34" ht="12.75" customHeight="1">
      <c r="AH326" s="253"/>
    </row>
    <row r="327" spans="34:34" ht="12.75" customHeight="1">
      <c r="AH327" s="253"/>
    </row>
    <row r="328" spans="34:34" ht="12.75" customHeight="1">
      <c r="AH328" s="253"/>
    </row>
    <row r="329" spans="34:34" ht="12.75" customHeight="1">
      <c r="AH329" s="253"/>
    </row>
    <row r="330" spans="34:34" ht="12.75" customHeight="1">
      <c r="AH330" s="253"/>
    </row>
    <row r="331" spans="34:34" ht="12.75" customHeight="1">
      <c r="AH331" s="253"/>
    </row>
    <row r="332" spans="34:34" ht="12.75" customHeight="1">
      <c r="AH332" s="253"/>
    </row>
    <row r="333" spans="34:34" ht="12.75" customHeight="1">
      <c r="AH333" s="253"/>
    </row>
    <row r="334" spans="34:34" ht="12.75" customHeight="1">
      <c r="AH334" s="253"/>
    </row>
    <row r="335" spans="34:34" ht="12.75" customHeight="1">
      <c r="AH335" s="253"/>
    </row>
    <row r="336" spans="34:34" ht="12.75" customHeight="1">
      <c r="AH336" s="253"/>
    </row>
    <row r="337" spans="34:34" ht="12.75" customHeight="1">
      <c r="AH337" s="253"/>
    </row>
    <row r="338" spans="34:34" ht="12.75" customHeight="1">
      <c r="AH338" s="253"/>
    </row>
    <row r="339" spans="34:34" ht="12.75" customHeight="1">
      <c r="AH339" s="253"/>
    </row>
    <row r="340" spans="34:34" ht="12.75" customHeight="1">
      <c r="AH340" s="253"/>
    </row>
    <row r="341" spans="34:34" ht="12.75" customHeight="1">
      <c r="AH341" s="253"/>
    </row>
    <row r="342" spans="34:34" ht="12.75" customHeight="1">
      <c r="AH342" s="253"/>
    </row>
    <row r="343" spans="34:34" ht="12.75" customHeight="1">
      <c r="AH343" s="253"/>
    </row>
    <row r="344" spans="34:34" ht="12.75" customHeight="1">
      <c r="AH344" s="253"/>
    </row>
    <row r="345" spans="34:34" ht="12.75" customHeight="1">
      <c r="AH345" s="253"/>
    </row>
    <row r="346" spans="34:34" ht="12.75" customHeight="1">
      <c r="AH346" s="253"/>
    </row>
    <row r="347" spans="34:34" ht="12.75" customHeight="1">
      <c r="AH347" s="253"/>
    </row>
    <row r="348" spans="34:34" ht="12.75" customHeight="1">
      <c r="AH348" s="253"/>
    </row>
    <row r="349" spans="34:34" ht="12.75" customHeight="1">
      <c r="AH349" s="253"/>
    </row>
    <row r="350" spans="34:34" ht="12.75" customHeight="1">
      <c r="AH350" s="253"/>
    </row>
    <row r="351" spans="34:34" ht="12.75" customHeight="1">
      <c r="AH351" s="253"/>
    </row>
    <row r="352" spans="34:34" ht="12.75" customHeight="1">
      <c r="AH352" s="253"/>
    </row>
    <row r="353" spans="34:34" ht="12.75" customHeight="1">
      <c r="AH353" s="253"/>
    </row>
    <row r="354" spans="34:34" ht="12.75" customHeight="1">
      <c r="AH354" s="253"/>
    </row>
    <row r="355" spans="34:34" ht="12.75" customHeight="1">
      <c r="AH355" s="253"/>
    </row>
    <row r="356" spans="34:34" ht="12.75" customHeight="1">
      <c r="AH356" s="253"/>
    </row>
    <row r="357" spans="34:34" ht="12.75" customHeight="1">
      <c r="AH357" s="253"/>
    </row>
    <row r="358" spans="34:34" ht="12.75" customHeight="1">
      <c r="AH358" s="253"/>
    </row>
    <row r="359" spans="34:34" ht="12.75" customHeight="1">
      <c r="AH359" s="253"/>
    </row>
    <row r="360" spans="34:34" ht="12.75" customHeight="1">
      <c r="AH360" s="253"/>
    </row>
    <row r="361" spans="34:34" ht="12.75" customHeight="1">
      <c r="AH361" s="253"/>
    </row>
    <row r="362" spans="34:34" ht="12.75" customHeight="1">
      <c r="AH362" s="253"/>
    </row>
    <row r="363" spans="34:34" ht="12.75" customHeight="1">
      <c r="AH363" s="253"/>
    </row>
    <row r="364" spans="34:34" ht="12.75" customHeight="1">
      <c r="AH364" s="253"/>
    </row>
    <row r="365" spans="34:34" ht="12.75" customHeight="1">
      <c r="AH365" s="253"/>
    </row>
    <row r="366" spans="34:34" ht="12.75" customHeight="1">
      <c r="AH366" s="253"/>
    </row>
    <row r="367" spans="34:34" ht="12.75" customHeight="1">
      <c r="AH367" s="253"/>
    </row>
    <row r="368" spans="34:34" ht="12.75" customHeight="1">
      <c r="AH368" s="253"/>
    </row>
    <row r="369" spans="34:34" ht="12.75" customHeight="1">
      <c r="AH369" s="253"/>
    </row>
    <row r="370" spans="34:34" ht="12.75" customHeight="1">
      <c r="AH370" s="253"/>
    </row>
    <row r="371" spans="34:34" ht="12.75" customHeight="1">
      <c r="AH371" s="253"/>
    </row>
    <row r="372" spans="34:34" ht="12.75" customHeight="1">
      <c r="AH372" s="253"/>
    </row>
    <row r="373" spans="34:34" ht="12.75" customHeight="1">
      <c r="AH373" s="253"/>
    </row>
    <row r="374" spans="34:34" ht="12.75" customHeight="1">
      <c r="AH374" s="253"/>
    </row>
    <row r="375" spans="34:34" ht="12.75" customHeight="1">
      <c r="AH375" s="253"/>
    </row>
    <row r="376" spans="34:34" ht="12.75" customHeight="1">
      <c r="AH376" s="253"/>
    </row>
    <row r="377" spans="34:34" ht="12.75" customHeight="1">
      <c r="AH377" s="253"/>
    </row>
    <row r="378" spans="34:34" ht="12.75" customHeight="1">
      <c r="AH378" s="253"/>
    </row>
    <row r="379" spans="34:34" ht="12.75" customHeight="1">
      <c r="AH379" s="253"/>
    </row>
    <row r="380" spans="34:34" ht="12.75" customHeight="1">
      <c r="AH380" s="253"/>
    </row>
    <row r="381" spans="34:34" ht="12.75" customHeight="1">
      <c r="AH381" s="253"/>
    </row>
    <row r="382" spans="34:34" ht="12.75" customHeight="1">
      <c r="AH382" s="253"/>
    </row>
    <row r="383" spans="34:34" ht="12.75" customHeight="1">
      <c r="AH383" s="253"/>
    </row>
    <row r="384" spans="34:34" ht="12.75" customHeight="1">
      <c r="AH384" s="253"/>
    </row>
    <row r="385" spans="34:34" ht="12.75" customHeight="1">
      <c r="AH385" s="253"/>
    </row>
    <row r="386" spans="34:34" ht="12.75" customHeight="1">
      <c r="AH386" s="253"/>
    </row>
    <row r="387" spans="34:34" ht="12.75" customHeight="1">
      <c r="AH387" s="253"/>
    </row>
    <row r="388" spans="34:34" ht="12.75" customHeight="1">
      <c r="AH388" s="253"/>
    </row>
    <row r="389" spans="34:34" ht="12.75" customHeight="1">
      <c r="AH389" s="253"/>
    </row>
    <row r="390" spans="34:34" ht="12.75" customHeight="1">
      <c r="AH390" s="253"/>
    </row>
    <row r="391" spans="34:34" ht="12.75" customHeight="1">
      <c r="AH391" s="253"/>
    </row>
    <row r="392" spans="34:34" ht="12.75" customHeight="1">
      <c r="AH392" s="253"/>
    </row>
    <row r="393" spans="34:34" ht="12.75" customHeight="1">
      <c r="AH393" s="253"/>
    </row>
    <row r="394" spans="34:34" ht="12.75" customHeight="1">
      <c r="AH394" s="253"/>
    </row>
    <row r="395" spans="34:34" ht="12.75" customHeight="1">
      <c r="AH395" s="253"/>
    </row>
    <row r="396" spans="34:34" ht="12.75" customHeight="1">
      <c r="AH396" s="253"/>
    </row>
    <row r="397" spans="34:34" ht="12.75" customHeight="1">
      <c r="AH397" s="253"/>
    </row>
    <row r="398" spans="34:34" ht="12.75" customHeight="1">
      <c r="AH398" s="253"/>
    </row>
    <row r="399" spans="34:34" ht="12.75" customHeight="1">
      <c r="AH399" s="253"/>
    </row>
    <row r="400" spans="34:34" ht="12.75" customHeight="1">
      <c r="AH400" s="253"/>
    </row>
    <row r="401" spans="34:34" ht="12.75" customHeight="1">
      <c r="AH401" s="253"/>
    </row>
    <row r="402" spans="34:34" ht="12.75" customHeight="1">
      <c r="AH402" s="253"/>
    </row>
    <row r="403" spans="34:34" ht="12.75" customHeight="1">
      <c r="AH403" s="253"/>
    </row>
    <row r="404" spans="34:34" ht="12.75" customHeight="1">
      <c r="AH404" s="253"/>
    </row>
    <row r="405" spans="34:34" ht="12.75" customHeight="1">
      <c r="AH405" s="253"/>
    </row>
    <row r="406" spans="34:34" ht="12.75" customHeight="1">
      <c r="AH406" s="253"/>
    </row>
    <row r="407" spans="34:34" ht="12.75" customHeight="1">
      <c r="AH407" s="253"/>
    </row>
    <row r="408" spans="34:34" ht="12.75" customHeight="1">
      <c r="AH408" s="253"/>
    </row>
    <row r="409" spans="34:34" ht="12.75" customHeight="1">
      <c r="AH409" s="253"/>
    </row>
    <row r="410" spans="34:34" ht="12.75" customHeight="1">
      <c r="AH410" s="253"/>
    </row>
    <row r="411" spans="34:34" ht="12.75" customHeight="1">
      <c r="AH411" s="253"/>
    </row>
    <row r="412" spans="34:34" ht="12.75" customHeight="1">
      <c r="AH412" s="253"/>
    </row>
    <row r="413" spans="34:34" ht="12.75" customHeight="1">
      <c r="AH413" s="253"/>
    </row>
    <row r="414" spans="34:34" ht="12.75" customHeight="1">
      <c r="AH414" s="253"/>
    </row>
    <row r="415" spans="34:34" ht="12.75" customHeight="1">
      <c r="AH415" s="253"/>
    </row>
    <row r="416" spans="34:34" ht="12.75" customHeight="1">
      <c r="AH416" s="253"/>
    </row>
    <row r="417" spans="34:34" ht="12.75" customHeight="1">
      <c r="AH417" s="253"/>
    </row>
    <row r="418" spans="34:34" ht="12.75" customHeight="1">
      <c r="AH418" s="253"/>
    </row>
    <row r="419" spans="34:34" ht="12.75" customHeight="1">
      <c r="AH419" s="253"/>
    </row>
    <row r="420" spans="34:34" ht="12.75" customHeight="1">
      <c r="AH420" s="253"/>
    </row>
    <row r="421" spans="34:34" ht="12.75" customHeight="1">
      <c r="AH421" s="253"/>
    </row>
    <row r="422" spans="34:34" ht="12.75" customHeight="1">
      <c r="AH422" s="253"/>
    </row>
    <row r="423" spans="34:34" ht="12.75" customHeight="1">
      <c r="AH423" s="253"/>
    </row>
    <row r="424" spans="34:34" ht="12.75" customHeight="1">
      <c r="AH424" s="253"/>
    </row>
    <row r="425" spans="34:34" ht="12.75" customHeight="1">
      <c r="AH425" s="253"/>
    </row>
    <row r="426" spans="34:34" ht="12.75" customHeight="1">
      <c r="AH426" s="253"/>
    </row>
    <row r="427" spans="34:34" ht="12.75" customHeight="1">
      <c r="AH427" s="253"/>
    </row>
    <row r="428" spans="34:34" ht="12.75" customHeight="1">
      <c r="AH428" s="253"/>
    </row>
    <row r="429" spans="34:34" ht="12.75" customHeight="1">
      <c r="AH429" s="253"/>
    </row>
    <row r="430" spans="34:34" ht="12.75" customHeight="1">
      <c r="AH430" s="253"/>
    </row>
    <row r="431" spans="34:34" ht="12.75" customHeight="1">
      <c r="AH431" s="253"/>
    </row>
    <row r="432" spans="34:34" ht="12.75" customHeight="1">
      <c r="AH432" s="253"/>
    </row>
    <row r="433" spans="34:34" ht="12.75" customHeight="1">
      <c r="AH433" s="253"/>
    </row>
    <row r="434" spans="34:34" ht="12.75" customHeight="1">
      <c r="AH434" s="253"/>
    </row>
    <row r="435" spans="34:34" ht="12.75" customHeight="1">
      <c r="AH435" s="253"/>
    </row>
    <row r="436" spans="34:34" ht="12.75" customHeight="1">
      <c r="AH436" s="253"/>
    </row>
    <row r="437" spans="34:34" ht="12.75" customHeight="1">
      <c r="AH437" s="253"/>
    </row>
    <row r="438" spans="34:34" ht="12.75" customHeight="1">
      <c r="AH438" s="253"/>
    </row>
    <row r="439" spans="34:34" ht="12.75" customHeight="1">
      <c r="AH439" s="253"/>
    </row>
    <row r="440" spans="34:34" ht="12.75" customHeight="1">
      <c r="AH440" s="253"/>
    </row>
    <row r="441" spans="34:34" ht="12.75" customHeight="1">
      <c r="AH441" s="253"/>
    </row>
    <row r="442" spans="34:34" ht="12.75" customHeight="1">
      <c r="AH442" s="253"/>
    </row>
    <row r="443" spans="34:34" ht="12.75" customHeight="1">
      <c r="AH443" s="253"/>
    </row>
    <row r="444" spans="34:34" ht="12.75" customHeight="1">
      <c r="AH444" s="253"/>
    </row>
    <row r="445" spans="34:34" ht="12.75" customHeight="1">
      <c r="AH445" s="253"/>
    </row>
    <row r="446" spans="34:34" ht="12.75" customHeight="1">
      <c r="AH446" s="253"/>
    </row>
    <row r="447" spans="34:34" ht="12.75" customHeight="1">
      <c r="AH447" s="253"/>
    </row>
    <row r="448" spans="34:34" ht="12.75" customHeight="1">
      <c r="AH448" s="253"/>
    </row>
    <row r="449" spans="34:34" ht="12.75" customHeight="1">
      <c r="AH449" s="253"/>
    </row>
    <row r="450" spans="34:34" ht="12.75" customHeight="1">
      <c r="AH450" s="253"/>
    </row>
    <row r="451" spans="34:34" ht="12.75" customHeight="1">
      <c r="AH451" s="253"/>
    </row>
    <row r="452" spans="34:34" ht="12.75" customHeight="1">
      <c r="AH452" s="253"/>
    </row>
    <row r="453" spans="34:34" ht="12.75" customHeight="1">
      <c r="AH453" s="253"/>
    </row>
    <row r="454" spans="34:34" ht="12.75" customHeight="1">
      <c r="AH454" s="253"/>
    </row>
    <row r="455" spans="34:34" ht="12.75" customHeight="1">
      <c r="AH455" s="253"/>
    </row>
    <row r="456" spans="34:34" ht="12.75" customHeight="1">
      <c r="AH456" s="253"/>
    </row>
    <row r="457" spans="34:34" ht="12.75" customHeight="1">
      <c r="AH457" s="253"/>
    </row>
    <row r="458" spans="34:34" ht="12.75" customHeight="1">
      <c r="AH458" s="253"/>
    </row>
    <row r="459" spans="34:34" ht="12.75" customHeight="1">
      <c r="AH459" s="253"/>
    </row>
    <row r="460" spans="34:34" ht="12.75" customHeight="1">
      <c r="AH460" s="253"/>
    </row>
    <row r="461" spans="34:34" ht="12.75" customHeight="1">
      <c r="AH461" s="253"/>
    </row>
    <row r="462" spans="34:34" ht="12.75" customHeight="1">
      <c r="AH462" s="253"/>
    </row>
    <row r="463" spans="34:34" ht="12.75" customHeight="1">
      <c r="AH463" s="253"/>
    </row>
    <row r="464" spans="34:34" ht="12.75" customHeight="1">
      <c r="AH464" s="253"/>
    </row>
    <row r="465" spans="34:34" ht="12.75" customHeight="1">
      <c r="AH465" s="253"/>
    </row>
    <row r="466" spans="34:34" ht="12.75" customHeight="1">
      <c r="AH466" s="253"/>
    </row>
    <row r="467" spans="34:34" ht="12.75" customHeight="1">
      <c r="AH467" s="253"/>
    </row>
    <row r="468" spans="34:34" ht="12.75" customHeight="1">
      <c r="AH468" s="253"/>
    </row>
    <row r="469" spans="34:34" ht="12.75" customHeight="1">
      <c r="AH469" s="253"/>
    </row>
    <row r="470" spans="34:34" ht="12.75" customHeight="1">
      <c r="AH470" s="253"/>
    </row>
    <row r="471" spans="34:34" ht="12.75" customHeight="1">
      <c r="AH471" s="253"/>
    </row>
    <row r="472" spans="34:34" ht="12.75" customHeight="1">
      <c r="AH472" s="253"/>
    </row>
    <row r="473" spans="34:34" ht="12.75" customHeight="1">
      <c r="AH473" s="253"/>
    </row>
    <row r="474" spans="34:34" ht="12.75" customHeight="1">
      <c r="AH474" s="253"/>
    </row>
    <row r="475" spans="34:34" ht="12.75" customHeight="1">
      <c r="AH475" s="253"/>
    </row>
    <row r="476" spans="34:34" ht="12.75" customHeight="1">
      <c r="AH476" s="253"/>
    </row>
    <row r="477" spans="34:34" ht="12.75" customHeight="1">
      <c r="AH477" s="253"/>
    </row>
    <row r="478" spans="34:34" ht="12.75" customHeight="1">
      <c r="AH478" s="253"/>
    </row>
    <row r="479" spans="34:34" ht="12.75" customHeight="1">
      <c r="AH479" s="253"/>
    </row>
    <row r="480" spans="34:34" ht="12.75" customHeight="1">
      <c r="AH480" s="253"/>
    </row>
    <row r="481" spans="34:34" ht="12.75" customHeight="1">
      <c r="AH481" s="253"/>
    </row>
    <row r="482" spans="34:34" ht="12.75" customHeight="1">
      <c r="AH482" s="253"/>
    </row>
    <row r="483" spans="34:34" ht="12.75" customHeight="1">
      <c r="AH483" s="253"/>
    </row>
    <row r="484" spans="34:34" ht="12.75" customHeight="1">
      <c r="AH484" s="253"/>
    </row>
    <row r="485" spans="34:34" ht="12.75" customHeight="1">
      <c r="AH485" s="253"/>
    </row>
    <row r="486" spans="34:34" ht="12.75" customHeight="1">
      <c r="AH486" s="253"/>
    </row>
    <row r="487" spans="34:34" ht="12.75" customHeight="1">
      <c r="AH487" s="253"/>
    </row>
    <row r="488" spans="34:34" ht="12.75" customHeight="1">
      <c r="AH488" s="253"/>
    </row>
    <row r="489" spans="34:34" ht="12.75" customHeight="1">
      <c r="AH489" s="253"/>
    </row>
    <row r="490" spans="34:34" ht="12.75" customHeight="1">
      <c r="AH490" s="253"/>
    </row>
    <row r="491" spans="34:34" ht="12.75" customHeight="1">
      <c r="AH491" s="253"/>
    </row>
    <row r="492" spans="34:34" ht="12.75" customHeight="1">
      <c r="AH492" s="253"/>
    </row>
    <row r="493" spans="34:34" ht="12.75" customHeight="1">
      <c r="AH493" s="253"/>
    </row>
    <row r="494" spans="34:34" ht="12.75" customHeight="1">
      <c r="AH494" s="253"/>
    </row>
    <row r="495" spans="34:34" ht="12.75" customHeight="1">
      <c r="AH495" s="253"/>
    </row>
    <row r="496" spans="34:34" ht="12.75" customHeight="1">
      <c r="AH496" s="253"/>
    </row>
    <row r="497" spans="34:34" ht="12.75" customHeight="1">
      <c r="AH497" s="253"/>
    </row>
    <row r="498" spans="34:34" ht="12.75" customHeight="1">
      <c r="AH498" s="253"/>
    </row>
    <row r="499" spans="34:34" ht="12.75" customHeight="1">
      <c r="AH499" s="253"/>
    </row>
    <row r="500" spans="34:34" ht="12.75" customHeight="1">
      <c r="AH500" s="253"/>
    </row>
    <row r="501" spans="34:34" ht="12.75" customHeight="1">
      <c r="AH501" s="253"/>
    </row>
    <row r="502" spans="34:34" ht="12.75" customHeight="1">
      <c r="AH502" s="253"/>
    </row>
    <row r="503" spans="34:34" ht="12.75" customHeight="1">
      <c r="AH503" s="253"/>
    </row>
    <row r="504" spans="34:34" ht="12.75" customHeight="1">
      <c r="AH504" s="253"/>
    </row>
    <row r="505" spans="34:34" ht="12.75" customHeight="1">
      <c r="AH505" s="253"/>
    </row>
    <row r="506" spans="34:34" ht="12.75" customHeight="1">
      <c r="AH506" s="253"/>
    </row>
    <row r="507" spans="34:34" ht="12.75" customHeight="1">
      <c r="AH507" s="253"/>
    </row>
    <row r="508" spans="34:34" ht="12.75" customHeight="1">
      <c r="AH508" s="253"/>
    </row>
    <row r="509" spans="34:34" ht="12.75" customHeight="1">
      <c r="AH509" s="253"/>
    </row>
    <row r="510" spans="34:34" ht="12.75" customHeight="1">
      <c r="AH510" s="253"/>
    </row>
    <row r="511" spans="34:34" ht="12.75" customHeight="1">
      <c r="AH511" s="253"/>
    </row>
    <row r="512" spans="34:34" ht="12.75" customHeight="1">
      <c r="AH512" s="253"/>
    </row>
    <row r="513" spans="34:34" ht="12.75" customHeight="1">
      <c r="AH513" s="253"/>
    </row>
    <row r="514" spans="34:34" ht="12.75" customHeight="1">
      <c r="AH514" s="253"/>
    </row>
    <row r="515" spans="34:34" ht="12.75" customHeight="1">
      <c r="AH515" s="253"/>
    </row>
    <row r="516" spans="34:34" ht="12.75" customHeight="1">
      <c r="AH516" s="253"/>
    </row>
    <row r="517" spans="34:34" ht="12.75" customHeight="1">
      <c r="AH517" s="253"/>
    </row>
    <row r="518" spans="34:34" ht="12.75" customHeight="1">
      <c r="AH518" s="253"/>
    </row>
    <row r="519" spans="34:34" ht="12.75" customHeight="1">
      <c r="AH519" s="253"/>
    </row>
    <row r="520" spans="34:34" ht="12.75" customHeight="1">
      <c r="AH520" s="253"/>
    </row>
    <row r="521" spans="34:34" ht="12.75" customHeight="1">
      <c r="AH521" s="253"/>
    </row>
    <row r="522" spans="34:34" ht="12.75" customHeight="1">
      <c r="AH522" s="253"/>
    </row>
    <row r="523" spans="34:34" ht="12.75" customHeight="1">
      <c r="AH523" s="253"/>
    </row>
    <row r="524" spans="34:34" ht="12.75" customHeight="1">
      <c r="AH524" s="253"/>
    </row>
    <row r="525" spans="34:34" ht="12.75" customHeight="1">
      <c r="AH525" s="253"/>
    </row>
    <row r="526" spans="34:34" ht="12.75" customHeight="1">
      <c r="AH526" s="253"/>
    </row>
    <row r="527" spans="34:34" ht="12.75" customHeight="1">
      <c r="AH527" s="253"/>
    </row>
    <row r="528" spans="34:34" ht="12.75" customHeight="1">
      <c r="AH528" s="253"/>
    </row>
    <row r="529" spans="34:34" ht="12.75" customHeight="1">
      <c r="AH529" s="253"/>
    </row>
    <row r="530" spans="34:34" ht="12.75" customHeight="1">
      <c r="AH530" s="253"/>
    </row>
    <row r="531" spans="34:34" ht="12.75" customHeight="1">
      <c r="AH531" s="253"/>
    </row>
    <row r="532" spans="34:34" ht="12.75" customHeight="1">
      <c r="AH532" s="253"/>
    </row>
    <row r="533" spans="34:34" ht="12.75" customHeight="1">
      <c r="AH533" s="253"/>
    </row>
    <row r="534" spans="34:34" ht="12.75" customHeight="1">
      <c r="AH534" s="253"/>
    </row>
    <row r="535" spans="34:34" ht="12.75" customHeight="1">
      <c r="AH535" s="253"/>
    </row>
    <row r="536" spans="34:34" ht="12.75" customHeight="1">
      <c r="AH536" s="253"/>
    </row>
    <row r="537" spans="34:34" ht="12.75" customHeight="1">
      <c r="AH537" s="253"/>
    </row>
    <row r="538" spans="34:34" ht="12.75" customHeight="1">
      <c r="AH538" s="253"/>
    </row>
    <row r="539" spans="34:34" ht="12.75" customHeight="1">
      <c r="AH539" s="253"/>
    </row>
    <row r="540" spans="34:34" ht="12.75" customHeight="1">
      <c r="AH540" s="253"/>
    </row>
    <row r="541" spans="34:34" ht="12.75" customHeight="1">
      <c r="AH541" s="253"/>
    </row>
    <row r="542" spans="34:34" ht="12.75" customHeight="1">
      <c r="AH542" s="253"/>
    </row>
    <row r="543" spans="34:34" ht="12.75" customHeight="1">
      <c r="AH543" s="253"/>
    </row>
    <row r="544" spans="34:34" ht="12.75" customHeight="1">
      <c r="AH544" s="253"/>
    </row>
    <row r="545" spans="34:34" ht="12.75" customHeight="1">
      <c r="AH545" s="253"/>
    </row>
    <row r="546" spans="34:34" ht="12.75" customHeight="1">
      <c r="AH546" s="253"/>
    </row>
    <row r="547" spans="34:34" ht="12.75" customHeight="1">
      <c r="AH547" s="253"/>
    </row>
    <row r="548" spans="34:34" ht="12.75" customHeight="1">
      <c r="AH548" s="253"/>
    </row>
    <row r="549" spans="34:34" ht="12.75" customHeight="1">
      <c r="AH549" s="253"/>
    </row>
    <row r="550" spans="34:34" ht="12.75" customHeight="1">
      <c r="AH550" s="253"/>
    </row>
    <row r="551" spans="34:34" ht="12.75" customHeight="1">
      <c r="AH551" s="253"/>
    </row>
    <row r="552" spans="34:34" ht="12.75" customHeight="1">
      <c r="AH552" s="253"/>
    </row>
    <row r="553" spans="34:34" ht="12.75" customHeight="1">
      <c r="AH553" s="253"/>
    </row>
    <row r="554" spans="34:34" ht="12.75" customHeight="1">
      <c r="AH554" s="253"/>
    </row>
    <row r="555" spans="34:34" ht="12.75" customHeight="1">
      <c r="AH555" s="253"/>
    </row>
    <row r="556" spans="34:34" ht="12.75" customHeight="1">
      <c r="AH556" s="253"/>
    </row>
    <row r="557" spans="34:34" ht="12.75" customHeight="1">
      <c r="AH557" s="253"/>
    </row>
    <row r="558" spans="34:34" ht="12.75" customHeight="1">
      <c r="AH558" s="253"/>
    </row>
    <row r="559" spans="34:34" ht="12.75" customHeight="1">
      <c r="AH559" s="253"/>
    </row>
    <row r="560" spans="34:34" ht="12.75" customHeight="1">
      <c r="AH560" s="253"/>
    </row>
    <row r="561" spans="34:34" ht="12.75" customHeight="1">
      <c r="AH561" s="253"/>
    </row>
    <row r="562" spans="34:34" ht="12.75" customHeight="1">
      <c r="AH562" s="253"/>
    </row>
    <row r="563" spans="34:34" ht="12.75" customHeight="1">
      <c r="AH563" s="253"/>
    </row>
    <row r="564" spans="34:34" ht="12.75" customHeight="1">
      <c r="AH564" s="253"/>
    </row>
    <row r="565" spans="34:34" ht="12.75" customHeight="1">
      <c r="AH565" s="253"/>
    </row>
    <row r="566" spans="34:34" ht="12.75" customHeight="1">
      <c r="AH566" s="253"/>
    </row>
    <row r="567" spans="34:34" ht="12.75" customHeight="1">
      <c r="AH567" s="253"/>
    </row>
    <row r="568" spans="34:34" ht="12.75" customHeight="1">
      <c r="AH568" s="253"/>
    </row>
    <row r="569" spans="34:34" ht="12.75" customHeight="1">
      <c r="AH569" s="253"/>
    </row>
    <row r="570" spans="34:34" ht="12.75" customHeight="1">
      <c r="AH570" s="253"/>
    </row>
    <row r="571" spans="34:34" ht="12.75" customHeight="1">
      <c r="AH571" s="253"/>
    </row>
    <row r="572" spans="34:34" ht="12.75" customHeight="1">
      <c r="AH572" s="253"/>
    </row>
    <row r="573" spans="34:34" ht="12.75" customHeight="1">
      <c r="AH573" s="253"/>
    </row>
    <row r="574" spans="34:34" ht="12.75" customHeight="1">
      <c r="AH574" s="253"/>
    </row>
    <row r="575" spans="34:34" ht="12.75" customHeight="1">
      <c r="AH575" s="253"/>
    </row>
    <row r="576" spans="34:34" ht="12.75" customHeight="1">
      <c r="AH576" s="253"/>
    </row>
    <row r="577" spans="34:34" ht="12.75" customHeight="1">
      <c r="AH577" s="253"/>
    </row>
    <row r="578" spans="34:34" ht="12.75" customHeight="1">
      <c r="AH578" s="253"/>
    </row>
    <row r="579" spans="34:34" ht="12.75" customHeight="1">
      <c r="AH579" s="253"/>
    </row>
    <row r="580" spans="34:34" ht="12.75" customHeight="1">
      <c r="AH580" s="253"/>
    </row>
    <row r="581" spans="34:34" ht="12.75" customHeight="1">
      <c r="AH581" s="253"/>
    </row>
    <row r="582" spans="34:34" ht="12.75" customHeight="1">
      <c r="AH582" s="253"/>
    </row>
    <row r="583" spans="34:34" ht="12.75" customHeight="1">
      <c r="AH583" s="253"/>
    </row>
    <row r="584" spans="34:34" ht="12.75" customHeight="1">
      <c r="AH584" s="253"/>
    </row>
    <row r="585" spans="34:34" ht="12.75" customHeight="1">
      <c r="AH585" s="253"/>
    </row>
    <row r="586" spans="34:34" ht="12.75" customHeight="1">
      <c r="AH586" s="253"/>
    </row>
    <row r="587" spans="34:34" ht="12.75" customHeight="1">
      <c r="AH587" s="253"/>
    </row>
    <row r="588" spans="34:34" ht="12.75" customHeight="1">
      <c r="AH588" s="253"/>
    </row>
    <row r="589" spans="34:34" ht="12.75" customHeight="1">
      <c r="AH589" s="253"/>
    </row>
    <row r="590" spans="34:34" ht="12.75" customHeight="1">
      <c r="AH590" s="253"/>
    </row>
    <row r="591" spans="34:34" ht="12.75" customHeight="1">
      <c r="AH591" s="253"/>
    </row>
    <row r="592" spans="34:34" ht="12.75" customHeight="1">
      <c r="AH592" s="253"/>
    </row>
    <row r="593" spans="34:34" ht="12.75" customHeight="1">
      <c r="AH593" s="253"/>
    </row>
    <row r="594" spans="34:34" ht="12.75" customHeight="1">
      <c r="AH594" s="253"/>
    </row>
    <row r="595" spans="34:34" ht="12.75" customHeight="1">
      <c r="AH595" s="253"/>
    </row>
    <row r="596" spans="34:34" ht="12.75" customHeight="1">
      <c r="AH596" s="253"/>
    </row>
    <row r="597" spans="34:34" ht="12.75" customHeight="1">
      <c r="AH597" s="253"/>
    </row>
    <row r="598" spans="34:34" ht="12.75" customHeight="1">
      <c r="AH598" s="253"/>
    </row>
    <row r="599" spans="34:34" ht="12.75" customHeight="1">
      <c r="AH599" s="253"/>
    </row>
    <row r="600" spans="34:34" ht="12.75" customHeight="1">
      <c r="AH600" s="253"/>
    </row>
    <row r="601" spans="34:34" ht="12.75" customHeight="1">
      <c r="AH601" s="253"/>
    </row>
    <row r="602" spans="34:34" ht="12.75" customHeight="1">
      <c r="AH602" s="253"/>
    </row>
    <row r="603" spans="34:34" ht="12.75" customHeight="1">
      <c r="AH603" s="253"/>
    </row>
    <row r="604" spans="34:34" ht="12.75" customHeight="1">
      <c r="AH604" s="253"/>
    </row>
    <row r="605" spans="34:34" ht="12.75" customHeight="1">
      <c r="AH605" s="253"/>
    </row>
    <row r="606" spans="34:34" ht="12.75" customHeight="1">
      <c r="AH606" s="253"/>
    </row>
    <row r="607" spans="34:34" ht="12.75" customHeight="1">
      <c r="AH607" s="253"/>
    </row>
    <row r="608" spans="34:34" ht="12.75" customHeight="1">
      <c r="AH608" s="253"/>
    </row>
    <row r="609" spans="34:34" ht="12.75" customHeight="1">
      <c r="AH609" s="253"/>
    </row>
    <row r="610" spans="34:34" ht="12.75" customHeight="1">
      <c r="AH610" s="253"/>
    </row>
    <row r="611" spans="34:34" ht="12.75" customHeight="1">
      <c r="AH611" s="253"/>
    </row>
    <row r="612" spans="34:34" ht="12.75" customHeight="1">
      <c r="AH612" s="253"/>
    </row>
    <row r="613" spans="34:34" ht="12.75" customHeight="1">
      <c r="AH613" s="253"/>
    </row>
    <row r="614" spans="34:34" ht="12.75" customHeight="1">
      <c r="AH614" s="253"/>
    </row>
    <row r="615" spans="34:34" ht="12.75" customHeight="1">
      <c r="AH615" s="253"/>
    </row>
    <row r="616" spans="34:34" ht="12.75" customHeight="1">
      <c r="AH616" s="253"/>
    </row>
    <row r="617" spans="34:34" ht="12.75" customHeight="1">
      <c r="AH617" s="253"/>
    </row>
    <row r="618" spans="34:34" ht="12.75" customHeight="1">
      <c r="AH618" s="253"/>
    </row>
    <row r="619" spans="34:34" ht="12.75" customHeight="1">
      <c r="AH619" s="253"/>
    </row>
    <row r="620" spans="34:34" ht="12.75" customHeight="1">
      <c r="AH620" s="253"/>
    </row>
    <row r="621" spans="34:34" ht="12.75" customHeight="1">
      <c r="AH621" s="253"/>
    </row>
    <row r="622" spans="34:34" ht="12.75" customHeight="1">
      <c r="AH622" s="253"/>
    </row>
    <row r="623" spans="34:34" ht="12.75" customHeight="1">
      <c r="AH623" s="253"/>
    </row>
    <row r="624" spans="34:34" ht="12.75" customHeight="1">
      <c r="AH624" s="253"/>
    </row>
    <row r="625" spans="34:34" ht="12.75" customHeight="1">
      <c r="AH625" s="253"/>
    </row>
    <row r="626" spans="34:34" ht="12.75" customHeight="1">
      <c r="AH626" s="253"/>
    </row>
    <row r="627" spans="34:34" ht="12.75" customHeight="1">
      <c r="AH627" s="253"/>
    </row>
    <row r="628" spans="34:34" ht="12.75" customHeight="1">
      <c r="AH628" s="253"/>
    </row>
    <row r="629" spans="34:34" ht="12.75" customHeight="1">
      <c r="AH629" s="253"/>
    </row>
    <row r="630" spans="34:34" ht="12.75" customHeight="1">
      <c r="AH630" s="253"/>
    </row>
    <row r="631" spans="34:34" ht="12.75" customHeight="1">
      <c r="AH631" s="253"/>
    </row>
    <row r="632" spans="34:34" ht="12.75" customHeight="1">
      <c r="AH632" s="253"/>
    </row>
    <row r="633" spans="34:34" ht="12.75" customHeight="1">
      <c r="AH633" s="253"/>
    </row>
    <row r="634" spans="34:34" ht="12.75" customHeight="1">
      <c r="AH634" s="253"/>
    </row>
    <row r="635" spans="34:34" ht="12.75" customHeight="1">
      <c r="AH635" s="253"/>
    </row>
    <row r="636" spans="34:34" ht="12.75" customHeight="1">
      <c r="AH636" s="253"/>
    </row>
    <row r="637" spans="34:34" ht="12.75" customHeight="1">
      <c r="AH637" s="253"/>
    </row>
    <row r="638" spans="34:34" ht="12.75" customHeight="1">
      <c r="AH638" s="253"/>
    </row>
    <row r="639" spans="34:34" ht="12.75" customHeight="1">
      <c r="AH639" s="253"/>
    </row>
    <row r="640" spans="34:34" ht="12.75" customHeight="1">
      <c r="AH640" s="253"/>
    </row>
    <row r="641" spans="34:34" ht="12.75" customHeight="1">
      <c r="AH641" s="253"/>
    </row>
    <row r="642" spans="34:34" ht="12.75" customHeight="1">
      <c r="AH642" s="253"/>
    </row>
    <row r="643" spans="34:34" ht="12.75" customHeight="1">
      <c r="AH643" s="253"/>
    </row>
    <row r="644" spans="34:34" ht="12.75" customHeight="1">
      <c r="AH644" s="253"/>
    </row>
    <row r="645" spans="34:34" ht="12.75" customHeight="1">
      <c r="AH645" s="253"/>
    </row>
    <row r="646" spans="34:34" ht="12.75" customHeight="1">
      <c r="AH646" s="253"/>
    </row>
    <row r="647" spans="34:34" ht="12.75" customHeight="1">
      <c r="AH647" s="253"/>
    </row>
    <row r="648" spans="34:34" ht="12.75" customHeight="1">
      <c r="AH648" s="253"/>
    </row>
    <row r="649" spans="34:34" ht="12.75" customHeight="1">
      <c r="AH649" s="253"/>
    </row>
    <row r="650" spans="34:34" ht="12.75" customHeight="1">
      <c r="AH650" s="253"/>
    </row>
    <row r="651" spans="34:34" ht="12.75" customHeight="1">
      <c r="AH651" s="253"/>
    </row>
    <row r="652" spans="34:34" ht="12.75" customHeight="1">
      <c r="AH652" s="253"/>
    </row>
    <row r="653" spans="34:34" ht="12.75" customHeight="1">
      <c r="AH653" s="253"/>
    </row>
    <row r="654" spans="34:34" ht="12.75" customHeight="1">
      <c r="AH654" s="253"/>
    </row>
    <row r="655" spans="34:34" ht="12.75" customHeight="1">
      <c r="AH655" s="253"/>
    </row>
    <row r="656" spans="34:34" ht="12.75" customHeight="1">
      <c r="AH656" s="253"/>
    </row>
    <row r="657" spans="34:34" ht="12.75" customHeight="1">
      <c r="AH657" s="253"/>
    </row>
    <row r="658" spans="34:34" ht="12.75" customHeight="1">
      <c r="AH658" s="253"/>
    </row>
    <row r="659" spans="34:34" ht="12.75" customHeight="1">
      <c r="AH659" s="253"/>
    </row>
    <row r="660" spans="34:34" ht="12.75" customHeight="1">
      <c r="AH660" s="253"/>
    </row>
    <row r="661" spans="34:34" ht="12.75" customHeight="1">
      <c r="AH661" s="253"/>
    </row>
    <row r="662" spans="34:34" ht="12.75" customHeight="1">
      <c r="AH662" s="253"/>
    </row>
    <row r="663" spans="34:34" ht="12.75" customHeight="1">
      <c r="AH663" s="253"/>
    </row>
    <row r="664" spans="34:34" ht="12.75" customHeight="1">
      <c r="AH664" s="253"/>
    </row>
    <row r="665" spans="34:34" ht="12.75" customHeight="1">
      <c r="AH665" s="253"/>
    </row>
    <row r="666" spans="34:34" ht="12.75" customHeight="1">
      <c r="AH666" s="253"/>
    </row>
    <row r="667" spans="34:34" ht="12.75" customHeight="1">
      <c r="AH667" s="253"/>
    </row>
    <row r="668" spans="34:34" ht="12.75" customHeight="1">
      <c r="AH668" s="253"/>
    </row>
    <row r="669" spans="34:34" ht="12.75" customHeight="1">
      <c r="AH669" s="253"/>
    </row>
    <row r="670" spans="34:34" ht="12.75" customHeight="1">
      <c r="AH670" s="253"/>
    </row>
    <row r="671" spans="34:34" ht="12.75" customHeight="1">
      <c r="AH671" s="253"/>
    </row>
    <row r="672" spans="34:34" ht="12.75" customHeight="1">
      <c r="AH672" s="253"/>
    </row>
    <row r="673" spans="34:34" ht="12.75" customHeight="1">
      <c r="AH673" s="253"/>
    </row>
    <row r="674" spans="34:34" ht="12.75" customHeight="1">
      <c r="AH674" s="253"/>
    </row>
    <row r="675" spans="34:34" ht="12.75" customHeight="1">
      <c r="AH675" s="253"/>
    </row>
    <row r="676" spans="34:34" ht="12.75" customHeight="1">
      <c r="AH676" s="253"/>
    </row>
    <row r="677" spans="34:34" ht="12.75" customHeight="1">
      <c r="AH677" s="253"/>
    </row>
    <row r="678" spans="34:34" ht="12.75" customHeight="1">
      <c r="AH678" s="253"/>
    </row>
    <row r="679" spans="34:34" ht="12.75" customHeight="1">
      <c r="AH679" s="253"/>
    </row>
    <row r="680" spans="34:34" ht="12.75" customHeight="1">
      <c r="AH680" s="253"/>
    </row>
    <row r="681" spans="34:34" ht="12.75" customHeight="1">
      <c r="AH681" s="253"/>
    </row>
    <row r="682" spans="34:34" ht="12.75" customHeight="1">
      <c r="AH682" s="253"/>
    </row>
    <row r="683" spans="34:34" ht="12.75" customHeight="1">
      <c r="AH683" s="253"/>
    </row>
    <row r="684" spans="34:34" ht="12.75" customHeight="1">
      <c r="AH684" s="253"/>
    </row>
    <row r="685" spans="34:34" ht="12.75" customHeight="1">
      <c r="AH685" s="253"/>
    </row>
    <row r="686" spans="34:34" ht="12.75" customHeight="1">
      <c r="AH686" s="253"/>
    </row>
    <row r="687" spans="34:34" ht="12.75" customHeight="1">
      <c r="AH687" s="253"/>
    </row>
    <row r="688" spans="34:34" ht="12.75" customHeight="1">
      <c r="AH688" s="253"/>
    </row>
    <row r="689" spans="34:34" ht="12.75" customHeight="1">
      <c r="AH689" s="253"/>
    </row>
    <row r="690" spans="34:34" ht="12.75" customHeight="1">
      <c r="AH690" s="253"/>
    </row>
    <row r="691" spans="34:34" ht="12.75" customHeight="1">
      <c r="AH691" s="253"/>
    </row>
    <row r="692" spans="34:34" ht="12.75" customHeight="1">
      <c r="AH692" s="253"/>
    </row>
    <row r="693" spans="34:34" ht="12.75" customHeight="1">
      <c r="AH693" s="253"/>
    </row>
    <row r="694" spans="34:34" ht="12.75" customHeight="1">
      <c r="AH694" s="253"/>
    </row>
    <row r="695" spans="34:34" ht="12.75" customHeight="1">
      <c r="AH695" s="253"/>
    </row>
    <row r="696" spans="34:34" ht="12.75" customHeight="1">
      <c r="AH696" s="253"/>
    </row>
    <row r="697" spans="34:34" ht="12.75" customHeight="1">
      <c r="AH697" s="253"/>
    </row>
    <row r="698" spans="34:34" ht="12.75" customHeight="1">
      <c r="AH698" s="253"/>
    </row>
    <row r="699" spans="34:34" ht="12.75" customHeight="1">
      <c r="AH699" s="253"/>
    </row>
    <row r="700" spans="34:34" ht="12.75" customHeight="1">
      <c r="AH700" s="253"/>
    </row>
    <row r="701" spans="34:34" ht="12.75" customHeight="1">
      <c r="AH701" s="253"/>
    </row>
    <row r="702" spans="34:34" ht="12.75" customHeight="1">
      <c r="AH702" s="253"/>
    </row>
    <row r="703" spans="34:34" ht="12.75" customHeight="1">
      <c r="AH703" s="253"/>
    </row>
    <row r="704" spans="34:34" ht="12.75" customHeight="1">
      <c r="AH704" s="253"/>
    </row>
    <row r="705" spans="34:34" ht="12.75" customHeight="1">
      <c r="AH705" s="253"/>
    </row>
    <row r="706" spans="34:34" ht="12.75" customHeight="1">
      <c r="AH706" s="253"/>
    </row>
    <row r="707" spans="34:34" ht="12.75" customHeight="1">
      <c r="AH707" s="253"/>
    </row>
    <row r="708" spans="34:34" ht="12.75" customHeight="1">
      <c r="AH708" s="253"/>
    </row>
    <row r="709" spans="34:34" ht="12.75" customHeight="1">
      <c r="AH709" s="253"/>
    </row>
    <row r="710" spans="34:34" ht="12.75" customHeight="1">
      <c r="AH710" s="253"/>
    </row>
    <row r="711" spans="34:34" ht="12.75" customHeight="1">
      <c r="AH711" s="253"/>
    </row>
    <row r="712" spans="34:34" ht="12.75" customHeight="1">
      <c r="AH712" s="253"/>
    </row>
    <row r="713" spans="34:34" ht="12.75" customHeight="1">
      <c r="AH713" s="253"/>
    </row>
    <row r="714" spans="34:34" ht="12.75" customHeight="1">
      <c r="AH714" s="253"/>
    </row>
    <row r="715" spans="34:34" ht="12.75" customHeight="1">
      <c r="AH715" s="253"/>
    </row>
    <row r="716" spans="34:34" ht="12.75" customHeight="1">
      <c r="AH716" s="253"/>
    </row>
    <row r="717" spans="34:34" ht="12.75" customHeight="1">
      <c r="AH717" s="253"/>
    </row>
    <row r="718" spans="34:34" ht="12.75" customHeight="1">
      <c r="AH718" s="253"/>
    </row>
    <row r="719" spans="34:34" ht="12.75" customHeight="1">
      <c r="AH719" s="253"/>
    </row>
    <row r="720" spans="34:34" ht="12.75" customHeight="1">
      <c r="AH720" s="253"/>
    </row>
    <row r="721" spans="34:34" ht="12.75" customHeight="1">
      <c r="AH721" s="253"/>
    </row>
    <row r="722" spans="34:34" ht="12.75" customHeight="1">
      <c r="AH722" s="253"/>
    </row>
    <row r="723" spans="34:34" ht="12.75" customHeight="1">
      <c r="AH723" s="253"/>
    </row>
    <row r="724" spans="34:34" ht="12.75" customHeight="1">
      <c r="AH724" s="253"/>
    </row>
    <row r="725" spans="34:34" ht="12.75" customHeight="1">
      <c r="AH725" s="253"/>
    </row>
    <row r="726" spans="34:34" ht="12.75" customHeight="1">
      <c r="AH726" s="253"/>
    </row>
    <row r="727" spans="34:34" ht="12.75" customHeight="1">
      <c r="AH727" s="253"/>
    </row>
    <row r="728" spans="34:34" ht="12.75" customHeight="1">
      <c r="AH728" s="253"/>
    </row>
    <row r="729" spans="34:34" ht="12.75" customHeight="1">
      <c r="AH729" s="253"/>
    </row>
    <row r="730" spans="34:34" ht="12.75" customHeight="1">
      <c r="AH730" s="253"/>
    </row>
    <row r="731" spans="34:34" ht="12.75" customHeight="1">
      <c r="AH731" s="253"/>
    </row>
    <row r="732" spans="34:34" ht="12.75" customHeight="1">
      <c r="AH732" s="253"/>
    </row>
    <row r="733" spans="34:34" ht="12.75" customHeight="1">
      <c r="AH733" s="253"/>
    </row>
    <row r="734" spans="34:34" ht="12.75" customHeight="1">
      <c r="AH734" s="253"/>
    </row>
    <row r="735" spans="34:34" ht="12.75" customHeight="1">
      <c r="AH735" s="253"/>
    </row>
    <row r="736" spans="34:34" ht="12.75" customHeight="1">
      <c r="AH736" s="253"/>
    </row>
    <row r="737" spans="34:34" ht="12.75" customHeight="1">
      <c r="AH737" s="253"/>
    </row>
    <row r="738" spans="34:34" ht="12.75" customHeight="1">
      <c r="AH738" s="253"/>
    </row>
    <row r="739" spans="34:34" ht="12.75" customHeight="1">
      <c r="AH739" s="253"/>
    </row>
    <row r="740" spans="34:34" ht="12.75" customHeight="1">
      <c r="AH740" s="253"/>
    </row>
    <row r="741" spans="34:34" ht="12.75" customHeight="1">
      <c r="AH741" s="253"/>
    </row>
    <row r="742" spans="34:34" ht="12.75" customHeight="1">
      <c r="AH742" s="253"/>
    </row>
    <row r="743" spans="34:34" ht="12.75" customHeight="1">
      <c r="AH743" s="253"/>
    </row>
    <row r="744" spans="34:34" ht="12.75" customHeight="1">
      <c r="AH744" s="253"/>
    </row>
    <row r="745" spans="34:34" ht="12.75" customHeight="1">
      <c r="AH745" s="253"/>
    </row>
    <row r="746" spans="34:34" ht="12.75" customHeight="1">
      <c r="AH746" s="253"/>
    </row>
    <row r="747" spans="34:34" ht="12.75" customHeight="1">
      <c r="AH747" s="253"/>
    </row>
    <row r="748" spans="34:34" ht="12.75" customHeight="1">
      <c r="AH748" s="253"/>
    </row>
    <row r="749" spans="34:34" ht="12.75" customHeight="1">
      <c r="AH749" s="253"/>
    </row>
    <row r="750" spans="34:34" ht="12.75" customHeight="1">
      <c r="AH750" s="253"/>
    </row>
    <row r="751" spans="34:34" ht="12.75" customHeight="1">
      <c r="AH751" s="253"/>
    </row>
    <row r="752" spans="34:34" ht="12.75" customHeight="1">
      <c r="AH752" s="253"/>
    </row>
    <row r="753" spans="34:34" ht="12.75" customHeight="1">
      <c r="AH753" s="253"/>
    </row>
    <row r="754" spans="34:34" ht="12.75" customHeight="1">
      <c r="AH754" s="253"/>
    </row>
    <row r="755" spans="34:34" ht="12.75" customHeight="1">
      <c r="AH755" s="253"/>
    </row>
    <row r="756" spans="34:34" ht="12.75" customHeight="1">
      <c r="AH756" s="253"/>
    </row>
    <row r="757" spans="34:34" ht="12.75" customHeight="1">
      <c r="AH757" s="253"/>
    </row>
    <row r="758" spans="34:34" ht="12.75" customHeight="1">
      <c r="AH758" s="253"/>
    </row>
    <row r="759" spans="34:34" ht="12.75" customHeight="1">
      <c r="AH759" s="253"/>
    </row>
    <row r="760" spans="34:34" ht="12.75" customHeight="1">
      <c r="AH760" s="253"/>
    </row>
    <row r="761" spans="34:34" ht="12.75" customHeight="1">
      <c r="AH761" s="253"/>
    </row>
    <row r="762" spans="34:34" ht="12.75" customHeight="1">
      <c r="AH762" s="253"/>
    </row>
    <row r="763" spans="34:34" ht="12.75" customHeight="1">
      <c r="AH763" s="253"/>
    </row>
    <row r="764" spans="34:34" ht="12.75" customHeight="1">
      <c r="AH764" s="253"/>
    </row>
    <row r="765" spans="34:34" ht="12.75" customHeight="1">
      <c r="AH765" s="253"/>
    </row>
    <row r="766" spans="34:34" ht="12.75" customHeight="1">
      <c r="AH766" s="253"/>
    </row>
    <row r="767" spans="34:34" ht="12.75" customHeight="1">
      <c r="AH767" s="253"/>
    </row>
    <row r="768" spans="34:34" ht="12.75" customHeight="1">
      <c r="AH768" s="253"/>
    </row>
    <row r="769" spans="34:34" ht="12.75" customHeight="1">
      <c r="AH769" s="253"/>
    </row>
    <row r="770" spans="34:34" ht="12.75" customHeight="1">
      <c r="AH770" s="253"/>
    </row>
    <row r="771" spans="34:34" ht="12.75" customHeight="1">
      <c r="AH771" s="253"/>
    </row>
    <row r="772" spans="34:34" ht="12.75" customHeight="1">
      <c r="AH772" s="253"/>
    </row>
    <row r="773" spans="34:34" ht="12.75" customHeight="1">
      <c r="AH773" s="253"/>
    </row>
    <row r="774" spans="34:34" ht="12.75" customHeight="1">
      <c r="AH774" s="253"/>
    </row>
    <row r="775" spans="34:34" ht="12.75" customHeight="1">
      <c r="AH775" s="253"/>
    </row>
    <row r="776" spans="34:34" ht="12.75" customHeight="1">
      <c r="AH776" s="253"/>
    </row>
    <row r="777" spans="34:34" ht="12.75" customHeight="1">
      <c r="AH777" s="253"/>
    </row>
    <row r="778" spans="34:34" ht="12.75" customHeight="1">
      <c r="AH778" s="253"/>
    </row>
    <row r="779" spans="34:34" ht="12.75" customHeight="1">
      <c r="AH779" s="253"/>
    </row>
    <row r="780" spans="34:34" ht="12.75" customHeight="1">
      <c r="AH780" s="253"/>
    </row>
    <row r="781" spans="34:34" ht="12.75" customHeight="1">
      <c r="AH781" s="253"/>
    </row>
    <row r="782" spans="34:34" ht="12.75" customHeight="1">
      <c r="AH782" s="253"/>
    </row>
    <row r="783" spans="34:34" ht="12.75" customHeight="1">
      <c r="AH783" s="253"/>
    </row>
    <row r="784" spans="34:34" ht="12.75" customHeight="1">
      <c r="AH784" s="253"/>
    </row>
    <row r="785" spans="34:34" ht="12.75" customHeight="1">
      <c r="AH785" s="253"/>
    </row>
    <row r="786" spans="34:34" ht="12.75" customHeight="1">
      <c r="AH786" s="253"/>
    </row>
    <row r="787" spans="34:34" ht="12.75" customHeight="1">
      <c r="AH787" s="253"/>
    </row>
    <row r="788" spans="34:34" ht="12.75" customHeight="1">
      <c r="AH788" s="253"/>
    </row>
    <row r="789" spans="34:34" ht="12.75" customHeight="1">
      <c r="AH789" s="253"/>
    </row>
    <row r="790" spans="34:34" ht="12.75" customHeight="1">
      <c r="AH790" s="253"/>
    </row>
    <row r="791" spans="34:34" ht="12.75" customHeight="1">
      <c r="AH791" s="253"/>
    </row>
    <row r="792" spans="34:34" ht="12.75" customHeight="1">
      <c r="AH792" s="253"/>
    </row>
    <row r="793" spans="34:34" ht="12.75" customHeight="1">
      <c r="AH793" s="253"/>
    </row>
    <row r="794" spans="34:34" ht="12.75" customHeight="1">
      <c r="AH794" s="253"/>
    </row>
    <row r="795" spans="34:34" ht="12.75" customHeight="1">
      <c r="AH795" s="253"/>
    </row>
    <row r="796" spans="34:34" ht="12.75" customHeight="1">
      <c r="AH796" s="253"/>
    </row>
    <row r="797" spans="34:34" ht="12.75" customHeight="1">
      <c r="AH797" s="253"/>
    </row>
    <row r="798" spans="34:34" ht="12.75" customHeight="1">
      <c r="AH798" s="253"/>
    </row>
    <row r="799" spans="34:34" ht="12.75" customHeight="1">
      <c r="AH799" s="253"/>
    </row>
    <row r="800" spans="34:34" ht="12.75" customHeight="1">
      <c r="AH800" s="253"/>
    </row>
    <row r="801" spans="34:34" ht="12.75" customHeight="1">
      <c r="AH801" s="253"/>
    </row>
    <row r="802" spans="34:34" ht="12.75" customHeight="1">
      <c r="AH802" s="253"/>
    </row>
    <row r="803" spans="34:34" ht="12.75" customHeight="1">
      <c r="AH803" s="253"/>
    </row>
    <row r="804" spans="34:34" ht="12.75" customHeight="1">
      <c r="AH804" s="253"/>
    </row>
    <row r="805" spans="34:34" ht="12.75" customHeight="1">
      <c r="AH805" s="253"/>
    </row>
    <row r="806" spans="34:34" ht="12.75" customHeight="1">
      <c r="AH806" s="253"/>
    </row>
    <row r="807" spans="34:34" ht="12.75" customHeight="1">
      <c r="AH807" s="253"/>
    </row>
    <row r="808" spans="34:34" ht="12.75" customHeight="1">
      <c r="AH808" s="253"/>
    </row>
    <row r="809" spans="34:34" ht="12.75" customHeight="1">
      <c r="AH809" s="253"/>
    </row>
    <row r="810" spans="34:34" ht="12.75" customHeight="1">
      <c r="AH810" s="253"/>
    </row>
    <row r="811" spans="34:34" ht="12.75" customHeight="1">
      <c r="AH811" s="253"/>
    </row>
    <row r="812" spans="34:34" ht="12.75" customHeight="1">
      <c r="AH812" s="253"/>
    </row>
    <row r="813" spans="34:34" ht="12.75" customHeight="1">
      <c r="AH813" s="253"/>
    </row>
    <row r="814" spans="34:34" ht="12.75" customHeight="1">
      <c r="AH814" s="253"/>
    </row>
    <row r="815" spans="34:34" ht="12.75" customHeight="1">
      <c r="AH815" s="253"/>
    </row>
    <row r="816" spans="34:34" ht="12.75" customHeight="1">
      <c r="AH816" s="253"/>
    </row>
    <row r="817" spans="34:34" ht="12.75" customHeight="1">
      <c r="AH817" s="253"/>
    </row>
    <row r="818" spans="34:34" ht="12.75" customHeight="1">
      <c r="AH818" s="253"/>
    </row>
    <row r="819" spans="34:34" ht="12.75" customHeight="1">
      <c r="AH819" s="253"/>
    </row>
    <row r="820" spans="34:34" ht="12.75" customHeight="1">
      <c r="AH820" s="253"/>
    </row>
    <row r="821" spans="34:34" ht="12.75" customHeight="1">
      <c r="AH821" s="253"/>
    </row>
    <row r="822" spans="34:34" ht="12.75" customHeight="1">
      <c r="AH822" s="253"/>
    </row>
    <row r="823" spans="34:34" ht="12.75" customHeight="1">
      <c r="AH823" s="253"/>
    </row>
    <row r="824" spans="34:34" ht="12.75" customHeight="1">
      <c r="AH824" s="253"/>
    </row>
    <row r="825" spans="34:34" ht="12.75" customHeight="1">
      <c r="AH825" s="253"/>
    </row>
    <row r="826" spans="34:34" ht="12.75" customHeight="1">
      <c r="AH826" s="253"/>
    </row>
    <row r="827" spans="34:34" ht="12.75" customHeight="1">
      <c r="AH827" s="253"/>
    </row>
    <row r="828" spans="34:34" ht="12.75" customHeight="1">
      <c r="AH828" s="253"/>
    </row>
    <row r="829" spans="34:34" ht="12.75" customHeight="1">
      <c r="AH829" s="253"/>
    </row>
    <row r="830" spans="34:34" ht="12.75" customHeight="1">
      <c r="AH830" s="253"/>
    </row>
    <row r="831" spans="34:34" ht="12.75" customHeight="1">
      <c r="AH831" s="253"/>
    </row>
    <row r="832" spans="34:34" ht="12.75" customHeight="1">
      <c r="AH832" s="253"/>
    </row>
    <row r="833" spans="34:34" ht="12.75" customHeight="1">
      <c r="AH833" s="253"/>
    </row>
    <row r="834" spans="34:34" ht="12.75" customHeight="1">
      <c r="AH834" s="253"/>
    </row>
    <row r="835" spans="34:34" ht="12.75" customHeight="1">
      <c r="AH835" s="253"/>
    </row>
    <row r="836" spans="34:34" ht="12.75" customHeight="1">
      <c r="AH836" s="253"/>
    </row>
    <row r="837" spans="34:34" ht="12.75" customHeight="1">
      <c r="AH837" s="253"/>
    </row>
    <row r="838" spans="34:34" ht="12.75" customHeight="1">
      <c r="AH838" s="253"/>
    </row>
    <row r="839" spans="34:34" ht="12.75" customHeight="1">
      <c r="AH839" s="253"/>
    </row>
    <row r="840" spans="34:34" ht="12.75" customHeight="1">
      <c r="AH840" s="253"/>
    </row>
    <row r="841" spans="34:34" ht="12.75" customHeight="1">
      <c r="AH841" s="253"/>
    </row>
    <row r="842" spans="34:34" ht="12.75" customHeight="1">
      <c r="AH842" s="253"/>
    </row>
    <row r="843" spans="34:34" ht="12.75" customHeight="1">
      <c r="AH843" s="253"/>
    </row>
    <row r="844" spans="34:34" ht="12.75" customHeight="1">
      <c r="AH844" s="253"/>
    </row>
    <row r="845" spans="34:34" ht="12.75" customHeight="1">
      <c r="AH845" s="253"/>
    </row>
    <row r="846" spans="34:34" ht="12.75" customHeight="1">
      <c r="AH846" s="253"/>
    </row>
    <row r="847" spans="34:34" ht="12.75" customHeight="1">
      <c r="AH847" s="253"/>
    </row>
    <row r="848" spans="34:34" ht="12.75" customHeight="1">
      <c r="AH848" s="253"/>
    </row>
    <row r="849" spans="34:34" ht="12.75" customHeight="1">
      <c r="AH849" s="253"/>
    </row>
    <row r="850" spans="34:34" ht="12.75" customHeight="1">
      <c r="AH850" s="253"/>
    </row>
    <row r="851" spans="34:34" ht="12.75" customHeight="1">
      <c r="AH851" s="253"/>
    </row>
    <row r="852" spans="34:34" ht="12.75" customHeight="1">
      <c r="AH852" s="253"/>
    </row>
    <row r="853" spans="34:34" ht="12.75" customHeight="1">
      <c r="AH853" s="253"/>
    </row>
    <row r="854" spans="34:34" ht="12.75" customHeight="1">
      <c r="AH854" s="253"/>
    </row>
    <row r="855" spans="34:34" ht="12.75" customHeight="1">
      <c r="AH855" s="253"/>
    </row>
    <row r="856" spans="34:34" ht="12.75" customHeight="1">
      <c r="AH856" s="253"/>
    </row>
    <row r="857" spans="34:34" ht="12.75" customHeight="1">
      <c r="AH857" s="253"/>
    </row>
    <row r="858" spans="34:34" ht="12.75" customHeight="1">
      <c r="AH858" s="253"/>
    </row>
    <row r="859" spans="34:34" ht="12.75" customHeight="1">
      <c r="AH859" s="253"/>
    </row>
    <row r="860" spans="34:34" ht="12.75" customHeight="1">
      <c r="AH860" s="253"/>
    </row>
    <row r="861" spans="34:34" ht="12.75" customHeight="1">
      <c r="AH861" s="253"/>
    </row>
    <row r="862" spans="34:34" ht="12.75" customHeight="1">
      <c r="AH862" s="253"/>
    </row>
    <row r="863" spans="34:34" ht="12.75" customHeight="1">
      <c r="AH863" s="253"/>
    </row>
    <row r="864" spans="34:34" ht="12.75" customHeight="1">
      <c r="AH864" s="253"/>
    </row>
    <row r="865" spans="34:34" ht="12.75" customHeight="1">
      <c r="AH865" s="253"/>
    </row>
    <row r="866" spans="34:34" ht="12.75" customHeight="1">
      <c r="AH866" s="253"/>
    </row>
    <row r="867" spans="34:34" ht="12.75" customHeight="1">
      <c r="AH867" s="253"/>
    </row>
    <row r="868" spans="34:34" ht="12.75" customHeight="1">
      <c r="AH868" s="253"/>
    </row>
    <row r="869" spans="34:34" ht="12.75" customHeight="1">
      <c r="AH869" s="253"/>
    </row>
    <row r="870" spans="34:34" ht="12.75" customHeight="1">
      <c r="AH870" s="253"/>
    </row>
    <row r="871" spans="34:34" ht="12.75" customHeight="1">
      <c r="AH871" s="253"/>
    </row>
    <row r="872" spans="34:34" ht="12.75" customHeight="1">
      <c r="AH872" s="253"/>
    </row>
    <row r="873" spans="34:34" ht="12.75" customHeight="1">
      <c r="AH873" s="253"/>
    </row>
    <row r="874" spans="34:34" ht="12.75" customHeight="1">
      <c r="AH874" s="253"/>
    </row>
    <row r="875" spans="34:34" ht="12.75" customHeight="1">
      <c r="AH875" s="253"/>
    </row>
    <row r="876" spans="34:34" ht="12.75" customHeight="1">
      <c r="AH876" s="253"/>
    </row>
    <row r="877" spans="34:34" ht="12.75" customHeight="1">
      <c r="AH877" s="253"/>
    </row>
    <row r="878" spans="34:34" ht="12.75" customHeight="1">
      <c r="AH878" s="253"/>
    </row>
    <row r="879" spans="34:34" ht="12.75" customHeight="1">
      <c r="AH879" s="253"/>
    </row>
    <row r="880" spans="34:34" ht="12.75" customHeight="1">
      <c r="AH880" s="253"/>
    </row>
    <row r="881" spans="34:34" ht="12.75" customHeight="1">
      <c r="AH881" s="253"/>
    </row>
    <row r="882" spans="34:34" ht="12.75" customHeight="1">
      <c r="AH882" s="253"/>
    </row>
    <row r="883" spans="34:34" ht="12.75" customHeight="1">
      <c r="AH883" s="253"/>
    </row>
    <row r="884" spans="34:34" ht="12.75" customHeight="1">
      <c r="AH884" s="253"/>
    </row>
    <row r="885" spans="34:34" ht="12.75" customHeight="1">
      <c r="AH885" s="253"/>
    </row>
    <row r="886" spans="34:34" ht="12.75" customHeight="1">
      <c r="AH886" s="253"/>
    </row>
    <row r="887" spans="34:34" ht="12.75" customHeight="1">
      <c r="AH887" s="253"/>
    </row>
    <row r="888" spans="34:34" ht="12.75" customHeight="1">
      <c r="AH888" s="253"/>
    </row>
    <row r="889" spans="34:34" ht="12.75" customHeight="1">
      <c r="AH889" s="253"/>
    </row>
    <row r="890" spans="34:34" ht="12.75" customHeight="1">
      <c r="AH890" s="253"/>
    </row>
    <row r="891" spans="34:34" ht="12.75" customHeight="1">
      <c r="AH891" s="253"/>
    </row>
    <row r="892" spans="34:34" ht="12.75" customHeight="1">
      <c r="AH892" s="253"/>
    </row>
    <row r="893" spans="34:34" ht="12.75" customHeight="1">
      <c r="AH893" s="253"/>
    </row>
    <row r="894" spans="34:34" ht="12.75" customHeight="1">
      <c r="AH894" s="253"/>
    </row>
    <row r="895" spans="34:34" ht="12.75" customHeight="1">
      <c r="AH895" s="253"/>
    </row>
    <row r="896" spans="34:34" ht="12.75" customHeight="1">
      <c r="AH896" s="253"/>
    </row>
    <row r="897" spans="34:34" ht="12.75" customHeight="1">
      <c r="AH897" s="253"/>
    </row>
    <row r="898" spans="34:34" ht="12.75" customHeight="1">
      <c r="AH898" s="253"/>
    </row>
    <row r="899" spans="34:34" ht="12.75" customHeight="1">
      <c r="AH899" s="253"/>
    </row>
    <row r="900" spans="34:34" ht="12.75" customHeight="1">
      <c r="AH900" s="253"/>
    </row>
    <row r="901" spans="34:34" ht="12.75" customHeight="1">
      <c r="AH901" s="253"/>
    </row>
    <row r="902" spans="34:34" ht="12.75" customHeight="1">
      <c r="AH902" s="253"/>
    </row>
    <row r="903" spans="34:34" ht="12.75" customHeight="1">
      <c r="AH903" s="253"/>
    </row>
    <row r="904" spans="34:34" ht="12.75" customHeight="1">
      <c r="AH904" s="253"/>
    </row>
    <row r="905" spans="34:34" ht="12.75" customHeight="1">
      <c r="AH905" s="253"/>
    </row>
    <row r="906" spans="34:34" ht="12.75" customHeight="1">
      <c r="AH906" s="253"/>
    </row>
    <row r="907" spans="34:34" ht="12.75" customHeight="1">
      <c r="AH907" s="253"/>
    </row>
    <row r="908" spans="34:34" ht="12.75" customHeight="1">
      <c r="AH908" s="253"/>
    </row>
    <row r="909" spans="34:34" ht="12.75" customHeight="1">
      <c r="AH909" s="253"/>
    </row>
    <row r="910" spans="34:34" ht="12.75" customHeight="1">
      <c r="AH910" s="253"/>
    </row>
    <row r="911" spans="34:34" ht="12.75" customHeight="1">
      <c r="AH911" s="253"/>
    </row>
    <row r="912" spans="34:34" ht="12.75" customHeight="1">
      <c r="AH912" s="253"/>
    </row>
    <row r="913" spans="34:34" ht="12.75" customHeight="1">
      <c r="AH913" s="253"/>
    </row>
    <row r="914" spans="34:34" ht="12.75" customHeight="1">
      <c r="AH914" s="253"/>
    </row>
    <row r="915" spans="34:34" ht="12.75" customHeight="1">
      <c r="AH915" s="253"/>
    </row>
    <row r="916" spans="34:34" ht="12.75" customHeight="1">
      <c r="AH916" s="253"/>
    </row>
    <row r="917" spans="34:34" ht="12.75" customHeight="1">
      <c r="AH917" s="253"/>
    </row>
    <row r="918" spans="34:34" ht="12.75" customHeight="1">
      <c r="AH918" s="253"/>
    </row>
    <row r="919" spans="34:34" ht="12.75" customHeight="1">
      <c r="AH919" s="253"/>
    </row>
    <row r="920" spans="34:34" ht="12.75" customHeight="1">
      <c r="AH920" s="253"/>
    </row>
    <row r="921" spans="34:34" ht="12.75" customHeight="1">
      <c r="AH921" s="253"/>
    </row>
    <row r="922" spans="34:34" ht="12.75" customHeight="1">
      <c r="AH922" s="253"/>
    </row>
    <row r="923" spans="34:34" ht="12.75" customHeight="1">
      <c r="AH923" s="253"/>
    </row>
    <row r="924" spans="34:34" ht="12.75" customHeight="1">
      <c r="AH924" s="253"/>
    </row>
    <row r="925" spans="34:34" ht="12.75" customHeight="1">
      <c r="AH925" s="253"/>
    </row>
    <row r="926" spans="34:34" ht="12.75" customHeight="1">
      <c r="AH926" s="253"/>
    </row>
    <row r="927" spans="34:34" ht="12.75" customHeight="1">
      <c r="AH927" s="253"/>
    </row>
    <row r="928" spans="34:34" ht="12.75" customHeight="1">
      <c r="AH928" s="253"/>
    </row>
    <row r="929" spans="34:34" ht="12.75" customHeight="1">
      <c r="AH929" s="253"/>
    </row>
    <row r="930" spans="34:34" ht="12.75" customHeight="1">
      <c r="AH930" s="253"/>
    </row>
    <row r="931" spans="34:34" ht="12.75" customHeight="1">
      <c r="AH931" s="253"/>
    </row>
    <row r="932" spans="34:34" ht="12.75" customHeight="1">
      <c r="AH932" s="253"/>
    </row>
    <row r="933" spans="34:34" ht="12.75" customHeight="1">
      <c r="AH933" s="253"/>
    </row>
    <row r="934" spans="34:34" ht="12.75" customHeight="1">
      <c r="AH934" s="253"/>
    </row>
    <row r="935" spans="34:34" ht="12.75" customHeight="1">
      <c r="AH935" s="253"/>
    </row>
    <row r="936" spans="34:34" ht="12.75" customHeight="1">
      <c r="AH936" s="253"/>
    </row>
    <row r="937" spans="34:34" ht="12.75" customHeight="1">
      <c r="AH937" s="253"/>
    </row>
    <row r="938" spans="34:34" ht="12.75" customHeight="1">
      <c r="AH938" s="253"/>
    </row>
    <row r="939" spans="34:34" ht="12.75" customHeight="1">
      <c r="AH939" s="253"/>
    </row>
    <row r="940" spans="34:34" ht="12.75" customHeight="1">
      <c r="AH940" s="253"/>
    </row>
    <row r="941" spans="34:34" ht="12.75" customHeight="1">
      <c r="AH941" s="253"/>
    </row>
    <row r="942" spans="34:34" ht="12.75" customHeight="1">
      <c r="AH942" s="253"/>
    </row>
    <row r="943" spans="34:34" ht="12.75" customHeight="1">
      <c r="AH943" s="253"/>
    </row>
    <row r="944" spans="34:34" ht="12.75" customHeight="1">
      <c r="AH944" s="253"/>
    </row>
    <row r="945" spans="34:34" ht="12.75" customHeight="1">
      <c r="AH945" s="253"/>
    </row>
    <row r="946" spans="34:34" ht="12.75" customHeight="1">
      <c r="AH946" s="253"/>
    </row>
    <row r="947" spans="34:34" ht="12.75" customHeight="1">
      <c r="AH947" s="253"/>
    </row>
    <row r="948" spans="34:34" ht="12.75" customHeight="1">
      <c r="AH948" s="253"/>
    </row>
    <row r="949" spans="34:34" ht="12.75" customHeight="1">
      <c r="AH949" s="253"/>
    </row>
    <row r="950" spans="34:34" ht="12.75" customHeight="1">
      <c r="AH950" s="253"/>
    </row>
    <row r="951" spans="34:34" ht="12.75" customHeight="1">
      <c r="AH951" s="253"/>
    </row>
    <row r="952" spans="34:34" ht="12.75" customHeight="1">
      <c r="AH952" s="253"/>
    </row>
    <row r="953" spans="34:34" ht="12.75" customHeight="1">
      <c r="AH953" s="253"/>
    </row>
    <row r="954" spans="34:34" ht="12.75" customHeight="1">
      <c r="AH954" s="253"/>
    </row>
    <row r="955" spans="34:34" ht="12.75" customHeight="1">
      <c r="AH955" s="253"/>
    </row>
    <row r="956" spans="34:34" ht="12.75" customHeight="1">
      <c r="AH956" s="253"/>
    </row>
    <row r="957" spans="34:34" ht="12.75" customHeight="1">
      <c r="AH957" s="253"/>
    </row>
    <row r="958" spans="34:34" ht="12.75" customHeight="1">
      <c r="AH958" s="253"/>
    </row>
    <row r="959" spans="34:34" ht="12.75" customHeight="1">
      <c r="AH959" s="253"/>
    </row>
    <row r="960" spans="34:34" ht="12.75" customHeight="1">
      <c r="AH960" s="253"/>
    </row>
    <row r="961" spans="34:34" ht="12.75" customHeight="1">
      <c r="AH961" s="253"/>
    </row>
    <row r="962" spans="34:34" ht="12.75" customHeight="1">
      <c r="AH962" s="253"/>
    </row>
    <row r="963" spans="34:34" ht="12.75" customHeight="1">
      <c r="AH963" s="253"/>
    </row>
    <row r="964" spans="34:34" ht="12.75" customHeight="1">
      <c r="AH964" s="253"/>
    </row>
    <row r="965" spans="34:34" ht="12.75" customHeight="1">
      <c r="AH965" s="253"/>
    </row>
    <row r="966" spans="34:34" ht="12.75" customHeight="1">
      <c r="AH966" s="253"/>
    </row>
    <row r="967" spans="34:34" ht="12.75" customHeight="1">
      <c r="AH967" s="253"/>
    </row>
    <row r="968" spans="34:34" ht="12.75" customHeight="1">
      <c r="AH968" s="253"/>
    </row>
    <row r="969" spans="34:34" ht="12.75" customHeight="1">
      <c r="AH969" s="253"/>
    </row>
    <row r="970" spans="34:34" ht="12.75" customHeight="1">
      <c r="AH970" s="253"/>
    </row>
    <row r="971" spans="34:34" ht="12.75" customHeight="1">
      <c r="AH971" s="253"/>
    </row>
    <row r="972" spans="34:34" ht="12.75" customHeight="1">
      <c r="AH972" s="253"/>
    </row>
    <row r="973" spans="34:34" ht="12.75" customHeight="1">
      <c r="AH973" s="253"/>
    </row>
    <row r="974" spans="34:34" ht="12.75" customHeight="1">
      <c r="AH974" s="253"/>
    </row>
    <row r="975" spans="34:34" ht="12.75" customHeight="1">
      <c r="AH975" s="253"/>
    </row>
    <row r="976" spans="34:34" ht="12.75" customHeight="1">
      <c r="AH976" s="253"/>
    </row>
    <row r="977" spans="34:34" ht="12.75" customHeight="1">
      <c r="AH977" s="253"/>
    </row>
    <row r="978" spans="34:34" ht="12.75" customHeight="1">
      <c r="AH978" s="253"/>
    </row>
    <row r="979" spans="34:34" ht="12.75" customHeight="1">
      <c r="AH979" s="253"/>
    </row>
    <row r="980" spans="34:34" ht="12.75" customHeight="1">
      <c r="AH980" s="253"/>
    </row>
    <row r="981" spans="34:34" ht="12.75" customHeight="1">
      <c r="AH981" s="253"/>
    </row>
    <row r="982" spans="34:34" ht="12.75" customHeight="1">
      <c r="AH982" s="253"/>
    </row>
    <row r="983" spans="34:34" ht="12.75" customHeight="1">
      <c r="AH983" s="253"/>
    </row>
    <row r="984" spans="34:34" ht="12.75" customHeight="1">
      <c r="AH984" s="253"/>
    </row>
    <row r="985" spans="34:34" ht="12.75" customHeight="1">
      <c r="AH985" s="253"/>
    </row>
    <row r="986" spans="34:34" ht="12.75" customHeight="1">
      <c r="AH986" s="253"/>
    </row>
    <row r="987" spans="34:34" ht="12.75" customHeight="1">
      <c r="AH987" s="253"/>
    </row>
    <row r="988" spans="34:34" ht="12.75" customHeight="1">
      <c r="AH988" s="253"/>
    </row>
    <row r="989" spans="34:34" ht="12.75" customHeight="1">
      <c r="AH989" s="253"/>
    </row>
    <row r="990" spans="34:34" ht="12.75" customHeight="1">
      <c r="AH990" s="253"/>
    </row>
    <row r="991" spans="34:34" ht="12.75" customHeight="1">
      <c r="AH991" s="253"/>
    </row>
    <row r="992" spans="34:34" ht="12.75" customHeight="1">
      <c r="AH992" s="253"/>
    </row>
    <row r="993" spans="34:34" ht="12.75" customHeight="1">
      <c r="AH993" s="253"/>
    </row>
    <row r="994" spans="34:34" ht="12.75" customHeight="1">
      <c r="AH994" s="253"/>
    </row>
    <row r="995" spans="34:34" ht="12.75" customHeight="1">
      <c r="AH995" s="253"/>
    </row>
    <row r="996" spans="34:34" ht="12.75" customHeight="1">
      <c r="AH996" s="253"/>
    </row>
    <row r="997" spans="34:34" ht="12.75" customHeight="1">
      <c r="AH997" s="253"/>
    </row>
    <row r="998" spans="34:34" ht="12.75" customHeight="1">
      <c r="AH998" s="253"/>
    </row>
    <row r="999" spans="34:34" ht="12.75" customHeight="1">
      <c r="AH999" s="253"/>
    </row>
    <row r="1000" spans="34:34" ht="12.75" customHeight="1">
      <c r="AH1000" s="253"/>
    </row>
    <row r="1001" spans="34:34" ht="12.75" customHeight="1">
      <c r="AH1001" s="253"/>
    </row>
    <row r="1002" spans="34:34" ht="12.75" customHeight="1">
      <c r="AH1002" s="253"/>
    </row>
    <row r="1003" spans="34:34" ht="12.75" customHeight="1">
      <c r="AH1003" s="253"/>
    </row>
    <row r="1004" spans="34:34" ht="12.75" customHeight="1">
      <c r="AH1004" s="253"/>
    </row>
    <row r="1005" spans="34:34" ht="12.75" customHeight="1">
      <c r="AH1005" s="253"/>
    </row>
    <row r="1006" spans="34:34" ht="12.75" customHeight="1">
      <c r="AH1006" s="253"/>
    </row>
    <row r="1007" spans="34:34" ht="12.75" customHeight="1">
      <c r="AH1007" s="253"/>
    </row>
    <row r="1008" spans="34:34" ht="12.75" customHeight="1">
      <c r="AH1008" s="253"/>
    </row>
    <row r="1009" spans="34:34" ht="12.75" customHeight="1">
      <c r="AH1009" s="253"/>
    </row>
    <row r="1010" spans="34:34" ht="12.75" customHeight="1">
      <c r="AH1010" s="253"/>
    </row>
    <row r="1011" spans="34:34" ht="12.75" customHeight="1">
      <c r="AH1011" s="253"/>
    </row>
    <row r="1012" spans="34:34" ht="12.75" customHeight="1">
      <c r="AH1012" s="253"/>
    </row>
    <row r="1013" spans="34:34" ht="12.75" customHeight="1">
      <c r="AH1013" s="253"/>
    </row>
    <row r="1014" spans="34:34" ht="12.75" customHeight="1">
      <c r="AH1014" s="253"/>
    </row>
    <row r="1015" spans="34:34" ht="12.75" customHeight="1">
      <c r="AH1015" s="253"/>
    </row>
    <row r="1016" spans="34:34" ht="12.75" customHeight="1">
      <c r="AH1016" s="253"/>
    </row>
    <row r="1017" spans="34:34" ht="12.75" customHeight="1">
      <c r="AH1017" s="253"/>
    </row>
    <row r="1018" spans="34:34" ht="12.75" customHeight="1">
      <c r="AH1018" s="253"/>
    </row>
    <row r="1019" spans="34:34" ht="12.75" customHeight="1">
      <c r="AH1019" s="253"/>
    </row>
    <row r="1020" spans="34:34" ht="12.75" customHeight="1">
      <c r="AH1020" s="253"/>
    </row>
    <row r="1021" spans="34:34" ht="12.75" customHeight="1">
      <c r="AH1021" s="253"/>
    </row>
    <row r="1022" spans="34:34" ht="12.75" customHeight="1">
      <c r="AH1022" s="253"/>
    </row>
    <row r="1023" spans="34:34" ht="12.75" customHeight="1">
      <c r="AH1023" s="253"/>
    </row>
    <row r="1024" spans="34:34" ht="12.75" customHeight="1">
      <c r="AH1024" s="253"/>
    </row>
    <row r="1025" spans="34:34" ht="12.75" customHeight="1">
      <c r="AH1025" s="253"/>
    </row>
    <row r="1026" spans="34:34" ht="12.75" customHeight="1">
      <c r="AH1026" s="253"/>
    </row>
    <row r="1027" spans="34:34" ht="12.75" customHeight="1">
      <c r="AH1027" s="253"/>
    </row>
    <row r="1028" spans="34:34" ht="12.75" customHeight="1">
      <c r="AH1028" s="253"/>
    </row>
    <row r="1029" spans="34:34" ht="12.75" customHeight="1">
      <c r="AH1029" s="253"/>
    </row>
    <row r="1030" spans="34:34" ht="12.75" customHeight="1">
      <c r="AH1030" s="253"/>
    </row>
    <row r="1031" spans="34:34" ht="12.75" customHeight="1">
      <c r="AH1031" s="253"/>
    </row>
    <row r="1032" spans="34:34" ht="12.75" customHeight="1">
      <c r="AH1032" s="253"/>
    </row>
    <row r="1033" spans="34:34" ht="12.75" customHeight="1">
      <c r="AH1033" s="253"/>
    </row>
    <row r="1034" spans="34:34" ht="12.75" customHeight="1">
      <c r="AH1034" s="253"/>
    </row>
    <row r="1035" spans="34:34" ht="12.75" customHeight="1">
      <c r="AH1035" s="253"/>
    </row>
    <row r="1036" spans="34:34" ht="12.75" customHeight="1">
      <c r="AH1036" s="253"/>
    </row>
    <row r="1037" spans="34:34" ht="12.75" customHeight="1">
      <c r="AH1037" s="253"/>
    </row>
    <row r="1038" spans="34:34" ht="12.75" customHeight="1">
      <c r="AH1038" s="253"/>
    </row>
    <row r="1039" spans="34:34" ht="12.75" customHeight="1">
      <c r="AH1039" s="253"/>
    </row>
    <row r="1040" spans="34:34" ht="12.75" customHeight="1">
      <c r="AH1040" s="253"/>
    </row>
    <row r="1041" spans="34:34" ht="12.75" customHeight="1">
      <c r="AH1041" s="253"/>
    </row>
    <row r="1042" spans="34:34" ht="12.75" customHeight="1">
      <c r="AH1042" s="253"/>
    </row>
    <row r="1043" spans="34:34" ht="12.75" customHeight="1">
      <c r="AH1043" s="253"/>
    </row>
    <row r="1044" spans="34:34" ht="12.75" customHeight="1">
      <c r="AH1044" s="253"/>
    </row>
    <row r="1045" spans="34:34" ht="12.75" customHeight="1">
      <c r="AH1045" s="253"/>
    </row>
    <row r="1046" spans="34:34" ht="12.75" customHeight="1">
      <c r="AH1046" s="253"/>
    </row>
    <row r="1047" spans="34:34" ht="12.75" customHeight="1">
      <c r="AH1047" s="253"/>
    </row>
    <row r="1048" spans="34:34" ht="12.75" customHeight="1">
      <c r="AH1048" s="253"/>
    </row>
    <row r="1049" spans="34:34" ht="12.75" customHeight="1">
      <c r="AH1049" s="253"/>
    </row>
    <row r="1050" spans="34:34" ht="12.75" customHeight="1">
      <c r="AH1050" s="253"/>
    </row>
    <row r="1051" spans="34:34" ht="12.75" customHeight="1">
      <c r="AH1051" s="253"/>
    </row>
    <row r="1052" spans="34:34" ht="12.75" customHeight="1">
      <c r="AH1052" s="253"/>
    </row>
    <row r="1053" spans="34:34" ht="12.75" customHeight="1">
      <c r="AH1053" s="253"/>
    </row>
    <row r="1054" spans="34:34" ht="12.75" customHeight="1">
      <c r="AH1054" s="253"/>
    </row>
    <row r="1055" spans="34:34" ht="12.75" customHeight="1">
      <c r="AH1055" s="253"/>
    </row>
    <row r="1056" spans="34:34" ht="12.75" customHeight="1">
      <c r="AH1056" s="253"/>
    </row>
    <row r="1057" spans="34:34" ht="12.75" customHeight="1">
      <c r="AH1057" s="253"/>
    </row>
    <row r="1058" spans="34:34" ht="12.75" customHeight="1">
      <c r="AH1058" s="253"/>
    </row>
    <row r="1059" spans="34:34" ht="12.75" customHeight="1">
      <c r="AH1059" s="253"/>
    </row>
    <row r="1060" spans="34:34" ht="12.75" customHeight="1">
      <c r="AH1060" s="253"/>
    </row>
    <row r="1061" spans="34:34" ht="12.75" customHeight="1">
      <c r="AH1061" s="253"/>
    </row>
    <row r="1062" spans="34:34" ht="12.75" customHeight="1">
      <c r="AH1062" s="253"/>
    </row>
    <row r="1063" spans="34:34" ht="12.75" customHeight="1">
      <c r="AH1063" s="253"/>
    </row>
    <row r="1064" spans="34:34" ht="12.75" customHeight="1">
      <c r="AH1064" s="253"/>
    </row>
    <row r="1065" spans="34:34" ht="12.75" customHeight="1">
      <c r="AH1065" s="253"/>
    </row>
    <row r="1066" spans="34:34" ht="12.75" customHeight="1">
      <c r="AH1066" s="253"/>
    </row>
    <row r="1067" spans="34:34" ht="12.75" customHeight="1">
      <c r="AH1067" s="253"/>
    </row>
    <row r="1068" spans="34:34" ht="12.75" customHeight="1">
      <c r="AH1068" s="253"/>
    </row>
    <row r="1069" spans="34:34" ht="12.75" customHeight="1">
      <c r="AH1069" s="253"/>
    </row>
    <row r="1070" spans="34:34" ht="12.75" customHeight="1">
      <c r="AH1070" s="253"/>
    </row>
    <row r="1071" spans="34:34" ht="12.75" customHeight="1">
      <c r="AH1071" s="253"/>
    </row>
    <row r="1072" spans="34:34" ht="12.75" customHeight="1">
      <c r="AH1072" s="253"/>
    </row>
    <row r="1073" spans="34:34" ht="12.75" customHeight="1">
      <c r="AH1073" s="253"/>
    </row>
    <row r="1074" spans="34:34" ht="12.75" customHeight="1">
      <c r="AH1074" s="253"/>
    </row>
    <row r="1075" spans="34:34" ht="12.75" customHeight="1">
      <c r="AH1075" s="253"/>
    </row>
    <row r="1076" spans="34:34" ht="12.75" customHeight="1">
      <c r="AH1076" s="253"/>
    </row>
    <row r="1077" spans="34:34" ht="12.75" customHeight="1">
      <c r="AH1077" s="253"/>
    </row>
    <row r="1078" spans="34:34" ht="12.75" customHeight="1">
      <c r="AH1078" s="253"/>
    </row>
    <row r="1079" spans="34:34" ht="12.75" customHeight="1">
      <c r="AH1079" s="253"/>
    </row>
    <row r="1080" spans="34:34" ht="12.75" customHeight="1">
      <c r="AH1080" s="253"/>
    </row>
    <row r="1081" spans="34:34" ht="12.75" customHeight="1">
      <c r="AH1081" s="253"/>
    </row>
    <row r="1082" spans="34:34" ht="12.75" customHeight="1">
      <c r="AH1082" s="253"/>
    </row>
    <row r="1083" spans="34:34" ht="12.75" customHeight="1">
      <c r="AH1083" s="253"/>
    </row>
    <row r="1084" spans="34:34" ht="12.75" customHeight="1">
      <c r="AH1084" s="253"/>
    </row>
    <row r="1085" spans="34:34" ht="12.75" customHeight="1">
      <c r="AH1085" s="253"/>
    </row>
    <row r="1086" spans="34:34" ht="12.75" customHeight="1">
      <c r="AH1086" s="253"/>
    </row>
    <row r="1087" spans="34:34" ht="12.75" customHeight="1">
      <c r="AH1087" s="253"/>
    </row>
    <row r="1088" spans="34:34" ht="12.75" customHeight="1">
      <c r="AH1088" s="253"/>
    </row>
    <row r="1089" spans="34:34" ht="12.75" customHeight="1">
      <c r="AH1089" s="253"/>
    </row>
    <row r="1090" spans="34:34" ht="12.75" customHeight="1">
      <c r="AH1090" s="253"/>
    </row>
    <row r="1091" spans="34:34" ht="12.75" customHeight="1">
      <c r="AH1091" s="253"/>
    </row>
    <row r="1092" spans="34:34" ht="12.75" customHeight="1">
      <c r="AH1092" s="253"/>
    </row>
    <row r="1093" spans="34:34" ht="12.75" customHeight="1">
      <c r="AH1093" s="253"/>
    </row>
    <row r="1094" spans="34:34" ht="12.75" customHeight="1">
      <c r="AH1094" s="253"/>
    </row>
    <row r="1095" spans="34:34" ht="12.75" customHeight="1">
      <c r="AH1095" s="253"/>
    </row>
    <row r="1096" spans="34:34" ht="12.75" customHeight="1">
      <c r="AH1096" s="253"/>
    </row>
    <row r="1097" spans="34:34" ht="12.75" customHeight="1">
      <c r="AH1097" s="253"/>
    </row>
    <row r="1098" spans="34:34" ht="12.75" customHeight="1">
      <c r="AH1098" s="253"/>
    </row>
    <row r="1099" spans="34:34" ht="12.75" customHeight="1">
      <c r="AH1099" s="253"/>
    </row>
    <row r="1100" spans="34:34" ht="12.75" customHeight="1">
      <c r="AH1100" s="253"/>
    </row>
    <row r="1101" spans="34:34" ht="12.75" customHeight="1">
      <c r="AH1101" s="253"/>
    </row>
    <row r="1102" spans="34:34" ht="12.75" customHeight="1">
      <c r="AH1102" s="253"/>
    </row>
    <row r="1103" spans="34:34" ht="12.75" customHeight="1">
      <c r="AH1103" s="253"/>
    </row>
    <row r="1104" spans="34:34" ht="12.75" customHeight="1">
      <c r="AH1104" s="253"/>
    </row>
    <row r="1105" spans="34:34" ht="12.75" customHeight="1">
      <c r="AH1105" s="253"/>
    </row>
    <row r="1106" spans="34:34" ht="12.75" customHeight="1">
      <c r="AH1106" s="253"/>
    </row>
    <row r="1107" spans="34:34" ht="12.75" customHeight="1">
      <c r="AH1107" s="253"/>
    </row>
    <row r="1108" spans="34:34" ht="12.75" customHeight="1">
      <c r="AH1108" s="253"/>
    </row>
    <row r="1109" spans="34:34" ht="12.75" customHeight="1">
      <c r="AH1109" s="253"/>
    </row>
    <row r="1110" spans="34:34" ht="12.75" customHeight="1">
      <c r="AH1110" s="253"/>
    </row>
    <row r="1111" spans="34:34" ht="12.75" customHeight="1">
      <c r="AH1111" s="253"/>
    </row>
    <row r="1112" spans="34:34" ht="12.75" customHeight="1">
      <c r="AH1112" s="253"/>
    </row>
    <row r="1113" spans="34:34" ht="12.75" customHeight="1">
      <c r="AH1113" s="253"/>
    </row>
    <row r="1114" spans="34:34" ht="12.75" customHeight="1">
      <c r="AH1114" s="253"/>
    </row>
    <row r="1115" spans="34:34" ht="12.75" customHeight="1">
      <c r="AH1115" s="253"/>
    </row>
    <row r="1116" spans="34:34" ht="12.75" customHeight="1">
      <c r="AH1116" s="253"/>
    </row>
    <row r="1117" spans="34:34" ht="12.75" customHeight="1">
      <c r="AH1117" s="253"/>
    </row>
    <row r="1118" spans="34:34" ht="12.75" customHeight="1">
      <c r="AH1118" s="253"/>
    </row>
    <row r="1119" spans="34:34" ht="12.75" customHeight="1">
      <c r="AH1119" s="253"/>
    </row>
    <row r="1120" spans="34:34" ht="12.75" customHeight="1">
      <c r="AH1120" s="253"/>
    </row>
    <row r="1121" spans="34:34" ht="12.75" customHeight="1">
      <c r="AH1121" s="253"/>
    </row>
    <row r="1122" spans="34:34" ht="12.75" customHeight="1">
      <c r="AH1122" s="253"/>
    </row>
    <row r="1123" spans="34:34" ht="12.75" customHeight="1">
      <c r="AH1123" s="253"/>
    </row>
    <row r="1124" spans="34:34" ht="12.75" customHeight="1">
      <c r="AH1124" s="253"/>
    </row>
    <row r="1125" spans="34:34" ht="12.75" customHeight="1">
      <c r="AH1125" s="253"/>
    </row>
    <row r="1126" spans="34:34" ht="12.75" customHeight="1">
      <c r="AH1126" s="253"/>
    </row>
    <row r="1127" spans="34:34" ht="12.75" customHeight="1">
      <c r="AH1127" s="253"/>
    </row>
    <row r="1128" spans="34:34" ht="12.75" customHeight="1">
      <c r="AH1128" s="253"/>
    </row>
    <row r="1129" spans="34:34" ht="12.75" customHeight="1">
      <c r="AH1129" s="253"/>
    </row>
    <row r="1130" spans="34:34" ht="12.75" customHeight="1">
      <c r="AH1130" s="253"/>
    </row>
    <row r="1131" spans="34:34" ht="12.75" customHeight="1">
      <c r="AH1131" s="253"/>
    </row>
    <row r="1132" spans="34:34" ht="12.75" customHeight="1">
      <c r="AH1132" s="253"/>
    </row>
    <row r="1133" spans="34:34" ht="12.75" customHeight="1">
      <c r="AH1133" s="253"/>
    </row>
    <row r="1134" spans="34:34" ht="12.75" customHeight="1">
      <c r="AH1134" s="253"/>
    </row>
    <row r="1135" spans="34:34" ht="12.75" customHeight="1">
      <c r="AH1135" s="253"/>
    </row>
    <row r="1136" spans="34:34" ht="12.75" customHeight="1">
      <c r="AH1136" s="253"/>
    </row>
    <row r="1137" spans="34:34" ht="12.75" customHeight="1">
      <c r="AH1137" s="253"/>
    </row>
    <row r="1138" spans="34:34" ht="12.75" customHeight="1">
      <c r="AH1138" s="253"/>
    </row>
    <row r="1139" spans="34:34" ht="12.75" customHeight="1">
      <c r="AH1139" s="253"/>
    </row>
    <row r="1140" spans="34:34" ht="12.75" customHeight="1">
      <c r="AH1140" s="253"/>
    </row>
    <row r="1141" spans="34:34" ht="12.75" customHeight="1">
      <c r="AH1141" s="253"/>
    </row>
    <row r="1142" spans="34:34" ht="12.75" customHeight="1">
      <c r="AH1142" s="253"/>
    </row>
    <row r="1143" spans="34:34" ht="12.75" customHeight="1">
      <c r="AH1143" s="253"/>
    </row>
    <row r="1144" spans="34:34" ht="12.75" customHeight="1">
      <c r="AH1144" s="253"/>
    </row>
    <row r="1145" spans="34:34" ht="12.75" customHeight="1">
      <c r="AH1145" s="253"/>
    </row>
    <row r="1146" spans="34:34" ht="12.75" customHeight="1">
      <c r="AH1146" s="253"/>
    </row>
    <row r="1147" spans="34:34" ht="12.75" customHeight="1">
      <c r="AH1147" s="253"/>
    </row>
    <row r="1148" spans="34:34" ht="12.75" customHeight="1">
      <c r="AH1148" s="253"/>
    </row>
    <row r="1149" spans="34:34" ht="12.75" customHeight="1">
      <c r="AH1149" s="253"/>
    </row>
    <row r="1150" spans="34:34" ht="12.75" customHeight="1">
      <c r="AH1150" s="253"/>
    </row>
    <row r="1151" spans="34:34" ht="12.75" customHeight="1">
      <c r="AH1151" s="253"/>
    </row>
    <row r="1152" spans="34:34" ht="12.75" customHeight="1">
      <c r="AH1152" s="253"/>
    </row>
    <row r="1153" spans="34:34" ht="12.75" customHeight="1">
      <c r="AH1153" s="253"/>
    </row>
    <row r="1154" spans="34:34" ht="12.75" customHeight="1">
      <c r="AH1154" s="253"/>
    </row>
    <row r="1155" spans="34:34" ht="12.75" customHeight="1">
      <c r="AH1155" s="253"/>
    </row>
    <row r="1156" spans="34:34" ht="12.75" customHeight="1">
      <c r="AH1156" s="253"/>
    </row>
    <row r="1157" spans="34:34" ht="12.75" customHeight="1">
      <c r="AH1157" s="253"/>
    </row>
    <row r="1158" spans="34:34" ht="12.75" customHeight="1">
      <c r="AH1158" s="253"/>
    </row>
    <row r="1159" spans="34:34" ht="12.75" customHeight="1">
      <c r="AH1159" s="253"/>
    </row>
    <row r="1160" spans="34:34" ht="12.75" customHeight="1">
      <c r="AH1160" s="253"/>
    </row>
    <row r="1161" spans="34:34" ht="12.75" customHeight="1">
      <c r="AH1161" s="253"/>
    </row>
    <row r="1162" spans="34:34" ht="12.75" customHeight="1">
      <c r="AH1162" s="253"/>
    </row>
    <row r="1163" spans="34:34" ht="12.75" customHeight="1">
      <c r="AH1163" s="253"/>
    </row>
    <row r="1164" spans="34:34" ht="12.75" customHeight="1">
      <c r="AH1164" s="253"/>
    </row>
    <row r="1165" spans="34:34" ht="12.75" customHeight="1">
      <c r="AH1165" s="253"/>
    </row>
    <row r="1166" spans="34:34" ht="12.75" customHeight="1">
      <c r="AH1166" s="253"/>
    </row>
    <row r="1167" spans="34:34" ht="12.75" customHeight="1">
      <c r="AH1167" s="253"/>
    </row>
    <row r="1168" spans="34:34" ht="12.75" customHeight="1">
      <c r="AH1168" s="253"/>
    </row>
    <row r="1169" spans="34:34" ht="12.75" customHeight="1">
      <c r="AH1169" s="253"/>
    </row>
    <row r="1170" spans="34:34" ht="12.75" customHeight="1">
      <c r="AH1170" s="253"/>
    </row>
    <row r="1171" spans="34:34" ht="12.75" customHeight="1">
      <c r="AH1171" s="253"/>
    </row>
    <row r="1172" spans="34:34" ht="12.75" customHeight="1">
      <c r="AH1172" s="253"/>
    </row>
    <row r="1173" spans="34:34" ht="12.75" customHeight="1">
      <c r="AH1173" s="253"/>
    </row>
    <row r="1174" spans="34:34" ht="12.75" customHeight="1">
      <c r="AH1174" s="253"/>
    </row>
    <row r="1175" spans="34:34" ht="12.75" customHeight="1">
      <c r="AH1175" s="253"/>
    </row>
    <row r="1176" spans="34:34" ht="12.75" customHeight="1">
      <c r="AH1176" s="253"/>
    </row>
    <row r="1177" spans="34:34" ht="12.75" customHeight="1">
      <c r="AH1177" s="253"/>
    </row>
    <row r="1178" spans="34:34" ht="12.75" customHeight="1">
      <c r="AH1178" s="253"/>
    </row>
    <row r="1179" spans="34:34" ht="12.75" customHeight="1">
      <c r="AH1179" s="253"/>
    </row>
    <row r="1180" spans="34:34" ht="12.75" customHeight="1">
      <c r="AH1180" s="253"/>
    </row>
    <row r="1181" spans="34:34" ht="12.75" customHeight="1">
      <c r="AH1181" s="253"/>
    </row>
    <row r="1182" spans="34:34" ht="12.75" customHeight="1">
      <c r="AH1182" s="253"/>
    </row>
    <row r="1183" spans="34:34" ht="12.75" customHeight="1">
      <c r="AH1183" s="253"/>
    </row>
    <row r="1184" spans="34:34" ht="12.75" customHeight="1">
      <c r="AH1184" s="253"/>
    </row>
    <row r="1185" spans="34:34" ht="12.75" customHeight="1">
      <c r="AH1185" s="253"/>
    </row>
    <row r="1186" spans="34:34" ht="12.75" customHeight="1">
      <c r="AH1186" s="253"/>
    </row>
    <row r="1187" spans="34:34" ht="12.75" customHeight="1">
      <c r="AH1187" s="253"/>
    </row>
    <row r="1188" spans="34:34" ht="12.75" customHeight="1">
      <c r="AH1188" s="253"/>
    </row>
    <row r="1189" spans="34:34" ht="12.75" customHeight="1">
      <c r="AH1189" s="253"/>
    </row>
    <row r="1190" spans="34:34" ht="12.75" customHeight="1">
      <c r="AH1190" s="253"/>
    </row>
    <row r="1191" spans="34:34" ht="12.75" customHeight="1">
      <c r="AH1191" s="253"/>
    </row>
    <row r="1192" spans="34:34" ht="12.75" customHeight="1">
      <c r="AH1192" s="253"/>
    </row>
    <row r="1193" spans="34:34" ht="12.75" customHeight="1">
      <c r="AH1193" s="253"/>
    </row>
    <row r="1194" spans="34:34" ht="12.75" customHeight="1">
      <c r="AH1194" s="253"/>
    </row>
    <row r="1195" spans="34:34" ht="12.75" customHeight="1">
      <c r="AH1195" s="253"/>
    </row>
    <row r="1196" spans="34:34" ht="12.75" customHeight="1">
      <c r="AH1196" s="253"/>
    </row>
    <row r="1197" spans="34:34" ht="12.75" customHeight="1">
      <c r="AH1197" s="253"/>
    </row>
    <row r="1198" spans="34:34" ht="12.75" customHeight="1">
      <c r="AH1198" s="253"/>
    </row>
    <row r="1199" spans="34:34" ht="12.75" customHeight="1">
      <c r="AH1199" s="253"/>
    </row>
    <row r="1200" spans="34:34" ht="12.75" customHeight="1">
      <c r="AH1200" s="253"/>
    </row>
    <row r="1201" spans="34:34" ht="12.75" customHeight="1">
      <c r="AH1201" s="253"/>
    </row>
    <row r="1202" spans="34:34" ht="12.75" customHeight="1">
      <c r="AH1202" s="253"/>
    </row>
    <row r="1203" spans="34:34" ht="12.75" customHeight="1">
      <c r="AH1203" s="253"/>
    </row>
    <row r="1204" spans="34:34" ht="12.75" customHeight="1">
      <c r="AH1204" s="253"/>
    </row>
    <row r="1205" spans="34:34" ht="12.75" customHeight="1">
      <c r="AH1205" s="253"/>
    </row>
    <row r="1206" spans="34:34" ht="12.75" customHeight="1">
      <c r="AH1206" s="253"/>
    </row>
    <row r="1207" spans="34:34" ht="12.75" customHeight="1">
      <c r="AH1207" s="253"/>
    </row>
    <row r="1208" spans="34:34" ht="12.75" customHeight="1">
      <c r="AH1208" s="253"/>
    </row>
    <row r="1209" spans="34:34" ht="12.75" customHeight="1">
      <c r="AH1209" s="253"/>
    </row>
    <row r="1210" spans="34:34" ht="12.75" customHeight="1">
      <c r="AH1210" s="253"/>
    </row>
    <row r="1211" spans="34:34" ht="12.75" customHeight="1">
      <c r="AH1211" s="253"/>
    </row>
    <row r="1212" spans="34:34" ht="12.75" customHeight="1">
      <c r="AH1212" s="253"/>
    </row>
    <row r="1213" spans="34:34" ht="12.75" customHeight="1">
      <c r="AH1213" s="253"/>
    </row>
    <row r="1214" spans="34:34" ht="12.75" customHeight="1">
      <c r="AH1214" s="253"/>
    </row>
    <row r="1215" spans="34:34" ht="12.75" customHeight="1">
      <c r="AH1215" s="253"/>
    </row>
    <row r="1216" spans="34:34" ht="12.75" customHeight="1">
      <c r="AH1216" s="253"/>
    </row>
    <row r="1217" spans="34:34" ht="12.75" customHeight="1">
      <c r="AH1217" s="253"/>
    </row>
    <row r="1218" spans="34:34" ht="12.75" customHeight="1">
      <c r="AH1218" s="253"/>
    </row>
    <row r="1219" spans="34:34" ht="12.75" customHeight="1">
      <c r="AH1219" s="253"/>
    </row>
    <row r="1220" spans="34:34" ht="12.75" customHeight="1">
      <c r="AH1220" s="253"/>
    </row>
    <row r="1221" spans="34:34" ht="12.75" customHeight="1">
      <c r="AH1221" s="253"/>
    </row>
    <row r="1222" spans="34:34" ht="12.75" customHeight="1">
      <c r="AH1222" s="253"/>
    </row>
    <row r="1223" spans="34:34" ht="12.75" customHeight="1">
      <c r="AH1223" s="253"/>
    </row>
    <row r="1224" spans="34:34" ht="12.75" customHeight="1">
      <c r="AH1224" s="253"/>
    </row>
    <row r="1225" spans="34:34" ht="12.75" customHeight="1">
      <c r="AH1225" s="253"/>
    </row>
    <row r="1226" spans="34:34" ht="12.75" customHeight="1">
      <c r="AH1226" s="253"/>
    </row>
    <row r="1227" spans="34:34" ht="12.75" customHeight="1">
      <c r="AH1227" s="253"/>
    </row>
    <row r="1228" spans="34:34" ht="12.75" customHeight="1">
      <c r="AH1228" s="253"/>
    </row>
    <row r="1229" spans="34:34" ht="12.75" customHeight="1">
      <c r="AH1229" s="253"/>
    </row>
    <row r="1230" spans="34:34" ht="12.75" customHeight="1">
      <c r="AH1230" s="253"/>
    </row>
    <row r="1231" spans="34:34" ht="12.75" customHeight="1">
      <c r="AH1231" s="253"/>
    </row>
    <row r="1232" spans="34:34" ht="12.75" customHeight="1">
      <c r="AH1232" s="253"/>
    </row>
    <row r="1233" spans="34:34" ht="12.75" customHeight="1">
      <c r="AH1233" s="253"/>
    </row>
    <row r="1234" spans="34:34" ht="12.75" customHeight="1">
      <c r="AH1234" s="253"/>
    </row>
    <row r="1235" spans="34:34" ht="12.75" customHeight="1">
      <c r="AH1235" s="253"/>
    </row>
    <row r="1236" spans="34:34" ht="12.75" customHeight="1">
      <c r="AH1236" s="253"/>
    </row>
    <row r="1237" spans="34:34" ht="12.75" customHeight="1">
      <c r="AH1237" s="253"/>
    </row>
    <row r="1238" spans="34:34" ht="12.75" customHeight="1">
      <c r="AH1238" s="253"/>
    </row>
    <row r="1239" spans="34:34" ht="12.75" customHeight="1">
      <c r="AH1239" s="253"/>
    </row>
    <row r="1240" spans="34:34" ht="12.75" customHeight="1">
      <c r="AH1240" s="253"/>
    </row>
    <row r="1241" spans="34:34" ht="12.75" customHeight="1">
      <c r="AH1241" s="253"/>
    </row>
    <row r="1242" spans="34:34" ht="12.75" customHeight="1">
      <c r="AH1242" s="253"/>
    </row>
    <row r="1243" spans="34:34" ht="12.75" customHeight="1">
      <c r="AH1243" s="253"/>
    </row>
    <row r="1244" spans="34:34" ht="12.75" customHeight="1">
      <c r="AH1244" s="253"/>
    </row>
    <row r="1245" spans="34:34" ht="12.75" customHeight="1">
      <c r="AH1245" s="253"/>
    </row>
    <row r="1246" spans="34:34" ht="12.75" customHeight="1">
      <c r="AH1246" s="253"/>
    </row>
    <row r="1247" spans="34:34" ht="12.75" customHeight="1">
      <c r="AH1247" s="253"/>
    </row>
    <row r="1248" spans="34:34" ht="12.75" customHeight="1">
      <c r="AH1248" s="253"/>
    </row>
    <row r="1249" spans="34:34" ht="12.75" customHeight="1">
      <c r="AH1249" s="253"/>
    </row>
    <row r="1250" spans="34:34" ht="12.75" customHeight="1">
      <c r="AH1250" s="253"/>
    </row>
    <row r="1251" spans="34:34" ht="12.75" customHeight="1">
      <c r="AH1251" s="253"/>
    </row>
    <row r="1252" spans="34:34" ht="12.75" customHeight="1">
      <c r="AH1252" s="253"/>
    </row>
    <row r="1253" spans="34:34" ht="12.75" customHeight="1">
      <c r="AH1253" s="253"/>
    </row>
    <row r="1254" spans="34:34" ht="12.75" customHeight="1">
      <c r="AH1254" s="253"/>
    </row>
    <row r="1255" spans="34:34" ht="12.75" customHeight="1">
      <c r="AH1255" s="253"/>
    </row>
    <row r="1256" spans="34:34" ht="12.75" customHeight="1">
      <c r="AH1256" s="253"/>
    </row>
    <row r="1257" spans="34:34" ht="12.75" customHeight="1">
      <c r="AH1257" s="253"/>
    </row>
    <row r="1258" spans="34:34" ht="12.75" customHeight="1">
      <c r="AH1258" s="253"/>
    </row>
    <row r="1259" spans="34:34" ht="12.75" customHeight="1">
      <c r="AH1259" s="253"/>
    </row>
    <row r="1260" spans="34:34" ht="12.75" customHeight="1">
      <c r="AH1260" s="253"/>
    </row>
    <row r="1261" spans="34:34" ht="12.75" customHeight="1">
      <c r="AH1261" s="253"/>
    </row>
    <row r="1262" spans="34:34" ht="12.75" customHeight="1">
      <c r="AH1262" s="253"/>
    </row>
    <row r="1263" spans="34:34" ht="12.75" customHeight="1">
      <c r="AH1263" s="253"/>
    </row>
    <row r="1264" spans="34:34" ht="12.75" customHeight="1">
      <c r="AH1264" s="253"/>
    </row>
    <row r="1265" spans="34:34" ht="12.75" customHeight="1">
      <c r="AH1265" s="253"/>
    </row>
    <row r="1266" spans="34:34" ht="12.75" customHeight="1">
      <c r="AH1266" s="253"/>
    </row>
    <row r="1267" spans="34:34" ht="12.75" customHeight="1">
      <c r="AH1267" s="253"/>
    </row>
    <row r="1268" spans="34:34" ht="12.75" customHeight="1">
      <c r="AH1268" s="253"/>
    </row>
    <row r="1269" spans="34:34" ht="12.75" customHeight="1">
      <c r="AH1269" s="253"/>
    </row>
    <row r="1270" spans="34:34" ht="12.75" customHeight="1">
      <c r="AH1270" s="253"/>
    </row>
    <row r="1271" spans="34:34" ht="12.75" customHeight="1">
      <c r="AH1271" s="253"/>
    </row>
    <row r="1272" spans="34:34" ht="12.75" customHeight="1">
      <c r="AH1272" s="253"/>
    </row>
    <row r="1273" spans="34:34" ht="12.75" customHeight="1">
      <c r="AH1273" s="253"/>
    </row>
    <row r="1274" spans="34:34" ht="12.75" customHeight="1">
      <c r="AH1274" s="253"/>
    </row>
    <row r="1275" spans="34:34" ht="12.75" customHeight="1">
      <c r="AH1275" s="253"/>
    </row>
    <row r="1276" spans="34:34" ht="12.75" customHeight="1">
      <c r="AH1276" s="253"/>
    </row>
    <row r="1277" spans="34:34" ht="12.75" customHeight="1">
      <c r="AH1277" s="253"/>
    </row>
    <row r="1278" spans="34:34" ht="12.75" customHeight="1">
      <c r="AH1278" s="253"/>
    </row>
    <row r="1279" spans="34:34" ht="12.75" customHeight="1">
      <c r="AH1279" s="253"/>
    </row>
    <row r="1280" spans="34:34" ht="12.75" customHeight="1">
      <c r="AH1280" s="253"/>
    </row>
    <row r="1281" spans="34:34" ht="12.75" customHeight="1">
      <c r="AH1281" s="253"/>
    </row>
    <row r="1282" spans="34:34" ht="12.75" customHeight="1">
      <c r="AH1282" s="253"/>
    </row>
    <row r="1283" spans="34:34" ht="12.75" customHeight="1">
      <c r="AH1283" s="253"/>
    </row>
    <row r="1284" spans="34:34" ht="12.75" customHeight="1">
      <c r="AH1284" s="253"/>
    </row>
    <row r="1285" spans="34:34" ht="12.75" customHeight="1">
      <c r="AH1285" s="253"/>
    </row>
    <row r="1286" spans="34:34" ht="12.75" customHeight="1">
      <c r="AH1286" s="253"/>
    </row>
    <row r="1287" spans="34:34" ht="12.75" customHeight="1">
      <c r="AH1287" s="253"/>
    </row>
    <row r="1288" spans="34:34" ht="12.75" customHeight="1">
      <c r="AH1288" s="253"/>
    </row>
    <row r="1289" spans="34:34" ht="12.75" customHeight="1">
      <c r="AH1289" s="253"/>
    </row>
    <row r="1290" spans="34:34" ht="12.75" customHeight="1">
      <c r="AH1290" s="253"/>
    </row>
    <row r="1291" spans="34:34" ht="12.75" customHeight="1">
      <c r="AH1291" s="253"/>
    </row>
    <row r="1292" spans="34:34" ht="12.75" customHeight="1">
      <c r="AH1292" s="253"/>
    </row>
    <row r="1293" spans="34:34" ht="12.75" customHeight="1">
      <c r="AH1293" s="253"/>
    </row>
    <row r="1294" spans="34:34" ht="12.75" customHeight="1">
      <c r="AH1294" s="253"/>
    </row>
    <row r="1295" spans="34:34" ht="12.75" customHeight="1">
      <c r="AH1295" s="253"/>
    </row>
    <row r="1296" spans="34:34" ht="12.75" customHeight="1">
      <c r="AH1296" s="253"/>
    </row>
    <row r="1297" spans="34:34" ht="12.75" customHeight="1">
      <c r="AH1297" s="253"/>
    </row>
    <row r="1298" spans="34:34" ht="12.75" customHeight="1">
      <c r="AH1298" s="253"/>
    </row>
    <row r="1299" spans="34:34" ht="12.75" customHeight="1">
      <c r="AH1299" s="253"/>
    </row>
    <row r="1300" spans="34:34" ht="12.75" customHeight="1">
      <c r="AH1300" s="253"/>
    </row>
    <row r="1301" spans="34:34" ht="12.75" customHeight="1">
      <c r="AH1301" s="253"/>
    </row>
    <row r="1302" spans="34:34" ht="12.75" customHeight="1">
      <c r="AH1302" s="253"/>
    </row>
    <row r="1303" spans="34:34" ht="12.75" customHeight="1">
      <c r="AH1303" s="253"/>
    </row>
    <row r="1304" spans="34:34" ht="12.75" customHeight="1">
      <c r="AH1304" s="253"/>
    </row>
    <row r="1305" spans="34:34" ht="12.75" customHeight="1">
      <c r="AH1305" s="253"/>
    </row>
    <row r="1306" spans="34:34" ht="12.75" customHeight="1">
      <c r="AH1306" s="253"/>
    </row>
    <row r="1307" spans="34:34" ht="12.75" customHeight="1">
      <c r="AH1307" s="253"/>
    </row>
    <row r="1308" spans="34:34" ht="12.75" customHeight="1">
      <c r="AH1308" s="253"/>
    </row>
    <row r="1309" spans="34:34" ht="12.75" customHeight="1">
      <c r="AH1309" s="253"/>
    </row>
    <row r="1310" spans="34:34" ht="12.75" customHeight="1">
      <c r="AH1310" s="253"/>
    </row>
    <row r="1311" spans="34:34" ht="12.75" customHeight="1">
      <c r="AH1311" s="253"/>
    </row>
    <row r="1312" spans="34:34" ht="12.75" customHeight="1">
      <c r="AH1312" s="253"/>
    </row>
    <row r="1313" spans="34:34" ht="12.75" customHeight="1">
      <c r="AH1313" s="253"/>
    </row>
    <row r="1314" spans="34:34" ht="12.75" customHeight="1">
      <c r="AH1314" s="253"/>
    </row>
    <row r="1315" spans="34:34" ht="12.75" customHeight="1">
      <c r="AH1315" s="253"/>
    </row>
    <row r="1316" spans="34:34" ht="12.75" customHeight="1">
      <c r="AH1316" s="253"/>
    </row>
    <row r="1317" spans="34:34" ht="12.75" customHeight="1">
      <c r="AH1317" s="253"/>
    </row>
    <row r="1318" spans="34:34" ht="12.75" customHeight="1">
      <c r="AH1318" s="253"/>
    </row>
    <row r="1319" spans="34:34" ht="12.75" customHeight="1">
      <c r="AH1319" s="253"/>
    </row>
    <row r="1320" spans="34:34" ht="12.75" customHeight="1">
      <c r="AH1320" s="253"/>
    </row>
    <row r="1321" spans="34:34" ht="12.75" customHeight="1">
      <c r="AH1321" s="253"/>
    </row>
    <row r="1322" spans="34:34" ht="12.75" customHeight="1">
      <c r="AH1322" s="253"/>
    </row>
    <row r="1323" spans="34:34" ht="12.75" customHeight="1">
      <c r="AH1323" s="253"/>
    </row>
    <row r="1324" spans="34:34" ht="12.75" customHeight="1">
      <c r="AH1324" s="253"/>
    </row>
    <row r="1325" spans="34:34" ht="12.75" customHeight="1">
      <c r="AH1325" s="253"/>
    </row>
    <row r="1326" spans="34:34" ht="12.75" customHeight="1">
      <c r="AH1326" s="253"/>
    </row>
    <row r="1327" spans="34:34" ht="12.75" customHeight="1">
      <c r="AH1327" s="253"/>
    </row>
    <row r="1328" spans="34:34" ht="12.75" customHeight="1">
      <c r="AH1328" s="253"/>
    </row>
    <row r="1329" spans="34:34" ht="12.75" customHeight="1">
      <c r="AH1329" s="253"/>
    </row>
    <row r="1330" spans="34:34" ht="12.75" customHeight="1">
      <c r="AH1330" s="253"/>
    </row>
    <row r="1331" spans="34:34" ht="12.75" customHeight="1">
      <c r="AH1331" s="253"/>
    </row>
    <row r="1332" spans="34:34" ht="12.75" customHeight="1">
      <c r="AH1332" s="253"/>
    </row>
    <row r="1333" spans="34:34" ht="12.75" customHeight="1">
      <c r="AH1333" s="253"/>
    </row>
    <row r="1334" spans="34:34" ht="12.75" customHeight="1">
      <c r="AH1334" s="253"/>
    </row>
    <row r="1335" spans="34:34" ht="12.75" customHeight="1">
      <c r="AH1335" s="253"/>
    </row>
    <row r="1336" spans="34:34" ht="12.75" customHeight="1">
      <c r="AH1336" s="253"/>
    </row>
    <row r="1337" spans="34:34" ht="12.75" customHeight="1">
      <c r="AH1337" s="253"/>
    </row>
    <row r="1338" spans="34:34" ht="12.75" customHeight="1">
      <c r="AH1338" s="253"/>
    </row>
    <row r="1339" spans="34:34" ht="12.75" customHeight="1">
      <c r="AH1339" s="253"/>
    </row>
    <row r="1340" spans="34:34" ht="12.75" customHeight="1">
      <c r="AH1340" s="253"/>
    </row>
    <row r="1341" spans="34:34" ht="12.75" customHeight="1">
      <c r="AH1341" s="253"/>
    </row>
    <row r="1342" spans="34:34" ht="12.75" customHeight="1">
      <c r="AH1342" s="253"/>
    </row>
    <row r="1343" spans="34:34" ht="12.75" customHeight="1">
      <c r="AH1343" s="253"/>
    </row>
    <row r="1344" spans="34:34" ht="12.75" customHeight="1">
      <c r="AH1344" s="253"/>
    </row>
    <row r="1345" spans="34:34" ht="12.75" customHeight="1">
      <c r="AH1345" s="253"/>
    </row>
    <row r="1346" spans="34:34" ht="12.75" customHeight="1">
      <c r="AH1346" s="253"/>
    </row>
    <row r="1347" spans="34:34" ht="12.75" customHeight="1">
      <c r="AH1347" s="253"/>
    </row>
    <row r="1348" spans="34:34" ht="12.75" customHeight="1">
      <c r="AH1348" s="253"/>
    </row>
    <row r="1349" spans="34:34" ht="12.75" customHeight="1">
      <c r="AH1349" s="253"/>
    </row>
    <row r="1350" spans="34:34" ht="12.75" customHeight="1">
      <c r="AH1350" s="253"/>
    </row>
    <row r="1351" spans="34:34" ht="12.75" customHeight="1">
      <c r="AH1351" s="253"/>
    </row>
    <row r="1352" spans="34:34" ht="12.75" customHeight="1">
      <c r="AH1352" s="253"/>
    </row>
    <row r="1353" spans="34:34" ht="12.75" customHeight="1">
      <c r="AH1353" s="253"/>
    </row>
    <row r="1354" spans="34:34" ht="12.75" customHeight="1">
      <c r="AH1354" s="253"/>
    </row>
    <row r="1355" spans="34:34" ht="12.75" customHeight="1">
      <c r="AH1355" s="253"/>
    </row>
    <row r="1356" spans="34:34" ht="12.75" customHeight="1">
      <c r="AH1356" s="253"/>
    </row>
    <row r="1357" spans="34:34" ht="12.75" customHeight="1">
      <c r="AH1357" s="253"/>
    </row>
    <row r="1358" spans="34:34" ht="12.75" customHeight="1">
      <c r="AH1358" s="253"/>
    </row>
    <row r="1359" spans="34:34" ht="12.75" customHeight="1">
      <c r="AH1359" s="253"/>
    </row>
    <row r="1360" spans="34:34" ht="12.75" customHeight="1">
      <c r="AH1360" s="253"/>
    </row>
    <row r="1361" spans="34:34" ht="12.75" customHeight="1">
      <c r="AH1361" s="253"/>
    </row>
    <row r="1362" spans="34:34" ht="12.75" customHeight="1">
      <c r="AH1362" s="253"/>
    </row>
    <row r="1363" spans="34:34" ht="12.75" customHeight="1">
      <c r="AH1363" s="253"/>
    </row>
    <row r="1364" spans="34:34" ht="12.75" customHeight="1">
      <c r="AH1364" s="253"/>
    </row>
    <row r="1365" spans="34:34" ht="12.75" customHeight="1">
      <c r="AH1365" s="253"/>
    </row>
    <row r="1366" spans="34:34" ht="12.75" customHeight="1">
      <c r="AH1366" s="253"/>
    </row>
    <row r="1367" spans="34:34" ht="12.75" customHeight="1">
      <c r="AH1367" s="253"/>
    </row>
    <row r="1368" spans="34:34" ht="12.75" customHeight="1">
      <c r="AH1368" s="253"/>
    </row>
    <row r="1369" spans="34:34" ht="12.75" customHeight="1">
      <c r="AH1369" s="253"/>
    </row>
    <row r="1370" spans="34:34" ht="12.75" customHeight="1">
      <c r="AH1370" s="253"/>
    </row>
    <row r="1371" spans="34:34" ht="12.75" customHeight="1">
      <c r="AH1371" s="253"/>
    </row>
    <row r="1372" spans="34:34" ht="12.75" customHeight="1">
      <c r="AH1372" s="253"/>
    </row>
    <row r="1373" spans="34:34" ht="12.75" customHeight="1">
      <c r="AH1373" s="253"/>
    </row>
    <row r="1374" spans="34:34" ht="12.75" customHeight="1">
      <c r="AH1374" s="253"/>
    </row>
    <row r="1375" spans="34:34" ht="12.75" customHeight="1">
      <c r="AH1375" s="253"/>
    </row>
    <row r="1376" spans="34:34" ht="12.75" customHeight="1">
      <c r="AH1376" s="253"/>
    </row>
    <row r="1377" spans="34:34" ht="12.75" customHeight="1">
      <c r="AH1377" s="253"/>
    </row>
    <row r="1378" spans="34:34" ht="12.75" customHeight="1">
      <c r="AH1378" s="253"/>
    </row>
    <row r="1379" spans="34:34" ht="12.75" customHeight="1">
      <c r="AH1379" s="253"/>
    </row>
    <row r="1380" spans="34:34" ht="12.75" customHeight="1">
      <c r="AH1380" s="253"/>
    </row>
    <row r="1381" spans="34:34" ht="12.75" customHeight="1">
      <c r="AH1381" s="253"/>
    </row>
    <row r="1382" spans="34:34" ht="12.75" customHeight="1">
      <c r="AH1382" s="253"/>
    </row>
    <row r="1383" spans="34:34" ht="12.75" customHeight="1">
      <c r="AH1383" s="253"/>
    </row>
    <row r="1384" spans="34:34" ht="12.75" customHeight="1">
      <c r="AH1384" s="253"/>
    </row>
    <row r="1385" spans="34:34" ht="12.75" customHeight="1">
      <c r="AH1385" s="253"/>
    </row>
    <row r="1386" spans="34:34" ht="12.75" customHeight="1">
      <c r="AH1386" s="253"/>
    </row>
    <row r="1387" spans="34:34" ht="12.75" customHeight="1">
      <c r="AH1387" s="253"/>
    </row>
    <row r="1388" spans="34:34" ht="12.75" customHeight="1">
      <c r="AH1388" s="253"/>
    </row>
    <row r="1389" spans="34:34" ht="12.75" customHeight="1">
      <c r="AH1389" s="253"/>
    </row>
    <row r="1390" spans="34:34" ht="12.75" customHeight="1">
      <c r="AH1390" s="253"/>
    </row>
    <row r="1391" spans="34:34" ht="12.75" customHeight="1">
      <c r="AH1391" s="253"/>
    </row>
    <row r="1392" spans="34:34" ht="12.75" customHeight="1">
      <c r="AH1392" s="253"/>
    </row>
    <row r="1393" spans="34:34" ht="12.75" customHeight="1">
      <c r="AH1393" s="253"/>
    </row>
    <row r="1394" spans="34:34" ht="12.75" customHeight="1">
      <c r="AH1394" s="253"/>
    </row>
    <row r="1395" spans="34:34" ht="12.75" customHeight="1">
      <c r="AH1395" s="253"/>
    </row>
    <row r="1396" spans="34:34" ht="12.75" customHeight="1">
      <c r="AH1396" s="253"/>
    </row>
    <row r="1397" spans="34:34" ht="12.75" customHeight="1">
      <c r="AH1397" s="253"/>
    </row>
    <row r="1398" spans="34:34" ht="12.75" customHeight="1">
      <c r="AH1398" s="253"/>
    </row>
    <row r="1399" spans="34:34" ht="12.75" customHeight="1">
      <c r="AH1399" s="253"/>
    </row>
    <row r="1400" spans="34:34" ht="12.75" customHeight="1">
      <c r="AH1400" s="253"/>
    </row>
    <row r="1401" spans="34:34" ht="12.75" customHeight="1">
      <c r="AH1401" s="253"/>
    </row>
    <row r="1402" spans="34:34" ht="12.75" customHeight="1">
      <c r="AH1402" s="253"/>
    </row>
    <row r="1403" spans="34:34" ht="12.75" customHeight="1">
      <c r="AH1403" s="253"/>
    </row>
    <row r="1404" spans="34:34" ht="12.75" customHeight="1">
      <c r="AH1404" s="253"/>
    </row>
    <row r="1405" spans="34:34" ht="12.75" customHeight="1">
      <c r="AH1405" s="253"/>
    </row>
    <row r="1406" spans="34:34" ht="12.75" customHeight="1">
      <c r="AH1406" s="253"/>
    </row>
    <row r="1407" spans="34:34" ht="12.75" customHeight="1">
      <c r="AH1407" s="253"/>
    </row>
    <row r="1408" spans="34:34" ht="12.75" customHeight="1">
      <c r="AH1408" s="253"/>
    </row>
    <row r="1409" spans="34:34" ht="12.75" customHeight="1">
      <c r="AH1409" s="253"/>
    </row>
    <row r="1410" spans="34:34" ht="12.75" customHeight="1">
      <c r="AH1410" s="253"/>
    </row>
    <row r="1411" spans="34:34" ht="12.75" customHeight="1">
      <c r="AH1411" s="253"/>
    </row>
    <row r="1412" spans="34:34" ht="12.75" customHeight="1">
      <c r="AH1412" s="253"/>
    </row>
    <row r="1413" spans="34:34" ht="12.75" customHeight="1">
      <c r="AH1413" s="253"/>
    </row>
    <row r="1414" spans="34:34" ht="12.75" customHeight="1">
      <c r="AH1414" s="253"/>
    </row>
    <row r="1415" spans="34:34" ht="12.75" customHeight="1">
      <c r="AH1415" s="253"/>
    </row>
    <row r="1416" spans="34:34" ht="12.75" customHeight="1">
      <c r="AH1416" s="253"/>
    </row>
    <row r="1417" spans="34:34" ht="12.75" customHeight="1">
      <c r="AH1417" s="253"/>
    </row>
    <row r="1418" spans="34:34" ht="12.75" customHeight="1">
      <c r="AH1418" s="253"/>
    </row>
    <row r="1419" spans="34:34" ht="12.75" customHeight="1">
      <c r="AH1419" s="253"/>
    </row>
    <row r="1420" spans="34:34" ht="12.75" customHeight="1">
      <c r="AH1420" s="253"/>
    </row>
    <row r="1421" spans="34:34" ht="12.75" customHeight="1">
      <c r="AH1421" s="253"/>
    </row>
    <row r="1422" spans="34:34" ht="12.75" customHeight="1">
      <c r="AH1422" s="253"/>
    </row>
    <row r="1423" spans="34:34" ht="12.75" customHeight="1">
      <c r="AH1423" s="253"/>
    </row>
    <row r="1424" spans="34:34" ht="12.75" customHeight="1">
      <c r="AH1424" s="253"/>
    </row>
    <row r="1425" spans="34:34" ht="12.75" customHeight="1">
      <c r="AH1425" s="253"/>
    </row>
    <row r="1426" spans="34:34" ht="12.75" customHeight="1">
      <c r="AH1426" s="253"/>
    </row>
    <row r="1427" spans="34:34" ht="12.75" customHeight="1">
      <c r="AH1427" s="253"/>
    </row>
    <row r="1428" spans="34:34" ht="12.75" customHeight="1">
      <c r="AH1428" s="253"/>
    </row>
    <row r="1429" spans="34:34" ht="12.75" customHeight="1">
      <c r="AH1429" s="253"/>
    </row>
    <row r="1430" spans="34:34" ht="12.75" customHeight="1">
      <c r="AH1430" s="253"/>
    </row>
    <row r="1431" spans="34:34" ht="12.75" customHeight="1">
      <c r="AH1431" s="253"/>
    </row>
    <row r="1432" spans="34:34" ht="12.75" customHeight="1">
      <c r="AH1432" s="253"/>
    </row>
    <row r="1433" spans="34:34" ht="12.75" customHeight="1">
      <c r="AH1433" s="253"/>
    </row>
    <row r="1434" spans="34:34" ht="12.75" customHeight="1">
      <c r="AH1434" s="253"/>
    </row>
    <row r="1435" spans="34:34" ht="12.75" customHeight="1">
      <c r="AH1435" s="253"/>
    </row>
    <row r="1436" spans="34:34" ht="12.75" customHeight="1">
      <c r="AH1436" s="253"/>
    </row>
    <row r="1437" spans="34:34" ht="12.75" customHeight="1">
      <c r="AH1437" s="253"/>
    </row>
    <row r="1438" spans="34:34" ht="12.75" customHeight="1">
      <c r="AH1438" s="253"/>
    </row>
    <row r="1439" spans="34:34" ht="12.75" customHeight="1">
      <c r="AH1439" s="253"/>
    </row>
    <row r="1440" spans="34:34" ht="12.75" customHeight="1">
      <c r="AH1440" s="253"/>
    </row>
    <row r="1441" spans="34:34" ht="12.75" customHeight="1">
      <c r="AH1441" s="253"/>
    </row>
    <row r="1442" spans="34:34" ht="12.75" customHeight="1">
      <c r="AH1442" s="253"/>
    </row>
    <row r="1443" spans="34:34" ht="12.75" customHeight="1">
      <c r="AH1443" s="253"/>
    </row>
    <row r="1444" spans="34:34" ht="12.75" customHeight="1">
      <c r="AH1444" s="253"/>
    </row>
    <row r="1445" spans="34:34" ht="12.75" customHeight="1">
      <c r="AH1445" s="253"/>
    </row>
    <row r="1446" spans="34:34" ht="12.75" customHeight="1">
      <c r="AH1446" s="253"/>
    </row>
    <row r="1447" spans="34:34" ht="12.75" customHeight="1">
      <c r="AH1447" s="253"/>
    </row>
    <row r="1448" spans="34:34" ht="12.75" customHeight="1">
      <c r="AH1448" s="253"/>
    </row>
    <row r="1449" spans="34:34" ht="12.75" customHeight="1">
      <c r="AH1449" s="253"/>
    </row>
    <row r="1450" spans="34:34" ht="12.75" customHeight="1">
      <c r="AH1450" s="253"/>
    </row>
    <row r="1451" spans="34:34" ht="12.75" customHeight="1">
      <c r="AH1451" s="253"/>
    </row>
    <row r="1452" spans="34:34" ht="12.75" customHeight="1">
      <c r="AH1452" s="253"/>
    </row>
    <row r="1453" spans="34:34" ht="12.75" customHeight="1">
      <c r="AH1453" s="253"/>
    </row>
    <row r="1454" spans="34:34" ht="12.75" customHeight="1">
      <c r="AH1454" s="253"/>
    </row>
    <row r="1455" spans="34:34" ht="12.75" customHeight="1">
      <c r="AH1455" s="253"/>
    </row>
    <row r="1456" spans="34:34" ht="12.75" customHeight="1">
      <c r="AH1456" s="253"/>
    </row>
    <row r="1457" spans="34:34" ht="12.75" customHeight="1">
      <c r="AH1457" s="253"/>
    </row>
    <row r="1458" spans="34:34" ht="12.75" customHeight="1">
      <c r="AH1458" s="253"/>
    </row>
    <row r="1459" spans="34:34" ht="12.75" customHeight="1">
      <c r="AH1459" s="253"/>
    </row>
    <row r="1460" spans="34:34" ht="12.75" customHeight="1">
      <c r="AH1460" s="253"/>
    </row>
    <row r="1461" spans="34:34" ht="12.75" customHeight="1">
      <c r="AH1461" s="253"/>
    </row>
    <row r="1462" spans="34:34" ht="12.75" customHeight="1">
      <c r="AH1462" s="253"/>
    </row>
    <row r="1463" spans="34:34" ht="12.75" customHeight="1">
      <c r="AH1463" s="253"/>
    </row>
    <row r="1464" spans="34:34" ht="12.75" customHeight="1">
      <c r="AH1464" s="253"/>
    </row>
    <row r="1465" spans="34:34" ht="12.75" customHeight="1">
      <c r="AH1465" s="253"/>
    </row>
    <row r="1466" spans="34:34" ht="12.75" customHeight="1">
      <c r="AH1466" s="253"/>
    </row>
    <row r="1467" spans="34:34" ht="12.75" customHeight="1">
      <c r="AH1467" s="253"/>
    </row>
    <row r="1468" spans="34:34" ht="12.75" customHeight="1">
      <c r="AH1468" s="253"/>
    </row>
    <row r="1469" spans="34:34" ht="12.75" customHeight="1">
      <c r="AH1469" s="253"/>
    </row>
    <row r="1470" spans="34:34" ht="12.75" customHeight="1">
      <c r="AH1470" s="253"/>
    </row>
    <row r="1471" spans="34:34" ht="12.75" customHeight="1">
      <c r="AH1471" s="253"/>
    </row>
    <row r="1472" spans="34:34" ht="12.75" customHeight="1">
      <c r="AH1472" s="253"/>
    </row>
    <row r="1473" spans="34:34" ht="12.75" customHeight="1">
      <c r="AH1473" s="253"/>
    </row>
    <row r="1474" spans="34:34" ht="12.75" customHeight="1">
      <c r="AH1474" s="253"/>
    </row>
    <row r="1475" spans="34:34" ht="12.75" customHeight="1">
      <c r="AH1475" s="253"/>
    </row>
    <row r="1476" spans="34:34" ht="12.75" customHeight="1">
      <c r="AH1476" s="253"/>
    </row>
    <row r="1477" spans="34:34" ht="12.75" customHeight="1">
      <c r="AH1477" s="253"/>
    </row>
    <row r="1478" spans="34:34" ht="12.75" customHeight="1">
      <c r="AH1478" s="253"/>
    </row>
    <row r="1479" spans="34:34" ht="12.75" customHeight="1">
      <c r="AH1479" s="253"/>
    </row>
    <row r="1480" spans="34:34" ht="12.75" customHeight="1">
      <c r="AH1480" s="253"/>
    </row>
    <row r="1481" spans="34:34" ht="12.75" customHeight="1">
      <c r="AH1481" s="253"/>
    </row>
    <row r="1482" spans="34:34" ht="12.75" customHeight="1">
      <c r="AH1482" s="253"/>
    </row>
    <row r="1483" spans="34:34" ht="12.75" customHeight="1">
      <c r="AH1483" s="253"/>
    </row>
    <row r="1484" spans="34:34" ht="12.75" customHeight="1">
      <c r="AH1484" s="253"/>
    </row>
    <row r="1485" spans="34:34" ht="12.75" customHeight="1">
      <c r="AH1485" s="253"/>
    </row>
    <row r="1486" spans="34:34" ht="12.75" customHeight="1">
      <c r="AH1486" s="253"/>
    </row>
    <row r="1487" spans="34:34" ht="12.75" customHeight="1">
      <c r="AH1487" s="253"/>
    </row>
    <row r="1488" spans="34:34" ht="12.75" customHeight="1">
      <c r="AH1488" s="253"/>
    </row>
    <row r="1489" spans="34:34" ht="12.75" customHeight="1">
      <c r="AH1489" s="253"/>
    </row>
    <row r="1490" spans="34:34" ht="12.75" customHeight="1">
      <c r="AH1490" s="253"/>
    </row>
    <row r="1491" spans="34:34" ht="12.75" customHeight="1">
      <c r="AH1491" s="253"/>
    </row>
    <row r="1492" spans="34:34" ht="12.75" customHeight="1">
      <c r="AH1492" s="253"/>
    </row>
    <row r="1493" spans="34:34" ht="12.75" customHeight="1">
      <c r="AH1493" s="253"/>
    </row>
    <row r="1494" spans="34:34" ht="12.75" customHeight="1">
      <c r="AH1494" s="253"/>
    </row>
    <row r="1495" spans="34:34" ht="12.75" customHeight="1">
      <c r="AH1495" s="253"/>
    </row>
    <row r="1496" spans="34:34" ht="12.75" customHeight="1">
      <c r="AH1496" s="253"/>
    </row>
    <row r="1497" spans="34:34" ht="12.75" customHeight="1">
      <c r="AH1497" s="253"/>
    </row>
    <row r="1498" spans="34:34" ht="12.75" customHeight="1">
      <c r="AH1498" s="253"/>
    </row>
    <row r="1499" spans="34:34" ht="12.75" customHeight="1">
      <c r="AH1499" s="253"/>
    </row>
    <row r="1500" spans="34:34" ht="12.75" customHeight="1">
      <c r="AH1500" s="253"/>
    </row>
    <row r="1501" spans="34:34" ht="12.75" customHeight="1">
      <c r="AH1501" s="253"/>
    </row>
    <row r="1502" spans="34:34" ht="12.75" customHeight="1">
      <c r="AH1502" s="253"/>
    </row>
    <row r="1503" spans="34:34" ht="12.75" customHeight="1">
      <c r="AH1503" s="253"/>
    </row>
    <row r="1504" spans="34:34" ht="12.75" customHeight="1">
      <c r="AH1504" s="253"/>
    </row>
    <row r="1505" spans="34:34" ht="12.75" customHeight="1">
      <c r="AH1505" s="253"/>
    </row>
    <row r="1506" spans="34:34" ht="12.75" customHeight="1">
      <c r="AH1506" s="253"/>
    </row>
    <row r="1507" spans="34:34" ht="12.75" customHeight="1">
      <c r="AH1507" s="253"/>
    </row>
    <row r="1508" spans="34:34" ht="12.75" customHeight="1">
      <c r="AH1508" s="253"/>
    </row>
    <row r="1509" spans="34:34" ht="12.75" customHeight="1">
      <c r="AH1509" s="253"/>
    </row>
    <row r="1510" spans="34:34" ht="12.75" customHeight="1">
      <c r="AH1510" s="253"/>
    </row>
    <row r="1511" spans="34:34" ht="12.75" customHeight="1">
      <c r="AH1511" s="253"/>
    </row>
    <row r="1512" spans="34:34" ht="12.75" customHeight="1">
      <c r="AH1512" s="253"/>
    </row>
    <row r="1513" spans="34:34" ht="12.75" customHeight="1">
      <c r="AH1513" s="253"/>
    </row>
    <row r="1514" spans="34:34" ht="12.75" customHeight="1">
      <c r="AH1514" s="253"/>
    </row>
    <row r="1515" spans="34:34" ht="12.75" customHeight="1">
      <c r="AH1515" s="253"/>
    </row>
    <row r="1516" spans="34:34" ht="12.75" customHeight="1">
      <c r="AH1516" s="253"/>
    </row>
    <row r="1517" spans="34:34" ht="12.75" customHeight="1">
      <c r="AH1517" s="253"/>
    </row>
    <row r="1518" spans="34:34" ht="12.75" customHeight="1">
      <c r="AH1518" s="253"/>
    </row>
    <row r="1519" spans="34:34" ht="12.75" customHeight="1">
      <c r="AH1519" s="253"/>
    </row>
    <row r="1520" spans="34:34" ht="12.75" customHeight="1">
      <c r="AH1520" s="253"/>
    </row>
    <row r="1521" spans="34:34" ht="12.75" customHeight="1">
      <c r="AH1521" s="253"/>
    </row>
    <row r="1522" spans="34:34" ht="12.75" customHeight="1">
      <c r="AH1522" s="253"/>
    </row>
    <row r="1523" spans="34:34" ht="12.75" customHeight="1">
      <c r="AH1523" s="253"/>
    </row>
    <row r="1524" spans="34:34" ht="12.75" customHeight="1">
      <c r="AH1524" s="253"/>
    </row>
    <row r="1525" spans="34:34" ht="12.75" customHeight="1">
      <c r="AH1525" s="253"/>
    </row>
    <row r="1526" spans="34:34" ht="12.75" customHeight="1">
      <c r="AH1526" s="253"/>
    </row>
    <row r="1527" spans="34:34" ht="12.75" customHeight="1">
      <c r="AH1527" s="253"/>
    </row>
    <row r="1528" spans="34:34" ht="12.75" customHeight="1">
      <c r="AH1528" s="253"/>
    </row>
    <row r="1529" spans="34:34" ht="12.75" customHeight="1">
      <c r="AH1529" s="253"/>
    </row>
    <row r="1530" spans="34:34" ht="12.75" customHeight="1">
      <c r="AH1530" s="253"/>
    </row>
    <row r="1531" spans="34:34" ht="12.75" customHeight="1">
      <c r="AH1531" s="253"/>
    </row>
    <row r="1532" spans="34:34" ht="12.75" customHeight="1">
      <c r="AH1532" s="253"/>
    </row>
    <row r="1533" spans="34:34" ht="12.75" customHeight="1">
      <c r="AH1533" s="253"/>
    </row>
    <row r="1534" spans="34:34" ht="12.75" customHeight="1">
      <c r="AH1534" s="253"/>
    </row>
    <row r="1535" spans="34:34" ht="12.75" customHeight="1">
      <c r="AH1535" s="253"/>
    </row>
    <row r="1536" spans="34:34" ht="12.75" customHeight="1">
      <c r="AH1536" s="253"/>
    </row>
    <row r="1537" spans="34:34" ht="12.75" customHeight="1">
      <c r="AH1537" s="253"/>
    </row>
    <row r="1538" spans="34:34" ht="12.75" customHeight="1">
      <c r="AH1538" s="253"/>
    </row>
    <row r="1539" spans="34:34" ht="12.75" customHeight="1">
      <c r="AH1539" s="253"/>
    </row>
    <row r="1540" spans="34:34" ht="12.75" customHeight="1">
      <c r="AH1540" s="253"/>
    </row>
    <row r="1541" spans="34:34" ht="12.75" customHeight="1">
      <c r="AH1541" s="253"/>
    </row>
    <row r="1542" spans="34:34" ht="12.75" customHeight="1">
      <c r="AH1542" s="253"/>
    </row>
    <row r="1543" spans="34:34" ht="12.75" customHeight="1">
      <c r="AH1543" s="253"/>
    </row>
    <row r="1544" spans="34:34" ht="12.75" customHeight="1">
      <c r="AH1544" s="253"/>
    </row>
    <row r="1545" spans="34:34" ht="12.75" customHeight="1">
      <c r="AH1545" s="253"/>
    </row>
    <row r="1546" spans="34:34" ht="12.75" customHeight="1">
      <c r="AH1546" s="253"/>
    </row>
    <row r="1547" spans="34:34" ht="12.75" customHeight="1">
      <c r="AH1547" s="253"/>
    </row>
    <row r="1548" spans="34:34" ht="12.75" customHeight="1">
      <c r="AH1548" s="253"/>
    </row>
    <row r="1549" spans="34:34" ht="12.75" customHeight="1">
      <c r="AH1549" s="253"/>
    </row>
    <row r="1550" spans="34:34" ht="12.75" customHeight="1">
      <c r="AH1550" s="253"/>
    </row>
    <row r="1551" spans="34:34" ht="12.75" customHeight="1">
      <c r="AH1551" s="253"/>
    </row>
    <row r="1552" spans="34:34" ht="12.75" customHeight="1">
      <c r="AH1552" s="253"/>
    </row>
    <row r="1553" spans="34:34" ht="12.75" customHeight="1">
      <c r="AH1553" s="253"/>
    </row>
    <row r="1554" spans="34:34" ht="12.75" customHeight="1">
      <c r="AH1554" s="253"/>
    </row>
    <row r="1555" spans="34:34" ht="12.75" customHeight="1">
      <c r="AH1555" s="253"/>
    </row>
    <row r="1556" spans="34:34" ht="12.75" customHeight="1">
      <c r="AH1556" s="253"/>
    </row>
    <row r="1557" spans="34:34" ht="12.75" customHeight="1">
      <c r="AH1557" s="253"/>
    </row>
    <row r="1558" spans="34:34" ht="12.75" customHeight="1">
      <c r="AH1558" s="253"/>
    </row>
    <row r="1559" spans="34:34" ht="12.75" customHeight="1">
      <c r="AH1559" s="253"/>
    </row>
    <row r="1560" spans="34:34" ht="12.75" customHeight="1">
      <c r="AH1560" s="253"/>
    </row>
    <row r="1561" spans="34:34" ht="12.75" customHeight="1">
      <c r="AH1561" s="253"/>
    </row>
    <row r="1562" spans="34:34" ht="12.75" customHeight="1">
      <c r="AH1562" s="253"/>
    </row>
    <row r="1563" spans="34:34" ht="12.75" customHeight="1">
      <c r="AH1563" s="253"/>
    </row>
    <row r="1564" spans="34:34" ht="12.75" customHeight="1">
      <c r="AH1564" s="253"/>
    </row>
    <row r="1565" spans="34:34" ht="12.75" customHeight="1">
      <c r="AH1565" s="253"/>
    </row>
    <row r="1566" spans="34:34" ht="12.75" customHeight="1">
      <c r="AH1566" s="253"/>
    </row>
    <row r="1567" spans="34:34" ht="12.75" customHeight="1">
      <c r="AH1567" s="253"/>
    </row>
    <row r="1568" spans="34:34" ht="12.75" customHeight="1">
      <c r="AH1568" s="253"/>
    </row>
    <row r="1569" spans="34:34" ht="12.75" customHeight="1">
      <c r="AH1569" s="253"/>
    </row>
    <row r="1570" spans="34:34" ht="12.75" customHeight="1">
      <c r="AH1570" s="253"/>
    </row>
    <row r="1571" spans="34:34" ht="12.75" customHeight="1">
      <c r="AH1571" s="253"/>
    </row>
    <row r="1572" spans="34:34" ht="12.75" customHeight="1">
      <c r="AH1572" s="253"/>
    </row>
    <row r="1573" spans="34:34" ht="12.75" customHeight="1">
      <c r="AH1573" s="253"/>
    </row>
    <row r="1574" spans="34:34" ht="12.75" customHeight="1">
      <c r="AH1574" s="253"/>
    </row>
    <row r="1575" spans="34:34" ht="12.75" customHeight="1">
      <c r="AH1575" s="253"/>
    </row>
    <row r="1576" spans="34:34" ht="12.75" customHeight="1">
      <c r="AH1576" s="253"/>
    </row>
    <row r="1577" spans="34:34" ht="12.75" customHeight="1">
      <c r="AH1577" s="253"/>
    </row>
    <row r="1578" spans="34:34" ht="12.75" customHeight="1">
      <c r="AH1578" s="253"/>
    </row>
    <row r="1579" spans="34:34" ht="12.75" customHeight="1">
      <c r="AH1579" s="253"/>
    </row>
    <row r="1580" spans="34:34" ht="12.75" customHeight="1">
      <c r="AH1580" s="253"/>
    </row>
    <row r="1581" spans="34:34" ht="12.75" customHeight="1">
      <c r="AH1581" s="253"/>
    </row>
    <row r="1582" spans="34:34" ht="12.75" customHeight="1">
      <c r="AH1582" s="253"/>
    </row>
    <row r="1583" spans="34:34" ht="12.75" customHeight="1">
      <c r="AH1583" s="253"/>
    </row>
    <row r="1584" spans="34:34" ht="12.75" customHeight="1">
      <c r="AH1584" s="253"/>
    </row>
    <row r="1585" spans="34:34" ht="12.75" customHeight="1">
      <c r="AH1585" s="253"/>
    </row>
    <row r="1586" spans="34:34" ht="12.75" customHeight="1">
      <c r="AH1586" s="253"/>
    </row>
    <row r="1587" spans="34:34" ht="12.75" customHeight="1">
      <c r="AH1587" s="253"/>
    </row>
    <row r="1588" spans="34:34" ht="12.75" customHeight="1">
      <c r="AH1588" s="253"/>
    </row>
    <row r="1589" spans="34:34" ht="12.75" customHeight="1">
      <c r="AH1589" s="253"/>
    </row>
    <row r="1590" spans="34:34" ht="12.75" customHeight="1">
      <c r="AH1590" s="253"/>
    </row>
    <row r="1591" spans="34:34" ht="12.75" customHeight="1">
      <c r="AH1591" s="253"/>
    </row>
    <row r="1592" spans="34:34" ht="12.75" customHeight="1">
      <c r="AH1592" s="253"/>
    </row>
    <row r="1593" spans="34:34" ht="12.75" customHeight="1">
      <c r="AH1593" s="253"/>
    </row>
    <row r="1594" spans="34:34" ht="12.75" customHeight="1">
      <c r="AH1594" s="253"/>
    </row>
    <row r="1595" spans="34:34" ht="12.75" customHeight="1">
      <c r="AH1595" s="253"/>
    </row>
    <row r="1596" spans="34:34" ht="12.75" customHeight="1">
      <c r="AH1596" s="253"/>
    </row>
    <row r="1597" spans="34:34" ht="12.75" customHeight="1">
      <c r="AH1597" s="253"/>
    </row>
    <row r="1598" spans="34:34" ht="12.75" customHeight="1">
      <c r="AH1598" s="253"/>
    </row>
    <row r="1599" spans="34:34" ht="12.75" customHeight="1">
      <c r="AH1599" s="253"/>
    </row>
    <row r="1600" spans="34:34" ht="12.75" customHeight="1">
      <c r="AH1600" s="253"/>
    </row>
    <row r="1601" spans="34:34" ht="12.75" customHeight="1">
      <c r="AH1601" s="253"/>
    </row>
    <row r="1602" spans="34:34" ht="12.75" customHeight="1">
      <c r="AH1602" s="253"/>
    </row>
    <row r="1603" spans="34:34" ht="12.75" customHeight="1">
      <c r="AH1603" s="253"/>
    </row>
    <row r="1604" spans="34:34" ht="12.75" customHeight="1">
      <c r="AH1604" s="253"/>
    </row>
    <row r="1605" spans="34:34" ht="12.75" customHeight="1">
      <c r="AH1605" s="253"/>
    </row>
    <row r="1606" spans="34:34" ht="12.75" customHeight="1">
      <c r="AH1606" s="253"/>
    </row>
    <row r="1607" spans="34:34" ht="12.75" customHeight="1">
      <c r="AH1607" s="253"/>
    </row>
    <row r="1608" spans="34:34" ht="12.75" customHeight="1">
      <c r="AH1608" s="253"/>
    </row>
    <row r="1609" spans="34:34" ht="12.75" customHeight="1">
      <c r="AH1609" s="253"/>
    </row>
    <row r="1610" spans="34:34" ht="12.75" customHeight="1">
      <c r="AH1610" s="253"/>
    </row>
    <row r="1611" spans="34:34" ht="12.75" customHeight="1">
      <c r="AH1611" s="253"/>
    </row>
    <row r="1612" spans="34:34" ht="12.75" customHeight="1">
      <c r="AH1612" s="253"/>
    </row>
    <row r="1613" spans="34:34" ht="12.75" customHeight="1">
      <c r="AH1613" s="253"/>
    </row>
    <row r="1614" spans="34:34" ht="12.75" customHeight="1">
      <c r="AH1614" s="253"/>
    </row>
    <row r="1615" spans="34:34" ht="12.75" customHeight="1">
      <c r="AH1615" s="253"/>
    </row>
    <row r="1616" spans="34:34" ht="12.75" customHeight="1">
      <c r="AH1616" s="253"/>
    </row>
    <row r="1617" spans="34:34" ht="12.75" customHeight="1">
      <c r="AH1617" s="253"/>
    </row>
    <row r="1618" spans="34:34" ht="12.75" customHeight="1">
      <c r="AH1618" s="253"/>
    </row>
    <row r="1619" spans="34:34" ht="12.75" customHeight="1">
      <c r="AH1619" s="253"/>
    </row>
    <row r="1620" spans="34:34" ht="12.75" customHeight="1">
      <c r="AH1620" s="253"/>
    </row>
    <row r="1621" spans="34:34" ht="12.75" customHeight="1">
      <c r="AH1621" s="253"/>
    </row>
    <row r="1622" spans="34:34" ht="12.75" customHeight="1">
      <c r="AH1622" s="253"/>
    </row>
    <row r="1623" spans="34:34" ht="12.75" customHeight="1">
      <c r="AH1623" s="253"/>
    </row>
    <row r="1624" spans="34:34" ht="12.75" customHeight="1">
      <c r="AH1624" s="253"/>
    </row>
    <row r="1625" spans="34:34" ht="12.75" customHeight="1">
      <c r="AH1625" s="253"/>
    </row>
    <row r="1626" spans="34:34" ht="12.75" customHeight="1">
      <c r="AH1626" s="253"/>
    </row>
    <row r="1627" spans="34:34" ht="12.75" customHeight="1">
      <c r="AH1627" s="253"/>
    </row>
    <row r="1628" spans="34:34" ht="12.75" customHeight="1">
      <c r="AH1628" s="253"/>
    </row>
    <row r="1629" spans="34:34" ht="12.75" customHeight="1">
      <c r="AH1629" s="253"/>
    </row>
    <row r="1630" spans="34:34" ht="12.75" customHeight="1">
      <c r="AH1630" s="253"/>
    </row>
    <row r="1631" spans="34:34" ht="12.75" customHeight="1">
      <c r="AH1631" s="253"/>
    </row>
    <row r="1632" spans="34:34" ht="12.75" customHeight="1">
      <c r="AH1632" s="253"/>
    </row>
    <row r="1633" spans="34:34" ht="12.75" customHeight="1">
      <c r="AH1633" s="253"/>
    </row>
    <row r="1634" spans="34:34" ht="12.75" customHeight="1">
      <c r="AH1634" s="253"/>
    </row>
    <row r="1635" spans="34:34" ht="12.75" customHeight="1">
      <c r="AH1635" s="253"/>
    </row>
    <row r="1636" spans="34:34" ht="12.75" customHeight="1">
      <c r="AH1636" s="253"/>
    </row>
    <row r="1637" spans="34:34" ht="12.75" customHeight="1">
      <c r="AH1637" s="253"/>
    </row>
    <row r="1638" spans="34:34" ht="12.75" customHeight="1">
      <c r="AH1638" s="253"/>
    </row>
    <row r="1639" spans="34:34" ht="12.75" customHeight="1">
      <c r="AH1639" s="253"/>
    </row>
    <row r="1640" spans="34:34" ht="12.75" customHeight="1">
      <c r="AH1640" s="253"/>
    </row>
    <row r="1641" spans="34:34" ht="12.75" customHeight="1">
      <c r="AH1641" s="253"/>
    </row>
    <row r="1642" spans="34:34" ht="12.75" customHeight="1">
      <c r="AH1642" s="253"/>
    </row>
    <row r="1643" spans="34:34" ht="12.75" customHeight="1">
      <c r="AH1643" s="253"/>
    </row>
    <row r="1644" spans="34:34" ht="12.75" customHeight="1">
      <c r="AH1644" s="253"/>
    </row>
    <row r="1645" spans="34:34" ht="12.75" customHeight="1">
      <c r="AH1645" s="253"/>
    </row>
    <row r="1646" spans="34:34" ht="12.75" customHeight="1">
      <c r="AH1646" s="253"/>
    </row>
    <row r="1647" spans="34:34" ht="12.75" customHeight="1">
      <c r="AH1647" s="253"/>
    </row>
    <row r="1648" spans="34:34" ht="12.75" customHeight="1">
      <c r="AH1648" s="253"/>
    </row>
    <row r="1649" spans="34:34" ht="12.75" customHeight="1">
      <c r="AH1649" s="253"/>
    </row>
    <row r="1650" spans="34:34" ht="12.75" customHeight="1">
      <c r="AH1650" s="253"/>
    </row>
    <row r="1651" spans="34:34" ht="12.75" customHeight="1">
      <c r="AH1651" s="253"/>
    </row>
    <row r="1652" spans="34:34" ht="12.75" customHeight="1">
      <c r="AH1652" s="253"/>
    </row>
    <row r="1653" spans="34:34" ht="12.75" customHeight="1">
      <c r="AH1653" s="253"/>
    </row>
    <row r="1654" spans="34:34" ht="12.75" customHeight="1">
      <c r="AH1654" s="253"/>
    </row>
    <row r="1655" spans="34:34" ht="12.75" customHeight="1">
      <c r="AH1655" s="253"/>
    </row>
    <row r="1656" spans="34:34" ht="12.75" customHeight="1">
      <c r="AH1656" s="253"/>
    </row>
    <row r="1657" spans="34:34" ht="12.75" customHeight="1">
      <c r="AH1657" s="253"/>
    </row>
    <row r="1658" spans="34:34" ht="12.75" customHeight="1">
      <c r="AH1658" s="253"/>
    </row>
    <row r="1659" spans="34:34" ht="12.75" customHeight="1">
      <c r="AH1659" s="253"/>
    </row>
    <row r="1660" spans="34:34" ht="12.75" customHeight="1">
      <c r="AH1660" s="253"/>
    </row>
    <row r="1661" spans="34:34" ht="12.75" customHeight="1">
      <c r="AH1661" s="253"/>
    </row>
    <row r="1662" spans="34:34" ht="12.75" customHeight="1">
      <c r="AH1662" s="253"/>
    </row>
    <row r="1663" spans="34:34" ht="12.75" customHeight="1">
      <c r="AH1663" s="253"/>
    </row>
    <row r="1664" spans="34:34" ht="12.75" customHeight="1">
      <c r="AH1664" s="253"/>
    </row>
    <row r="1665" spans="34:34" ht="12.75" customHeight="1">
      <c r="AH1665" s="253"/>
    </row>
    <row r="1666" spans="34:34" ht="12.75" customHeight="1">
      <c r="AH1666" s="253"/>
    </row>
    <row r="1667" spans="34:34" ht="12.75" customHeight="1">
      <c r="AH1667" s="253"/>
    </row>
    <row r="1668" spans="34:34" ht="12.75" customHeight="1">
      <c r="AH1668" s="253"/>
    </row>
    <row r="1669" spans="34:34" ht="12.75" customHeight="1">
      <c r="AH1669" s="253"/>
    </row>
    <row r="1670" spans="34:34" ht="12.75" customHeight="1">
      <c r="AH1670" s="253"/>
    </row>
    <row r="1671" spans="34:34" ht="12.75" customHeight="1">
      <c r="AH1671" s="253"/>
    </row>
    <row r="1672" spans="34:34" ht="12.75" customHeight="1">
      <c r="AH1672" s="253"/>
    </row>
    <row r="1673" spans="34:34" ht="12.75" customHeight="1">
      <c r="AH1673" s="253"/>
    </row>
    <row r="1674" spans="34:34" ht="12.75" customHeight="1">
      <c r="AH1674" s="253"/>
    </row>
    <row r="1675" spans="34:34" ht="12.75" customHeight="1">
      <c r="AH1675" s="253"/>
    </row>
    <row r="1676" spans="34:34" ht="12.75" customHeight="1">
      <c r="AH1676" s="253"/>
    </row>
    <row r="1677" spans="34:34" ht="12.75" customHeight="1">
      <c r="AH1677" s="253"/>
    </row>
    <row r="1678" spans="34:34" ht="12.75" customHeight="1">
      <c r="AH1678" s="253"/>
    </row>
    <row r="1679" spans="34:34" ht="12.75" customHeight="1">
      <c r="AH1679" s="253"/>
    </row>
    <row r="1680" spans="34:34" ht="12.75" customHeight="1">
      <c r="AH1680" s="253"/>
    </row>
    <row r="1681" spans="34:34" ht="12.75" customHeight="1">
      <c r="AH1681" s="253"/>
    </row>
    <row r="1682" spans="34:34" ht="12.75" customHeight="1">
      <c r="AH1682" s="253"/>
    </row>
    <row r="1683" spans="34:34" ht="12.75" customHeight="1">
      <c r="AH1683" s="253"/>
    </row>
    <row r="1684" spans="34:34" ht="12.75" customHeight="1">
      <c r="AH1684" s="253"/>
    </row>
    <row r="1685" spans="34:34" ht="12.75" customHeight="1">
      <c r="AH1685" s="253"/>
    </row>
    <row r="1686" spans="34:34" ht="12.75" customHeight="1">
      <c r="AH1686" s="253"/>
    </row>
    <row r="1687" spans="34:34" ht="12.75" customHeight="1">
      <c r="AH1687" s="253"/>
    </row>
    <row r="1688" spans="34:34" ht="12.75" customHeight="1">
      <c r="AH1688" s="253"/>
    </row>
    <row r="1689" spans="34:34" ht="12.75" customHeight="1">
      <c r="AH1689" s="253"/>
    </row>
    <row r="1690" spans="34:34" ht="12.75" customHeight="1">
      <c r="AH1690" s="253"/>
    </row>
    <row r="1691" spans="34:34" ht="12.75" customHeight="1">
      <c r="AH1691" s="253"/>
    </row>
    <row r="1692" spans="34:34" ht="12.75" customHeight="1">
      <c r="AH1692" s="253"/>
    </row>
    <row r="1693" spans="34:34" ht="12.75" customHeight="1">
      <c r="AH1693" s="253"/>
    </row>
    <row r="1694" spans="34:34" ht="12.75" customHeight="1">
      <c r="AH1694" s="253"/>
    </row>
    <row r="1695" spans="34:34" ht="12.75" customHeight="1">
      <c r="AH1695" s="253"/>
    </row>
    <row r="1696" spans="34:34" ht="12.75" customHeight="1">
      <c r="AH1696" s="253"/>
    </row>
    <row r="1697" spans="34:34" ht="12.75" customHeight="1">
      <c r="AH1697" s="253"/>
    </row>
    <row r="1698" spans="34:34" ht="12.75" customHeight="1">
      <c r="AH1698" s="253"/>
    </row>
    <row r="1699" spans="34:34" ht="12.75" customHeight="1">
      <c r="AH1699" s="253"/>
    </row>
    <row r="1700" spans="34:34" ht="12.75" customHeight="1">
      <c r="AH1700" s="253"/>
    </row>
    <row r="1701" spans="34:34" ht="12.75" customHeight="1">
      <c r="AH1701" s="253"/>
    </row>
    <row r="1702" spans="34:34" ht="12.75" customHeight="1">
      <c r="AH1702" s="253"/>
    </row>
    <row r="1703" spans="34:34" ht="12.75" customHeight="1">
      <c r="AH1703" s="253"/>
    </row>
    <row r="1704" spans="34:34" ht="12.75" customHeight="1">
      <c r="AH1704" s="253"/>
    </row>
    <row r="1705" spans="34:34" ht="12.75" customHeight="1">
      <c r="AH1705" s="253"/>
    </row>
    <row r="1706" spans="34:34" ht="12.75" customHeight="1">
      <c r="AH1706" s="253"/>
    </row>
    <row r="1707" spans="34:34" ht="12.75" customHeight="1">
      <c r="AH1707" s="253"/>
    </row>
    <row r="1708" spans="34:34" ht="12.75" customHeight="1">
      <c r="AH1708" s="253"/>
    </row>
    <row r="1709" spans="34:34" ht="12.75" customHeight="1">
      <c r="AH1709" s="253"/>
    </row>
    <row r="1710" spans="34:34" ht="12.75" customHeight="1">
      <c r="AH1710" s="253"/>
    </row>
    <row r="1711" spans="34:34" ht="12.75" customHeight="1">
      <c r="AH1711" s="253"/>
    </row>
    <row r="1712" spans="34:34" ht="12.75" customHeight="1">
      <c r="AH1712" s="253"/>
    </row>
    <row r="1713" spans="34:34" ht="12.75" customHeight="1">
      <c r="AH1713" s="253"/>
    </row>
    <row r="1714" spans="34:34" ht="12.75" customHeight="1">
      <c r="AH1714" s="253"/>
    </row>
    <row r="1715" spans="34:34" ht="12.75" customHeight="1">
      <c r="AH1715" s="253"/>
    </row>
    <row r="1716" spans="34:34" ht="12.75" customHeight="1">
      <c r="AH1716" s="253"/>
    </row>
    <row r="1717" spans="34:34" ht="12.75" customHeight="1">
      <c r="AH1717" s="253"/>
    </row>
    <row r="1718" spans="34:34" ht="12.75" customHeight="1">
      <c r="AH1718" s="253"/>
    </row>
    <row r="1719" spans="34:34" ht="12.75" customHeight="1">
      <c r="AH1719" s="253"/>
    </row>
    <row r="1720" spans="34:34" ht="12.75" customHeight="1">
      <c r="AH1720" s="253"/>
    </row>
    <row r="1721" spans="34:34" ht="12.75" customHeight="1">
      <c r="AH1721" s="253"/>
    </row>
    <row r="1722" spans="34:34" ht="12.75" customHeight="1">
      <c r="AH1722" s="253"/>
    </row>
    <row r="1723" spans="34:34" ht="12.75" customHeight="1">
      <c r="AH1723" s="253"/>
    </row>
    <row r="1724" spans="34:34" ht="12.75" customHeight="1">
      <c r="AH1724" s="253"/>
    </row>
    <row r="1725" spans="34:34" ht="12.75" customHeight="1">
      <c r="AH1725" s="253"/>
    </row>
    <row r="1726" spans="34:34" ht="12.75" customHeight="1">
      <c r="AH1726" s="253"/>
    </row>
    <row r="1727" spans="34:34" ht="12.75" customHeight="1">
      <c r="AH1727" s="253"/>
    </row>
    <row r="1728" spans="34:34" ht="12.75" customHeight="1">
      <c r="AH1728" s="253"/>
    </row>
    <row r="1729" spans="34:34" ht="12.75" customHeight="1">
      <c r="AH1729" s="253"/>
    </row>
    <row r="1730" spans="34:34" ht="12.75" customHeight="1">
      <c r="AH1730" s="253"/>
    </row>
    <row r="1731" spans="34:34" ht="12.75" customHeight="1">
      <c r="AH1731" s="253"/>
    </row>
    <row r="1732" spans="34:34" ht="12.75" customHeight="1">
      <c r="AH1732" s="253"/>
    </row>
    <row r="1733" spans="34:34" ht="12.75" customHeight="1">
      <c r="AH1733" s="253"/>
    </row>
    <row r="1734" spans="34:34" ht="12.75" customHeight="1">
      <c r="AH1734" s="253"/>
    </row>
    <row r="1735" spans="34:34" ht="12.75" customHeight="1">
      <c r="AH1735" s="253"/>
    </row>
    <row r="1736" spans="34:34" ht="12.75" customHeight="1">
      <c r="AH1736" s="253"/>
    </row>
    <row r="1737" spans="34:34" ht="12.75" customHeight="1">
      <c r="AH1737" s="253"/>
    </row>
    <row r="1738" spans="34:34" ht="12.75" customHeight="1">
      <c r="AH1738" s="253"/>
    </row>
    <row r="1739" spans="34:34" ht="12.75" customHeight="1">
      <c r="AH1739" s="253"/>
    </row>
    <row r="1740" spans="34:34" ht="12.75" customHeight="1">
      <c r="AH1740" s="253"/>
    </row>
    <row r="1741" spans="34:34" ht="12.75" customHeight="1">
      <c r="AH1741" s="253"/>
    </row>
    <row r="1742" spans="34:34" ht="12.75" customHeight="1">
      <c r="AH1742" s="253"/>
    </row>
    <row r="1743" spans="34:34" ht="12.75" customHeight="1">
      <c r="AH1743" s="253"/>
    </row>
    <row r="1744" spans="34:34" ht="12.75" customHeight="1">
      <c r="AH1744" s="253"/>
    </row>
    <row r="1745" spans="34:34" ht="12.75" customHeight="1">
      <c r="AH1745" s="253"/>
    </row>
    <row r="1746" spans="34:34" ht="12.75" customHeight="1">
      <c r="AH1746" s="253"/>
    </row>
    <row r="1747" spans="34:34" ht="12.75" customHeight="1">
      <c r="AH1747" s="253"/>
    </row>
    <row r="1748" spans="34:34" ht="12.75" customHeight="1">
      <c r="AH1748" s="253"/>
    </row>
    <row r="1749" spans="34:34" ht="12.75" customHeight="1">
      <c r="AH1749" s="253"/>
    </row>
    <row r="1750" spans="34:34" ht="12.75" customHeight="1">
      <c r="AH1750" s="253"/>
    </row>
    <row r="1751" spans="34:34" ht="12.75" customHeight="1">
      <c r="AH1751" s="253"/>
    </row>
    <row r="1752" spans="34:34" ht="12.75" customHeight="1">
      <c r="AH1752" s="253"/>
    </row>
    <row r="1753" spans="34:34" ht="12.75" customHeight="1">
      <c r="AH1753" s="253"/>
    </row>
    <row r="1754" spans="34:34" ht="12.75" customHeight="1">
      <c r="AH1754" s="253"/>
    </row>
    <row r="1755" spans="34:34" ht="12.75" customHeight="1">
      <c r="AH1755" s="253"/>
    </row>
    <row r="1756" spans="34:34" ht="12.75" customHeight="1">
      <c r="AH1756" s="253"/>
    </row>
    <row r="1757" spans="34:34" ht="12.75" customHeight="1">
      <c r="AH1757" s="253"/>
    </row>
    <row r="1758" spans="34:34" ht="12.75" customHeight="1">
      <c r="AH1758" s="253"/>
    </row>
    <row r="1759" spans="34:34" ht="12.75" customHeight="1">
      <c r="AH1759" s="253"/>
    </row>
    <row r="1760" spans="34:34" ht="12.75" customHeight="1">
      <c r="AH1760" s="253"/>
    </row>
    <row r="1761" spans="34:34" ht="12.75" customHeight="1">
      <c r="AH1761" s="253"/>
    </row>
    <row r="1762" spans="34:34" ht="12.75" customHeight="1">
      <c r="AH1762" s="253"/>
    </row>
    <row r="1763" spans="34:34" ht="12.75" customHeight="1">
      <c r="AH1763" s="253"/>
    </row>
    <row r="1764" spans="34:34" ht="12.75" customHeight="1">
      <c r="AH1764" s="253"/>
    </row>
    <row r="1765" spans="34:34" ht="12.75" customHeight="1">
      <c r="AH1765" s="253"/>
    </row>
    <row r="1766" spans="34:34" ht="12.75" customHeight="1">
      <c r="AH1766" s="253"/>
    </row>
    <row r="1767" spans="34:34" ht="12.75" customHeight="1">
      <c r="AH1767" s="253"/>
    </row>
    <row r="1768" spans="34:34" ht="12.75" customHeight="1">
      <c r="AH1768" s="253"/>
    </row>
    <row r="1769" spans="34:34" ht="12.75" customHeight="1">
      <c r="AH1769" s="253"/>
    </row>
    <row r="1770" spans="34:34" ht="12.75" customHeight="1">
      <c r="AH1770" s="253"/>
    </row>
    <row r="1771" spans="34:34" ht="12.75" customHeight="1">
      <c r="AH1771" s="253"/>
    </row>
    <row r="1772" spans="34:34" ht="12.75" customHeight="1">
      <c r="AH1772" s="253"/>
    </row>
    <row r="1773" spans="34:34" ht="12.75" customHeight="1">
      <c r="AH1773" s="253"/>
    </row>
    <row r="1774" spans="34:34" ht="12.75" customHeight="1">
      <c r="AH1774" s="253"/>
    </row>
    <row r="1775" spans="34:34" ht="12.75" customHeight="1">
      <c r="AH1775" s="253"/>
    </row>
    <row r="1776" spans="34:34" ht="12.75" customHeight="1">
      <c r="AH1776" s="253"/>
    </row>
    <row r="1777" spans="34:34" ht="12.75" customHeight="1">
      <c r="AH1777" s="253"/>
    </row>
    <row r="1778" spans="34:34" ht="12.75" customHeight="1">
      <c r="AH1778" s="253"/>
    </row>
    <row r="1779" spans="34:34" ht="12.75" customHeight="1">
      <c r="AH1779" s="253"/>
    </row>
    <row r="1780" spans="34:34" ht="12.75" customHeight="1">
      <c r="AH1780" s="253"/>
    </row>
    <row r="1781" spans="34:34" ht="12.75" customHeight="1">
      <c r="AH1781" s="253"/>
    </row>
    <row r="1782" spans="34:34" ht="12.75" customHeight="1">
      <c r="AH1782" s="253"/>
    </row>
    <row r="1783" spans="34:34" ht="12.75" customHeight="1">
      <c r="AH1783" s="253"/>
    </row>
    <row r="1784" spans="34:34" ht="12.75" customHeight="1">
      <c r="AH1784" s="253"/>
    </row>
    <row r="1785" spans="34:34" ht="12.75" customHeight="1">
      <c r="AH1785" s="253"/>
    </row>
    <row r="1786" spans="34:34" ht="12.75" customHeight="1">
      <c r="AH1786" s="253"/>
    </row>
    <row r="1787" spans="34:34" ht="12.75" customHeight="1">
      <c r="AH1787" s="253"/>
    </row>
    <row r="1788" spans="34:34" ht="12.75" customHeight="1">
      <c r="AH1788" s="253"/>
    </row>
    <row r="1789" spans="34:34" ht="12.75" customHeight="1">
      <c r="AH1789" s="253"/>
    </row>
    <row r="1790" spans="34:34" ht="12.75" customHeight="1">
      <c r="AH1790" s="253"/>
    </row>
    <row r="1791" spans="34:34" ht="12.75" customHeight="1">
      <c r="AH1791" s="253"/>
    </row>
    <row r="1792" spans="34:34" ht="12.75" customHeight="1">
      <c r="AH1792" s="253"/>
    </row>
    <row r="1793" spans="34:34" ht="12.75" customHeight="1">
      <c r="AH1793" s="253"/>
    </row>
    <row r="1794" spans="34:34" ht="12.75" customHeight="1">
      <c r="AH1794" s="253"/>
    </row>
    <row r="1795" spans="34:34" ht="12.75" customHeight="1">
      <c r="AH1795" s="253"/>
    </row>
    <row r="1796" spans="34:34" ht="12.75" customHeight="1">
      <c r="AH1796" s="253"/>
    </row>
    <row r="1797" spans="34:34" ht="12.75" customHeight="1">
      <c r="AH1797" s="253"/>
    </row>
    <row r="1798" spans="34:34" ht="12.75" customHeight="1">
      <c r="AH1798" s="253"/>
    </row>
    <row r="1799" spans="34:34" ht="12.75" customHeight="1">
      <c r="AH1799" s="253"/>
    </row>
    <row r="1800" spans="34:34" ht="12.75" customHeight="1">
      <c r="AH1800" s="253"/>
    </row>
    <row r="1801" spans="34:34" ht="12.75" customHeight="1">
      <c r="AH1801" s="253"/>
    </row>
    <row r="1802" spans="34:34" ht="12.75" customHeight="1">
      <c r="AH1802" s="253"/>
    </row>
    <row r="1803" spans="34:34" ht="12.75" customHeight="1">
      <c r="AH1803" s="253"/>
    </row>
    <row r="1804" spans="34:34" ht="12.75" customHeight="1">
      <c r="AH1804" s="253"/>
    </row>
    <row r="1805" spans="34:34" ht="12.75" customHeight="1">
      <c r="AH1805" s="253"/>
    </row>
    <row r="1806" spans="34:34" ht="12.75" customHeight="1">
      <c r="AH1806" s="253"/>
    </row>
    <row r="1807" spans="34:34" ht="12.75" customHeight="1">
      <c r="AH1807" s="253"/>
    </row>
    <row r="1808" spans="34:34" ht="12.75" customHeight="1">
      <c r="AH1808" s="253"/>
    </row>
    <row r="1809" spans="34:34" ht="12.75" customHeight="1">
      <c r="AH1809" s="253"/>
    </row>
    <row r="1810" spans="34:34" ht="12.75" customHeight="1">
      <c r="AH1810" s="253"/>
    </row>
    <row r="1811" spans="34:34" ht="12.75" customHeight="1">
      <c r="AH1811" s="253"/>
    </row>
    <row r="1812" spans="34:34" ht="12.75" customHeight="1">
      <c r="AH1812" s="253"/>
    </row>
    <row r="1813" spans="34:34" ht="12.75" customHeight="1">
      <c r="AH1813" s="253"/>
    </row>
    <row r="1814" spans="34:34" ht="12.75" customHeight="1">
      <c r="AH1814" s="253"/>
    </row>
    <row r="1815" spans="34:34" ht="12.75" customHeight="1">
      <c r="AH1815" s="253"/>
    </row>
    <row r="1816" spans="34:34" ht="12.75" customHeight="1">
      <c r="AH1816" s="253"/>
    </row>
    <row r="1817" spans="34:34" ht="12.75" customHeight="1">
      <c r="AH1817" s="253"/>
    </row>
    <row r="1818" spans="34:34" ht="12.75" customHeight="1">
      <c r="AH1818" s="253"/>
    </row>
    <row r="1819" spans="34:34" ht="12.75" customHeight="1">
      <c r="AH1819" s="253"/>
    </row>
    <row r="1820" spans="34:34" ht="12.75" customHeight="1">
      <c r="AH1820" s="253"/>
    </row>
    <row r="1821" spans="34:34" ht="12.75" customHeight="1">
      <c r="AH1821" s="253"/>
    </row>
    <row r="1822" spans="34:34" ht="12.75" customHeight="1">
      <c r="AH1822" s="253"/>
    </row>
    <row r="1823" spans="34:34" ht="12.75" customHeight="1">
      <c r="AH1823" s="253"/>
    </row>
    <row r="1824" spans="34:34" ht="12.75" customHeight="1">
      <c r="AH1824" s="253"/>
    </row>
    <row r="1825" spans="34:34" ht="12.75" customHeight="1">
      <c r="AH1825" s="253"/>
    </row>
    <row r="1826" spans="34:34" ht="12.75" customHeight="1">
      <c r="AH1826" s="253"/>
    </row>
    <row r="1827" spans="34:34" ht="12.75" customHeight="1">
      <c r="AH1827" s="253"/>
    </row>
    <row r="1828" spans="34:34" ht="12.75" customHeight="1">
      <c r="AH1828" s="253"/>
    </row>
    <row r="1829" spans="34:34" ht="12.75" customHeight="1">
      <c r="AH1829" s="253"/>
    </row>
    <row r="1830" spans="34:34" ht="12.75" customHeight="1">
      <c r="AH1830" s="253"/>
    </row>
    <row r="1831" spans="34:34" ht="12.75" customHeight="1">
      <c r="AH1831" s="253"/>
    </row>
    <row r="1832" spans="34:34" ht="12.75" customHeight="1">
      <c r="AH1832" s="253"/>
    </row>
    <row r="1833" spans="34:34" ht="12.75" customHeight="1">
      <c r="AH1833" s="253"/>
    </row>
    <row r="1834" spans="34:34" ht="12.75" customHeight="1">
      <c r="AH1834" s="253"/>
    </row>
    <row r="1835" spans="34:34" ht="12.75" customHeight="1">
      <c r="AH1835" s="253"/>
    </row>
    <row r="1836" spans="34:34" ht="12.75" customHeight="1">
      <c r="AH1836" s="253"/>
    </row>
    <row r="1837" spans="34:34" ht="12.75" customHeight="1">
      <c r="AH1837" s="253"/>
    </row>
    <row r="1838" spans="34:34" ht="12.75" customHeight="1">
      <c r="AH1838" s="253"/>
    </row>
    <row r="1839" spans="34:34" ht="12.75" customHeight="1">
      <c r="AH1839" s="253"/>
    </row>
    <row r="1840" spans="34:34" ht="12.75" customHeight="1">
      <c r="AH1840" s="253"/>
    </row>
    <row r="1841" spans="34:34" ht="12.75" customHeight="1">
      <c r="AH1841" s="253"/>
    </row>
    <row r="1842" spans="34:34" ht="12.75" customHeight="1">
      <c r="AH1842" s="253"/>
    </row>
    <row r="1843" spans="34:34" ht="12.75" customHeight="1">
      <c r="AH1843" s="253"/>
    </row>
    <row r="1844" spans="34:34" ht="12.75" customHeight="1">
      <c r="AH1844" s="253"/>
    </row>
    <row r="1845" spans="34:34" ht="12.75" customHeight="1">
      <c r="AH1845" s="253"/>
    </row>
    <row r="1846" spans="34:34" ht="12.75" customHeight="1">
      <c r="AH1846" s="253"/>
    </row>
    <row r="1847" spans="34:34" ht="12.75" customHeight="1">
      <c r="AH1847" s="253"/>
    </row>
    <row r="1848" spans="34:34" ht="12.75" customHeight="1">
      <c r="AH1848" s="253"/>
    </row>
    <row r="1849" spans="34:34" ht="12.75" customHeight="1">
      <c r="AH1849" s="253"/>
    </row>
    <row r="1850" spans="34:34" ht="12.75" customHeight="1">
      <c r="AH1850" s="253"/>
    </row>
    <row r="1851" spans="34:34" ht="12.75" customHeight="1">
      <c r="AH1851" s="253"/>
    </row>
    <row r="1852" spans="34:34" ht="12.75" customHeight="1">
      <c r="AH1852" s="253"/>
    </row>
    <row r="1853" spans="34:34" ht="12.75" customHeight="1">
      <c r="AH1853" s="253"/>
    </row>
    <row r="1854" spans="34:34" ht="12.75" customHeight="1">
      <c r="AH1854" s="253"/>
    </row>
    <row r="1855" spans="34:34" ht="12.75" customHeight="1">
      <c r="AH1855" s="253"/>
    </row>
    <row r="1856" spans="34:34" ht="12.75" customHeight="1">
      <c r="AH1856" s="253"/>
    </row>
    <row r="1857" spans="34:34" ht="12.75" customHeight="1">
      <c r="AH1857" s="253"/>
    </row>
    <row r="1858" spans="34:34" ht="12.75" customHeight="1">
      <c r="AH1858" s="253"/>
    </row>
    <row r="1859" spans="34:34" ht="12.75" customHeight="1">
      <c r="AH1859" s="253"/>
    </row>
    <row r="1860" spans="34:34" ht="12.75" customHeight="1">
      <c r="AH1860" s="253"/>
    </row>
    <row r="1861" spans="34:34" ht="12.75" customHeight="1">
      <c r="AH1861" s="253"/>
    </row>
    <row r="1862" spans="34:34" ht="12.75" customHeight="1">
      <c r="AH1862" s="253"/>
    </row>
    <row r="1863" spans="34:34" ht="12.75" customHeight="1">
      <c r="AH1863" s="253"/>
    </row>
    <row r="1864" spans="34:34" ht="12.75" customHeight="1">
      <c r="AH1864" s="253"/>
    </row>
    <row r="1865" spans="34:34" ht="12.75" customHeight="1">
      <c r="AH1865" s="253"/>
    </row>
    <row r="1866" spans="34:34" ht="12.75" customHeight="1">
      <c r="AH1866" s="253"/>
    </row>
    <row r="1867" spans="34:34" ht="12.75" customHeight="1">
      <c r="AH1867" s="253"/>
    </row>
    <row r="1868" spans="34:34" ht="12.75" customHeight="1">
      <c r="AH1868" s="253"/>
    </row>
    <row r="1869" spans="34:34" ht="12.75" customHeight="1">
      <c r="AH1869" s="253"/>
    </row>
    <row r="1870" spans="34:34" ht="12.75" customHeight="1">
      <c r="AH1870" s="253"/>
    </row>
    <row r="1871" spans="34:34" ht="12.75" customHeight="1">
      <c r="AH1871" s="253"/>
    </row>
    <row r="1872" spans="34:34" ht="12.75" customHeight="1">
      <c r="AH1872" s="253"/>
    </row>
    <row r="1873" spans="34:34" ht="12.75" customHeight="1">
      <c r="AH1873" s="253"/>
    </row>
    <row r="1874" spans="34:34" ht="12.75" customHeight="1">
      <c r="AH1874" s="253"/>
    </row>
    <row r="1875" spans="34:34" ht="12.75" customHeight="1">
      <c r="AH1875" s="253"/>
    </row>
    <row r="1876" spans="34:34" ht="12.75" customHeight="1">
      <c r="AH1876" s="253"/>
    </row>
    <row r="1877" spans="34:34" ht="12.75" customHeight="1">
      <c r="AH1877" s="253"/>
    </row>
    <row r="1878" spans="34:34" ht="12.75" customHeight="1">
      <c r="AH1878" s="253"/>
    </row>
    <row r="1879" spans="34:34" ht="12.75" customHeight="1">
      <c r="AH1879" s="253"/>
    </row>
    <row r="1880" spans="34:34" ht="12.75" customHeight="1">
      <c r="AH1880" s="253"/>
    </row>
    <row r="1881" spans="34:34" ht="12.75" customHeight="1">
      <c r="AH1881" s="253"/>
    </row>
    <row r="1882" spans="34:34" ht="12.75" customHeight="1">
      <c r="AH1882" s="253"/>
    </row>
    <row r="1883" spans="34:34" ht="12.75" customHeight="1">
      <c r="AH1883" s="253"/>
    </row>
    <row r="1884" spans="34:34" ht="12.75" customHeight="1">
      <c r="AH1884" s="253"/>
    </row>
    <row r="1885" spans="34:34" ht="12.75" customHeight="1">
      <c r="AH1885" s="253"/>
    </row>
    <row r="1886" spans="34:34" ht="12.75" customHeight="1">
      <c r="AH1886" s="253"/>
    </row>
    <row r="1887" spans="34:34" ht="12.75" customHeight="1">
      <c r="AH1887" s="253"/>
    </row>
    <row r="1888" spans="34:34" ht="12.75" customHeight="1">
      <c r="AH1888" s="253"/>
    </row>
    <row r="1889" spans="34:34" ht="12.75" customHeight="1">
      <c r="AH1889" s="253"/>
    </row>
    <row r="1890" spans="34:34" ht="12.75" customHeight="1">
      <c r="AH1890" s="253"/>
    </row>
    <row r="1891" spans="34:34" ht="12.75" customHeight="1">
      <c r="AH1891" s="253"/>
    </row>
    <row r="1892" spans="34:34" ht="12.75" customHeight="1">
      <c r="AH1892" s="253"/>
    </row>
    <row r="1893" spans="34:34" ht="12.75" customHeight="1">
      <c r="AH1893" s="253"/>
    </row>
    <row r="1894" spans="34:34" ht="12.75" customHeight="1">
      <c r="AH1894" s="253"/>
    </row>
    <row r="1895" spans="34:34" ht="12.75" customHeight="1">
      <c r="AH1895" s="253"/>
    </row>
    <row r="1896" spans="34:34" ht="12.75" customHeight="1">
      <c r="AH1896" s="253"/>
    </row>
    <row r="1897" spans="34:34" ht="12.75" customHeight="1">
      <c r="AH1897" s="253"/>
    </row>
    <row r="1898" spans="34:34" ht="12.75" customHeight="1">
      <c r="AH1898" s="253"/>
    </row>
    <row r="1899" spans="34:34" ht="12.75" customHeight="1">
      <c r="AH1899" s="253"/>
    </row>
    <row r="1900" spans="34:34" ht="12.75" customHeight="1">
      <c r="AH1900" s="253"/>
    </row>
    <row r="1901" spans="34:34" ht="12.75" customHeight="1">
      <c r="AH1901" s="253"/>
    </row>
    <row r="1902" spans="34:34" ht="12.75" customHeight="1">
      <c r="AH1902" s="253"/>
    </row>
    <row r="1903" spans="34:34" ht="12.75" customHeight="1">
      <c r="AH1903" s="253"/>
    </row>
    <row r="1904" spans="34:34" ht="12.75" customHeight="1">
      <c r="AH1904" s="253"/>
    </row>
    <row r="1905" spans="34:34" ht="12.75" customHeight="1">
      <c r="AH1905" s="253"/>
    </row>
    <row r="1906" spans="34:34" ht="12.75" customHeight="1">
      <c r="AH1906" s="253"/>
    </row>
    <row r="1907" spans="34:34" ht="12.75" customHeight="1">
      <c r="AH1907" s="253"/>
    </row>
    <row r="1908" spans="34:34" ht="12.75" customHeight="1">
      <c r="AH1908" s="253"/>
    </row>
    <row r="1909" spans="34:34" ht="12.75" customHeight="1">
      <c r="AH1909" s="253"/>
    </row>
    <row r="1910" spans="34:34" ht="12.75" customHeight="1">
      <c r="AH1910" s="253"/>
    </row>
    <row r="1911" spans="34:34" ht="12.75" customHeight="1">
      <c r="AH1911" s="253"/>
    </row>
    <row r="1912" spans="34:34" ht="12.75" customHeight="1">
      <c r="AH1912" s="253"/>
    </row>
    <row r="1913" spans="34:34" ht="12.75" customHeight="1">
      <c r="AH1913" s="253"/>
    </row>
    <row r="1914" spans="34:34" ht="12.75" customHeight="1">
      <c r="AH1914" s="253"/>
    </row>
    <row r="1915" spans="34:34" ht="12.75" customHeight="1">
      <c r="AH1915" s="253"/>
    </row>
    <row r="1916" spans="34:34" ht="12.75" customHeight="1">
      <c r="AH1916" s="253"/>
    </row>
    <row r="1917" spans="34:34" ht="12.75" customHeight="1">
      <c r="AH1917" s="253"/>
    </row>
    <row r="1918" spans="34:34" ht="12.75" customHeight="1">
      <c r="AH1918" s="253"/>
    </row>
    <row r="1919" spans="34:34" ht="12.75" customHeight="1">
      <c r="AH1919" s="253"/>
    </row>
    <row r="1920" spans="34:34" ht="12.75" customHeight="1">
      <c r="AH1920" s="253"/>
    </row>
    <row r="1921" spans="34:34" ht="12.75" customHeight="1">
      <c r="AH1921" s="253"/>
    </row>
    <row r="1922" spans="34:34" ht="12.75" customHeight="1">
      <c r="AH1922" s="253"/>
    </row>
    <row r="1923" spans="34:34" ht="12.75" customHeight="1">
      <c r="AH1923" s="253"/>
    </row>
    <row r="1924" spans="34:34" ht="12.75" customHeight="1">
      <c r="AH1924" s="253"/>
    </row>
    <row r="1925" spans="34:34" ht="12.75" customHeight="1">
      <c r="AH1925" s="253"/>
    </row>
    <row r="1926" spans="34:34" ht="12.75" customHeight="1">
      <c r="AH1926" s="253"/>
    </row>
    <row r="1927" spans="34:34" ht="12.75" customHeight="1">
      <c r="AH1927" s="253"/>
    </row>
    <row r="1928" spans="34:34" ht="12.75" customHeight="1">
      <c r="AH1928" s="253"/>
    </row>
    <row r="1929" spans="34:34" ht="12.75" customHeight="1">
      <c r="AH1929" s="253"/>
    </row>
    <row r="1930" spans="34:34" ht="12.75" customHeight="1">
      <c r="AH1930" s="253"/>
    </row>
    <row r="1931" spans="34:34" ht="12.75" customHeight="1">
      <c r="AH1931" s="253"/>
    </row>
    <row r="1932" spans="34:34" ht="12.75" customHeight="1">
      <c r="AH1932" s="253"/>
    </row>
    <row r="1933" spans="34:34" ht="12.75" customHeight="1">
      <c r="AH1933" s="253"/>
    </row>
    <row r="1934" spans="34:34" ht="12.75" customHeight="1">
      <c r="AH1934" s="253"/>
    </row>
    <row r="1935" spans="34:34" ht="12.75" customHeight="1">
      <c r="AH1935" s="253"/>
    </row>
    <row r="1936" spans="34:34" ht="12.75" customHeight="1">
      <c r="AH1936" s="253"/>
    </row>
    <row r="1937" spans="34:34" ht="12.75" customHeight="1">
      <c r="AH1937" s="253"/>
    </row>
    <row r="1938" spans="34:34" ht="12.75" customHeight="1">
      <c r="AH1938" s="253"/>
    </row>
    <row r="1939" spans="34:34" ht="12.75" customHeight="1">
      <c r="AH1939" s="253"/>
    </row>
    <row r="1940" spans="34:34" ht="12.75" customHeight="1">
      <c r="AH1940" s="253"/>
    </row>
    <row r="1941" spans="34:34" ht="12.75" customHeight="1">
      <c r="AH1941" s="253"/>
    </row>
    <row r="1942" spans="34:34" ht="12.75" customHeight="1">
      <c r="AH1942" s="253"/>
    </row>
    <row r="1943" spans="34:34" ht="12.75" customHeight="1">
      <c r="AH1943" s="253"/>
    </row>
    <row r="1944" spans="34:34" ht="12.75" customHeight="1">
      <c r="AH1944" s="253"/>
    </row>
    <row r="1945" spans="34:34" ht="12.75" customHeight="1">
      <c r="AH1945" s="253"/>
    </row>
    <row r="1946" spans="34:34" ht="12.75" customHeight="1">
      <c r="AH1946" s="253"/>
    </row>
    <row r="1947" spans="34:34" ht="12.75" customHeight="1">
      <c r="AH1947" s="253"/>
    </row>
    <row r="1948" spans="34:34" ht="12.75" customHeight="1">
      <c r="AH1948" s="253"/>
    </row>
    <row r="1949" spans="34:34" ht="12.75" customHeight="1">
      <c r="AH1949" s="253"/>
    </row>
    <row r="1950" spans="34:34" ht="12.75" customHeight="1">
      <c r="AH1950" s="253"/>
    </row>
    <row r="1951" spans="34:34" ht="12.75" customHeight="1">
      <c r="AH1951" s="253"/>
    </row>
    <row r="1952" spans="34:34" ht="12.75" customHeight="1">
      <c r="AH1952" s="253"/>
    </row>
    <row r="1953" spans="34:34" ht="12.75" customHeight="1">
      <c r="AH1953" s="253"/>
    </row>
    <row r="1954" spans="34:34" ht="12.75" customHeight="1">
      <c r="AH1954" s="253"/>
    </row>
    <row r="1955" spans="34:34" ht="12.75" customHeight="1">
      <c r="AH1955" s="253"/>
    </row>
    <row r="1956" spans="34:34" ht="12.75" customHeight="1">
      <c r="AH1956" s="253"/>
    </row>
    <row r="1957" spans="34:34" ht="12.75" customHeight="1">
      <c r="AH1957" s="253"/>
    </row>
    <row r="1958" spans="34:34" ht="12.75" customHeight="1">
      <c r="AH1958" s="253"/>
    </row>
    <row r="1959" spans="34:34" ht="12.75" customHeight="1">
      <c r="AH1959" s="253"/>
    </row>
    <row r="1960" spans="34:34" ht="12.75" customHeight="1">
      <c r="AH1960" s="253"/>
    </row>
    <row r="1961" spans="34:34" ht="12.75" customHeight="1">
      <c r="AH1961" s="253"/>
    </row>
    <row r="1962" spans="34:34" ht="12.75" customHeight="1">
      <c r="AH1962" s="253"/>
    </row>
    <row r="1963" spans="34:34" ht="12.75" customHeight="1">
      <c r="AH1963" s="253"/>
    </row>
    <row r="1964" spans="34:34" ht="12.75" customHeight="1">
      <c r="AH1964" s="253"/>
    </row>
    <row r="1965" spans="34:34" ht="12.75" customHeight="1">
      <c r="AH1965" s="253"/>
    </row>
    <row r="1966" spans="34:34" ht="12.75" customHeight="1">
      <c r="AH1966" s="253"/>
    </row>
    <row r="1967" spans="34:34" ht="12.75" customHeight="1">
      <c r="AH1967" s="253"/>
    </row>
    <row r="1968" spans="34:34" ht="12.75" customHeight="1">
      <c r="AH1968" s="253"/>
    </row>
    <row r="1969" spans="34:34" ht="12.75" customHeight="1">
      <c r="AH1969" s="253"/>
    </row>
    <row r="1970" spans="34:34" ht="12.75" customHeight="1">
      <c r="AH1970" s="253"/>
    </row>
    <row r="1971" spans="34:34" ht="12.75" customHeight="1">
      <c r="AH1971" s="253"/>
    </row>
    <row r="1972" spans="34:34" ht="12.75" customHeight="1">
      <c r="AH1972" s="253"/>
    </row>
    <row r="1973" spans="34:34" ht="12.75" customHeight="1">
      <c r="AH1973" s="253"/>
    </row>
    <row r="1974" spans="34:34" ht="12.75" customHeight="1">
      <c r="AH1974" s="253"/>
    </row>
    <row r="1975" spans="34:34" ht="12.75" customHeight="1">
      <c r="AH1975" s="253"/>
    </row>
    <row r="1976" spans="34:34" ht="12.75" customHeight="1">
      <c r="AH1976" s="253"/>
    </row>
    <row r="1977" spans="34:34" ht="12.75" customHeight="1">
      <c r="AH1977" s="253"/>
    </row>
    <row r="1978" spans="34:34" ht="12.75" customHeight="1">
      <c r="AH1978" s="253"/>
    </row>
    <row r="1979" spans="34:34" ht="12.75" customHeight="1">
      <c r="AH1979" s="253"/>
    </row>
    <row r="1980" spans="34:34" ht="12.75" customHeight="1">
      <c r="AH1980" s="253"/>
    </row>
    <row r="1981" spans="34:34" ht="12.75" customHeight="1">
      <c r="AH1981" s="253"/>
    </row>
    <row r="1982" spans="34:34" ht="12.75" customHeight="1">
      <c r="AH1982" s="253"/>
    </row>
    <row r="1983" spans="34:34" ht="12.75" customHeight="1">
      <c r="AH1983" s="253"/>
    </row>
    <row r="1984" spans="34:34" ht="12.75" customHeight="1">
      <c r="AH1984" s="253"/>
    </row>
    <row r="1985" spans="34:34" ht="12.75" customHeight="1">
      <c r="AH1985" s="253"/>
    </row>
    <row r="1986" spans="34:34" ht="12.75" customHeight="1">
      <c r="AH1986" s="253"/>
    </row>
    <row r="1987" spans="34:34" ht="12.75" customHeight="1">
      <c r="AH1987" s="253"/>
    </row>
    <row r="1988" spans="34:34" ht="12.75" customHeight="1">
      <c r="AH1988" s="253"/>
    </row>
    <row r="1989" spans="34:34" ht="12.75" customHeight="1">
      <c r="AH1989" s="253"/>
    </row>
    <row r="1990" spans="34:34" ht="12.75" customHeight="1">
      <c r="AH1990" s="253"/>
    </row>
    <row r="1991" spans="34:34" ht="12.75" customHeight="1">
      <c r="AH1991" s="253"/>
    </row>
    <row r="1992" spans="34:34" ht="12.75" customHeight="1">
      <c r="AH1992" s="253"/>
    </row>
    <row r="1993" spans="34:34" ht="12.75" customHeight="1">
      <c r="AH1993" s="253"/>
    </row>
    <row r="1994" spans="34:34" ht="12.75" customHeight="1">
      <c r="AH1994" s="253"/>
    </row>
    <row r="1995" spans="34:34" ht="12.75" customHeight="1">
      <c r="AH1995" s="253"/>
    </row>
    <row r="1996" spans="34:34" ht="12.75" customHeight="1">
      <c r="AH1996" s="253"/>
    </row>
    <row r="1997" spans="34:34" ht="12.75" customHeight="1">
      <c r="AH1997" s="253"/>
    </row>
    <row r="1998" spans="34:34" ht="12.75" customHeight="1">
      <c r="AH1998" s="253"/>
    </row>
    <row r="1999" spans="34:34" ht="12.75" customHeight="1">
      <c r="AH1999" s="253"/>
    </row>
    <row r="2000" spans="34:34" ht="12.75" customHeight="1">
      <c r="AH2000" s="253"/>
    </row>
    <row r="2001" spans="34:34" ht="12.75" customHeight="1">
      <c r="AH2001" s="253"/>
    </row>
    <row r="2002" spans="34:34" ht="12.75" customHeight="1">
      <c r="AH2002" s="253"/>
    </row>
    <row r="2003" spans="34:34" ht="12.75" customHeight="1">
      <c r="AH2003" s="253"/>
    </row>
    <row r="2004" spans="34:34" ht="12.75" customHeight="1">
      <c r="AH2004" s="253"/>
    </row>
    <row r="2005" spans="34:34" ht="12.75" customHeight="1">
      <c r="AH2005" s="253"/>
    </row>
    <row r="2006" spans="34:34" ht="12.75" customHeight="1">
      <c r="AH2006" s="253"/>
    </row>
    <row r="2007" spans="34:34" ht="12.75" customHeight="1">
      <c r="AH2007" s="253"/>
    </row>
    <row r="2008" spans="34:34" ht="12.75" customHeight="1">
      <c r="AH2008" s="253"/>
    </row>
    <row r="2009" spans="34:34" ht="12.75" customHeight="1">
      <c r="AH2009" s="253"/>
    </row>
    <row r="2010" spans="34:34" ht="12.75" customHeight="1">
      <c r="AH2010" s="253"/>
    </row>
    <row r="2011" spans="34:34" ht="12.75" customHeight="1">
      <c r="AH2011" s="253"/>
    </row>
    <row r="2012" spans="34:34" ht="12.75" customHeight="1">
      <c r="AH2012" s="253"/>
    </row>
    <row r="2013" spans="34:34" ht="12.75" customHeight="1">
      <c r="AH2013" s="253"/>
    </row>
    <row r="2014" spans="34:34" ht="12.75" customHeight="1">
      <c r="AH2014" s="253"/>
    </row>
    <row r="2015" spans="34:34" ht="12.75" customHeight="1">
      <c r="AH2015" s="253"/>
    </row>
    <row r="2016" spans="34:34" ht="12.75" customHeight="1">
      <c r="AH2016" s="253"/>
    </row>
    <row r="2017" spans="34:34" ht="12.75" customHeight="1">
      <c r="AH2017" s="253"/>
    </row>
    <row r="2018" spans="34:34" ht="12.75" customHeight="1">
      <c r="AH2018" s="253"/>
    </row>
    <row r="2019" spans="34:34" ht="12.75" customHeight="1">
      <c r="AH2019" s="253"/>
    </row>
    <row r="2020" spans="34:34" ht="12.75" customHeight="1">
      <c r="AH2020" s="253"/>
    </row>
    <row r="2021" spans="34:34" ht="12.75" customHeight="1">
      <c r="AH2021" s="253"/>
    </row>
    <row r="2022" spans="34:34" ht="12.75" customHeight="1">
      <c r="AH2022" s="253"/>
    </row>
    <row r="2023" spans="34:34" ht="12.75" customHeight="1">
      <c r="AH2023" s="253"/>
    </row>
    <row r="2024" spans="34:34" ht="12.75" customHeight="1">
      <c r="AH2024" s="253"/>
    </row>
    <row r="2025" spans="34:34" ht="12.75" customHeight="1">
      <c r="AH2025" s="253"/>
    </row>
    <row r="2026" spans="34:34" ht="12.75" customHeight="1">
      <c r="AH2026" s="253"/>
    </row>
    <row r="2027" spans="34:34" ht="12.75" customHeight="1">
      <c r="AH2027" s="253"/>
    </row>
    <row r="2028" spans="34:34" ht="12.75" customHeight="1">
      <c r="AH2028" s="253"/>
    </row>
    <row r="2029" spans="34:34" ht="12.75" customHeight="1">
      <c r="AH2029" s="253"/>
    </row>
    <row r="2030" spans="34:34" ht="12.75" customHeight="1">
      <c r="AH2030" s="253"/>
    </row>
    <row r="2031" spans="34:34" ht="12.75" customHeight="1">
      <c r="AH2031" s="253"/>
    </row>
    <row r="2032" spans="34:34" ht="12.75" customHeight="1">
      <c r="AH2032" s="253"/>
    </row>
    <row r="2033" spans="34:34" ht="12.75" customHeight="1">
      <c r="AH2033" s="253"/>
    </row>
    <row r="2034" spans="34:34" ht="12.75" customHeight="1">
      <c r="AH2034" s="253"/>
    </row>
    <row r="2035" spans="34:34" ht="12.75" customHeight="1">
      <c r="AH2035" s="253"/>
    </row>
    <row r="2036" spans="34:34" ht="12.75" customHeight="1">
      <c r="AH2036" s="253"/>
    </row>
    <row r="2037" spans="34:34" ht="12.75" customHeight="1">
      <c r="AH2037" s="253"/>
    </row>
    <row r="2038" spans="34:34" ht="12.75" customHeight="1">
      <c r="AH2038" s="253"/>
    </row>
    <row r="2039" spans="34:34" ht="12.75" customHeight="1">
      <c r="AH2039" s="253"/>
    </row>
    <row r="2040" spans="34:34" ht="12.75" customHeight="1">
      <c r="AH2040" s="253"/>
    </row>
    <row r="2041" spans="34:34" ht="12.75" customHeight="1">
      <c r="AH2041" s="253"/>
    </row>
    <row r="2042" spans="34:34" ht="12.75" customHeight="1">
      <c r="AH2042" s="253"/>
    </row>
    <row r="2043" spans="34:34" ht="12.75" customHeight="1">
      <c r="AH2043" s="253"/>
    </row>
    <row r="2044" spans="34:34" ht="12.75" customHeight="1">
      <c r="AH2044" s="253"/>
    </row>
    <row r="2045" spans="34:34" ht="12.75" customHeight="1">
      <c r="AH2045" s="253"/>
    </row>
    <row r="2046" spans="34:34" ht="12.75" customHeight="1">
      <c r="AH2046" s="253"/>
    </row>
    <row r="2047" spans="34:34" ht="12.75" customHeight="1">
      <c r="AH2047" s="253"/>
    </row>
    <row r="2048" spans="34:34" ht="12.75" customHeight="1">
      <c r="AH2048" s="253"/>
    </row>
    <row r="2049" spans="34:34" ht="12.75" customHeight="1">
      <c r="AH2049" s="253"/>
    </row>
    <row r="2050" spans="34:34" ht="12.75" customHeight="1">
      <c r="AH2050" s="253"/>
    </row>
    <row r="2051" spans="34:34" ht="12.75" customHeight="1">
      <c r="AH2051" s="253"/>
    </row>
    <row r="2052" spans="34:34" ht="12.75" customHeight="1">
      <c r="AH2052" s="253"/>
    </row>
    <row r="2053" spans="34:34" ht="12.75" customHeight="1">
      <c r="AH2053" s="253"/>
    </row>
    <row r="2054" spans="34:34" ht="12.75" customHeight="1">
      <c r="AH2054" s="253"/>
    </row>
    <row r="2055" spans="34:34" ht="12.75" customHeight="1">
      <c r="AH2055" s="253"/>
    </row>
    <row r="2056" spans="34:34" ht="12.75" customHeight="1">
      <c r="AH2056" s="253"/>
    </row>
    <row r="2057" spans="34:34" ht="12.75" customHeight="1">
      <c r="AH2057" s="253"/>
    </row>
    <row r="2058" spans="34:34" ht="12.75" customHeight="1">
      <c r="AH2058" s="253"/>
    </row>
    <row r="2059" spans="34:34" ht="12.75" customHeight="1">
      <c r="AH2059" s="253"/>
    </row>
    <row r="2060" spans="34:34" ht="12.75" customHeight="1">
      <c r="AH2060" s="253"/>
    </row>
    <row r="2061" spans="34:34" ht="12.75" customHeight="1">
      <c r="AH2061" s="253"/>
    </row>
    <row r="2062" spans="34:34" ht="12.75" customHeight="1">
      <c r="AH2062" s="253"/>
    </row>
    <row r="2063" spans="34:34" ht="12.75" customHeight="1">
      <c r="AH2063" s="253"/>
    </row>
    <row r="2064" spans="34:34" ht="12.75" customHeight="1">
      <c r="AH2064" s="253"/>
    </row>
    <row r="2065" spans="34:34" ht="12.75" customHeight="1">
      <c r="AH2065" s="253"/>
    </row>
    <row r="2066" spans="34:34" ht="12.75" customHeight="1">
      <c r="AH2066" s="253"/>
    </row>
    <row r="2067" spans="34:34" ht="12.75" customHeight="1">
      <c r="AH2067" s="253"/>
    </row>
    <row r="2068" spans="34:34" ht="12.75" customHeight="1">
      <c r="AH2068" s="253"/>
    </row>
    <row r="2069" spans="34:34" ht="12.75" customHeight="1">
      <c r="AH2069" s="253"/>
    </row>
    <row r="2070" spans="34:34" ht="12.75" customHeight="1">
      <c r="AH2070" s="253"/>
    </row>
    <row r="2071" spans="34:34" ht="12.75" customHeight="1">
      <c r="AH2071" s="253"/>
    </row>
    <row r="2072" spans="34:34" ht="12.75" customHeight="1">
      <c r="AH2072" s="253"/>
    </row>
    <row r="2073" spans="34:34" ht="12.75" customHeight="1">
      <c r="AH2073" s="253"/>
    </row>
    <row r="2074" spans="34:34" ht="12.75" customHeight="1">
      <c r="AH2074" s="253"/>
    </row>
    <row r="2075" spans="34:34" ht="12.75" customHeight="1">
      <c r="AH2075" s="253"/>
    </row>
    <row r="2076" spans="34:34" ht="12.75" customHeight="1">
      <c r="AH2076" s="253"/>
    </row>
    <row r="2077" spans="34:34" ht="12.75" customHeight="1">
      <c r="AH2077" s="253"/>
    </row>
    <row r="2078" spans="34:34" ht="12.75" customHeight="1">
      <c r="AH2078" s="253"/>
    </row>
    <row r="2079" spans="34:34" ht="12.75" customHeight="1">
      <c r="AH2079" s="253"/>
    </row>
    <row r="2080" spans="34:34" ht="12.75" customHeight="1">
      <c r="AH2080" s="253"/>
    </row>
    <row r="2081" spans="34:34" ht="12.75" customHeight="1">
      <c r="AH2081" s="253"/>
    </row>
    <row r="2082" spans="34:34" ht="12.75" customHeight="1">
      <c r="AH2082" s="253"/>
    </row>
    <row r="2083" spans="34:34" ht="12.75" customHeight="1">
      <c r="AH2083" s="253"/>
    </row>
    <row r="2084" spans="34:34" ht="12.75" customHeight="1">
      <c r="AH2084" s="253"/>
    </row>
    <row r="2085" spans="34:34" ht="12.75" customHeight="1">
      <c r="AH2085" s="253"/>
    </row>
    <row r="2086" spans="34:34" ht="12.75" customHeight="1">
      <c r="AH2086" s="253"/>
    </row>
    <row r="2087" spans="34:34" ht="12.75" customHeight="1">
      <c r="AH2087" s="253"/>
    </row>
    <row r="2088" spans="34:34" ht="12.75" customHeight="1">
      <c r="AH2088" s="253"/>
    </row>
    <row r="2089" spans="34:34" ht="12.75" customHeight="1">
      <c r="AH2089" s="253"/>
    </row>
    <row r="2090" spans="34:34" ht="12.75" customHeight="1">
      <c r="AH2090" s="253"/>
    </row>
    <row r="2091" spans="34:34" ht="12.75" customHeight="1">
      <c r="AH2091" s="253"/>
    </row>
    <row r="2092" spans="34:34" ht="12.75" customHeight="1">
      <c r="AH2092" s="253"/>
    </row>
    <row r="2093" spans="34:34" ht="12.75" customHeight="1">
      <c r="AH2093" s="253"/>
    </row>
    <row r="2094" spans="34:34" ht="12.75" customHeight="1">
      <c r="AH2094" s="253"/>
    </row>
    <row r="2095" spans="34:34" ht="12.75" customHeight="1">
      <c r="AH2095" s="253"/>
    </row>
    <row r="2096" spans="34:34" ht="12.75" customHeight="1">
      <c r="AH2096" s="253"/>
    </row>
    <row r="2097" spans="34:34" ht="12.75" customHeight="1">
      <c r="AH2097" s="253"/>
    </row>
    <row r="2098" spans="34:34" ht="12.75" customHeight="1">
      <c r="AH2098" s="253"/>
    </row>
    <row r="2099" spans="34:34" ht="12.75" customHeight="1">
      <c r="AH2099" s="253"/>
    </row>
    <row r="2100" spans="34:34" ht="12.75" customHeight="1">
      <c r="AH2100" s="253"/>
    </row>
    <row r="2101" spans="34:34" ht="12.75" customHeight="1">
      <c r="AH2101" s="253"/>
    </row>
    <row r="2102" spans="34:34" ht="12.75" customHeight="1">
      <c r="AH2102" s="253"/>
    </row>
    <row r="2103" spans="34:34" ht="12.75" customHeight="1">
      <c r="AH2103" s="253"/>
    </row>
    <row r="2104" spans="34:34" ht="12.75" customHeight="1">
      <c r="AH2104" s="253"/>
    </row>
    <row r="2105" spans="34:34" ht="12.75" customHeight="1">
      <c r="AH2105" s="253"/>
    </row>
    <row r="2106" spans="34:34" ht="12.75" customHeight="1">
      <c r="AH2106" s="253"/>
    </row>
    <row r="2107" spans="34:34" ht="12.75" customHeight="1">
      <c r="AH2107" s="253"/>
    </row>
    <row r="2108" spans="34:34" ht="12.75" customHeight="1">
      <c r="AH2108" s="253"/>
    </row>
    <row r="2109" spans="34:34" ht="12.75" customHeight="1">
      <c r="AH2109" s="253"/>
    </row>
    <row r="2110" spans="34:34" ht="12.75" customHeight="1">
      <c r="AH2110" s="253"/>
    </row>
    <row r="2111" spans="34:34" ht="12.75" customHeight="1">
      <c r="AH2111" s="253"/>
    </row>
    <row r="2112" spans="34:34" ht="12.75" customHeight="1">
      <c r="AH2112" s="253"/>
    </row>
    <row r="2113" spans="34:34" ht="12.75" customHeight="1">
      <c r="AH2113" s="253"/>
    </row>
    <row r="2114" spans="34:34" ht="12.75" customHeight="1">
      <c r="AH2114" s="253"/>
    </row>
    <row r="2115" spans="34:34" ht="12.75" customHeight="1">
      <c r="AH2115" s="253"/>
    </row>
    <row r="2116" spans="34:34" ht="12.75" customHeight="1">
      <c r="AH2116" s="253"/>
    </row>
    <row r="2117" spans="34:34" ht="12.75" customHeight="1">
      <c r="AH2117" s="253"/>
    </row>
    <row r="2118" spans="34:34" ht="12.75" customHeight="1">
      <c r="AH2118" s="253"/>
    </row>
    <row r="2119" spans="34:34" ht="12.75" customHeight="1">
      <c r="AH2119" s="253"/>
    </row>
    <row r="2120" spans="34:34" ht="12.75" customHeight="1">
      <c r="AH2120" s="253"/>
    </row>
    <row r="2121" spans="34:34" ht="12.75" customHeight="1">
      <c r="AH2121" s="253"/>
    </row>
    <row r="2122" spans="34:34" ht="12.75" customHeight="1">
      <c r="AH2122" s="253"/>
    </row>
    <row r="2123" spans="34:34" ht="12.75" customHeight="1">
      <c r="AH2123" s="253"/>
    </row>
    <row r="2124" spans="34:34" ht="12.75" customHeight="1">
      <c r="AH2124" s="253"/>
    </row>
    <row r="2125" spans="34:34" ht="12.75" customHeight="1">
      <c r="AH2125" s="253"/>
    </row>
    <row r="2126" spans="34:34" ht="12.75" customHeight="1">
      <c r="AH2126" s="253"/>
    </row>
    <row r="2127" spans="34:34" ht="12.75" customHeight="1">
      <c r="AH2127" s="253"/>
    </row>
    <row r="2128" spans="34:34" ht="12.75" customHeight="1">
      <c r="AH2128" s="253"/>
    </row>
    <row r="2129" spans="34:34" ht="12.75" customHeight="1">
      <c r="AH2129" s="253"/>
    </row>
    <row r="2130" spans="34:34" ht="12.75" customHeight="1">
      <c r="AH2130" s="253"/>
    </row>
    <row r="2131" spans="34:34" ht="12.75" customHeight="1">
      <c r="AH2131" s="253"/>
    </row>
    <row r="2132" spans="34:34" ht="12.75" customHeight="1">
      <c r="AH2132" s="253"/>
    </row>
    <row r="2133" spans="34:34" ht="12.75" customHeight="1">
      <c r="AH2133" s="253"/>
    </row>
    <row r="2134" spans="34:34" ht="12.75" customHeight="1">
      <c r="AH2134" s="253"/>
    </row>
    <row r="2135" spans="34:34" ht="12.75" customHeight="1">
      <c r="AH2135" s="253"/>
    </row>
    <row r="2136" spans="34:34" ht="12.75" customHeight="1">
      <c r="AH2136" s="253"/>
    </row>
    <row r="2137" spans="34:34" ht="12.75" customHeight="1">
      <c r="AH2137" s="253"/>
    </row>
    <row r="2138" spans="34:34" ht="12.75" customHeight="1">
      <c r="AH2138" s="253"/>
    </row>
    <row r="2139" spans="34:34" ht="12.75" customHeight="1">
      <c r="AH2139" s="253"/>
    </row>
    <row r="2140" spans="34:34" ht="12.75" customHeight="1">
      <c r="AH2140" s="253"/>
    </row>
    <row r="2141" spans="34:34" ht="12.75" customHeight="1">
      <c r="AH2141" s="253"/>
    </row>
    <row r="2142" spans="34:34" ht="12.75" customHeight="1">
      <c r="AH2142" s="253"/>
    </row>
    <row r="2143" spans="34:34" ht="12.75" customHeight="1">
      <c r="AH2143" s="253"/>
    </row>
    <row r="2144" spans="34:34" ht="12.75" customHeight="1">
      <c r="AH2144" s="253"/>
    </row>
    <row r="2145" spans="34:34" ht="12.75" customHeight="1">
      <c r="AH2145" s="253"/>
    </row>
    <row r="2146" spans="34:34" ht="12.75" customHeight="1">
      <c r="AH2146" s="253"/>
    </row>
    <row r="2147" spans="34:34" ht="12.75" customHeight="1">
      <c r="AH2147" s="253"/>
    </row>
    <row r="2148" spans="34:34" ht="12.75" customHeight="1">
      <c r="AH2148" s="253"/>
    </row>
    <row r="2149" spans="34:34" ht="12.75" customHeight="1">
      <c r="AH2149" s="253"/>
    </row>
    <row r="2150" spans="34:34" ht="12.75" customHeight="1">
      <c r="AH2150" s="253"/>
    </row>
    <row r="2151" spans="34:34" ht="12.75" customHeight="1">
      <c r="AH2151" s="253"/>
    </row>
    <row r="2152" spans="34:34" ht="12.75" customHeight="1">
      <c r="AH2152" s="253"/>
    </row>
    <row r="2153" spans="34:34" ht="12.75" customHeight="1">
      <c r="AH2153" s="253"/>
    </row>
    <row r="2154" spans="34:34" ht="12.75" customHeight="1">
      <c r="AH2154" s="253"/>
    </row>
    <row r="2155" spans="34:34" ht="12.75" customHeight="1">
      <c r="AH2155" s="253"/>
    </row>
    <row r="2156" spans="34:34" ht="12.75" customHeight="1">
      <c r="AH2156" s="253"/>
    </row>
    <row r="2157" spans="34:34" ht="12.75" customHeight="1">
      <c r="AH2157" s="253"/>
    </row>
    <row r="2158" spans="34:34" ht="12.75" customHeight="1">
      <c r="AH2158" s="253"/>
    </row>
    <row r="2159" spans="34:34" ht="12.75" customHeight="1">
      <c r="AH2159" s="253"/>
    </row>
    <row r="2160" spans="34:34" ht="12.75" customHeight="1">
      <c r="AH2160" s="253"/>
    </row>
    <row r="2161" spans="34:34" ht="12.75" customHeight="1">
      <c r="AH2161" s="253"/>
    </row>
    <row r="2162" spans="34:34" ht="12.75" customHeight="1">
      <c r="AH2162" s="253"/>
    </row>
    <row r="2163" spans="34:34" ht="12.75" customHeight="1">
      <c r="AH2163" s="253"/>
    </row>
    <row r="2164" spans="34:34" ht="12.75" customHeight="1">
      <c r="AH2164" s="253"/>
    </row>
    <row r="2165" spans="34:34" ht="12.75" customHeight="1">
      <c r="AH2165" s="253"/>
    </row>
    <row r="2166" spans="34:34" ht="12.75" customHeight="1">
      <c r="AH2166" s="253"/>
    </row>
    <row r="2167" spans="34:34" ht="12.75" customHeight="1">
      <c r="AH2167" s="253"/>
    </row>
    <row r="2168" spans="34:34" ht="12.75" customHeight="1">
      <c r="AH2168" s="253"/>
    </row>
    <row r="2169" spans="34:34" ht="12.75" customHeight="1">
      <c r="AH2169" s="253"/>
    </row>
    <row r="2170" spans="34:34" ht="12.75" customHeight="1">
      <c r="AH2170" s="253"/>
    </row>
    <row r="2171" spans="34:34" ht="12.75" customHeight="1">
      <c r="AH2171" s="253"/>
    </row>
    <row r="2172" spans="34:34" ht="12.75" customHeight="1">
      <c r="AH2172" s="253"/>
    </row>
    <row r="2173" spans="34:34" ht="12.75" customHeight="1">
      <c r="AH2173" s="253"/>
    </row>
    <row r="2174" spans="34:34" ht="12.75" customHeight="1">
      <c r="AH2174" s="253"/>
    </row>
    <row r="2175" spans="34:34" ht="12.75" customHeight="1">
      <c r="AH2175" s="253"/>
    </row>
    <row r="2176" spans="34:34" ht="12.75" customHeight="1">
      <c r="AH2176" s="253"/>
    </row>
    <row r="2177" spans="34:34" ht="12.75" customHeight="1">
      <c r="AH2177" s="253"/>
    </row>
    <row r="2178" spans="34:34" ht="12.75" customHeight="1">
      <c r="AH2178" s="253"/>
    </row>
    <row r="2179" spans="34:34" ht="12.75" customHeight="1">
      <c r="AH2179" s="253"/>
    </row>
    <row r="2180" spans="34:34" ht="12.75" customHeight="1">
      <c r="AH2180" s="253"/>
    </row>
    <row r="2181" spans="34:34" ht="12.75" customHeight="1">
      <c r="AH2181" s="253"/>
    </row>
    <row r="2182" spans="34:34" ht="12.75" customHeight="1">
      <c r="AH2182" s="253"/>
    </row>
    <row r="2183" spans="34:34" ht="12.75" customHeight="1">
      <c r="AH2183" s="253"/>
    </row>
    <row r="2184" spans="34:34" ht="12.75" customHeight="1">
      <c r="AH2184" s="253"/>
    </row>
    <row r="2185" spans="34:34" ht="12.75" customHeight="1">
      <c r="AH2185" s="253"/>
    </row>
    <row r="2186" spans="34:34" ht="12.75" customHeight="1">
      <c r="AH2186" s="253"/>
    </row>
    <row r="2187" spans="34:34" ht="12.75" customHeight="1">
      <c r="AH2187" s="253"/>
    </row>
    <row r="2188" spans="34:34" ht="12.75" customHeight="1">
      <c r="AH2188" s="253"/>
    </row>
    <row r="2189" spans="34:34" ht="12.75" customHeight="1">
      <c r="AH2189" s="253"/>
    </row>
    <row r="2190" spans="34:34" ht="12.75" customHeight="1">
      <c r="AH2190" s="253"/>
    </row>
    <row r="2191" spans="34:34" ht="12.75" customHeight="1">
      <c r="AH2191" s="253"/>
    </row>
    <row r="2192" spans="34:34" ht="12.75" customHeight="1">
      <c r="AH2192" s="253"/>
    </row>
    <row r="2193" spans="34:34" ht="12.75" customHeight="1">
      <c r="AH2193" s="253"/>
    </row>
    <row r="2194" spans="34:34" ht="12.75" customHeight="1">
      <c r="AH2194" s="253"/>
    </row>
    <row r="2195" spans="34:34" ht="12.75" customHeight="1">
      <c r="AH2195" s="253"/>
    </row>
    <row r="2196" spans="34:34" ht="12.75" customHeight="1">
      <c r="AH2196" s="253"/>
    </row>
    <row r="2197" spans="34:34" ht="12.75" customHeight="1">
      <c r="AH2197" s="253"/>
    </row>
    <row r="2198" spans="34:34" ht="12.75" customHeight="1">
      <c r="AH2198" s="253"/>
    </row>
    <row r="2199" spans="34:34" ht="12.75" customHeight="1">
      <c r="AH2199" s="253"/>
    </row>
    <row r="2200" spans="34:34" ht="12.75" customHeight="1">
      <c r="AH2200" s="253"/>
    </row>
    <row r="2201" spans="34:34" ht="12.75" customHeight="1">
      <c r="AH2201" s="253"/>
    </row>
    <row r="2202" spans="34:34" ht="12.75" customHeight="1">
      <c r="AH2202" s="253"/>
    </row>
    <row r="2203" spans="34:34" ht="12.75" customHeight="1">
      <c r="AH2203" s="253"/>
    </row>
    <row r="2204" spans="34:34" ht="12.75" customHeight="1">
      <c r="AH2204" s="253"/>
    </row>
    <row r="2205" spans="34:34" ht="12.75" customHeight="1">
      <c r="AH2205" s="253"/>
    </row>
    <row r="2206" spans="34:34" ht="12.75" customHeight="1">
      <c r="AH2206" s="253"/>
    </row>
    <row r="2207" spans="34:34" ht="12.75" customHeight="1">
      <c r="AH2207" s="253"/>
    </row>
    <row r="2208" spans="34:34" ht="12.75" customHeight="1">
      <c r="AH2208" s="253"/>
    </row>
    <row r="2209" spans="34:34" ht="12.75" customHeight="1">
      <c r="AH2209" s="253"/>
    </row>
    <row r="2210" spans="34:34" ht="12.75" customHeight="1">
      <c r="AH2210" s="253"/>
    </row>
    <row r="2211" spans="34:34" ht="12.75" customHeight="1">
      <c r="AH2211" s="253"/>
    </row>
    <row r="2212" spans="34:34" ht="12.75" customHeight="1">
      <c r="AH2212" s="253"/>
    </row>
    <row r="2213" spans="34:34" ht="12.75" customHeight="1">
      <c r="AH2213" s="253"/>
    </row>
    <row r="2214" spans="34:34" ht="12.75" customHeight="1">
      <c r="AH2214" s="253"/>
    </row>
    <row r="2215" spans="34:34" ht="12.75" customHeight="1">
      <c r="AH2215" s="253"/>
    </row>
    <row r="2216" spans="34:34" ht="12.75" customHeight="1">
      <c r="AH2216" s="253"/>
    </row>
    <row r="2217" spans="34:34" ht="12.75" customHeight="1">
      <c r="AH2217" s="253"/>
    </row>
    <row r="2218" spans="34:34" ht="12.75" customHeight="1">
      <c r="AH2218" s="253"/>
    </row>
    <row r="2219" spans="34:34" ht="12.75" customHeight="1">
      <c r="AH2219" s="253"/>
    </row>
    <row r="2220" spans="34:34" ht="12.75" customHeight="1">
      <c r="AH2220" s="253"/>
    </row>
    <row r="2221" spans="34:34" ht="12.75" customHeight="1">
      <c r="AH2221" s="253"/>
    </row>
    <row r="2222" spans="34:34" ht="12.75" customHeight="1">
      <c r="AH2222" s="253"/>
    </row>
    <row r="2223" spans="34:34" ht="12.75" customHeight="1">
      <c r="AH2223" s="253"/>
    </row>
    <row r="2224" spans="34:34" ht="12.75" customHeight="1">
      <c r="AH2224" s="253"/>
    </row>
    <row r="2225" spans="34:34" ht="12.75" customHeight="1">
      <c r="AH2225" s="253"/>
    </row>
    <row r="2226" spans="34:34" ht="12.75" customHeight="1">
      <c r="AH2226" s="253"/>
    </row>
    <row r="2227" spans="34:34" ht="12.75" customHeight="1">
      <c r="AH2227" s="253"/>
    </row>
    <row r="2228" spans="34:34" ht="12.75" customHeight="1">
      <c r="AH2228" s="253"/>
    </row>
    <row r="2229" spans="34:34" ht="12.75" customHeight="1">
      <c r="AH2229" s="253"/>
    </row>
    <row r="2230" spans="34:34" ht="12.75" customHeight="1">
      <c r="AH2230" s="253"/>
    </row>
    <row r="2231" spans="34:34" ht="12.75" customHeight="1">
      <c r="AH2231" s="253"/>
    </row>
    <row r="2232" spans="34:34" ht="12.75" customHeight="1">
      <c r="AH2232" s="253"/>
    </row>
    <row r="2233" spans="34:34" ht="12.75" customHeight="1">
      <c r="AH2233" s="253"/>
    </row>
    <row r="2234" spans="34:34" ht="12.75" customHeight="1">
      <c r="AH2234" s="253"/>
    </row>
    <row r="2235" spans="34:34" ht="12.75" customHeight="1">
      <c r="AH2235" s="253"/>
    </row>
    <row r="2236" spans="34:34" ht="12.75" customHeight="1">
      <c r="AH2236" s="253"/>
    </row>
    <row r="2237" spans="34:34" ht="12.75" customHeight="1">
      <c r="AH2237" s="253"/>
    </row>
    <row r="2238" spans="34:34" ht="12.75" customHeight="1">
      <c r="AH2238" s="253"/>
    </row>
    <row r="2239" spans="34:34" ht="12.75" customHeight="1">
      <c r="AH2239" s="253"/>
    </row>
    <row r="2240" spans="34:34" ht="12.75" customHeight="1">
      <c r="AH2240" s="253"/>
    </row>
    <row r="2241" spans="34:34" ht="12.75" customHeight="1">
      <c r="AH2241" s="253"/>
    </row>
    <row r="2242" spans="34:34" ht="12.75" customHeight="1">
      <c r="AH2242" s="253"/>
    </row>
    <row r="2243" spans="34:34" ht="12.75" customHeight="1">
      <c r="AH2243" s="253"/>
    </row>
    <row r="2244" spans="34:34" ht="12.75" customHeight="1">
      <c r="AH2244" s="253"/>
    </row>
    <row r="2245" spans="34:34" ht="12.75" customHeight="1">
      <c r="AH2245" s="253"/>
    </row>
    <row r="2246" spans="34:34" ht="12.75" customHeight="1">
      <c r="AH2246" s="253"/>
    </row>
    <row r="2247" spans="34:34" ht="12.75" customHeight="1">
      <c r="AH2247" s="253"/>
    </row>
    <row r="2248" spans="34:34" ht="12.75" customHeight="1">
      <c r="AH2248" s="253"/>
    </row>
    <row r="2249" spans="34:34" ht="12.75" customHeight="1">
      <c r="AH2249" s="253"/>
    </row>
    <row r="2250" spans="34:34" ht="12.75" customHeight="1">
      <c r="AH2250" s="253"/>
    </row>
    <row r="2251" spans="34:34" ht="12.75" customHeight="1">
      <c r="AH2251" s="253"/>
    </row>
    <row r="2252" spans="34:34" ht="12.75" customHeight="1">
      <c r="AH2252" s="253"/>
    </row>
    <row r="2253" spans="34:34" ht="12.75" customHeight="1">
      <c r="AH2253" s="253"/>
    </row>
    <row r="2254" spans="34:34" ht="12.75" customHeight="1">
      <c r="AH2254" s="253"/>
    </row>
    <row r="2255" spans="34:34" ht="12.75" customHeight="1">
      <c r="AH2255" s="253"/>
    </row>
    <row r="2256" spans="34:34" ht="12.75" customHeight="1">
      <c r="AH2256" s="253"/>
    </row>
    <row r="2257" spans="34:34" ht="12.75" customHeight="1">
      <c r="AH2257" s="253"/>
    </row>
    <row r="2258" spans="34:34" ht="12.75" customHeight="1">
      <c r="AH2258" s="253"/>
    </row>
    <row r="2259" spans="34:34" ht="12.75" customHeight="1">
      <c r="AH2259" s="253"/>
    </row>
    <row r="2260" spans="34:34" ht="12.75" customHeight="1">
      <c r="AH2260" s="253"/>
    </row>
    <row r="2261" spans="34:34" ht="12.75" customHeight="1">
      <c r="AH2261" s="253"/>
    </row>
    <row r="2262" spans="34:34" ht="12.75" customHeight="1">
      <c r="AH2262" s="253"/>
    </row>
    <row r="2263" spans="34:34" ht="12.75" customHeight="1">
      <c r="AH2263" s="253"/>
    </row>
    <row r="2264" spans="34:34" ht="12.75" customHeight="1">
      <c r="AH2264" s="253"/>
    </row>
    <row r="2265" spans="34:34" ht="12.75" customHeight="1">
      <c r="AH2265" s="253"/>
    </row>
    <row r="2266" spans="34:34" ht="12.75" customHeight="1">
      <c r="AH2266" s="253"/>
    </row>
    <row r="2267" spans="34:34" ht="12.75" customHeight="1">
      <c r="AH2267" s="253"/>
    </row>
    <row r="2268" spans="34:34" ht="12.75" customHeight="1">
      <c r="AH2268" s="253"/>
    </row>
    <row r="2269" spans="34:34" ht="12.75" customHeight="1">
      <c r="AH2269" s="253"/>
    </row>
    <row r="2270" spans="34:34" ht="12.75" customHeight="1">
      <c r="AH2270" s="253"/>
    </row>
    <row r="2271" spans="34:34" ht="12.75" customHeight="1">
      <c r="AH2271" s="253"/>
    </row>
    <row r="2272" spans="34:34" ht="12.75" customHeight="1">
      <c r="AH2272" s="253"/>
    </row>
    <row r="2273" spans="34:34" ht="12.75" customHeight="1">
      <c r="AH2273" s="253"/>
    </row>
    <row r="2274" spans="34:34" ht="12.75" customHeight="1">
      <c r="AH2274" s="253"/>
    </row>
    <row r="2275" spans="34:34" ht="12.75" customHeight="1">
      <c r="AH2275" s="253"/>
    </row>
    <row r="2276" spans="34:34" ht="12.75" customHeight="1">
      <c r="AH2276" s="253"/>
    </row>
    <row r="2277" spans="34:34" ht="12.75" customHeight="1">
      <c r="AH2277" s="253"/>
    </row>
    <row r="2278" spans="34:34" ht="12.75" customHeight="1">
      <c r="AH2278" s="253"/>
    </row>
    <row r="2279" spans="34:34" ht="12.75" customHeight="1">
      <c r="AH2279" s="253"/>
    </row>
    <row r="2280" spans="34:34" ht="12.75" customHeight="1">
      <c r="AH2280" s="253"/>
    </row>
    <row r="2281" spans="34:34" ht="12.75" customHeight="1">
      <c r="AH2281" s="253"/>
    </row>
    <row r="2282" spans="34:34" ht="12.75" customHeight="1">
      <c r="AH2282" s="253"/>
    </row>
    <row r="2283" spans="34:34" ht="12.75" customHeight="1">
      <c r="AH2283" s="253"/>
    </row>
    <row r="2284" spans="34:34" ht="12.75" customHeight="1">
      <c r="AH2284" s="253"/>
    </row>
    <row r="2285" spans="34:34" ht="12.75" customHeight="1">
      <c r="AH2285" s="253"/>
    </row>
    <row r="2286" spans="34:34" ht="12.75" customHeight="1">
      <c r="AH2286" s="253"/>
    </row>
    <row r="2287" spans="34:34" ht="12.75" customHeight="1">
      <c r="AH2287" s="253"/>
    </row>
    <row r="2288" spans="34:34" ht="12.75" customHeight="1">
      <c r="AH2288" s="253"/>
    </row>
    <row r="2289" spans="34:34" ht="12.75" customHeight="1">
      <c r="AH2289" s="253"/>
    </row>
    <row r="2290" spans="34:34" ht="12.75" customHeight="1">
      <c r="AH2290" s="253"/>
    </row>
    <row r="2291" spans="34:34" ht="12.75" customHeight="1">
      <c r="AH2291" s="253"/>
    </row>
    <row r="2292" spans="34:34" ht="12.75" customHeight="1">
      <c r="AH2292" s="253"/>
    </row>
    <row r="2293" spans="34:34" ht="12.75" customHeight="1">
      <c r="AH2293" s="253"/>
    </row>
    <row r="2294" spans="34:34" ht="12.75" customHeight="1">
      <c r="AH2294" s="253"/>
    </row>
    <row r="2295" spans="34:34" ht="12.75" customHeight="1">
      <c r="AH2295" s="253"/>
    </row>
    <row r="2296" spans="34:34" ht="12.75" customHeight="1">
      <c r="AH2296" s="253"/>
    </row>
    <row r="2297" spans="34:34" ht="12.75" customHeight="1">
      <c r="AH2297" s="253"/>
    </row>
    <row r="2298" spans="34:34" ht="12.75" customHeight="1">
      <c r="AH2298" s="253"/>
    </row>
    <row r="2299" spans="34:34" ht="12.75" customHeight="1">
      <c r="AH2299" s="253"/>
    </row>
    <row r="2300" spans="34:34" ht="12.75" customHeight="1">
      <c r="AH2300" s="253"/>
    </row>
    <row r="2301" spans="34:34" ht="12.75" customHeight="1">
      <c r="AH2301" s="253"/>
    </row>
    <row r="2302" spans="34:34" ht="12.75" customHeight="1">
      <c r="AH2302" s="253"/>
    </row>
    <row r="2303" spans="34:34" ht="12.75" customHeight="1">
      <c r="AH2303" s="253"/>
    </row>
    <row r="2304" spans="34:34" ht="12.75" customHeight="1">
      <c r="AH2304" s="253"/>
    </row>
    <row r="2305" spans="34:34" ht="12.75" customHeight="1">
      <c r="AH2305" s="253"/>
    </row>
    <row r="2306" spans="34:34" ht="12.75" customHeight="1">
      <c r="AH2306" s="253"/>
    </row>
    <row r="2307" spans="34:34" ht="12.75" customHeight="1">
      <c r="AH2307" s="253"/>
    </row>
    <row r="2308" spans="34:34" ht="12.75" customHeight="1">
      <c r="AH2308" s="253"/>
    </row>
    <row r="2309" spans="34:34" ht="12.75" customHeight="1">
      <c r="AH2309" s="253"/>
    </row>
    <row r="2310" spans="34:34" ht="12.75" customHeight="1">
      <c r="AH2310" s="253"/>
    </row>
    <row r="2311" spans="34:34" ht="12.75" customHeight="1">
      <c r="AH2311" s="253"/>
    </row>
    <row r="2312" spans="34:34" ht="12.75" customHeight="1">
      <c r="AH2312" s="253"/>
    </row>
    <row r="2313" spans="34:34" ht="12.75" customHeight="1">
      <c r="AH2313" s="253"/>
    </row>
    <row r="2314" spans="34:34" ht="12.75" customHeight="1">
      <c r="AH2314" s="253"/>
    </row>
    <row r="2315" spans="34:34" ht="12.75" customHeight="1">
      <c r="AH2315" s="253"/>
    </row>
    <row r="2316" spans="34:34" ht="12.75" customHeight="1">
      <c r="AH2316" s="253"/>
    </row>
    <row r="2317" spans="34:34" ht="12.75" customHeight="1">
      <c r="AH2317" s="253"/>
    </row>
    <row r="2318" spans="34:34" ht="12.75" customHeight="1">
      <c r="AH2318" s="253"/>
    </row>
    <row r="2319" spans="34:34" ht="12.75" customHeight="1">
      <c r="AH2319" s="253"/>
    </row>
    <row r="2320" spans="34:34" ht="12.75" customHeight="1">
      <c r="AH2320" s="253"/>
    </row>
    <row r="2321" spans="34:34" ht="12.75" customHeight="1">
      <c r="AH2321" s="253"/>
    </row>
    <row r="2322" spans="34:34" ht="12.75" customHeight="1">
      <c r="AH2322" s="253"/>
    </row>
    <row r="2323" spans="34:34" ht="12.75" customHeight="1">
      <c r="AH2323" s="253"/>
    </row>
    <row r="2324" spans="34:34" ht="12.75" customHeight="1">
      <c r="AH2324" s="253"/>
    </row>
    <row r="2325" spans="34:34" ht="12.75" customHeight="1">
      <c r="AH2325" s="253"/>
    </row>
    <row r="2326" spans="34:34" ht="12.75" customHeight="1">
      <c r="AH2326" s="253"/>
    </row>
    <row r="2327" spans="34:34" ht="12.75" customHeight="1">
      <c r="AH2327" s="253"/>
    </row>
    <row r="2328" spans="34:34" ht="12.75" customHeight="1">
      <c r="AH2328" s="253"/>
    </row>
    <row r="2329" spans="34:34" ht="12.75" customHeight="1">
      <c r="AH2329" s="253"/>
    </row>
    <row r="2330" spans="34:34" ht="12.75" customHeight="1">
      <c r="AH2330" s="253"/>
    </row>
    <row r="2331" spans="34:34" ht="12.75" customHeight="1">
      <c r="AH2331" s="253"/>
    </row>
    <row r="2332" spans="34:34" ht="12.75" customHeight="1">
      <c r="AH2332" s="253"/>
    </row>
    <row r="2333" spans="34:34" ht="12.75" customHeight="1">
      <c r="AH2333" s="253"/>
    </row>
    <row r="2334" spans="34:34" ht="12.75" customHeight="1">
      <c r="AH2334" s="253"/>
    </row>
    <row r="2335" spans="34:34" ht="12.75" customHeight="1">
      <c r="AH2335" s="253"/>
    </row>
    <row r="2336" spans="34:34" ht="12.75" customHeight="1">
      <c r="AH2336" s="253"/>
    </row>
    <row r="2337" spans="34:34" ht="12.75" customHeight="1">
      <c r="AH2337" s="253"/>
    </row>
    <row r="2338" spans="34:34" ht="12.75" customHeight="1">
      <c r="AH2338" s="253"/>
    </row>
    <row r="2339" spans="34:34" ht="12.75" customHeight="1">
      <c r="AH2339" s="253"/>
    </row>
    <row r="2340" spans="34:34" ht="12.75" customHeight="1">
      <c r="AH2340" s="253"/>
    </row>
    <row r="2341" spans="34:34" ht="12.75" customHeight="1">
      <c r="AH2341" s="253"/>
    </row>
    <row r="2342" spans="34:34" ht="12.75" customHeight="1">
      <c r="AH2342" s="253"/>
    </row>
    <row r="2343" spans="34:34" ht="12.75" customHeight="1">
      <c r="AH2343" s="253"/>
    </row>
    <row r="2344" spans="34:34" ht="12.75" customHeight="1">
      <c r="AH2344" s="253"/>
    </row>
    <row r="2345" spans="34:34" ht="12.75" customHeight="1">
      <c r="AH2345" s="253"/>
    </row>
    <row r="2346" spans="34:34" ht="12.75" customHeight="1">
      <c r="AH2346" s="253"/>
    </row>
    <row r="2347" spans="34:34" ht="12.75" customHeight="1">
      <c r="AH2347" s="253"/>
    </row>
    <row r="2348" spans="34:34" ht="12.75" customHeight="1">
      <c r="AH2348" s="253"/>
    </row>
    <row r="2349" spans="34:34" ht="12.75" customHeight="1">
      <c r="AH2349" s="253"/>
    </row>
    <row r="2350" spans="34:34" ht="12.75" customHeight="1">
      <c r="AH2350" s="253"/>
    </row>
    <row r="2351" spans="34:34" ht="12.75" customHeight="1">
      <c r="AH2351" s="253"/>
    </row>
    <row r="2352" spans="34:34" ht="12.75" customHeight="1">
      <c r="AH2352" s="253"/>
    </row>
    <row r="2353" spans="34:34" ht="12.75" customHeight="1">
      <c r="AH2353" s="253"/>
    </row>
    <row r="2354" spans="34:34" ht="12.75" customHeight="1">
      <c r="AH2354" s="253"/>
    </row>
    <row r="2355" spans="34:34" ht="12.75" customHeight="1">
      <c r="AH2355" s="253"/>
    </row>
    <row r="2356" spans="34:34" ht="12.75" customHeight="1">
      <c r="AH2356" s="253"/>
    </row>
    <row r="2357" spans="34:34" ht="12.75" customHeight="1">
      <c r="AH2357" s="253"/>
    </row>
    <row r="2358" spans="34:34" ht="12.75" customHeight="1">
      <c r="AH2358" s="253"/>
    </row>
    <row r="2359" spans="34:34" ht="12.75" customHeight="1">
      <c r="AH2359" s="253"/>
    </row>
    <row r="2360" spans="34:34" ht="12.75" customHeight="1">
      <c r="AH2360" s="253"/>
    </row>
    <row r="2361" spans="34:34" ht="12.75" customHeight="1">
      <c r="AH2361" s="253"/>
    </row>
    <row r="2362" spans="34:34" ht="12.75" customHeight="1">
      <c r="AH2362" s="253"/>
    </row>
    <row r="2363" spans="34:34" ht="12.75" customHeight="1">
      <c r="AH2363" s="253"/>
    </row>
    <row r="2364" spans="34:34" ht="12.75" customHeight="1">
      <c r="AH2364" s="253"/>
    </row>
    <row r="2365" spans="34:34" ht="12.75" customHeight="1">
      <c r="AH2365" s="253"/>
    </row>
    <row r="2366" spans="34:34" ht="12.75" customHeight="1">
      <c r="AH2366" s="253"/>
    </row>
    <row r="2367" spans="34:34" ht="12.75" customHeight="1">
      <c r="AH2367" s="253"/>
    </row>
    <row r="2368" spans="34:34" ht="12.75" customHeight="1">
      <c r="AH2368" s="253"/>
    </row>
    <row r="2369" spans="34:34" ht="12.75" customHeight="1">
      <c r="AH2369" s="253"/>
    </row>
    <row r="2370" spans="34:34" ht="12.75" customHeight="1">
      <c r="AH2370" s="253"/>
    </row>
    <row r="2371" spans="34:34" ht="12.75" customHeight="1">
      <c r="AH2371" s="253"/>
    </row>
    <row r="2372" spans="34:34" ht="12.75" customHeight="1">
      <c r="AH2372" s="253"/>
    </row>
    <row r="2373" spans="34:34" ht="12.75" customHeight="1">
      <c r="AH2373" s="253"/>
    </row>
    <row r="2374" spans="34:34" ht="12.75" customHeight="1">
      <c r="AH2374" s="253"/>
    </row>
    <row r="2375" spans="34:34" ht="12.75" customHeight="1">
      <c r="AH2375" s="253"/>
    </row>
    <row r="2376" spans="34:34" ht="12.75" customHeight="1">
      <c r="AH2376" s="253"/>
    </row>
    <row r="2377" spans="34:34" ht="12.75" customHeight="1">
      <c r="AH2377" s="253"/>
    </row>
    <row r="2378" spans="34:34" ht="12.75" customHeight="1">
      <c r="AH2378" s="253"/>
    </row>
    <row r="2379" spans="34:34" ht="12.75" customHeight="1">
      <c r="AH2379" s="253"/>
    </row>
    <row r="2380" spans="34:34" ht="12.75" customHeight="1">
      <c r="AH2380" s="253"/>
    </row>
    <row r="2381" spans="34:34" ht="12.75" customHeight="1">
      <c r="AH2381" s="253"/>
    </row>
    <row r="2382" spans="34:34" ht="12.75" customHeight="1">
      <c r="AH2382" s="253"/>
    </row>
    <row r="2383" spans="34:34" ht="12.75" customHeight="1">
      <c r="AH2383" s="253"/>
    </row>
    <row r="2384" spans="34:34" ht="12.75" customHeight="1">
      <c r="AH2384" s="253"/>
    </row>
    <row r="2385" spans="34:34" ht="12.75" customHeight="1">
      <c r="AH2385" s="253"/>
    </row>
    <row r="2386" spans="34:34" ht="12.75" customHeight="1">
      <c r="AH2386" s="253"/>
    </row>
    <row r="2387" spans="34:34" ht="12.75" customHeight="1">
      <c r="AH2387" s="253"/>
    </row>
    <row r="2388" spans="34:34" ht="12.75" customHeight="1">
      <c r="AH2388" s="253"/>
    </row>
    <row r="2389" spans="34:34" ht="12.75" customHeight="1">
      <c r="AH2389" s="253"/>
    </row>
    <row r="2390" spans="34:34" ht="12.75" customHeight="1">
      <c r="AH2390" s="253"/>
    </row>
    <row r="2391" spans="34:34" ht="12.75" customHeight="1">
      <c r="AH2391" s="253"/>
    </row>
    <row r="2392" spans="34:34" ht="12.75" customHeight="1">
      <c r="AH2392" s="253"/>
    </row>
    <row r="2393" spans="34:34" ht="12.75" customHeight="1">
      <c r="AH2393" s="253"/>
    </row>
    <row r="2394" spans="34:34" ht="12.75" customHeight="1">
      <c r="AH2394" s="253"/>
    </row>
    <row r="2395" spans="34:34" ht="12.75" customHeight="1">
      <c r="AH2395" s="253"/>
    </row>
    <row r="2396" spans="34:34" ht="12.75" customHeight="1">
      <c r="AH2396" s="253"/>
    </row>
    <row r="2397" spans="34:34" ht="12.75" customHeight="1">
      <c r="AH2397" s="253"/>
    </row>
    <row r="2398" spans="34:34" ht="12.75" customHeight="1">
      <c r="AH2398" s="253"/>
    </row>
    <row r="2399" spans="34:34" ht="12.75" customHeight="1">
      <c r="AH2399" s="253"/>
    </row>
    <row r="2400" spans="34:34" ht="12.75" customHeight="1">
      <c r="AH2400" s="253"/>
    </row>
    <row r="2401" spans="34:34" ht="12.75" customHeight="1">
      <c r="AH2401" s="253"/>
    </row>
    <row r="2402" spans="34:34" ht="12.75" customHeight="1">
      <c r="AH2402" s="253"/>
    </row>
    <row r="2403" spans="34:34" ht="12.75" customHeight="1">
      <c r="AH2403" s="253"/>
    </row>
    <row r="2404" spans="34:34" ht="12.75" customHeight="1">
      <c r="AH2404" s="253"/>
    </row>
    <row r="2405" spans="34:34" ht="12.75" customHeight="1">
      <c r="AH2405" s="253"/>
    </row>
    <row r="2406" spans="34:34" ht="12.75" customHeight="1">
      <c r="AH2406" s="253"/>
    </row>
    <row r="2407" spans="34:34" ht="12.75" customHeight="1">
      <c r="AH2407" s="253"/>
    </row>
    <row r="2408" spans="34:34" ht="12.75" customHeight="1">
      <c r="AH2408" s="253"/>
    </row>
    <row r="2409" spans="34:34" ht="12.75" customHeight="1">
      <c r="AH2409" s="253"/>
    </row>
    <row r="2410" spans="34:34" ht="12.75" customHeight="1">
      <c r="AH2410" s="253"/>
    </row>
    <row r="2411" spans="34:34" ht="12.75" customHeight="1">
      <c r="AH2411" s="253"/>
    </row>
    <row r="2412" spans="34:34" ht="12.75" customHeight="1">
      <c r="AH2412" s="253"/>
    </row>
    <row r="2413" spans="34:34" ht="12.75" customHeight="1">
      <c r="AH2413" s="253"/>
    </row>
    <row r="2414" spans="34:34" ht="12.75" customHeight="1">
      <c r="AH2414" s="253"/>
    </row>
    <row r="2415" spans="34:34" ht="12.75" customHeight="1">
      <c r="AH2415" s="253"/>
    </row>
    <row r="2416" spans="34:34" ht="12.75" customHeight="1">
      <c r="AH2416" s="253"/>
    </row>
    <row r="2417" spans="34:34" ht="12.75" customHeight="1">
      <c r="AH2417" s="253"/>
    </row>
    <row r="2418" spans="34:34" ht="12.75" customHeight="1">
      <c r="AH2418" s="253"/>
    </row>
    <row r="2419" spans="34:34" ht="12.75" customHeight="1">
      <c r="AH2419" s="253"/>
    </row>
    <row r="2420" spans="34:34" ht="12.75" customHeight="1">
      <c r="AH2420" s="253"/>
    </row>
    <row r="2421" spans="34:34" ht="12.75" customHeight="1">
      <c r="AH2421" s="253"/>
    </row>
    <row r="2422" spans="34:34" ht="12.75" customHeight="1">
      <c r="AH2422" s="253"/>
    </row>
    <row r="2423" spans="34:34" ht="12.75" customHeight="1">
      <c r="AH2423" s="253"/>
    </row>
    <row r="2424" spans="34:34" ht="12.75" customHeight="1">
      <c r="AH2424" s="253"/>
    </row>
    <row r="2425" spans="34:34" ht="12.75" customHeight="1">
      <c r="AH2425" s="253"/>
    </row>
    <row r="2426" spans="34:34" ht="12.75" customHeight="1">
      <c r="AH2426" s="253"/>
    </row>
    <row r="2427" spans="34:34" ht="12.75" customHeight="1">
      <c r="AH2427" s="253"/>
    </row>
    <row r="2428" spans="34:34" ht="12.75" customHeight="1">
      <c r="AH2428" s="253"/>
    </row>
    <row r="2429" spans="34:34" ht="12.75" customHeight="1">
      <c r="AH2429" s="253"/>
    </row>
    <row r="2430" spans="34:34" ht="12.75" customHeight="1">
      <c r="AH2430" s="253"/>
    </row>
    <row r="2431" spans="34:34" ht="12.75" customHeight="1">
      <c r="AH2431" s="253"/>
    </row>
    <row r="2432" spans="34:34" ht="12.75" customHeight="1">
      <c r="AH2432" s="253"/>
    </row>
    <row r="2433" spans="34:34" ht="12.75" customHeight="1">
      <c r="AH2433" s="253"/>
    </row>
    <row r="2434" spans="34:34" ht="12.75" customHeight="1">
      <c r="AH2434" s="253"/>
    </row>
    <row r="2435" spans="34:34" ht="12.75" customHeight="1">
      <c r="AH2435" s="253"/>
    </row>
    <row r="2436" spans="34:34" ht="12.75" customHeight="1">
      <c r="AH2436" s="253"/>
    </row>
    <row r="2437" spans="34:34" ht="12.75" customHeight="1">
      <c r="AH2437" s="253"/>
    </row>
    <row r="2438" spans="34:34" ht="12.75" customHeight="1">
      <c r="AH2438" s="253"/>
    </row>
    <row r="2439" spans="34:34" ht="12.75" customHeight="1">
      <c r="AH2439" s="253"/>
    </row>
    <row r="2440" spans="34:34" ht="12.75" customHeight="1">
      <c r="AH2440" s="253"/>
    </row>
    <row r="2441" spans="34:34" ht="12.75" customHeight="1">
      <c r="AH2441" s="253"/>
    </row>
    <row r="2442" spans="34:34" ht="12.75" customHeight="1">
      <c r="AH2442" s="253"/>
    </row>
    <row r="2443" spans="34:34" ht="12.75" customHeight="1">
      <c r="AH2443" s="253"/>
    </row>
    <row r="2444" spans="34:34" ht="12.75" customHeight="1">
      <c r="AH2444" s="253"/>
    </row>
    <row r="2445" spans="34:34" ht="12.75" customHeight="1">
      <c r="AH2445" s="253"/>
    </row>
    <row r="2446" spans="34:34" ht="12.75" customHeight="1">
      <c r="AH2446" s="253"/>
    </row>
    <row r="2447" spans="34:34" ht="12.75" customHeight="1">
      <c r="AH2447" s="253"/>
    </row>
    <row r="2448" spans="34:34" ht="12.75" customHeight="1">
      <c r="AH2448" s="253"/>
    </row>
    <row r="2449" spans="34:34" ht="12.75" customHeight="1">
      <c r="AH2449" s="253"/>
    </row>
    <row r="2450" spans="34:34" ht="12.75" customHeight="1">
      <c r="AH2450" s="253"/>
    </row>
    <row r="2451" spans="34:34" ht="12.75" customHeight="1">
      <c r="AH2451" s="253"/>
    </row>
    <row r="2452" spans="34:34" ht="12.75" customHeight="1">
      <c r="AH2452" s="253"/>
    </row>
    <row r="2453" spans="34:34" ht="12.75" customHeight="1">
      <c r="AH2453" s="253"/>
    </row>
    <row r="2454" spans="34:34" ht="12.75" customHeight="1">
      <c r="AH2454" s="253"/>
    </row>
    <row r="2455" spans="34:34" ht="12.75" customHeight="1">
      <c r="AH2455" s="253"/>
    </row>
    <row r="2456" spans="34:34" ht="12.75" customHeight="1">
      <c r="AH2456" s="253"/>
    </row>
    <row r="2457" spans="34:34" ht="12.75" customHeight="1">
      <c r="AH2457" s="253"/>
    </row>
    <row r="2458" spans="34:34" ht="12.75" customHeight="1">
      <c r="AH2458" s="253"/>
    </row>
    <row r="2459" spans="34:34" ht="12.75" customHeight="1">
      <c r="AH2459" s="253"/>
    </row>
    <row r="2460" spans="34:34" ht="12.75" customHeight="1">
      <c r="AH2460" s="253"/>
    </row>
    <row r="2461" spans="34:34" ht="12.75" customHeight="1">
      <c r="AH2461" s="253"/>
    </row>
    <row r="2462" spans="34:34" ht="12.75" customHeight="1">
      <c r="AH2462" s="253"/>
    </row>
    <row r="2463" spans="34:34" ht="12.75" customHeight="1">
      <c r="AH2463" s="253"/>
    </row>
    <row r="2464" spans="34:34" ht="12.75" customHeight="1">
      <c r="AH2464" s="253"/>
    </row>
    <row r="2465" spans="34:34" ht="12.75" customHeight="1">
      <c r="AH2465" s="253"/>
    </row>
    <row r="2466" spans="34:34" ht="12.75" customHeight="1">
      <c r="AH2466" s="253"/>
    </row>
    <row r="2467" spans="34:34" ht="12.75" customHeight="1">
      <c r="AH2467" s="253"/>
    </row>
    <row r="2468" spans="34:34" ht="12.75" customHeight="1">
      <c r="AH2468" s="253"/>
    </row>
    <row r="2469" spans="34:34" ht="12.75" customHeight="1">
      <c r="AH2469" s="253"/>
    </row>
    <row r="2470" spans="34:34" ht="12.75" customHeight="1">
      <c r="AH2470" s="253"/>
    </row>
    <row r="2471" spans="34:34" ht="12.75" customHeight="1">
      <c r="AH2471" s="253"/>
    </row>
    <row r="2472" spans="34:34" ht="12.75" customHeight="1">
      <c r="AH2472" s="253"/>
    </row>
    <row r="2473" spans="34:34" ht="12.75" customHeight="1">
      <c r="AH2473" s="253"/>
    </row>
    <row r="2474" spans="34:34" ht="12.75" customHeight="1">
      <c r="AH2474" s="253"/>
    </row>
    <row r="2475" spans="34:34" ht="12.75" customHeight="1">
      <c r="AH2475" s="253"/>
    </row>
    <row r="2476" spans="34:34" ht="12.75" customHeight="1">
      <c r="AH2476" s="253"/>
    </row>
    <row r="2477" spans="34:34" ht="12.75" customHeight="1">
      <c r="AH2477" s="253"/>
    </row>
    <row r="2478" spans="34:34" ht="12.75" customHeight="1">
      <c r="AH2478" s="253"/>
    </row>
    <row r="2479" spans="34:34" ht="12.75" customHeight="1">
      <c r="AH2479" s="253"/>
    </row>
    <row r="2480" spans="34:34" ht="12.75" customHeight="1">
      <c r="AH2480" s="253"/>
    </row>
    <row r="2481" spans="34:34" ht="12.75" customHeight="1">
      <c r="AH2481" s="253"/>
    </row>
    <row r="2482" spans="34:34" ht="12.75" customHeight="1">
      <c r="AH2482" s="253"/>
    </row>
    <row r="2483" spans="34:34" ht="12.75" customHeight="1">
      <c r="AH2483" s="253"/>
    </row>
    <row r="2484" spans="34:34" ht="12.75" customHeight="1">
      <c r="AH2484" s="253"/>
    </row>
    <row r="2485" spans="34:34" ht="12.75" customHeight="1">
      <c r="AH2485" s="253"/>
    </row>
    <row r="2486" spans="34:34" ht="12.75" customHeight="1">
      <c r="AH2486" s="253"/>
    </row>
    <row r="2487" spans="34:34" ht="12.75" customHeight="1">
      <c r="AH2487" s="253"/>
    </row>
    <row r="2488" spans="34:34" ht="12.75" customHeight="1">
      <c r="AH2488" s="253"/>
    </row>
    <row r="2489" spans="34:34" ht="12.75" customHeight="1">
      <c r="AH2489" s="253"/>
    </row>
    <row r="2490" spans="34:34" ht="12.75" customHeight="1">
      <c r="AH2490" s="253"/>
    </row>
    <row r="2491" spans="34:34" ht="12.75" customHeight="1">
      <c r="AH2491" s="253"/>
    </row>
    <row r="2492" spans="34:34" ht="12.75" customHeight="1">
      <c r="AH2492" s="253"/>
    </row>
    <row r="2493" spans="34:34" ht="12.75" customHeight="1">
      <c r="AH2493" s="253"/>
    </row>
    <row r="2494" spans="34:34" ht="12.75" customHeight="1">
      <c r="AH2494" s="253"/>
    </row>
    <row r="2495" spans="34:34" ht="12.75" customHeight="1">
      <c r="AH2495" s="253"/>
    </row>
    <row r="2496" spans="34:34" ht="12.75" customHeight="1">
      <c r="AH2496" s="253"/>
    </row>
    <row r="2497" spans="34:34" ht="12.75" customHeight="1">
      <c r="AH2497" s="253"/>
    </row>
    <row r="2498" spans="34:34" ht="12.75" customHeight="1">
      <c r="AH2498" s="253"/>
    </row>
    <row r="2499" spans="34:34" ht="12.75" customHeight="1">
      <c r="AH2499" s="253"/>
    </row>
    <row r="2500" spans="34:34" ht="12.75" customHeight="1">
      <c r="AH2500" s="253"/>
    </row>
    <row r="2501" spans="34:34" ht="12.75" customHeight="1">
      <c r="AH2501" s="253"/>
    </row>
    <row r="2502" spans="34:34" ht="12.75" customHeight="1">
      <c r="AH2502" s="253"/>
    </row>
    <row r="2503" spans="34:34" ht="12.75" customHeight="1">
      <c r="AH2503" s="253"/>
    </row>
    <row r="2504" spans="34:34" ht="12.75" customHeight="1">
      <c r="AH2504" s="253"/>
    </row>
    <row r="2505" spans="34:34" ht="12.75" customHeight="1">
      <c r="AH2505" s="253"/>
    </row>
    <row r="2506" spans="34:34" ht="12.75" customHeight="1">
      <c r="AH2506" s="253"/>
    </row>
    <row r="2507" spans="34:34" ht="12.75" customHeight="1">
      <c r="AH2507" s="253"/>
    </row>
    <row r="2508" spans="34:34" ht="12.75" customHeight="1">
      <c r="AH2508" s="253"/>
    </row>
    <row r="2509" spans="34:34" ht="12.75" customHeight="1">
      <c r="AH2509" s="253"/>
    </row>
    <row r="2510" spans="34:34" ht="12.75" customHeight="1">
      <c r="AH2510" s="253"/>
    </row>
    <row r="2511" spans="34:34" ht="12.75" customHeight="1">
      <c r="AH2511" s="253"/>
    </row>
    <row r="2512" spans="34:34" ht="12.75" customHeight="1">
      <c r="AH2512" s="253"/>
    </row>
    <row r="2513" spans="34:34" ht="12.75" customHeight="1">
      <c r="AH2513" s="253"/>
    </row>
    <row r="2514" spans="34:34" ht="12.75" customHeight="1">
      <c r="AH2514" s="253"/>
    </row>
    <row r="2515" spans="34:34" ht="12.75" customHeight="1">
      <c r="AH2515" s="253"/>
    </row>
    <row r="2516" spans="34:34" ht="12.75" customHeight="1">
      <c r="AH2516" s="253"/>
    </row>
    <row r="2517" spans="34:34" ht="12.75" customHeight="1">
      <c r="AH2517" s="253"/>
    </row>
    <row r="2518" spans="34:34" ht="12.75" customHeight="1">
      <c r="AH2518" s="253"/>
    </row>
    <row r="2519" spans="34:34" ht="12.75" customHeight="1">
      <c r="AH2519" s="253"/>
    </row>
    <row r="2520" spans="34:34" ht="12.75" customHeight="1">
      <c r="AH2520" s="253"/>
    </row>
    <row r="2521" spans="34:34" ht="12.75" customHeight="1">
      <c r="AH2521" s="253"/>
    </row>
    <row r="2522" spans="34:34" ht="12.75" customHeight="1">
      <c r="AH2522" s="253"/>
    </row>
    <row r="2523" spans="34:34" ht="12.75" customHeight="1">
      <c r="AH2523" s="253"/>
    </row>
    <row r="2524" spans="34:34" ht="12.75" customHeight="1">
      <c r="AH2524" s="253"/>
    </row>
    <row r="2525" spans="34:34" ht="12.75" customHeight="1">
      <c r="AH2525" s="253"/>
    </row>
    <row r="2526" spans="34:34" ht="12.75" customHeight="1">
      <c r="AH2526" s="253"/>
    </row>
    <row r="2527" spans="34:34" ht="12.75" customHeight="1">
      <c r="AH2527" s="253"/>
    </row>
    <row r="2528" spans="34:34" ht="12.75" customHeight="1">
      <c r="AH2528" s="253"/>
    </row>
    <row r="2529" spans="34:34" ht="12.75" customHeight="1">
      <c r="AH2529" s="253"/>
    </row>
    <row r="2530" spans="34:34" ht="12.75" customHeight="1">
      <c r="AH2530" s="253"/>
    </row>
    <row r="2531" spans="34:34" ht="12.75" customHeight="1">
      <c r="AH2531" s="253"/>
    </row>
    <row r="2532" spans="34:34" ht="12.75" customHeight="1">
      <c r="AH2532" s="253"/>
    </row>
    <row r="2533" spans="34:34" ht="12.75" customHeight="1">
      <c r="AH2533" s="253"/>
    </row>
    <row r="2534" spans="34:34" ht="12.75" customHeight="1">
      <c r="AH2534" s="253"/>
    </row>
    <row r="2535" spans="34:34" ht="12.75" customHeight="1">
      <c r="AH2535" s="253"/>
    </row>
    <row r="2536" spans="34:34" ht="12.75" customHeight="1">
      <c r="AH2536" s="253"/>
    </row>
    <row r="2537" spans="34:34" ht="12.75" customHeight="1">
      <c r="AH2537" s="253"/>
    </row>
    <row r="2538" spans="34:34" ht="12.75" customHeight="1">
      <c r="AH2538" s="253"/>
    </row>
    <row r="2539" spans="34:34" ht="12.75" customHeight="1">
      <c r="AH2539" s="253"/>
    </row>
    <row r="2540" spans="34:34" ht="12.75" customHeight="1">
      <c r="AH2540" s="253"/>
    </row>
    <row r="2541" spans="34:34" ht="12.75" customHeight="1">
      <c r="AH2541" s="253"/>
    </row>
    <row r="2542" spans="34:34" ht="12.75" customHeight="1">
      <c r="AH2542" s="253"/>
    </row>
    <row r="2543" spans="34:34" ht="12.75" customHeight="1">
      <c r="AH2543" s="253"/>
    </row>
    <row r="2544" spans="34:34" ht="12.75" customHeight="1">
      <c r="AH2544" s="253"/>
    </row>
    <row r="2545" spans="34:34" ht="12.75" customHeight="1">
      <c r="AH2545" s="253"/>
    </row>
    <row r="2546" spans="34:34" ht="12.75" customHeight="1">
      <c r="AH2546" s="253"/>
    </row>
    <row r="2547" spans="34:34" ht="12.75" customHeight="1">
      <c r="AH2547" s="253"/>
    </row>
    <row r="2548" spans="34:34" ht="12.75" customHeight="1">
      <c r="AH2548" s="253"/>
    </row>
    <row r="2549" spans="34:34" ht="12.75" customHeight="1">
      <c r="AH2549" s="253"/>
    </row>
    <row r="2550" spans="34:34" ht="12.75" customHeight="1">
      <c r="AH2550" s="253"/>
    </row>
    <row r="2551" spans="34:34" ht="12.75" customHeight="1">
      <c r="AH2551" s="253"/>
    </row>
    <row r="2552" spans="34:34" ht="12.75" customHeight="1">
      <c r="AH2552" s="253"/>
    </row>
    <row r="2553" spans="34:34" ht="12.75" customHeight="1">
      <c r="AH2553" s="253"/>
    </row>
    <row r="2554" spans="34:34" ht="12.75" customHeight="1">
      <c r="AH2554" s="253"/>
    </row>
    <row r="2555" spans="34:34" ht="12.75" customHeight="1">
      <c r="AH2555" s="253"/>
    </row>
    <row r="2556" spans="34:34" ht="12.75" customHeight="1">
      <c r="AH2556" s="253"/>
    </row>
    <row r="2557" spans="34:34" ht="12.75" customHeight="1">
      <c r="AH2557" s="253"/>
    </row>
    <row r="2558" spans="34:34" ht="12.75" customHeight="1">
      <c r="AH2558" s="253"/>
    </row>
    <row r="2559" spans="34:34" ht="12.75" customHeight="1">
      <c r="AH2559" s="253"/>
    </row>
    <row r="2560" spans="34:34" ht="12.75" customHeight="1">
      <c r="AH2560" s="253"/>
    </row>
    <row r="2561" spans="34:34" ht="12.75" customHeight="1">
      <c r="AH2561" s="253"/>
    </row>
    <row r="2562" spans="34:34" ht="12.75" customHeight="1">
      <c r="AH2562" s="253"/>
    </row>
    <row r="2563" spans="34:34" ht="12.75" customHeight="1">
      <c r="AH2563" s="253"/>
    </row>
    <row r="2564" spans="34:34" ht="12.75" customHeight="1">
      <c r="AH2564" s="253"/>
    </row>
    <row r="2565" spans="34:34" ht="12.75" customHeight="1">
      <c r="AH2565" s="253"/>
    </row>
    <row r="2566" spans="34:34" ht="12.75" customHeight="1">
      <c r="AH2566" s="253"/>
    </row>
    <row r="2567" spans="34:34" ht="12.75" customHeight="1">
      <c r="AH2567" s="253"/>
    </row>
    <row r="2568" spans="34:34" ht="12.75" customHeight="1">
      <c r="AH2568" s="253"/>
    </row>
    <row r="2569" spans="34:34" ht="12.75" customHeight="1">
      <c r="AH2569" s="253"/>
    </row>
    <row r="2570" spans="34:34" ht="12.75" customHeight="1">
      <c r="AH2570" s="253"/>
    </row>
    <row r="2571" spans="34:34" ht="12.75" customHeight="1">
      <c r="AH2571" s="253"/>
    </row>
    <row r="2572" spans="34:34" ht="12.75" customHeight="1">
      <c r="AH2572" s="253"/>
    </row>
    <row r="2573" spans="34:34" ht="12.75" customHeight="1">
      <c r="AH2573" s="253"/>
    </row>
    <row r="2574" spans="34:34" ht="12.75" customHeight="1">
      <c r="AH2574" s="253"/>
    </row>
    <row r="2575" spans="34:34" ht="12.75" customHeight="1">
      <c r="AH2575" s="253"/>
    </row>
    <row r="2576" spans="34:34" ht="12.75" customHeight="1">
      <c r="AH2576" s="253"/>
    </row>
    <row r="2577" spans="34:34" ht="12.75" customHeight="1">
      <c r="AH2577" s="253"/>
    </row>
    <row r="2578" spans="34:34" ht="12.75" customHeight="1">
      <c r="AH2578" s="253"/>
    </row>
    <row r="2579" spans="34:34" ht="12.75" customHeight="1">
      <c r="AH2579" s="253"/>
    </row>
    <row r="2580" spans="34:34" ht="12.75" customHeight="1">
      <c r="AH2580" s="253"/>
    </row>
    <row r="2581" spans="34:34" ht="12.75" customHeight="1">
      <c r="AH2581" s="253"/>
    </row>
    <row r="2582" spans="34:34" ht="12.75" customHeight="1">
      <c r="AH2582" s="253"/>
    </row>
    <row r="2583" spans="34:34" ht="12.75" customHeight="1">
      <c r="AH2583" s="253"/>
    </row>
    <row r="2584" spans="34:34" ht="12.75" customHeight="1">
      <c r="AH2584" s="253"/>
    </row>
    <row r="2585" spans="34:34" ht="12.75" customHeight="1">
      <c r="AH2585" s="253"/>
    </row>
    <row r="2586" spans="34:34" ht="12.75" customHeight="1">
      <c r="AH2586" s="253"/>
    </row>
    <row r="2587" spans="34:34" ht="12.75" customHeight="1">
      <c r="AH2587" s="253"/>
    </row>
    <row r="2588" spans="34:34" ht="12.75" customHeight="1">
      <c r="AH2588" s="253"/>
    </row>
    <row r="2589" spans="34:34" ht="12.75" customHeight="1">
      <c r="AH2589" s="253"/>
    </row>
    <row r="2590" spans="34:34" ht="12.75" customHeight="1">
      <c r="AH2590" s="253"/>
    </row>
    <row r="2591" spans="34:34" ht="12.75" customHeight="1">
      <c r="AH2591" s="253"/>
    </row>
    <row r="2592" spans="34:34" ht="12.75" customHeight="1">
      <c r="AH2592" s="253"/>
    </row>
    <row r="2593" spans="34:34" ht="12.75" customHeight="1">
      <c r="AH2593" s="253"/>
    </row>
    <row r="2594" spans="34:34" ht="12.75" customHeight="1">
      <c r="AH2594" s="253"/>
    </row>
    <row r="2595" spans="34:34" ht="12.75" customHeight="1">
      <c r="AH2595" s="253"/>
    </row>
    <row r="2596" spans="34:34" ht="12.75" customHeight="1">
      <c r="AH2596" s="253"/>
    </row>
    <row r="2597" spans="34:34" ht="12.75" customHeight="1">
      <c r="AH2597" s="253"/>
    </row>
    <row r="2598" spans="34:34" ht="12.75" customHeight="1">
      <c r="AH2598" s="253"/>
    </row>
    <row r="2599" spans="34:34" ht="12.75" customHeight="1">
      <c r="AH2599" s="253"/>
    </row>
    <row r="2600" spans="34:34" ht="12.75" customHeight="1">
      <c r="AH2600" s="253"/>
    </row>
    <row r="2601" spans="34:34" ht="12.75" customHeight="1">
      <c r="AH2601" s="253"/>
    </row>
    <row r="2602" spans="34:34" ht="12.75" customHeight="1">
      <c r="AH2602" s="253"/>
    </row>
    <row r="2603" spans="34:34" ht="12.75" customHeight="1">
      <c r="AH2603" s="253"/>
    </row>
    <row r="2604" spans="34:34" ht="12.75" customHeight="1">
      <c r="AH2604" s="253"/>
    </row>
    <row r="2605" spans="34:34" ht="12.75" customHeight="1">
      <c r="AH2605" s="253"/>
    </row>
    <row r="2606" spans="34:34" ht="12.75" customHeight="1">
      <c r="AH2606" s="253"/>
    </row>
    <row r="2607" spans="34:34" ht="12.75" customHeight="1">
      <c r="AH2607" s="253"/>
    </row>
    <row r="2608" spans="34:34" ht="12.75" customHeight="1">
      <c r="AH2608" s="253"/>
    </row>
    <row r="2609" spans="34:34" ht="12.75" customHeight="1">
      <c r="AH2609" s="253"/>
    </row>
    <row r="2610" spans="34:34" ht="12.75" customHeight="1">
      <c r="AH2610" s="253"/>
    </row>
    <row r="2611" spans="34:34" ht="12.75" customHeight="1">
      <c r="AH2611" s="253"/>
    </row>
    <row r="2612" spans="34:34" ht="12.75" customHeight="1">
      <c r="AH2612" s="253"/>
    </row>
    <row r="2613" spans="34:34" ht="12.75" customHeight="1">
      <c r="AH2613" s="253"/>
    </row>
    <row r="2614" spans="34:34" ht="12.75" customHeight="1">
      <c r="AH2614" s="253"/>
    </row>
    <row r="2615" spans="34:34" ht="12.75" customHeight="1">
      <c r="AH2615" s="253"/>
    </row>
    <row r="2616" spans="34:34" ht="12.75" customHeight="1">
      <c r="AH2616" s="253"/>
    </row>
    <row r="2617" spans="34:34" ht="12.75" customHeight="1">
      <c r="AH2617" s="253"/>
    </row>
    <row r="2618" spans="34:34" ht="12.75" customHeight="1">
      <c r="AH2618" s="253"/>
    </row>
    <row r="2619" spans="34:34" ht="12.75" customHeight="1">
      <c r="AH2619" s="253"/>
    </row>
    <row r="2620" spans="34:34" ht="12.75" customHeight="1">
      <c r="AH2620" s="253"/>
    </row>
    <row r="2621" spans="34:34" ht="12.75" customHeight="1">
      <c r="AH2621" s="253"/>
    </row>
    <row r="2622" spans="34:34" ht="12.75" customHeight="1">
      <c r="AH2622" s="253"/>
    </row>
    <row r="2623" spans="34:34" ht="12.75" customHeight="1">
      <c r="AH2623" s="253"/>
    </row>
    <row r="2624" spans="34:34" ht="12.75" customHeight="1">
      <c r="AH2624" s="253"/>
    </row>
    <row r="2625" spans="34:34" ht="12.75" customHeight="1">
      <c r="AH2625" s="253"/>
    </row>
    <row r="2626" spans="34:34" ht="12.75" customHeight="1">
      <c r="AH2626" s="253"/>
    </row>
    <row r="2627" spans="34:34" ht="12.75" customHeight="1">
      <c r="AH2627" s="253"/>
    </row>
    <row r="2628" spans="34:34" ht="12.75" customHeight="1">
      <c r="AH2628" s="253"/>
    </row>
    <row r="2629" spans="34:34" ht="12.75" customHeight="1">
      <c r="AH2629" s="253"/>
    </row>
    <row r="2630" spans="34:34" ht="12.75" customHeight="1">
      <c r="AH2630" s="253"/>
    </row>
    <row r="2631" spans="34:34" ht="12.75" customHeight="1">
      <c r="AH2631" s="253"/>
    </row>
    <row r="2632" spans="34:34" ht="12.75" customHeight="1">
      <c r="AH2632" s="253"/>
    </row>
    <row r="2633" spans="34:34" ht="12.75" customHeight="1">
      <c r="AH2633" s="253"/>
    </row>
    <row r="2634" spans="34:34" ht="12.75" customHeight="1">
      <c r="AH2634" s="253"/>
    </row>
    <row r="2635" spans="34:34" ht="12.75" customHeight="1">
      <c r="AH2635" s="253"/>
    </row>
    <row r="2636" spans="34:34" ht="12.75" customHeight="1">
      <c r="AH2636" s="253"/>
    </row>
    <row r="2637" spans="34:34" ht="12.75" customHeight="1">
      <c r="AH2637" s="253"/>
    </row>
    <row r="2638" spans="34:34" ht="12.75" customHeight="1">
      <c r="AH2638" s="253"/>
    </row>
    <row r="2639" spans="34:34" ht="12.75" customHeight="1">
      <c r="AH2639" s="253"/>
    </row>
    <row r="2640" spans="34:34" ht="12.75" customHeight="1">
      <c r="AH2640" s="253"/>
    </row>
    <row r="2641" spans="34:34" ht="12.75" customHeight="1">
      <c r="AH2641" s="253"/>
    </row>
    <row r="2642" spans="34:34" ht="12.75" customHeight="1">
      <c r="AH2642" s="253"/>
    </row>
    <row r="2643" spans="34:34" ht="12.75" customHeight="1">
      <c r="AH2643" s="253"/>
    </row>
    <row r="2644" spans="34:34" ht="12.75" customHeight="1">
      <c r="AH2644" s="253"/>
    </row>
    <row r="2645" spans="34:34" ht="12.75" customHeight="1">
      <c r="AH2645" s="253"/>
    </row>
    <row r="2646" spans="34:34" ht="12.75" customHeight="1">
      <c r="AH2646" s="253"/>
    </row>
    <row r="2647" spans="34:34" ht="12.75" customHeight="1">
      <c r="AH2647" s="253"/>
    </row>
    <row r="2648" spans="34:34" ht="12.75" customHeight="1">
      <c r="AH2648" s="253"/>
    </row>
    <row r="2649" spans="34:34" ht="12.75" customHeight="1">
      <c r="AH2649" s="253"/>
    </row>
    <row r="2650" spans="34:34" ht="12.75" customHeight="1">
      <c r="AH2650" s="253"/>
    </row>
    <row r="2651" spans="34:34" ht="12.75" customHeight="1">
      <c r="AH2651" s="253"/>
    </row>
    <row r="2652" spans="34:34" ht="12.75" customHeight="1">
      <c r="AH2652" s="253"/>
    </row>
    <row r="2653" spans="34:34" ht="12.75" customHeight="1">
      <c r="AH2653" s="253"/>
    </row>
    <row r="2654" spans="34:34" ht="12.75" customHeight="1">
      <c r="AH2654" s="253"/>
    </row>
    <row r="2655" spans="34:34" ht="12.75" customHeight="1">
      <c r="AH2655" s="253"/>
    </row>
    <row r="2656" spans="34:34" ht="12.75" customHeight="1">
      <c r="AH2656" s="253"/>
    </row>
    <row r="2657" spans="34:34" ht="12.75" customHeight="1">
      <c r="AH2657" s="253"/>
    </row>
    <row r="2658" spans="34:34" ht="12.75" customHeight="1">
      <c r="AH2658" s="253"/>
    </row>
    <row r="2659" spans="34:34" ht="12.75" customHeight="1">
      <c r="AH2659" s="253"/>
    </row>
    <row r="2660" spans="34:34" ht="12.75" customHeight="1">
      <c r="AH2660" s="253"/>
    </row>
    <row r="2661" spans="34:34" ht="12.75" customHeight="1">
      <c r="AH2661" s="253"/>
    </row>
    <row r="2662" spans="34:34" ht="12.75" customHeight="1">
      <c r="AH2662" s="253"/>
    </row>
    <row r="2663" spans="34:34" ht="12.75" customHeight="1">
      <c r="AH2663" s="253"/>
    </row>
    <row r="2664" spans="34:34" ht="12.75" customHeight="1">
      <c r="AH2664" s="253"/>
    </row>
    <row r="2665" spans="34:34" ht="12.75" customHeight="1">
      <c r="AH2665" s="253"/>
    </row>
    <row r="2666" spans="34:34" ht="12.75" customHeight="1">
      <c r="AH2666" s="253"/>
    </row>
    <row r="2667" spans="34:34" ht="12.75" customHeight="1">
      <c r="AH2667" s="253"/>
    </row>
    <row r="2668" spans="34:34" ht="12.75" customHeight="1">
      <c r="AH2668" s="253"/>
    </row>
    <row r="2669" spans="34:34" ht="12.75" customHeight="1">
      <c r="AH2669" s="253"/>
    </row>
    <row r="2670" spans="34:34" ht="12.75" customHeight="1">
      <c r="AH2670" s="253"/>
    </row>
    <row r="2671" spans="34:34" ht="12.75" customHeight="1">
      <c r="AH2671" s="253"/>
    </row>
    <row r="2672" spans="34:34" ht="12.75" customHeight="1">
      <c r="AH2672" s="253"/>
    </row>
    <row r="2673" spans="34:34" ht="12.75" customHeight="1">
      <c r="AH2673" s="253"/>
    </row>
    <row r="2674" spans="34:34" ht="12.75" customHeight="1">
      <c r="AH2674" s="253"/>
    </row>
    <row r="2675" spans="34:34" ht="12.75" customHeight="1">
      <c r="AH2675" s="253"/>
    </row>
    <row r="2676" spans="34:34" ht="12.75" customHeight="1">
      <c r="AH2676" s="253"/>
    </row>
    <row r="2677" spans="34:34" ht="12.75" customHeight="1">
      <c r="AH2677" s="253"/>
    </row>
    <row r="2678" spans="34:34" ht="12.75" customHeight="1">
      <c r="AH2678" s="253"/>
    </row>
    <row r="2679" spans="34:34" ht="12.75" customHeight="1">
      <c r="AH2679" s="253"/>
    </row>
    <row r="2680" spans="34:34" ht="12.75" customHeight="1">
      <c r="AH2680" s="253"/>
    </row>
    <row r="2681" spans="34:34" ht="12.75" customHeight="1">
      <c r="AH2681" s="253"/>
    </row>
    <row r="2682" spans="34:34" ht="12.75" customHeight="1">
      <c r="AH2682" s="253"/>
    </row>
    <row r="2683" spans="34:34" ht="12.75" customHeight="1">
      <c r="AH2683" s="253"/>
    </row>
    <row r="2684" spans="34:34" ht="12.75" customHeight="1">
      <c r="AH2684" s="253"/>
    </row>
    <row r="2685" spans="34:34" ht="12.75" customHeight="1">
      <c r="AH2685" s="253"/>
    </row>
    <row r="2686" spans="34:34" ht="12.75" customHeight="1">
      <c r="AH2686" s="253"/>
    </row>
    <row r="2687" spans="34:34" ht="12.75" customHeight="1">
      <c r="AH2687" s="253"/>
    </row>
    <row r="2688" spans="34:34" ht="12.75" customHeight="1">
      <c r="AH2688" s="253"/>
    </row>
    <row r="2689" spans="34:34" ht="12.75" customHeight="1">
      <c r="AH2689" s="253"/>
    </row>
    <row r="2690" spans="34:34" ht="12.75" customHeight="1">
      <c r="AH2690" s="253"/>
    </row>
    <row r="2691" spans="34:34" ht="12.75" customHeight="1">
      <c r="AH2691" s="253"/>
    </row>
    <row r="2692" spans="34:34" ht="12.75" customHeight="1">
      <c r="AH2692" s="253"/>
    </row>
    <row r="2693" spans="34:34" ht="12.75" customHeight="1">
      <c r="AH2693" s="253"/>
    </row>
    <row r="2694" spans="34:34" ht="12.75" customHeight="1">
      <c r="AH2694" s="253"/>
    </row>
    <row r="2695" spans="34:34" ht="12.75" customHeight="1">
      <c r="AH2695" s="253"/>
    </row>
    <row r="2696" spans="34:34" ht="12.75" customHeight="1">
      <c r="AH2696" s="253"/>
    </row>
    <row r="2697" spans="34:34" ht="12.75" customHeight="1">
      <c r="AH2697" s="253"/>
    </row>
    <row r="2698" spans="34:34" ht="12.75" customHeight="1">
      <c r="AH2698" s="253"/>
    </row>
    <row r="2699" spans="34:34" ht="12.75" customHeight="1">
      <c r="AH2699" s="253"/>
    </row>
    <row r="2700" spans="34:34" ht="12.75" customHeight="1">
      <c r="AH2700" s="253"/>
    </row>
    <row r="2701" spans="34:34" ht="12.75" customHeight="1">
      <c r="AH2701" s="253"/>
    </row>
    <row r="2702" spans="34:34" ht="12.75" customHeight="1">
      <c r="AH2702" s="253"/>
    </row>
    <row r="2703" spans="34:34" ht="12.75" customHeight="1">
      <c r="AH2703" s="253"/>
    </row>
    <row r="2704" spans="34:34" ht="12.75" customHeight="1">
      <c r="AH2704" s="253"/>
    </row>
    <row r="2705" spans="34:34" ht="12.75" customHeight="1">
      <c r="AH2705" s="253"/>
    </row>
    <row r="2706" spans="34:34" ht="12.75" customHeight="1">
      <c r="AH2706" s="253"/>
    </row>
    <row r="2707" spans="34:34" ht="12.75" customHeight="1">
      <c r="AH2707" s="253"/>
    </row>
    <row r="2708" spans="34:34" ht="12.75" customHeight="1">
      <c r="AH2708" s="253"/>
    </row>
    <row r="2709" spans="34:34" ht="12.75" customHeight="1">
      <c r="AH2709" s="253"/>
    </row>
    <row r="2710" spans="34:34" ht="12.75" customHeight="1">
      <c r="AH2710" s="253"/>
    </row>
    <row r="2711" spans="34:34" ht="12.75" customHeight="1">
      <c r="AH2711" s="253"/>
    </row>
    <row r="2712" spans="34:34" ht="12.75" customHeight="1">
      <c r="AH2712" s="253"/>
    </row>
    <row r="2713" spans="34:34" ht="12.75" customHeight="1">
      <c r="AH2713" s="253"/>
    </row>
    <row r="2714" spans="34:34" ht="12.75" customHeight="1">
      <c r="AH2714" s="253"/>
    </row>
    <row r="2715" spans="34:34" ht="12.75" customHeight="1">
      <c r="AH2715" s="253"/>
    </row>
    <row r="2716" spans="34:34" ht="12.75" customHeight="1">
      <c r="AH2716" s="253"/>
    </row>
    <row r="2717" spans="34:34" ht="12.75" customHeight="1">
      <c r="AH2717" s="253"/>
    </row>
    <row r="2718" spans="34:34" ht="12.75" customHeight="1">
      <c r="AH2718" s="253"/>
    </row>
    <row r="2719" spans="34:34" ht="12.75" customHeight="1">
      <c r="AH2719" s="253"/>
    </row>
    <row r="2720" spans="34:34" ht="12.75" customHeight="1">
      <c r="AH2720" s="253"/>
    </row>
    <row r="2721" spans="34:34" ht="12.75" customHeight="1">
      <c r="AH2721" s="253"/>
    </row>
    <row r="2722" spans="34:34" ht="12.75" customHeight="1">
      <c r="AH2722" s="253"/>
    </row>
    <row r="2723" spans="34:34" ht="12.75" customHeight="1">
      <c r="AH2723" s="253"/>
    </row>
    <row r="2724" spans="34:34" ht="12.75" customHeight="1">
      <c r="AH2724" s="253"/>
    </row>
    <row r="2725" spans="34:34" ht="12.75" customHeight="1">
      <c r="AH2725" s="253"/>
    </row>
    <row r="2726" spans="34:34" ht="12.75" customHeight="1">
      <c r="AH2726" s="253"/>
    </row>
    <row r="2727" spans="34:34" ht="12.75" customHeight="1">
      <c r="AH2727" s="253"/>
    </row>
    <row r="2728" spans="34:34" ht="12.75" customHeight="1">
      <c r="AH2728" s="253"/>
    </row>
    <row r="2729" spans="34:34" ht="12.75" customHeight="1">
      <c r="AH2729" s="253"/>
    </row>
    <row r="2730" spans="34:34" ht="12.75" customHeight="1">
      <c r="AH2730" s="253"/>
    </row>
    <row r="2731" spans="34:34" ht="12.75" customHeight="1">
      <c r="AH2731" s="253"/>
    </row>
    <row r="2732" spans="34:34" ht="12.75" customHeight="1">
      <c r="AH2732" s="253"/>
    </row>
    <row r="2733" spans="34:34" ht="12.75" customHeight="1">
      <c r="AH2733" s="253"/>
    </row>
    <row r="2734" spans="34:34" ht="12.75" customHeight="1">
      <c r="AH2734" s="253"/>
    </row>
    <row r="2735" spans="34:34" ht="12.75" customHeight="1">
      <c r="AH2735" s="253"/>
    </row>
    <row r="2736" spans="34:34" ht="12.75" customHeight="1">
      <c r="AH2736" s="253"/>
    </row>
    <row r="2737" spans="34:34" ht="12.75" customHeight="1">
      <c r="AH2737" s="253"/>
    </row>
    <row r="2738" spans="34:34" ht="12.75" customHeight="1">
      <c r="AH2738" s="253"/>
    </row>
    <row r="2739" spans="34:34" ht="12.75" customHeight="1">
      <c r="AH2739" s="253"/>
    </row>
    <row r="2740" spans="34:34" ht="12.75" customHeight="1">
      <c r="AH2740" s="253"/>
    </row>
    <row r="2741" spans="34:34" ht="12.75" customHeight="1">
      <c r="AH2741" s="253"/>
    </row>
    <row r="2742" spans="34:34" ht="12.75" customHeight="1">
      <c r="AH2742" s="253"/>
    </row>
    <row r="2743" spans="34:34" ht="12.75" customHeight="1">
      <c r="AH2743" s="253"/>
    </row>
    <row r="2744" spans="34:34" ht="12.75" customHeight="1">
      <c r="AH2744" s="253"/>
    </row>
    <row r="2745" spans="34:34" ht="12.75" customHeight="1">
      <c r="AH2745" s="253"/>
    </row>
    <row r="2746" spans="34:34" ht="12.75" customHeight="1">
      <c r="AH2746" s="253"/>
    </row>
    <row r="2747" spans="34:34" ht="12.75" customHeight="1">
      <c r="AH2747" s="253"/>
    </row>
    <row r="2748" spans="34:34" ht="12.75" customHeight="1">
      <c r="AH2748" s="253"/>
    </row>
    <row r="2749" spans="34:34" ht="12.75" customHeight="1">
      <c r="AH2749" s="253"/>
    </row>
    <row r="2750" spans="34:34" ht="12.75" customHeight="1">
      <c r="AH2750" s="253"/>
    </row>
    <row r="2751" spans="34:34" ht="12.75" customHeight="1">
      <c r="AH2751" s="253"/>
    </row>
    <row r="2752" spans="34:34" ht="12.75" customHeight="1">
      <c r="AH2752" s="253"/>
    </row>
    <row r="2753" spans="34:34" ht="12.75" customHeight="1">
      <c r="AH2753" s="253"/>
    </row>
    <row r="2754" spans="34:34" ht="12.75" customHeight="1">
      <c r="AH2754" s="253"/>
    </row>
    <row r="2755" spans="34:34" ht="12.75" customHeight="1">
      <c r="AH2755" s="253"/>
    </row>
    <row r="2756" spans="34:34" ht="12.75" customHeight="1">
      <c r="AH2756" s="253"/>
    </row>
    <row r="2757" spans="34:34" ht="12.75" customHeight="1">
      <c r="AH2757" s="253"/>
    </row>
    <row r="2758" spans="34:34" ht="12.75" customHeight="1">
      <c r="AH2758" s="253"/>
    </row>
    <row r="2759" spans="34:34" ht="12.75" customHeight="1">
      <c r="AH2759" s="253"/>
    </row>
    <row r="2760" spans="34:34" ht="12.75" customHeight="1">
      <c r="AH2760" s="253"/>
    </row>
    <row r="2761" spans="34:34" ht="12.75" customHeight="1">
      <c r="AH2761" s="253"/>
    </row>
    <row r="2762" spans="34:34" ht="12.75" customHeight="1">
      <c r="AH2762" s="253"/>
    </row>
    <row r="2763" spans="34:34" ht="12.75" customHeight="1">
      <c r="AH2763" s="253"/>
    </row>
    <row r="2764" spans="34:34" ht="12.75" customHeight="1">
      <c r="AH2764" s="253"/>
    </row>
    <row r="2765" spans="34:34" ht="12.75" customHeight="1">
      <c r="AH2765" s="253"/>
    </row>
    <row r="2766" spans="34:34" ht="12.75" customHeight="1">
      <c r="AH2766" s="253"/>
    </row>
    <row r="2767" spans="34:34" ht="12.75" customHeight="1">
      <c r="AH2767" s="253"/>
    </row>
    <row r="2768" spans="34:34" ht="12.75" customHeight="1">
      <c r="AH2768" s="253"/>
    </row>
    <row r="2769" spans="34:34" ht="12.75" customHeight="1">
      <c r="AH2769" s="253"/>
    </row>
    <row r="2770" spans="34:34" ht="12.75" customHeight="1">
      <c r="AH2770" s="253"/>
    </row>
    <row r="2771" spans="34:34" ht="12.75" customHeight="1">
      <c r="AH2771" s="253"/>
    </row>
    <row r="2772" spans="34:34" ht="12.75" customHeight="1">
      <c r="AH2772" s="253"/>
    </row>
    <row r="2773" spans="34:34" ht="12.75" customHeight="1">
      <c r="AH2773" s="253"/>
    </row>
    <row r="2774" spans="34:34" ht="12.75" customHeight="1">
      <c r="AH2774" s="253"/>
    </row>
    <row r="2775" spans="34:34" ht="12.75" customHeight="1">
      <c r="AH2775" s="253"/>
    </row>
    <row r="2776" spans="34:34" ht="12.75" customHeight="1">
      <c r="AH2776" s="253"/>
    </row>
    <row r="2777" spans="34:34" ht="12.75" customHeight="1">
      <c r="AH2777" s="253"/>
    </row>
    <row r="2778" spans="34:34" ht="12.75" customHeight="1">
      <c r="AH2778" s="253"/>
    </row>
    <row r="2779" spans="34:34" ht="12.75" customHeight="1">
      <c r="AH2779" s="253"/>
    </row>
    <row r="2780" spans="34:34" ht="12.75" customHeight="1">
      <c r="AH2780" s="253"/>
    </row>
    <row r="2781" spans="34:34" ht="12.75" customHeight="1">
      <c r="AH2781" s="253"/>
    </row>
    <row r="2782" spans="34:34" ht="12.75" customHeight="1">
      <c r="AH2782" s="253"/>
    </row>
    <row r="2783" spans="34:34" ht="12.75" customHeight="1">
      <c r="AH2783" s="253"/>
    </row>
    <row r="2784" spans="34:34" ht="12.75" customHeight="1">
      <c r="AH2784" s="253"/>
    </row>
    <row r="2785" spans="34:34" ht="12.75" customHeight="1">
      <c r="AH2785" s="253"/>
    </row>
    <row r="2786" spans="34:34" ht="12.75" customHeight="1">
      <c r="AH2786" s="253"/>
    </row>
    <row r="2787" spans="34:34" ht="12.75" customHeight="1">
      <c r="AH2787" s="253"/>
    </row>
    <row r="2788" spans="34:34" ht="12.75" customHeight="1">
      <c r="AH2788" s="253"/>
    </row>
    <row r="2789" spans="34:34" ht="12.75" customHeight="1">
      <c r="AH2789" s="253"/>
    </row>
    <row r="2790" spans="34:34" ht="12.75" customHeight="1">
      <c r="AH2790" s="253"/>
    </row>
    <row r="2791" spans="34:34" ht="12.75" customHeight="1">
      <c r="AH2791" s="253"/>
    </row>
    <row r="2792" spans="34:34" ht="12.75" customHeight="1">
      <c r="AH2792" s="253"/>
    </row>
    <row r="2793" spans="34:34" ht="12.75" customHeight="1">
      <c r="AH2793" s="253"/>
    </row>
    <row r="2794" spans="34:34" ht="12.75" customHeight="1">
      <c r="AH2794" s="253"/>
    </row>
    <row r="2795" spans="34:34" ht="12.75" customHeight="1">
      <c r="AH2795" s="253"/>
    </row>
    <row r="2796" spans="34:34" ht="12.75" customHeight="1">
      <c r="AH2796" s="253"/>
    </row>
    <row r="2797" spans="34:34" ht="12.75" customHeight="1">
      <c r="AH2797" s="253"/>
    </row>
    <row r="2798" spans="34:34" ht="12.75" customHeight="1">
      <c r="AH2798" s="253"/>
    </row>
    <row r="2799" spans="34:34" ht="12.75" customHeight="1">
      <c r="AH2799" s="253"/>
    </row>
    <row r="2800" spans="34:34" ht="12.75" customHeight="1">
      <c r="AH2800" s="253"/>
    </row>
    <row r="2801" spans="34:34" ht="12.75" customHeight="1">
      <c r="AH2801" s="253"/>
    </row>
    <row r="2802" spans="34:34" ht="12.75" customHeight="1">
      <c r="AH2802" s="253"/>
    </row>
    <row r="2803" spans="34:34" ht="12.75" customHeight="1">
      <c r="AH2803" s="253"/>
    </row>
    <row r="2804" spans="34:34" ht="12.75" customHeight="1">
      <c r="AH2804" s="253"/>
    </row>
    <row r="2805" spans="34:34" ht="12.75" customHeight="1">
      <c r="AH2805" s="253"/>
    </row>
    <row r="2806" spans="34:34" ht="12.75" customHeight="1">
      <c r="AH2806" s="253"/>
    </row>
    <row r="2807" spans="34:34" ht="12.75" customHeight="1">
      <c r="AH2807" s="253"/>
    </row>
    <row r="2808" spans="34:34" ht="12.75" customHeight="1">
      <c r="AH2808" s="253"/>
    </row>
    <row r="2809" spans="34:34" ht="12.75" customHeight="1">
      <c r="AH2809" s="253"/>
    </row>
    <row r="2810" spans="34:34" ht="12.75" customHeight="1">
      <c r="AH2810" s="253"/>
    </row>
    <row r="2811" spans="34:34" ht="12.75" customHeight="1">
      <c r="AH2811" s="253"/>
    </row>
    <row r="2812" spans="34:34" ht="12.75" customHeight="1">
      <c r="AH2812" s="253"/>
    </row>
    <row r="2813" spans="34:34" ht="12.75" customHeight="1">
      <c r="AH2813" s="253"/>
    </row>
    <row r="2814" spans="34:34" ht="12.75" customHeight="1">
      <c r="AH2814" s="253"/>
    </row>
    <row r="2815" spans="34:34" ht="12.75" customHeight="1">
      <c r="AH2815" s="253"/>
    </row>
    <row r="2816" spans="34:34" ht="12.75" customHeight="1">
      <c r="AH2816" s="253"/>
    </row>
    <row r="2817" spans="34:34" ht="12.75" customHeight="1">
      <c r="AH2817" s="253"/>
    </row>
    <row r="2818" spans="34:34" ht="12.75" customHeight="1">
      <c r="AH2818" s="253"/>
    </row>
    <row r="2819" spans="34:34" ht="12.75" customHeight="1">
      <c r="AH2819" s="253"/>
    </row>
    <row r="2820" spans="34:34" ht="12.75" customHeight="1">
      <c r="AH2820" s="253"/>
    </row>
    <row r="2821" spans="34:34" ht="12.75" customHeight="1">
      <c r="AH2821" s="253"/>
    </row>
    <row r="2822" spans="34:34" ht="12.75" customHeight="1">
      <c r="AH2822" s="253"/>
    </row>
    <row r="2823" spans="34:34" ht="12.75" customHeight="1">
      <c r="AH2823" s="253"/>
    </row>
    <row r="2824" spans="34:34" ht="12.75" customHeight="1">
      <c r="AH2824" s="253"/>
    </row>
    <row r="2825" spans="34:34" ht="12.75" customHeight="1">
      <c r="AH2825" s="253"/>
    </row>
    <row r="2826" spans="34:34" ht="12.75" customHeight="1">
      <c r="AH2826" s="253"/>
    </row>
    <row r="2827" spans="34:34" ht="12.75" customHeight="1">
      <c r="AH2827" s="253"/>
    </row>
    <row r="2828" spans="34:34" ht="12.75" customHeight="1">
      <c r="AH2828" s="253"/>
    </row>
    <row r="2829" spans="34:34" ht="12.75" customHeight="1">
      <c r="AH2829" s="253"/>
    </row>
    <row r="2830" spans="34:34" ht="12.75" customHeight="1">
      <c r="AH2830" s="253"/>
    </row>
    <row r="2831" spans="34:34" ht="12.75" customHeight="1">
      <c r="AH2831" s="253"/>
    </row>
    <row r="2832" spans="34:34" ht="12.75" customHeight="1">
      <c r="AH2832" s="253"/>
    </row>
    <row r="2833" spans="34:34" ht="12.75" customHeight="1">
      <c r="AH2833" s="253"/>
    </row>
    <row r="2834" spans="34:34" ht="12.75" customHeight="1">
      <c r="AH2834" s="253"/>
    </row>
    <row r="2835" spans="34:34" ht="12.75" customHeight="1">
      <c r="AH2835" s="253"/>
    </row>
    <row r="2836" spans="34:34" ht="12.75" customHeight="1">
      <c r="AH2836" s="253"/>
    </row>
    <row r="2837" spans="34:34" ht="12.75" customHeight="1">
      <c r="AH2837" s="253"/>
    </row>
    <row r="2838" spans="34:34" ht="12.75" customHeight="1">
      <c r="AH2838" s="253"/>
    </row>
    <row r="2839" spans="34:34" ht="12.75" customHeight="1">
      <c r="AH2839" s="253"/>
    </row>
    <row r="2840" spans="34:34" ht="12.75" customHeight="1">
      <c r="AH2840" s="253"/>
    </row>
    <row r="2841" spans="34:34" ht="12.75" customHeight="1">
      <c r="AH2841" s="253"/>
    </row>
    <row r="2842" spans="34:34" ht="12.75" customHeight="1">
      <c r="AH2842" s="253"/>
    </row>
    <row r="2843" spans="34:34" ht="12.75" customHeight="1">
      <c r="AH2843" s="253"/>
    </row>
    <row r="2844" spans="34:34" ht="12.75" customHeight="1">
      <c r="AH2844" s="253"/>
    </row>
    <row r="2845" spans="34:34" ht="12.75" customHeight="1">
      <c r="AH2845" s="253"/>
    </row>
    <row r="2846" spans="34:34" ht="12.75" customHeight="1">
      <c r="AH2846" s="253"/>
    </row>
    <row r="2847" spans="34:34" ht="12.75" customHeight="1">
      <c r="AH2847" s="253"/>
    </row>
    <row r="2848" spans="34:34" ht="12.75" customHeight="1">
      <c r="AH2848" s="253"/>
    </row>
    <row r="2849" spans="34:34" ht="12.75" customHeight="1">
      <c r="AH2849" s="253"/>
    </row>
    <row r="2850" spans="34:34" ht="12.75" customHeight="1">
      <c r="AH2850" s="253"/>
    </row>
    <row r="2851" spans="34:34" ht="12.75" customHeight="1">
      <c r="AH2851" s="253"/>
    </row>
    <row r="2852" spans="34:34" ht="12.75" customHeight="1">
      <c r="AH2852" s="253"/>
    </row>
    <row r="2853" spans="34:34" ht="12.75" customHeight="1">
      <c r="AH2853" s="253"/>
    </row>
    <row r="2854" spans="34:34" ht="12.75" customHeight="1">
      <c r="AH2854" s="253"/>
    </row>
    <row r="2855" spans="34:34" ht="12.75" customHeight="1">
      <c r="AH2855" s="253"/>
    </row>
    <row r="2856" spans="34:34" ht="12.75" customHeight="1">
      <c r="AH2856" s="253"/>
    </row>
    <row r="2857" spans="34:34" ht="12.75" customHeight="1">
      <c r="AH2857" s="253"/>
    </row>
    <row r="2858" spans="34:34" ht="12.75" customHeight="1">
      <c r="AH2858" s="253"/>
    </row>
    <row r="2859" spans="34:34" ht="12.75" customHeight="1">
      <c r="AH2859" s="253"/>
    </row>
    <row r="2860" spans="34:34" ht="12.75" customHeight="1">
      <c r="AH2860" s="253"/>
    </row>
    <row r="2861" spans="34:34" ht="12.75" customHeight="1">
      <c r="AH2861" s="253"/>
    </row>
    <row r="2862" spans="34:34" ht="12.75" customHeight="1">
      <c r="AH2862" s="253"/>
    </row>
    <row r="2863" spans="34:34" ht="12.75" customHeight="1">
      <c r="AH2863" s="253"/>
    </row>
    <row r="2864" spans="34:34" ht="12.75" customHeight="1">
      <c r="AH2864" s="253"/>
    </row>
    <row r="2865" spans="34:34" ht="12.75" customHeight="1">
      <c r="AH2865" s="253"/>
    </row>
    <row r="2866" spans="34:34" ht="12.75" customHeight="1">
      <c r="AH2866" s="253"/>
    </row>
    <row r="2867" spans="34:34" ht="12.75" customHeight="1">
      <c r="AH2867" s="253"/>
    </row>
    <row r="2868" spans="34:34" ht="12.75" customHeight="1">
      <c r="AH2868" s="253"/>
    </row>
    <row r="2869" spans="34:34" ht="12.75" customHeight="1">
      <c r="AH2869" s="253"/>
    </row>
    <row r="2870" spans="34:34" ht="12.75" customHeight="1">
      <c r="AH2870" s="253"/>
    </row>
    <row r="2871" spans="34:34" ht="12.75" customHeight="1">
      <c r="AH2871" s="253"/>
    </row>
    <row r="2872" spans="34:34" ht="12.75" customHeight="1">
      <c r="AH2872" s="253"/>
    </row>
    <row r="2873" spans="34:34" ht="12.75" customHeight="1">
      <c r="AH2873" s="253"/>
    </row>
    <row r="2874" spans="34:34" ht="12.75" customHeight="1">
      <c r="AH2874" s="253"/>
    </row>
    <row r="2875" spans="34:34" ht="12.75" customHeight="1">
      <c r="AH2875" s="253"/>
    </row>
    <row r="2876" spans="34:34" ht="12.75" customHeight="1">
      <c r="AH2876" s="253"/>
    </row>
    <row r="2877" spans="34:34" ht="12.75" customHeight="1">
      <c r="AH2877" s="253"/>
    </row>
    <row r="2878" spans="34:34" ht="12.75" customHeight="1">
      <c r="AH2878" s="253"/>
    </row>
    <row r="2879" spans="34:34" ht="12.75" customHeight="1">
      <c r="AH2879" s="253"/>
    </row>
    <row r="2880" spans="34:34" ht="12.75" customHeight="1">
      <c r="AH2880" s="253"/>
    </row>
    <row r="2881" spans="34:34" ht="12.75" customHeight="1">
      <c r="AH2881" s="253"/>
    </row>
    <row r="2882" spans="34:34" ht="12.75" customHeight="1">
      <c r="AH2882" s="253"/>
    </row>
    <row r="2883" spans="34:34" ht="12.75" customHeight="1">
      <c r="AH2883" s="253"/>
    </row>
    <row r="2884" spans="34:34" ht="12.75" customHeight="1">
      <c r="AH2884" s="253"/>
    </row>
    <row r="2885" spans="34:34" ht="12.75" customHeight="1">
      <c r="AH2885" s="253"/>
    </row>
    <row r="2886" spans="34:34" ht="12.75" customHeight="1">
      <c r="AH2886" s="253"/>
    </row>
    <row r="2887" spans="34:34" ht="12.75" customHeight="1">
      <c r="AH2887" s="253"/>
    </row>
    <row r="2888" spans="34:34" ht="12.75" customHeight="1">
      <c r="AH2888" s="253"/>
    </row>
    <row r="2889" spans="34:34" ht="12.75" customHeight="1">
      <c r="AH2889" s="253"/>
    </row>
    <row r="2890" spans="34:34" ht="12.75" customHeight="1">
      <c r="AH2890" s="253"/>
    </row>
    <row r="2891" spans="34:34" ht="12.75" customHeight="1">
      <c r="AH2891" s="253"/>
    </row>
    <row r="2892" spans="34:34" ht="12.75" customHeight="1">
      <c r="AH2892" s="253"/>
    </row>
    <row r="2893" spans="34:34" ht="12.75" customHeight="1">
      <c r="AH2893" s="253"/>
    </row>
    <row r="2894" spans="34:34" ht="12.75" customHeight="1">
      <c r="AH2894" s="253"/>
    </row>
    <row r="2895" spans="34:34" ht="12.75" customHeight="1">
      <c r="AH2895" s="253"/>
    </row>
    <row r="2896" spans="34:34" ht="12.75" customHeight="1">
      <c r="AH2896" s="253"/>
    </row>
    <row r="2897" spans="34:34" ht="12.75" customHeight="1">
      <c r="AH2897" s="253"/>
    </row>
    <row r="2898" spans="34:34" ht="12.75" customHeight="1">
      <c r="AH2898" s="253"/>
    </row>
    <row r="2899" spans="34:34" ht="12.75" customHeight="1">
      <c r="AH2899" s="253"/>
    </row>
    <row r="2900" spans="34:34" ht="12.75" customHeight="1">
      <c r="AH2900" s="253"/>
    </row>
    <row r="2901" spans="34:34" ht="12.75" customHeight="1">
      <c r="AH2901" s="253"/>
    </row>
    <row r="2902" spans="34:34" ht="12.75" customHeight="1">
      <c r="AH2902" s="253"/>
    </row>
    <row r="2903" spans="34:34" ht="12.75" customHeight="1">
      <c r="AH2903" s="253"/>
    </row>
    <row r="2904" spans="34:34" ht="12.75" customHeight="1">
      <c r="AH2904" s="253"/>
    </row>
    <row r="2905" spans="34:34" ht="12.75" customHeight="1">
      <c r="AH2905" s="253"/>
    </row>
    <row r="2906" spans="34:34" ht="12.75" customHeight="1">
      <c r="AH2906" s="253"/>
    </row>
    <row r="2907" spans="34:34" ht="12.75" customHeight="1">
      <c r="AH2907" s="253"/>
    </row>
    <row r="2908" spans="34:34" ht="12.75" customHeight="1">
      <c r="AH2908" s="253"/>
    </row>
    <row r="2909" spans="34:34" ht="12.75" customHeight="1">
      <c r="AH2909" s="253"/>
    </row>
    <row r="2910" spans="34:34" ht="12.75" customHeight="1">
      <c r="AH2910" s="253"/>
    </row>
    <row r="2911" spans="34:34" ht="12.75" customHeight="1">
      <c r="AH2911" s="253"/>
    </row>
    <row r="2912" spans="34:34" ht="12.75" customHeight="1">
      <c r="AH2912" s="253"/>
    </row>
    <row r="2913" spans="34:34" ht="12.75" customHeight="1">
      <c r="AH2913" s="253"/>
    </row>
    <row r="2914" spans="34:34" ht="12.75" customHeight="1">
      <c r="AH2914" s="253"/>
    </row>
    <row r="2915" spans="34:34" ht="12.75" customHeight="1">
      <c r="AH2915" s="253"/>
    </row>
    <row r="2916" spans="34:34" ht="12.75" customHeight="1">
      <c r="AH2916" s="253"/>
    </row>
    <row r="2917" spans="34:34" ht="12.75" customHeight="1">
      <c r="AH2917" s="253"/>
    </row>
    <row r="2918" spans="34:34" ht="12.75" customHeight="1">
      <c r="AH2918" s="253"/>
    </row>
    <row r="2919" spans="34:34" ht="12.75" customHeight="1">
      <c r="AH2919" s="253"/>
    </row>
    <row r="2920" spans="34:34" ht="12.75" customHeight="1">
      <c r="AH2920" s="253"/>
    </row>
    <row r="2921" spans="34:34" ht="12.75" customHeight="1">
      <c r="AH2921" s="253"/>
    </row>
    <row r="2922" spans="34:34" ht="12.75" customHeight="1">
      <c r="AH2922" s="253"/>
    </row>
    <row r="2923" spans="34:34" ht="12.75" customHeight="1">
      <c r="AH2923" s="253"/>
    </row>
    <row r="2924" spans="34:34" ht="12.75" customHeight="1">
      <c r="AH2924" s="253"/>
    </row>
    <row r="2925" spans="34:34" ht="12.75" customHeight="1">
      <c r="AH2925" s="253"/>
    </row>
    <row r="2926" spans="34:34" ht="12.75" customHeight="1">
      <c r="AH2926" s="253"/>
    </row>
    <row r="2927" spans="34:34" ht="12.75" customHeight="1">
      <c r="AH2927" s="253"/>
    </row>
    <row r="2928" spans="34:34" ht="12.75" customHeight="1">
      <c r="AH2928" s="253"/>
    </row>
    <row r="2929" spans="34:34" ht="12.75" customHeight="1">
      <c r="AH2929" s="253"/>
    </row>
    <row r="2930" spans="34:34" ht="12.75" customHeight="1">
      <c r="AH2930" s="253"/>
    </row>
    <row r="2931" spans="34:34" ht="12.75" customHeight="1">
      <c r="AH2931" s="253"/>
    </row>
    <row r="2932" spans="34:34" ht="12.75" customHeight="1">
      <c r="AH2932" s="253"/>
    </row>
    <row r="2933" spans="34:34" ht="12.75" customHeight="1">
      <c r="AH2933" s="253"/>
    </row>
    <row r="2934" spans="34:34" ht="12.75" customHeight="1">
      <c r="AH2934" s="253"/>
    </row>
    <row r="2935" spans="34:34" ht="12.75" customHeight="1">
      <c r="AH2935" s="253"/>
    </row>
    <row r="2936" spans="34:34" ht="12.75" customHeight="1">
      <c r="AH2936" s="253"/>
    </row>
    <row r="2937" spans="34:34" ht="12.75" customHeight="1">
      <c r="AH2937" s="253"/>
    </row>
    <row r="2938" spans="34:34" ht="12.75" customHeight="1">
      <c r="AH2938" s="253"/>
    </row>
    <row r="2939" spans="34:34" ht="12.75" customHeight="1">
      <c r="AH2939" s="253"/>
    </row>
    <row r="2940" spans="34:34" ht="12.75" customHeight="1">
      <c r="AH2940" s="253"/>
    </row>
    <row r="2941" spans="34:34" ht="12.75" customHeight="1">
      <c r="AH2941" s="253"/>
    </row>
    <row r="2942" spans="34:34" ht="12.75" customHeight="1">
      <c r="AH2942" s="253"/>
    </row>
    <row r="2943" spans="34:34" ht="12.75" customHeight="1">
      <c r="AH2943" s="253"/>
    </row>
    <row r="2944" spans="34:34" ht="12.75" customHeight="1">
      <c r="AH2944" s="253"/>
    </row>
    <row r="2945" spans="34:34" ht="12.75" customHeight="1">
      <c r="AH2945" s="253"/>
    </row>
    <row r="2946" spans="34:34" ht="12.75" customHeight="1">
      <c r="AH2946" s="253"/>
    </row>
    <row r="2947" spans="34:34" ht="12.75" customHeight="1">
      <c r="AH2947" s="253"/>
    </row>
    <row r="2948" spans="34:34" ht="12.75" customHeight="1">
      <c r="AH2948" s="253"/>
    </row>
    <row r="2949" spans="34:34" ht="12.75" customHeight="1">
      <c r="AH2949" s="253"/>
    </row>
    <row r="2950" spans="34:34" ht="12.75" customHeight="1">
      <c r="AH2950" s="253"/>
    </row>
    <row r="2951" spans="34:34" ht="12.75" customHeight="1">
      <c r="AH2951" s="253"/>
    </row>
    <row r="2952" spans="34:34" ht="12.75" customHeight="1">
      <c r="AH2952" s="253"/>
    </row>
    <row r="2953" spans="34:34" ht="12.75" customHeight="1">
      <c r="AH2953" s="253"/>
    </row>
    <row r="2954" spans="34:34" ht="12.75" customHeight="1">
      <c r="AH2954" s="253"/>
    </row>
    <row r="2955" spans="34:34" ht="12.75" customHeight="1">
      <c r="AH2955" s="253"/>
    </row>
    <row r="2956" spans="34:34" ht="12.75" customHeight="1">
      <c r="AH2956" s="253"/>
    </row>
    <row r="2957" spans="34:34" ht="12.75" customHeight="1">
      <c r="AH2957" s="253"/>
    </row>
    <row r="2958" spans="34:34" ht="12.75" customHeight="1">
      <c r="AH2958" s="253"/>
    </row>
    <row r="2959" spans="34:34" ht="12.75" customHeight="1">
      <c r="AH2959" s="253"/>
    </row>
    <row r="2960" spans="34:34" ht="12.75" customHeight="1">
      <c r="AH2960" s="253"/>
    </row>
    <row r="2961" spans="34:34" ht="12.75" customHeight="1">
      <c r="AH2961" s="253"/>
    </row>
    <row r="2962" spans="34:34" ht="12.75" customHeight="1">
      <c r="AH2962" s="253"/>
    </row>
    <row r="2963" spans="34:34" ht="12.75" customHeight="1">
      <c r="AH2963" s="253"/>
    </row>
    <row r="2964" spans="34:34" ht="12.75" customHeight="1">
      <c r="AH2964" s="253"/>
    </row>
    <row r="2965" spans="34:34" ht="12.75" customHeight="1">
      <c r="AH2965" s="253"/>
    </row>
    <row r="2966" spans="34:34" ht="12.75" customHeight="1">
      <c r="AH2966" s="253"/>
    </row>
    <row r="2967" spans="34:34" ht="12.75" customHeight="1">
      <c r="AH2967" s="253"/>
    </row>
    <row r="2968" spans="34:34" ht="12.75" customHeight="1">
      <c r="AH2968" s="253"/>
    </row>
    <row r="2969" spans="34:34" ht="12.75" customHeight="1">
      <c r="AH2969" s="253"/>
    </row>
    <row r="2970" spans="34:34" ht="12.75" customHeight="1">
      <c r="AH2970" s="253"/>
    </row>
    <row r="2971" spans="34:34" ht="12.75" customHeight="1">
      <c r="AH2971" s="253"/>
    </row>
    <row r="2972" spans="34:34" ht="12.75" customHeight="1">
      <c r="AH2972" s="253"/>
    </row>
    <row r="2973" spans="34:34" ht="12.75" customHeight="1">
      <c r="AH2973" s="253"/>
    </row>
    <row r="2974" spans="34:34" ht="12.75" customHeight="1">
      <c r="AH2974" s="253"/>
    </row>
    <row r="2975" spans="34:34" ht="12.75" customHeight="1">
      <c r="AH2975" s="253"/>
    </row>
    <row r="2976" spans="34:34" ht="12.75" customHeight="1">
      <c r="AH2976" s="253"/>
    </row>
    <row r="2977" spans="34:34" ht="12.75" customHeight="1">
      <c r="AH2977" s="253"/>
    </row>
    <row r="2978" spans="34:34" ht="12.75" customHeight="1">
      <c r="AH2978" s="253"/>
    </row>
    <row r="2979" spans="34:34" ht="12.75" customHeight="1">
      <c r="AH2979" s="253"/>
    </row>
    <row r="2980" spans="34:34" ht="12.75" customHeight="1">
      <c r="AH2980" s="253"/>
    </row>
    <row r="2981" spans="34:34" ht="12.75" customHeight="1">
      <c r="AH2981" s="253"/>
    </row>
    <row r="2982" spans="34:34" ht="12.75" customHeight="1">
      <c r="AH2982" s="253"/>
    </row>
    <row r="2983" spans="34:34" ht="12.75" customHeight="1">
      <c r="AH2983" s="253"/>
    </row>
    <row r="2984" spans="34:34" ht="12.75" customHeight="1">
      <c r="AH2984" s="253"/>
    </row>
    <row r="2985" spans="34:34" ht="12.75" customHeight="1">
      <c r="AH2985" s="253"/>
    </row>
    <row r="2986" spans="34:34" ht="12.75" customHeight="1">
      <c r="AH2986" s="253"/>
    </row>
    <row r="2987" spans="34:34" ht="12.75" customHeight="1">
      <c r="AH2987" s="253"/>
    </row>
    <row r="2988" spans="34:34" ht="12.75" customHeight="1">
      <c r="AH2988" s="253"/>
    </row>
    <row r="2989" spans="34:34" ht="12.75" customHeight="1">
      <c r="AH2989" s="253"/>
    </row>
    <row r="2990" spans="34:34" ht="12.75" customHeight="1">
      <c r="AH2990" s="253"/>
    </row>
    <row r="2991" spans="34:34" ht="12.75" customHeight="1">
      <c r="AH2991" s="253"/>
    </row>
    <row r="2992" spans="34:34" ht="12.75" customHeight="1">
      <c r="AH2992" s="253"/>
    </row>
    <row r="2993" spans="34:34" ht="12.75" customHeight="1">
      <c r="AH2993" s="253"/>
    </row>
    <row r="2994" spans="34:34" ht="12.75" customHeight="1">
      <c r="AH2994" s="253"/>
    </row>
    <row r="2995" spans="34:34" ht="12.75" customHeight="1">
      <c r="AH2995" s="253"/>
    </row>
    <row r="2996" spans="34:34" ht="12.75" customHeight="1">
      <c r="AH2996" s="253"/>
    </row>
    <row r="2997" spans="34:34" ht="12.75" customHeight="1">
      <c r="AH2997" s="253"/>
    </row>
    <row r="2998" spans="34:34" ht="12.75" customHeight="1">
      <c r="AH2998" s="253"/>
    </row>
    <row r="2999" spans="34:34" ht="12.75" customHeight="1">
      <c r="AH2999" s="253"/>
    </row>
    <row r="3000" spans="34:34" ht="12.75" customHeight="1">
      <c r="AH3000" s="253"/>
    </row>
    <row r="3001" spans="34:34" ht="12.75" customHeight="1">
      <c r="AH3001" s="253"/>
    </row>
    <row r="3002" spans="34:34" ht="12.75" customHeight="1">
      <c r="AH3002" s="253"/>
    </row>
    <row r="3003" spans="34:34" ht="12.75" customHeight="1">
      <c r="AH3003" s="253"/>
    </row>
    <row r="3004" spans="34:34" ht="12.75" customHeight="1">
      <c r="AH3004" s="253"/>
    </row>
    <row r="3005" spans="34:34" ht="12.75" customHeight="1">
      <c r="AH3005" s="253"/>
    </row>
    <row r="3006" spans="34:34" ht="12.75" customHeight="1">
      <c r="AH3006" s="253"/>
    </row>
    <row r="3007" spans="34:34" ht="12.75" customHeight="1">
      <c r="AH3007" s="253"/>
    </row>
    <row r="3008" spans="34:34" ht="12.75" customHeight="1">
      <c r="AH3008" s="253"/>
    </row>
    <row r="3009" spans="34:34" ht="12.75" customHeight="1">
      <c r="AH3009" s="253"/>
    </row>
    <row r="3010" spans="34:34" ht="12.75" customHeight="1">
      <c r="AH3010" s="253"/>
    </row>
    <row r="3011" spans="34:34" ht="12.75" customHeight="1">
      <c r="AH3011" s="253"/>
    </row>
    <row r="3012" spans="34:34" ht="12.75" customHeight="1">
      <c r="AH3012" s="253"/>
    </row>
    <row r="3013" spans="34:34" ht="12.75" customHeight="1">
      <c r="AH3013" s="253"/>
    </row>
    <row r="3014" spans="34:34" ht="12.75" customHeight="1">
      <c r="AH3014" s="253"/>
    </row>
    <row r="3015" spans="34:34" ht="12.75" customHeight="1">
      <c r="AH3015" s="253"/>
    </row>
    <row r="3016" spans="34:34" ht="12.75" customHeight="1">
      <c r="AH3016" s="253"/>
    </row>
    <row r="3017" spans="34:34" ht="12.75" customHeight="1">
      <c r="AH3017" s="253"/>
    </row>
    <row r="3018" spans="34:34" ht="12.75" customHeight="1">
      <c r="AH3018" s="253"/>
    </row>
    <row r="3019" spans="34:34" ht="12.75" customHeight="1">
      <c r="AH3019" s="253"/>
    </row>
    <row r="3020" spans="34:34" ht="12.75" customHeight="1">
      <c r="AH3020" s="253"/>
    </row>
    <row r="3021" spans="34:34" ht="12.75" customHeight="1">
      <c r="AH3021" s="253"/>
    </row>
    <row r="3022" spans="34:34" ht="12.75" customHeight="1">
      <c r="AH3022" s="253"/>
    </row>
    <row r="3023" spans="34:34" ht="12.75" customHeight="1">
      <c r="AH3023" s="253"/>
    </row>
    <row r="3024" spans="34:34" ht="12.75" customHeight="1">
      <c r="AH3024" s="253"/>
    </row>
    <row r="3025" spans="34:34" ht="12.75" customHeight="1">
      <c r="AH3025" s="253"/>
    </row>
    <row r="3026" spans="34:34" ht="12.75" customHeight="1">
      <c r="AH3026" s="253"/>
    </row>
    <row r="3027" spans="34:34" ht="12.75" customHeight="1">
      <c r="AH3027" s="253"/>
    </row>
    <row r="3028" spans="34:34" ht="12.75" customHeight="1">
      <c r="AH3028" s="253"/>
    </row>
    <row r="3029" spans="34:34" ht="12.75" customHeight="1">
      <c r="AH3029" s="253"/>
    </row>
    <row r="3030" spans="34:34" ht="12.75" customHeight="1">
      <c r="AH3030" s="253"/>
    </row>
    <row r="3031" spans="34:34" ht="12.75" customHeight="1">
      <c r="AH3031" s="253"/>
    </row>
    <row r="3032" spans="34:34" ht="12.75" customHeight="1">
      <c r="AH3032" s="253"/>
    </row>
    <row r="3033" spans="34:34" ht="12.75" customHeight="1">
      <c r="AH3033" s="253"/>
    </row>
    <row r="3034" spans="34:34" ht="12.75" customHeight="1">
      <c r="AH3034" s="253"/>
    </row>
    <row r="3035" spans="34:34" ht="12.75" customHeight="1">
      <c r="AH3035" s="253"/>
    </row>
    <row r="3036" spans="34:34" ht="12.75" customHeight="1">
      <c r="AH3036" s="253"/>
    </row>
    <row r="3037" spans="34:34" ht="12.75" customHeight="1">
      <c r="AH3037" s="253"/>
    </row>
    <row r="3038" spans="34:34" ht="12.75" customHeight="1">
      <c r="AH3038" s="253"/>
    </row>
    <row r="3039" spans="34:34" ht="12.75" customHeight="1">
      <c r="AH3039" s="253"/>
    </row>
    <row r="3040" spans="34:34" ht="12.75" customHeight="1">
      <c r="AH3040" s="253"/>
    </row>
    <row r="3041" spans="34:34" ht="12.75" customHeight="1">
      <c r="AH3041" s="253"/>
    </row>
    <row r="3042" spans="34:34" ht="12.75" customHeight="1">
      <c r="AH3042" s="253"/>
    </row>
    <row r="3043" spans="34:34" ht="12.75" customHeight="1">
      <c r="AH3043" s="253"/>
    </row>
    <row r="3044" spans="34:34" ht="12.75" customHeight="1">
      <c r="AH3044" s="253"/>
    </row>
    <row r="3045" spans="34:34" ht="12.75" customHeight="1">
      <c r="AH3045" s="253"/>
    </row>
    <row r="3046" spans="34:34" ht="12.75" customHeight="1">
      <c r="AH3046" s="253"/>
    </row>
    <row r="3047" spans="34:34" ht="12.75" customHeight="1">
      <c r="AH3047" s="253"/>
    </row>
    <row r="3048" spans="34:34" ht="12.75" customHeight="1">
      <c r="AH3048" s="253"/>
    </row>
    <row r="3049" spans="34:34" ht="12.75" customHeight="1">
      <c r="AH3049" s="253"/>
    </row>
    <row r="3050" spans="34:34" ht="12.75" customHeight="1">
      <c r="AH3050" s="253"/>
    </row>
    <row r="3051" spans="34:34" ht="12.75" customHeight="1">
      <c r="AH3051" s="253"/>
    </row>
    <row r="3052" spans="34:34" ht="12.75" customHeight="1">
      <c r="AH3052" s="253"/>
    </row>
    <row r="3053" spans="34:34" ht="12.75" customHeight="1">
      <c r="AH3053" s="253"/>
    </row>
    <row r="3054" spans="34:34" ht="12.75" customHeight="1">
      <c r="AH3054" s="253"/>
    </row>
    <row r="3055" spans="34:34" ht="12.75" customHeight="1">
      <c r="AH3055" s="253"/>
    </row>
    <row r="3056" spans="34:34" ht="12.75" customHeight="1">
      <c r="AH3056" s="253"/>
    </row>
    <row r="3057" spans="34:34" ht="12.75" customHeight="1">
      <c r="AH3057" s="253"/>
    </row>
    <row r="3058" spans="34:34" ht="12.75" customHeight="1">
      <c r="AH3058" s="253"/>
    </row>
    <row r="3059" spans="34:34" ht="12.75" customHeight="1">
      <c r="AH3059" s="253"/>
    </row>
    <row r="3060" spans="34:34" ht="12.75" customHeight="1">
      <c r="AH3060" s="253"/>
    </row>
    <row r="3061" spans="34:34" ht="12.75" customHeight="1">
      <c r="AH3061" s="253"/>
    </row>
    <row r="3062" spans="34:34" ht="12.75" customHeight="1">
      <c r="AH3062" s="253"/>
    </row>
    <row r="3063" spans="34:34" ht="12.75" customHeight="1">
      <c r="AH3063" s="253"/>
    </row>
    <row r="3064" spans="34:34" ht="12.75" customHeight="1">
      <c r="AH3064" s="253"/>
    </row>
    <row r="3065" spans="34:34" ht="12.75" customHeight="1">
      <c r="AH3065" s="253"/>
    </row>
    <row r="3066" spans="34:34" ht="12.75" customHeight="1">
      <c r="AH3066" s="253"/>
    </row>
    <row r="3067" spans="34:34" ht="12.75" customHeight="1">
      <c r="AH3067" s="253"/>
    </row>
    <row r="3068" spans="34:34" ht="12.75" customHeight="1">
      <c r="AH3068" s="253"/>
    </row>
    <row r="3069" spans="34:34" ht="12.75" customHeight="1">
      <c r="AH3069" s="253"/>
    </row>
    <row r="3070" spans="34:34" ht="12.75" customHeight="1">
      <c r="AH3070" s="253"/>
    </row>
    <row r="3071" spans="34:34" ht="12.75" customHeight="1">
      <c r="AH3071" s="253"/>
    </row>
    <row r="3072" spans="34:34" ht="12.75" customHeight="1">
      <c r="AH3072" s="253"/>
    </row>
    <row r="3073" spans="34:34" ht="12.75" customHeight="1">
      <c r="AH3073" s="253"/>
    </row>
    <row r="3074" spans="34:34" ht="12.75" customHeight="1">
      <c r="AH3074" s="253"/>
    </row>
    <row r="3075" spans="34:34" ht="12.75" customHeight="1">
      <c r="AH3075" s="253"/>
    </row>
    <row r="3076" spans="34:34" ht="12.75" customHeight="1">
      <c r="AH3076" s="253"/>
    </row>
    <row r="3077" spans="34:34" ht="12.75" customHeight="1">
      <c r="AH3077" s="253"/>
    </row>
    <row r="3078" spans="34:34" ht="12.75" customHeight="1">
      <c r="AH3078" s="253"/>
    </row>
    <row r="3079" spans="34:34" ht="12.75" customHeight="1">
      <c r="AH3079" s="253"/>
    </row>
    <row r="3080" spans="34:34" ht="12.75" customHeight="1">
      <c r="AH3080" s="253"/>
    </row>
    <row r="3081" spans="34:34" ht="12.75" customHeight="1">
      <c r="AH3081" s="253"/>
    </row>
    <row r="3082" spans="34:34" ht="12.75" customHeight="1">
      <c r="AH3082" s="253"/>
    </row>
    <row r="3083" spans="34:34" ht="12.75" customHeight="1">
      <c r="AH3083" s="253"/>
    </row>
    <row r="3084" spans="34:34" ht="12.75" customHeight="1">
      <c r="AH3084" s="253"/>
    </row>
    <row r="3085" spans="34:34" ht="12.75" customHeight="1">
      <c r="AH3085" s="253"/>
    </row>
    <row r="3086" spans="34:34" ht="12.75" customHeight="1">
      <c r="AH3086" s="253"/>
    </row>
    <row r="3087" spans="34:34" ht="12.75" customHeight="1">
      <c r="AH3087" s="253"/>
    </row>
    <row r="3088" spans="34:34" ht="12.75" customHeight="1">
      <c r="AH3088" s="253"/>
    </row>
    <row r="3089" spans="34:34" ht="12.75" customHeight="1">
      <c r="AH3089" s="253"/>
    </row>
    <row r="3090" spans="34:34" ht="12.75" customHeight="1">
      <c r="AH3090" s="253"/>
    </row>
    <row r="3091" spans="34:34" ht="12.75" customHeight="1">
      <c r="AH3091" s="253"/>
    </row>
    <row r="3092" spans="34:34" ht="12.75" customHeight="1">
      <c r="AH3092" s="253"/>
    </row>
    <row r="3093" spans="34:34" ht="12.75" customHeight="1">
      <c r="AH3093" s="253"/>
    </row>
    <row r="3094" spans="34:34" ht="12.75" customHeight="1">
      <c r="AH3094" s="253"/>
    </row>
    <row r="3095" spans="34:34" ht="12.75" customHeight="1">
      <c r="AH3095" s="253"/>
    </row>
    <row r="3096" spans="34:34" ht="12.75" customHeight="1">
      <c r="AH3096" s="253"/>
    </row>
    <row r="3097" spans="34:34" ht="12.75" customHeight="1">
      <c r="AH3097" s="253"/>
    </row>
    <row r="3098" spans="34:34" ht="12.75" customHeight="1">
      <c r="AH3098" s="253"/>
    </row>
    <row r="3099" spans="34:34" ht="12.75" customHeight="1">
      <c r="AH3099" s="253"/>
    </row>
    <row r="3100" spans="34:34" ht="12.75" customHeight="1">
      <c r="AH3100" s="253"/>
    </row>
    <row r="3101" spans="34:34" ht="12.75" customHeight="1">
      <c r="AH3101" s="253"/>
    </row>
    <row r="3102" spans="34:34" ht="12.75" customHeight="1">
      <c r="AH3102" s="253"/>
    </row>
    <row r="3103" spans="34:34" ht="12.75" customHeight="1">
      <c r="AH3103" s="253"/>
    </row>
    <row r="3104" spans="34:34" ht="12.75" customHeight="1">
      <c r="AH3104" s="253"/>
    </row>
    <row r="3105" spans="34:34" ht="12.75" customHeight="1">
      <c r="AH3105" s="253"/>
    </row>
    <row r="3106" spans="34:34" ht="12.75" customHeight="1">
      <c r="AH3106" s="253"/>
    </row>
    <row r="3107" spans="34:34" ht="12.75" customHeight="1">
      <c r="AH3107" s="253"/>
    </row>
    <row r="3108" spans="34:34" ht="12.75" customHeight="1">
      <c r="AH3108" s="253"/>
    </row>
    <row r="3109" spans="34:34" ht="12.75" customHeight="1">
      <c r="AH3109" s="253"/>
    </row>
    <row r="3110" spans="34:34" ht="12.75" customHeight="1">
      <c r="AH3110" s="253"/>
    </row>
    <row r="3111" spans="34:34" ht="12.75" customHeight="1">
      <c r="AH3111" s="253"/>
    </row>
    <row r="3112" spans="34:34" ht="12.75" customHeight="1">
      <c r="AH3112" s="253"/>
    </row>
    <row r="3113" spans="34:34" ht="12.75" customHeight="1">
      <c r="AH3113" s="253"/>
    </row>
    <row r="3114" spans="34:34" ht="12.75" customHeight="1">
      <c r="AH3114" s="253"/>
    </row>
    <row r="3115" spans="34:34" ht="12.75" customHeight="1">
      <c r="AH3115" s="253"/>
    </row>
    <row r="3116" spans="34:34" ht="12.75" customHeight="1">
      <c r="AH3116" s="253"/>
    </row>
    <row r="3117" spans="34:34" ht="12.75" customHeight="1">
      <c r="AH3117" s="253"/>
    </row>
    <row r="3118" spans="34:34" ht="12.75" customHeight="1">
      <c r="AH3118" s="253"/>
    </row>
    <row r="3119" spans="34:34" ht="12.75" customHeight="1">
      <c r="AH3119" s="253"/>
    </row>
    <row r="3120" spans="34:34" ht="12.75" customHeight="1">
      <c r="AH3120" s="253"/>
    </row>
    <row r="3121" spans="34:34" ht="12.75" customHeight="1">
      <c r="AH3121" s="253"/>
    </row>
    <row r="3122" spans="34:34" ht="12.75" customHeight="1">
      <c r="AH3122" s="253"/>
    </row>
    <row r="3123" spans="34:34" ht="12.75" customHeight="1">
      <c r="AH3123" s="253"/>
    </row>
    <row r="3124" spans="34:34" ht="12.75" customHeight="1">
      <c r="AH3124" s="253"/>
    </row>
    <row r="3125" spans="34:34" ht="12.75" customHeight="1">
      <c r="AH3125" s="253"/>
    </row>
    <row r="3126" spans="34:34" ht="12.75" customHeight="1">
      <c r="AH3126" s="253"/>
    </row>
    <row r="3127" spans="34:34" ht="12.75" customHeight="1">
      <c r="AH3127" s="253"/>
    </row>
    <row r="3128" spans="34:34" ht="12.75" customHeight="1">
      <c r="AH3128" s="253"/>
    </row>
    <row r="3129" spans="34:34" ht="12.75" customHeight="1">
      <c r="AH3129" s="253"/>
    </row>
    <row r="3130" spans="34:34" ht="12.75" customHeight="1">
      <c r="AH3130" s="253"/>
    </row>
    <row r="3131" spans="34:34" ht="12.75" customHeight="1">
      <c r="AH3131" s="253"/>
    </row>
    <row r="3132" spans="34:34" ht="12.75" customHeight="1">
      <c r="AH3132" s="253"/>
    </row>
    <row r="3133" spans="34:34" ht="12.75" customHeight="1">
      <c r="AH3133" s="253"/>
    </row>
    <row r="3134" spans="34:34" ht="12.75" customHeight="1">
      <c r="AH3134" s="253"/>
    </row>
    <row r="3135" spans="34:34" ht="12.75" customHeight="1">
      <c r="AH3135" s="253"/>
    </row>
    <row r="3136" spans="34:34" ht="12.75" customHeight="1">
      <c r="AH3136" s="253"/>
    </row>
    <row r="3137" spans="34:34" ht="12.75" customHeight="1">
      <c r="AH3137" s="253"/>
    </row>
    <row r="3138" spans="34:34" ht="12.75" customHeight="1">
      <c r="AH3138" s="253"/>
    </row>
    <row r="3139" spans="34:34" ht="12.75" customHeight="1">
      <c r="AH3139" s="253"/>
    </row>
    <row r="3140" spans="34:34" ht="12.75" customHeight="1">
      <c r="AH3140" s="253"/>
    </row>
    <row r="3141" spans="34:34" ht="12.75" customHeight="1">
      <c r="AH3141" s="253"/>
    </row>
    <row r="3142" spans="34:34" ht="12.75" customHeight="1">
      <c r="AH3142" s="253"/>
    </row>
    <row r="3143" spans="34:34" ht="12.75" customHeight="1">
      <c r="AH3143" s="253"/>
    </row>
    <row r="3144" spans="34:34" ht="12.75" customHeight="1">
      <c r="AH3144" s="253"/>
    </row>
    <row r="3145" spans="34:34" ht="12.75" customHeight="1">
      <c r="AH3145" s="253"/>
    </row>
    <row r="3146" spans="34:34" ht="12.75" customHeight="1">
      <c r="AH3146" s="253"/>
    </row>
    <row r="3147" spans="34:34" ht="12.75" customHeight="1">
      <c r="AH3147" s="253"/>
    </row>
    <row r="3148" spans="34:34" ht="12.75" customHeight="1">
      <c r="AH3148" s="253"/>
    </row>
    <row r="3149" spans="34:34" ht="12.75" customHeight="1">
      <c r="AH3149" s="253"/>
    </row>
    <row r="3150" spans="34:34" ht="12.75" customHeight="1">
      <c r="AH3150" s="253"/>
    </row>
    <row r="3151" spans="34:34" ht="12.75" customHeight="1">
      <c r="AH3151" s="253"/>
    </row>
    <row r="3152" spans="34:34" ht="12.75" customHeight="1">
      <c r="AH3152" s="253"/>
    </row>
    <row r="3153" spans="34:34" ht="12.75" customHeight="1">
      <c r="AH3153" s="253"/>
    </row>
    <row r="3154" spans="34:34" ht="12.75" customHeight="1">
      <c r="AH3154" s="253"/>
    </row>
    <row r="3155" spans="34:34" ht="12.75" customHeight="1">
      <c r="AH3155" s="253"/>
    </row>
    <row r="3156" spans="34:34" ht="12.75" customHeight="1">
      <c r="AH3156" s="253"/>
    </row>
    <row r="3157" spans="34:34" ht="12.75" customHeight="1">
      <c r="AH3157" s="253"/>
    </row>
    <row r="3158" spans="34:34" ht="12.75" customHeight="1">
      <c r="AH3158" s="253"/>
    </row>
    <row r="3159" spans="34:34" ht="12.75" customHeight="1">
      <c r="AH3159" s="253"/>
    </row>
    <row r="3160" spans="34:34" ht="12.75" customHeight="1">
      <c r="AH3160" s="253"/>
    </row>
    <row r="3161" spans="34:34" ht="12.75" customHeight="1">
      <c r="AH3161" s="253"/>
    </row>
    <row r="3162" spans="34:34" ht="12.75" customHeight="1">
      <c r="AH3162" s="253"/>
    </row>
    <row r="3163" spans="34:34" ht="12.75" customHeight="1">
      <c r="AH3163" s="253"/>
    </row>
    <row r="3164" spans="34:34" ht="12.75" customHeight="1">
      <c r="AH3164" s="253"/>
    </row>
    <row r="3165" spans="34:34" ht="12.75" customHeight="1">
      <c r="AH3165" s="253"/>
    </row>
    <row r="3166" spans="34:34" ht="12.75" customHeight="1">
      <c r="AH3166" s="253"/>
    </row>
    <row r="3167" spans="34:34" ht="12.75" customHeight="1">
      <c r="AH3167" s="253"/>
    </row>
    <row r="3168" spans="34:34" ht="12.75" customHeight="1">
      <c r="AH3168" s="253"/>
    </row>
    <row r="3169" spans="34:34" ht="12.75" customHeight="1">
      <c r="AH3169" s="253"/>
    </row>
    <row r="3170" spans="34:34" ht="12.75" customHeight="1">
      <c r="AH3170" s="253"/>
    </row>
    <row r="3171" spans="34:34" ht="12.75" customHeight="1">
      <c r="AH3171" s="253"/>
    </row>
    <row r="3172" spans="34:34" ht="12.75" customHeight="1">
      <c r="AH3172" s="253"/>
    </row>
    <row r="3173" spans="34:34" ht="12.75" customHeight="1">
      <c r="AH3173" s="253"/>
    </row>
    <row r="3174" spans="34:34" ht="12.75" customHeight="1">
      <c r="AH3174" s="253"/>
    </row>
    <row r="3175" spans="34:34" ht="12.75" customHeight="1">
      <c r="AH3175" s="253"/>
    </row>
    <row r="3176" spans="34:34" ht="12.75" customHeight="1">
      <c r="AH3176" s="253"/>
    </row>
    <row r="3177" spans="34:34" ht="12.75" customHeight="1">
      <c r="AH3177" s="253"/>
    </row>
    <row r="3178" spans="34:34" ht="12.75" customHeight="1">
      <c r="AH3178" s="253"/>
    </row>
    <row r="3179" spans="34:34" ht="12.75" customHeight="1">
      <c r="AH3179" s="253"/>
    </row>
    <row r="3180" spans="34:34" ht="12.75" customHeight="1">
      <c r="AH3180" s="253"/>
    </row>
    <row r="3181" spans="34:34" ht="12.75" customHeight="1">
      <c r="AH3181" s="253"/>
    </row>
    <row r="3182" spans="34:34" ht="12.75" customHeight="1">
      <c r="AH3182" s="253"/>
    </row>
    <row r="3183" spans="34:34" ht="12.75" customHeight="1">
      <c r="AH3183" s="253"/>
    </row>
    <row r="3184" spans="34:34" ht="12.75" customHeight="1">
      <c r="AH3184" s="253"/>
    </row>
    <row r="3185" spans="34:34" ht="12.75" customHeight="1">
      <c r="AH3185" s="253"/>
    </row>
    <row r="3186" spans="34:34" ht="12.75" customHeight="1">
      <c r="AH3186" s="253"/>
    </row>
    <row r="3187" spans="34:34" ht="12.75" customHeight="1">
      <c r="AH3187" s="253"/>
    </row>
    <row r="3188" spans="34:34" ht="12.75" customHeight="1">
      <c r="AH3188" s="253"/>
    </row>
    <row r="3189" spans="34:34" ht="12.75" customHeight="1">
      <c r="AH3189" s="253"/>
    </row>
    <row r="3190" spans="34:34" ht="12.75" customHeight="1">
      <c r="AH3190" s="253"/>
    </row>
    <row r="3191" spans="34:34" ht="12.75" customHeight="1">
      <c r="AH3191" s="253"/>
    </row>
    <row r="3192" spans="34:34" ht="12.75" customHeight="1">
      <c r="AH3192" s="253"/>
    </row>
    <row r="3193" spans="34:34" ht="12.75" customHeight="1">
      <c r="AH3193" s="253"/>
    </row>
    <row r="3194" spans="34:34" ht="12.75" customHeight="1">
      <c r="AH3194" s="253"/>
    </row>
    <row r="3195" spans="34:34" ht="12.75" customHeight="1">
      <c r="AH3195" s="253"/>
    </row>
    <row r="3196" spans="34:34" ht="12.75" customHeight="1">
      <c r="AH3196" s="253"/>
    </row>
    <row r="3197" spans="34:34" ht="12.75" customHeight="1">
      <c r="AH3197" s="253"/>
    </row>
    <row r="3198" spans="34:34" ht="12.75" customHeight="1">
      <c r="AH3198" s="253"/>
    </row>
    <row r="3199" spans="34:34" ht="12.75" customHeight="1">
      <c r="AH3199" s="253"/>
    </row>
    <row r="3200" spans="34:34" ht="12.75" customHeight="1">
      <c r="AH3200" s="253"/>
    </row>
    <row r="3201" spans="34:34" ht="12.75" customHeight="1">
      <c r="AH3201" s="253"/>
    </row>
    <row r="3202" spans="34:34" ht="12.75" customHeight="1">
      <c r="AH3202" s="253"/>
    </row>
    <row r="3203" spans="34:34" ht="12.75" customHeight="1">
      <c r="AH3203" s="253"/>
    </row>
    <row r="3204" spans="34:34" ht="12.75" customHeight="1">
      <c r="AH3204" s="253"/>
    </row>
    <row r="3205" spans="34:34" ht="12.75" customHeight="1">
      <c r="AH3205" s="253"/>
    </row>
    <row r="3206" spans="34:34" ht="12.75" customHeight="1">
      <c r="AH3206" s="253"/>
    </row>
    <row r="3207" spans="34:34" ht="12.75" customHeight="1">
      <c r="AH3207" s="253"/>
    </row>
    <row r="3208" spans="34:34" ht="12.75" customHeight="1">
      <c r="AH3208" s="253"/>
    </row>
    <row r="3209" spans="34:34" ht="12.75" customHeight="1">
      <c r="AH3209" s="253"/>
    </row>
    <row r="3210" spans="34:34" ht="12.75" customHeight="1">
      <c r="AH3210" s="253"/>
    </row>
    <row r="3211" spans="34:34" ht="12.75" customHeight="1">
      <c r="AH3211" s="253"/>
    </row>
    <row r="3212" spans="34:34" ht="12.75" customHeight="1">
      <c r="AH3212" s="253"/>
    </row>
    <row r="3213" spans="34:34" ht="12.75" customHeight="1">
      <c r="AH3213" s="253"/>
    </row>
    <row r="3214" spans="34:34" ht="12.75" customHeight="1">
      <c r="AH3214" s="253"/>
    </row>
    <row r="3215" spans="34:34" ht="12.75" customHeight="1">
      <c r="AH3215" s="253"/>
    </row>
    <row r="3216" spans="34:34" ht="12.75" customHeight="1">
      <c r="AH3216" s="253"/>
    </row>
    <row r="3217" spans="34:34" ht="12.75" customHeight="1">
      <c r="AH3217" s="253"/>
    </row>
    <row r="3218" spans="34:34" ht="12.75" customHeight="1">
      <c r="AH3218" s="253"/>
    </row>
    <row r="3219" spans="34:34" ht="12.75" customHeight="1">
      <c r="AH3219" s="253"/>
    </row>
    <row r="3220" spans="34:34" ht="12.75" customHeight="1">
      <c r="AH3220" s="253"/>
    </row>
    <row r="3221" spans="34:34" ht="12.75" customHeight="1">
      <c r="AH3221" s="253"/>
    </row>
    <row r="3222" spans="34:34" ht="12.75" customHeight="1">
      <c r="AH3222" s="253"/>
    </row>
    <row r="3223" spans="34:34" ht="12.75" customHeight="1">
      <c r="AH3223" s="253"/>
    </row>
    <row r="3224" spans="34:34" ht="12.75" customHeight="1">
      <c r="AH3224" s="253"/>
    </row>
    <row r="3225" spans="34:34" ht="12.75" customHeight="1">
      <c r="AH3225" s="253"/>
    </row>
    <row r="3226" spans="34:34" ht="12.75" customHeight="1">
      <c r="AH3226" s="253"/>
    </row>
    <row r="3227" spans="34:34" ht="12.75" customHeight="1">
      <c r="AH3227" s="253"/>
    </row>
    <row r="3228" spans="34:34" ht="12.75" customHeight="1">
      <c r="AH3228" s="253"/>
    </row>
    <row r="3229" spans="34:34" ht="12.75" customHeight="1">
      <c r="AH3229" s="253"/>
    </row>
    <row r="3230" spans="34:34" ht="12.75" customHeight="1">
      <c r="AH3230" s="253"/>
    </row>
    <row r="3231" spans="34:34" ht="12.75" customHeight="1">
      <c r="AH3231" s="253"/>
    </row>
    <row r="3232" spans="34:34" ht="12.75" customHeight="1">
      <c r="AH3232" s="253"/>
    </row>
    <row r="3233" spans="34:34" ht="12.75" customHeight="1">
      <c r="AH3233" s="253"/>
    </row>
    <row r="3234" spans="34:34" ht="12.75" customHeight="1">
      <c r="AH3234" s="253"/>
    </row>
    <row r="3235" spans="34:34" ht="12.75" customHeight="1">
      <c r="AH3235" s="253"/>
    </row>
    <row r="3236" spans="34:34" ht="12.75" customHeight="1">
      <c r="AH3236" s="253"/>
    </row>
    <row r="3237" spans="34:34" ht="12.75" customHeight="1">
      <c r="AH3237" s="253"/>
    </row>
    <row r="3238" spans="34:34" ht="12.75" customHeight="1">
      <c r="AH3238" s="253"/>
    </row>
    <row r="3239" spans="34:34" ht="12.75" customHeight="1">
      <c r="AH3239" s="253"/>
    </row>
    <row r="3240" spans="34:34" ht="12.75" customHeight="1">
      <c r="AH3240" s="253"/>
    </row>
    <row r="3241" spans="34:34" ht="12.75" customHeight="1">
      <c r="AH3241" s="253"/>
    </row>
    <row r="3242" spans="34:34" ht="12.75" customHeight="1">
      <c r="AH3242" s="253"/>
    </row>
    <row r="3243" spans="34:34" ht="12.75" customHeight="1">
      <c r="AH3243" s="253"/>
    </row>
    <row r="3244" spans="34:34" ht="12.75" customHeight="1">
      <c r="AH3244" s="253"/>
    </row>
    <row r="3245" spans="34:34" ht="12.75" customHeight="1">
      <c r="AH3245" s="253"/>
    </row>
    <row r="3246" spans="34:34" ht="12.75" customHeight="1">
      <c r="AH3246" s="253"/>
    </row>
    <row r="3247" spans="34:34" ht="12.75" customHeight="1">
      <c r="AH3247" s="253"/>
    </row>
    <row r="3248" spans="34:34" ht="12.75" customHeight="1">
      <c r="AH3248" s="253"/>
    </row>
    <row r="3249" spans="34:34" ht="12.75" customHeight="1">
      <c r="AH3249" s="253"/>
    </row>
    <row r="3250" spans="34:34" ht="12.75" customHeight="1">
      <c r="AH3250" s="253"/>
    </row>
    <row r="3251" spans="34:34" ht="12.75" customHeight="1">
      <c r="AH3251" s="253"/>
    </row>
    <row r="3252" spans="34:34" ht="12.75" customHeight="1">
      <c r="AH3252" s="253"/>
    </row>
    <row r="3253" spans="34:34" ht="12.75" customHeight="1">
      <c r="AH3253" s="253"/>
    </row>
    <row r="3254" spans="34:34" ht="12.75" customHeight="1">
      <c r="AH3254" s="253"/>
    </row>
    <row r="3255" spans="34:34" ht="12.75" customHeight="1">
      <c r="AH3255" s="253"/>
    </row>
    <row r="3256" spans="34:34" ht="12.75" customHeight="1">
      <c r="AH3256" s="253"/>
    </row>
    <row r="3257" spans="34:34" ht="12.75" customHeight="1">
      <c r="AH3257" s="253"/>
    </row>
    <row r="3258" spans="34:34" ht="12.75" customHeight="1">
      <c r="AH3258" s="253"/>
    </row>
    <row r="3259" spans="34:34" ht="12.75" customHeight="1">
      <c r="AH3259" s="253"/>
    </row>
    <row r="3260" spans="34:34" ht="12.75" customHeight="1">
      <c r="AH3260" s="253"/>
    </row>
    <row r="3261" spans="34:34" ht="12.75" customHeight="1">
      <c r="AH3261" s="253"/>
    </row>
    <row r="3262" spans="34:34" ht="12.75" customHeight="1">
      <c r="AH3262" s="253"/>
    </row>
    <row r="3263" spans="34:34" ht="12.75" customHeight="1">
      <c r="AH3263" s="253"/>
    </row>
    <row r="3264" spans="34:34" ht="12.75" customHeight="1">
      <c r="AH3264" s="253"/>
    </row>
    <row r="3265" spans="34:34" ht="12.75" customHeight="1">
      <c r="AH3265" s="253"/>
    </row>
    <row r="3266" spans="34:34" ht="12.75" customHeight="1">
      <c r="AH3266" s="253"/>
    </row>
    <row r="3267" spans="34:34" ht="12.75" customHeight="1">
      <c r="AH3267" s="253"/>
    </row>
    <row r="3268" spans="34:34" ht="12.75" customHeight="1">
      <c r="AH3268" s="253"/>
    </row>
    <row r="3269" spans="34:34" ht="12.75" customHeight="1">
      <c r="AH3269" s="253"/>
    </row>
    <row r="3270" spans="34:34" ht="12.75" customHeight="1">
      <c r="AH3270" s="253"/>
    </row>
    <row r="3271" spans="34:34" ht="12.75" customHeight="1">
      <c r="AH3271" s="253"/>
    </row>
    <row r="3272" spans="34:34" ht="12.75" customHeight="1">
      <c r="AH3272" s="253"/>
    </row>
    <row r="3273" spans="34:34" ht="12.75" customHeight="1">
      <c r="AH3273" s="253"/>
    </row>
    <row r="3274" spans="34:34" ht="12.75" customHeight="1">
      <c r="AH3274" s="253"/>
    </row>
    <row r="3275" spans="34:34" ht="12.75" customHeight="1">
      <c r="AH3275" s="253"/>
    </row>
    <row r="3276" spans="34:34" ht="12.75" customHeight="1">
      <c r="AH3276" s="253"/>
    </row>
    <row r="3277" spans="34:34" ht="12.75" customHeight="1">
      <c r="AH3277" s="253"/>
    </row>
    <row r="3278" spans="34:34" ht="12.75" customHeight="1">
      <c r="AH3278" s="253"/>
    </row>
    <row r="3279" spans="34:34" ht="12.75" customHeight="1">
      <c r="AH3279" s="253"/>
    </row>
    <row r="3280" spans="34:34" ht="12.75" customHeight="1">
      <c r="AH3280" s="253"/>
    </row>
    <row r="3281" spans="34:34" ht="12.75" customHeight="1">
      <c r="AH3281" s="253"/>
    </row>
    <row r="3282" spans="34:34" ht="12.75" customHeight="1">
      <c r="AH3282" s="253"/>
    </row>
    <row r="3283" spans="34:34" ht="12.75" customHeight="1">
      <c r="AH3283" s="253"/>
    </row>
    <row r="3284" spans="34:34" ht="12.75" customHeight="1">
      <c r="AH3284" s="253"/>
    </row>
    <row r="3285" spans="34:34" ht="12.75" customHeight="1">
      <c r="AH3285" s="253"/>
    </row>
    <row r="3286" spans="34:34" ht="12.75" customHeight="1">
      <c r="AH3286" s="253"/>
    </row>
    <row r="3287" spans="34:34" ht="12.75" customHeight="1">
      <c r="AH3287" s="253"/>
    </row>
    <row r="3288" spans="34:34" ht="12.75" customHeight="1">
      <c r="AH3288" s="253"/>
    </row>
    <row r="3289" spans="34:34" ht="12.75" customHeight="1">
      <c r="AH3289" s="253"/>
    </row>
    <row r="3290" spans="34:34" ht="12.75" customHeight="1">
      <c r="AH3290" s="253"/>
    </row>
    <row r="3291" spans="34:34" ht="12.75" customHeight="1">
      <c r="AH3291" s="253"/>
    </row>
    <row r="3292" spans="34:34" ht="12.75" customHeight="1">
      <c r="AH3292" s="253"/>
    </row>
    <row r="3293" spans="34:34" ht="12.75" customHeight="1">
      <c r="AH3293" s="253"/>
    </row>
    <row r="3294" spans="34:34" ht="12.75" customHeight="1">
      <c r="AH3294" s="253"/>
    </row>
    <row r="3295" spans="34:34" ht="12.75" customHeight="1">
      <c r="AH3295" s="253"/>
    </row>
    <row r="3296" spans="34:34" ht="12.75" customHeight="1">
      <c r="AH3296" s="253"/>
    </row>
    <row r="3297" spans="34:34" ht="12.75" customHeight="1">
      <c r="AH3297" s="253"/>
    </row>
    <row r="3298" spans="34:34" ht="12.75" customHeight="1">
      <c r="AH3298" s="253"/>
    </row>
    <row r="3299" spans="34:34" ht="12.75" customHeight="1">
      <c r="AH3299" s="253"/>
    </row>
    <row r="3300" spans="34:34" ht="12.75" customHeight="1">
      <c r="AH3300" s="253"/>
    </row>
    <row r="3301" spans="34:34" ht="12.75" customHeight="1">
      <c r="AH3301" s="253"/>
    </row>
    <row r="3302" spans="34:34" ht="12.75" customHeight="1">
      <c r="AH3302" s="253"/>
    </row>
    <row r="3303" spans="34:34" ht="12.75" customHeight="1">
      <c r="AH3303" s="253"/>
    </row>
    <row r="3304" spans="34:34" ht="12.75" customHeight="1">
      <c r="AH3304" s="253"/>
    </row>
    <row r="3305" spans="34:34" ht="12.75" customHeight="1">
      <c r="AH3305" s="253"/>
    </row>
    <row r="3306" spans="34:34" ht="12.75" customHeight="1">
      <c r="AH3306" s="253"/>
    </row>
    <row r="3307" spans="34:34" ht="12.75" customHeight="1">
      <c r="AH3307" s="253"/>
    </row>
    <row r="3308" spans="34:34" ht="12.75" customHeight="1">
      <c r="AH3308" s="253"/>
    </row>
    <row r="3309" spans="34:34" ht="12.75" customHeight="1">
      <c r="AH3309" s="253"/>
    </row>
    <row r="3310" spans="34:34" ht="12.75" customHeight="1">
      <c r="AH3310" s="253"/>
    </row>
    <row r="3311" spans="34:34" ht="12.75" customHeight="1">
      <c r="AH3311" s="253"/>
    </row>
    <row r="3312" spans="34:34" ht="12.75" customHeight="1">
      <c r="AH3312" s="253"/>
    </row>
    <row r="3313" spans="34:34" ht="12.75" customHeight="1">
      <c r="AH3313" s="253"/>
    </row>
    <row r="3314" spans="34:34" ht="12.75" customHeight="1">
      <c r="AH3314" s="253"/>
    </row>
    <row r="3315" spans="34:34" ht="12.75" customHeight="1">
      <c r="AH3315" s="253"/>
    </row>
    <row r="3316" spans="34:34" ht="12.75" customHeight="1">
      <c r="AH3316" s="253"/>
    </row>
    <row r="3317" spans="34:34" ht="12.75" customHeight="1">
      <c r="AH3317" s="253"/>
    </row>
    <row r="3318" spans="34:34" ht="12.75" customHeight="1">
      <c r="AH3318" s="253"/>
    </row>
    <row r="3319" spans="34:34" ht="12.75" customHeight="1">
      <c r="AH3319" s="253"/>
    </row>
    <row r="3320" spans="34:34" ht="12.75" customHeight="1">
      <c r="AH3320" s="253"/>
    </row>
    <row r="3321" spans="34:34" ht="12.75" customHeight="1">
      <c r="AH3321" s="253"/>
    </row>
    <row r="3322" spans="34:34" ht="12.75" customHeight="1">
      <c r="AH3322" s="253"/>
    </row>
    <row r="3323" spans="34:34" ht="12.75" customHeight="1">
      <c r="AH3323" s="253"/>
    </row>
    <row r="3324" spans="34:34" ht="12.75" customHeight="1">
      <c r="AH3324" s="253"/>
    </row>
    <row r="3325" spans="34:34" ht="12.75" customHeight="1">
      <c r="AH3325" s="253"/>
    </row>
    <row r="3326" spans="34:34" ht="12.75" customHeight="1">
      <c r="AH3326" s="253"/>
    </row>
    <row r="3327" spans="34:34" ht="12.75" customHeight="1">
      <c r="AH3327" s="253"/>
    </row>
    <row r="3328" spans="34:34" ht="12.75" customHeight="1">
      <c r="AH3328" s="253"/>
    </row>
    <row r="3329" spans="34:34" ht="12.75" customHeight="1">
      <c r="AH3329" s="253"/>
    </row>
    <row r="3330" spans="34:34" ht="12.75" customHeight="1">
      <c r="AH3330" s="253"/>
    </row>
    <row r="3331" spans="34:34" ht="12.75" customHeight="1">
      <c r="AH3331" s="253"/>
    </row>
    <row r="3332" spans="34:34" ht="12.75" customHeight="1">
      <c r="AH3332" s="253"/>
    </row>
    <row r="3333" spans="34:34" ht="12.75" customHeight="1">
      <c r="AH3333" s="253"/>
    </row>
    <row r="3334" spans="34:34" ht="12.75" customHeight="1">
      <c r="AH3334" s="253"/>
    </row>
    <row r="3335" spans="34:34" ht="12.75" customHeight="1">
      <c r="AH3335" s="253"/>
    </row>
    <row r="3336" spans="34:34" ht="12.75" customHeight="1">
      <c r="AH3336" s="253"/>
    </row>
    <row r="3337" spans="34:34" ht="12.75" customHeight="1">
      <c r="AH3337" s="253"/>
    </row>
    <row r="3338" spans="34:34" ht="12.75" customHeight="1">
      <c r="AH3338" s="253"/>
    </row>
    <row r="3339" spans="34:34" ht="12.75" customHeight="1">
      <c r="AH3339" s="253"/>
    </row>
    <row r="3340" spans="34:34" ht="12.75" customHeight="1">
      <c r="AH3340" s="253"/>
    </row>
    <row r="3341" spans="34:34" ht="12.75" customHeight="1">
      <c r="AH3341" s="253"/>
    </row>
    <row r="3342" spans="34:34" ht="12.75" customHeight="1">
      <c r="AH3342" s="253"/>
    </row>
    <row r="3343" spans="34:34" ht="12.75" customHeight="1">
      <c r="AH3343" s="253"/>
    </row>
    <row r="3344" spans="34:34" ht="12.75" customHeight="1">
      <c r="AH3344" s="253"/>
    </row>
    <row r="3345" spans="34:34" ht="12.75" customHeight="1">
      <c r="AH3345" s="253"/>
    </row>
    <row r="3346" spans="34:34" ht="12.75" customHeight="1">
      <c r="AH3346" s="253"/>
    </row>
    <row r="3347" spans="34:34" ht="12.75" customHeight="1">
      <c r="AH3347" s="253"/>
    </row>
    <row r="3348" spans="34:34" ht="12.75" customHeight="1">
      <c r="AH3348" s="253"/>
    </row>
    <row r="3349" spans="34:34" ht="12.75" customHeight="1">
      <c r="AH3349" s="253"/>
    </row>
    <row r="3350" spans="34:34" ht="12.75" customHeight="1">
      <c r="AH3350" s="253"/>
    </row>
    <row r="3351" spans="34:34" ht="12.75" customHeight="1">
      <c r="AH3351" s="253"/>
    </row>
    <row r="3352" spans="34:34" ht="12.75" customHeight="1">
      <c r="AH3352" s="253"/>
    </row>
    <row r="3353" spans="34:34" ht="12.75" customHeight="1">
      <c r="AH3353" s="253"/>
    </row>
    <row r="3354" spans="34:34" ht="12.75" customHeight="1">
      <c r="AH3354" s="253"/>
    </row>
    <row r="3355" spans="34:34" ht="12.75" customHeight="1">
      <c r="AH3355" s="253"/>
    </row>
    <row r="3356" spans="34:34" ht="12.75" customHeight="1">
      <c r="AH3356" s="253"/>
    </row>
    <row r="3357" spans="34:34" ht="12.75" customHeight="1">
      <c r="AH3357" s="253"/>
    </row>
    <row r="3358" spans="34:34" ht="12.75" customHeight="1">
      <c r="AH3358" s="253"/>
    </row>
    <row r="3359" spans="34:34" ht="12.75" customHeight="1">
      <c r="AH3359" s="253"/>
    </row>
    <row r="3360" spans="34:34" ht="12.75" customHeight="1">
      <c r="AH3360" s="253"/>
    </row>
    <row r="3361" spans="34:34" ht="12.75" customHeight="1">
      <c r="AH3361" s="253"/>
    </row>
    <row r="3362" spans="34:34" ht="12.75" customHeight="1">
      <c r="AH3362" s="253"/>
    </row>
    <row r="3363" spans="34:34" ht="12.75" customHeight="1">
      <c r="AH3363" s="253"/>
    </row>
    <row r="3364" spans="34:34" ht="12.75" customHeight="1">
      <c r="AH3364" s="253"/>
    </row>
    <row r="3365" spans="34:34" ht="12.75" customHeight="1">
      <c r="AH3365" s="253"/>
    </row>
    <row r="3366" spans="34:34" ht="12.75" customHeight="1">
      <c r="AH3366" s="253"/>
    </row>
    <row r="3367" spans="34:34" ht="12.75" customHeight="1">
      <c r="AH3367" s="253"/>
    </row>
    <row r="3368" spans="34:34" ht="12.75" customHeight="1">
      <c r="AH3368" s="253"/>
    </row>
    <row r="3369" spans="34:34" ht="12.75" customHeight="1">
      <c r="AH3369" s="253"/>
    </row>
    <row r="3370" spans="34:34" ht="12.75" customHeight="1">
      <c r="AH3370" s="253"/>
    </row>
    <row r="3371" spans="34:34" ht="12.75" customHeight="1">
      <c r="AH3371" s="253"/>
    </row>
    <row r="3372" spans="34:34" ht="12.75" customHeight="1">
      <c r="AH3372" s="253"/>
    </row>
    <row r="3373" spans="34:34" ht="12.75" customHeight="1">
      <c r="AH3373" s="253"/>
    </row>
    <row r="3374" spans="34:34" ht="12.75" customHeight="1">
      <c r="AH3374" s="253"/>
    </row>
    <row r="3375" spans="34:34" ht="12.75" customHeight="1">
      <c r="AH3375" s="253"/>
    </row>
    <row r="3376" spans="34:34" ht="12.75" customHeight="1">
      <c r="AH3376" s="253"/>
    </row>
    <row r="3377" spans="34:34" ht="12.75" customHeight="1">
      <c r="AH3377" s="253"/>
    </row>
    <row r="3378" spans="34:34" ht="12.75" customHeight="1">
      <c r="AH3378" s="253"/>
    </row>
    <row r="3379" spans="34:34" ht="12.75" customHeight="1">
      <c r="AH3379" s="253"/>
    </row>
    <row r="3380" spans="34:34" ht="12.75" customHeight="1">
      <c r="AH3380" s="253"/>
    </row>
    <row r="3381" spans="34:34" ht="12.75" customHeight="1">
      <c r="AH3381" s="253"/>
    </row>
    <row r="3382" spans="34:34" ht="12.75" customHeight="1">
      <c r="AH3382" s="253"/>
    </row>
    <row r="3383" spans="34:34" ht="12.75" customHeight="1">
      <c r="AH3383" s="253"/>
    </row>
    <row r="3384" spans="34:34" ht="12.75" customHeight="1">
      <c r="AH3384" s="253"/>
    </row>
    <row r="3385" spans="34:34" ht="12.75" customHeight="1">
      <c r="AH3385" s="253"/>
    </row>
    <row r="3386" spans="34:34" ht="12.75" customHeight="1">
      <c r="AH3386" s="253"/>
    </row>
    <row r="3387" spans="34:34" ht="12.75" customHeight="1">
      <c r="AH3387" s="253"/>
    </row>
    <row r="3388" spans="34:34" ht="12.75" customHeight="1">
      <c r="AH3388" s="253"/>
    </row>
    <row r="3389" spans="34:34" ht="12.75" customHeight="1">
      <c r="AH3389" s="253"/>
    </row>
    <row r="3390" spans="34:34" ht="12.75" customHeight="1">
      <c r="AH3390" s="253"/>
    </row>
    <row r="3391" spans="34:34" ht="12.75" customHeight="1">
      <c r="AH3391" s="253"/>
    </row>
    <row r="3392" spans="34:34" ht="12.75" customHeight="1">
      <c r="AH3392" s="253"/>
    </row>
    <row r="3393" spans="34:34" ht="12.75" customHeight="1">
      <c r="AH3393" s="253"/>
    </row>
    <row r="3394" spans="34:34" ht="12.75" customHeight="1">
      <c r="AH3394" s="253"/>
    </row>
    <row r="3395" spans="34:34" ht="12.75" customHeight="1">
      <c r="AH3395" s="253"/>
    </row>
    <row r="3396" spans="34:34" ht="12.75" customHeight="1">
      <c r="AH3396" s="253"/>
    </row>
    <row r="3397" spans="34:34" ht="12.75" customHeight="1">
      <c r="AH3397" s="253"/>
    </row>
    <row r="3398" spans="34:34" ht="12.75" customHeight="1">
      <c r="AH3398" s="253"/>
    </row>
    <row r="3399" spans="34:34" ht="12.75" customHeight="1">
      <c r="AH3399" s="253"/>
    </row>
    <row r="3400" spans="34:34" ht="12.75" customHeight="1">
      <c r="AH3400" s="253"/>
    </row>
    <row r="3401" spans="34:34" ht="12.75" customHeight="1">
      <c r="AH3401" s="253"/>
    </row>
    <row r="3402" spans="34:34" ht="12.75" customHeight="1">
      <c r="AH3402" s="253"/>
    </row>
    <row r="3403" spans="34:34" ht="12.75" customHeight="1">
      <c r="AH3403" s="253"/>
    </row>
    <row r="3404" spans="34:34" ht="12.75" customHeight="1">
      <c r="AH3404" s="253"/>
    </row>
    <row r="3405" spans="34:34" ht="12.75" customHeight="1">
      <c r="AH3405" s="253"/>
    </row>
    <row r="3406" spans="34:34" ht="12.75" customHeight="1">
      <c r="AH3406" s="253"/>
    </row>
    <row r="3407" spans="34:34" ht="12.75" customHeight="1">
      <c r="AH3407" s="253"/>
    </row>
    <row r="3408" spans="34:34" ht="12.75" customHeight="1">
      <c r="AH3408" s="253"/>
    </row>
    <row r="3409" spans="34:34" ht="12.75" customHeight="1">
      <c r="AH3409" s="253"/>
    </row>
    <row r="3410" spans="34:34" ht="12.75" customHeight="1">
      <c r="AH3410" s="253"/>
    </row>
    <row r="3411" spans="34:34" ht="12.75" customHeight="1">
      <c r="AH3411" s="253"/>
    </row>
    <row r="3412" spans="34:34" ht="12.75" customHeight="1">
      <c r="AH3412" s="253"/>
    </row>
    <row r="3413" spans="34:34" ht="12.75" customHeight="1">
      <c r="AH3413" s="253"/>
    </row>
    <row r="3414" spans="34:34" ht="12.75" customHeight="1">
      <c r="AH3414" s="253"/>
    </row>
    <row r="3415" spans="34:34" ht="12.75" customHeight="1">
      <c r="AH3415" s="253"/>
    </row>
    <row r="3416" spans="34:34" ht="12.75" customHeight="1">
      <c r="AH3416" s="253"/>
    </row>
    <row r="3417" spans="34:34" ht="12.75" customHeight="1">
      <c r="AH3417" s="253"/>
    </row>
    <row r="3418" spans="34:34" ht="12.75" customHeight="1">
      <c r="AH3418" s="253"/>
    </row>
    <row r="3419" spans="34:34" ht="12.75" customHeight="1">
      <c r="AH3419" s="253"/>
    </row>
    <row r="3420" spans="34:34" ht="12.75" customHeight="1">
      <c r="AH3420" s="253"/>
    </row>
    <row r="3421" spans="34:34" ht="12.75" customHeight="1">
      <c r="AH3421" s="253"/>
    </row>
    <row r="3422" spans="34:34" ht="12.75" customHeight="1">
      <c r="AH3422" s="253"/>
    </row>
    <row r="3423" spans="34:34" ht="12.75" customHeight="1">
      <c r="AH3423" s="253"/>
    </row>
    <row r="3424" spans="34:34" ht="12.75" customHeight="1">
      <c r="AH3424" s="253"/>
    </row>
    <row r="3425" spans="34:34" ht="12.75" customHeight="1">
      <c r="AH3425" s="253"/>
    </row>
    <row r="3426" spans="34:34" ht="12.75" customHeight="1">
      <c r="AH3426" s="253"/>
    </row>
    <row r="3427" spans="34:34" ht="12.75" customHeight="1">
      <c r="AH3427" s="253"/>
    </row>
    <row r="3428" spans="34:34" ht="12.75" customHeight="1">
      <c r="AH3428" s="253"/>
    </row>
    <row r="3429" spans="34:34" ht="12.75" customHeight="1">
      <c r="AH3429" s="253"/>
    </row>
    <row r="3430" spans="34:34" ht="12.75" customHeight="1">
      <c r="AH3430" s="253"/>
    </row>
    <row r="3431" spans="34:34" ht="12.75" customHeight="1">
      <c r="AH3431" s="253"/>
    </row>
    <row r="3432" spans="34:34" ht="12.75" customHeight="1">
      <c r="AH3432" s="253"/>
    </row>
    <row r="3433" spans="34:34" ht="12.75" customHeight="1">
      <c r="AH3433" s="253"/>
    </row>
    <row r="3434" spans="34:34" ht="12.75" customHeight="1">
      <c r="AH3434" s="253"/>
    </row>
    <row r="3435" spans="34:34" ht="12.75" customHeight="1">
      <c r="AH3435" s="253"/>
    </row>
    <row r="3436" spans="34:34" ht="12.75" customHeight="1">
      <c r="AH3436" s="253"/>
    </row>
    <row r="3437" spans="34:34" ht="12.75" customHeight="1">
      <c r="AH3437" s="253"/>
    </row>
    <row r="3438" spans="34:34" ht="12.75" customHeight="1">
      <c r="AH3438" s="253"/>
    </row>
    <row r="3439" spans="34:34" ht="12.75" customHeight="1">
      <c r="AH3439" s="253"/>
    </row>
    <row r="3440" spans="34:34" ht="12.75" customHeight="1">
      <c r="AH3440" s="253"/>
    </row>
    <row r="3441" spans="34:34" ht="12.75" customHeight="1">
      <c r="AH3441" s="253"/>
    </row>
    <row r="3442" spans="34:34" ht="12.75" customHeight="1">
      <c r="AH3442" s="253"/>
    </row>
    <row r="3443" spans="34:34" ht="12.75" customHeight="1">
      <c r="AH3443" s="253"/>
    </row>
    <row r="3444" spans="34:34" ht="12.75" customHeight="1">
      <c r="AH3444" s="253"/>
    </row>
    <row r="3445" spans="34:34" ht="12.75" customHeight="1">
      <c r="AH3445" s="253"/>
    </row>
    <row r="3446" spans="34:34" ht="12.75" customHeight="1">
      <c r="AH3446" s="253"/>
    </row>
    <row r="3447" spans="34:34" ht="12.75" customHeight="1">
      <c r="AH3447" s="253"/>
    </row>
    <row r="3448" spans="34:34" ht="12.75" customHeight="1">
      <c r="AH3448" s="253"/>
    </row>
    <row r="3449" spans="34:34" ht="12.75" customHeight="1">
      <c r="AH3449" s="253"/>
    </row>
    <row r="3450" spans="34:34" ht="12.75" customHeight="1">
      <c r="AH3450" s="253"/>
    </row>
    <row r="3451" spans="34:34" ht="12.75" customHeight="1">
      <c r="AH3451" s="253"/>
    </row>
    <row r="3452" spans="34:34" ht="12.75" customHeight="1">
      <c r="AH3452" s="253"/>
    </row>
    <row r="3453" spans="34:34" ht="12.75" customHeight="1">
      <c r="AH3453" s="253"/>
    </row>
    <row r="3454" spans="34:34" ht="12.75" customHeight="1">
      <c r="AH3454" s="253"/>
    </row>
    <row r="3455" spans="34:34" ht="12.75" customHeight="1">
      <c r="AH3455" s="253"/>
    </row>
    <row r="3456" spans="34:34" ht="12.75" customHeight="1">
      <c r="AH3456" s="253"/>
    </row>
    <row r="3457" spans="34:34" ht="12.75" customHeight="1">
      <c r="AH3457" s="253"/>
    </row>
    <row r="3458" spans="34:34" ht="12.75" customHeight="1">
      <c r="AH3458" s="253"/>
    </row>
    <row r="3459" spans="34:34" ht="12.75" customHeight="1">
      <c r="AH3459" s="253"/>
    </row>
    <row r="3460" spans="34:34" ht="12.75" customHeight="1">
      <c r="AH3460" s="253"/>
    </row>
    <row r="3461" spans="34:34" ht="12.75" customHeight="1">
      <c r="AH3461" s="253"/>
    </row>
    <row r="3462" spans="34:34" ht="12.75" customHeight="1">
      <c r="AH3462" s="253"/>
    </row>
    <row r="3463" spans="34:34" ht="12.75" customHeight="1">
      <c r="AH3463" s="253"/>
    </row>
    <row r="3464" spans="34:34" ht="12.75" customHeight="1">
      <c r="AH3464" s="253"/>
    </row>
    <row r="3465" spans="34:34" ht="12.75" customHeight="1">
      <c r="AH3465" s="253"/>
    </row>
    <row r="3466" spans="34:34" ht="12.75" customHeight="1">
      <c r="AH3466" s="253"/>
    </row>
    <row r="3467" spans="34:34" ht="12.75" customHeight="1">
      <c r="AH3467" s="253"/>
    </row>
    <row r="3468" spans="34:34" ht="12.75" customHeight="1">
      <c r="AH3468" s="253"/>
    </row>
    <row r="3469" spans="34:34" ht="12.75" customHeight="1">
      <c r="AH3469" s="253"/>
    </row>
    <row r="3470" spans="34:34" ht="12.75" customHeight="1">
      <c r="AH3470" s="253"/>
    </row>
    <row r="3471" spans="34:34" ht="12.75" customHeight="1">
      <c r="AH3471" s="253"/>
    </row>
    <row r="3472" spans="34:34" ht="12.75" customHeight="1">
      <c r="AH3472" s="253"/>
    </row>
    <row r="3473" spans="34:34" ht="12.75" customHeight="1">
      <c r="AH3473" s="253"/>
    </row>
    <row r="3474" spans="34:34" ht="12.75" customHeight="1">
      <c r="AH3474" s="253"/>
    </row>
    <row r="3475" spans="34:34" ht="12.75" customHeight="1">
      <c r="AH3475" s="253"/>
    </row>
    <row r="3476" spans="34:34" ht="12.75" customHeight="1">
      <c r="AH3476" s="253"/>
    </row>
    <row r="3477" spans="34:34" ht="12.75" customHeight="1">
      <c r="AH3477" s="253"/>
    </row>
    <row r="3478" spans="34:34" ht="12.75" customHeight="1">
      <c r="AH3478" s="253"/>
    </row>
    <row r="3479" spans="34:34" ht="12.75" customHeight="1">
      <c r="AH3479" s="253"/>
    </row>
    <row r="3480" spans="34:34" ht="12.75" customHeight="1">
      <c r="AH3480" s="253"/>
    </row>
    <row r="3481" spans="34:34" ht="12.75" customHeight="1">
      <c r="AH3481" s="253"/>
    </row>
    <row r="3482" spans="34:34" ht="12.75" customHeight="1">
      <c r="AH3482" s="253"/>
    </row>
    <row r="3483" spans="34:34" ht="12.75" customHeight="1">
      <c r="AH3483" s="253"/>
    </row>
    <row r="3484" spans="34:34" ht="12.75" customHeight="1">
      <c r="AH3484" s="253"/>
    </row>
    <row r="3485" spans="34:34" ht="12.75" customHeight="1">
      <c r="AH3485" s="253"/>
    </row>
    <row r="3486" spans="34:34" ht="12.75" customHeight="1">
      <c r="AH3486" s="253"/>
    </row>
    <row r="3487" spans="34:34" ht="12.75" customHeight="1">
      <c r="AH3487" s="253"/>
    </row>
    <row r="3488" spans="34:34" ht="12.75" customHeight="1">
      <c r="AH3488" s="253"/>
    </row>
    <row r="3489" spans="34:34" ht="12.75" customHeight="1">
      <c r="AH3489" s="253"/>
    </row>
    <row r="3490" spans="34:34" ht="12.75" customHeight="1">
      <c r="AH3490" s="253"/>
    </row>
    <row r="3491" spans="34:34" ht="12.75" customHeight="1">
      <c r="AH3491" s="253"/>
    </row>
    <row r="3492" spans="34:34" ht="12.75" customHeight="1">
      <c r="AH3492" s="253"/>
    </row>
    <row r="3493" spans="34:34" ht="12.75" customHeight="1">
      <c r="AH3493" s="253"/>
    </row>
    <row r="3494" spans="34:34" ht="12.75" customHeight="1">
      <c r="AH3494" s="253"/>
    </row>
    <row r="3495" spans="34:34" ht="12.75" customHeight="1">
      <c r="AH3495" s="253"/>
    </row>
    <row r="3496" spans="34:34" ht="12.75" customHeight="1">
      <c r="AH3496" s="253"/>
    </row>
    <row r="3497" spans="34:34" ht="12.75" customHeight="1">
      <c r="AH3497" s="253"/>
    </row>
    <row r="3498" spans="34:34" ht="12.75" customHeight="1">
      <c r="AH3498" s="253"/>
    </row>
    <row r="3499" spans="34:34" ht="12.75" customHeight="1">
      <c r="AH3499" s="253"/>
    </row>
    <row r="3500" spans="34:34" ht="12.75" customHeight="1">
      <c r="AH3500" s="253"/>
    </row>
    <row r="3501" spans="34:34" ht="12.75" customHeight="1">
      <c r="AH3501" s="253"/>
    </row>
    <row r="3502" spans="34:34" ht="12.75" customHeight="1">
      <c r="AH3502" s="253"/>
    </row>
    <row r="3503" spans="34:34" ht="12.75" customHeight="1">
      <c r="AH3503" s="253"/>
    </row>
    <row r="3504" spans="34:34" ht="12.75" customHeight="1">
      <c r="AH3504" s="253"/>
    </row>
    <row r="3505" spans="34:34" ht="12.75" customHeight="1">
      <c r="AH3505" s="253"/>
    </row>
    <row r="3506" spans="34:34" ht="12.75" customHeight="1">
      <c r="AH3506" s="253"/>
    </row>
    <row r="3507" spans="34:34" ht="12.75" customHeight="1">
      <c r="AH3507" s="253"/>
    </row>
    <row r="3508" spans="34:34" ht="12.75" customHeight="1">
      <c r="AH3508" s="253"/>
    </row>
    <row r="3509" spans="34:34" ht="12.75" customHeight="1">
      <c r="AH3509" s="253"/>
    </row>
    <row r="3510" spans="34:34" ht="12.75" customHeight="1">
      <c r="AH3510" s="253"/>
    </row>
    <row r="3511" spans="34:34" ht="12.75" customHeight="1">
      <c r="AH3511" s="253"/>
    </row>
    <row r="3512" spans="34:34" ht="12.75" customHeight="1">
      <c r="AH3512" s="253"/>
    </row>
    <row r="3513" spans="34:34" ht="12.75" customHeight="1">
      <c r="AH3513" s="253"/>
    </row>
    <row r="3514" spans="34:34" ht="12.75" customHeight="1">
      <c r="AH3514" s="253"/>
    </row>
    <row r="3515" spans="34:34" ht="12.75" customHeight="1">
      <c r="AH3515" s="253"/>
    </row>
    <row r="3516" spans="34:34" ht="12.75" customHeight="1">
      <c r="AH3516" s="253"/>
    </row>
    <row r="3517" spans="34:34" ht="12.75" customHeight="1">
      <c r="AH3517" s="253"/>
    </row>
    <row r="3518" spans="34:34" ht="12.75" customHeight="1">
      <c r="AH3518" s="253"/>
    </row>
    <row r="3519" spans="34:34" ht="12.75" customHeight="1">
      <c r="AH3519" s="253"/>
    </row>
    <row r="3520" spans="34:34" ht="12.75" customHeight="1">
      <c r="AH3520" s="253"/>
    </row>
    <row r="3521" spans="34:34" ht="12.75" customHeight="1">
      <c r="AH3521" s="253"/>
    </row>
    <row r="3522" spans="34:34" ht="12.75" customHeight="1">
      <c r="AH3522" s="253"/>
    </row>
    <row r="3523" spans="34:34" ht="12.75" customHeight="1">
      <c r="AH3523" s="253"/>
    </row>
    <row r="3524" spans="34:34" ht="12.75" customHeight="1">
      <c r="AH3524" s="253"/>
    </row>
    <row r="3525" spans="34:34" ht="12.75" customHeight="1">
      <c r="AH3525" s="253"/>
    </row>
    <row r="3526" spans="34:34" ht="12.75" customHeight="1">
      <c r="AH3526" s="253"/>
    </row>
    <row r="3527" spans="34:34" ht="12.75" customHeight="1">
      <c r="AH3527" s="253"/>
    </row>
    <row r="3528" spans="34:34" ht="12.75" customHeight="1">
      <c r="AH3528" s="253"/>
    </row>
    <row r="3529" spans="34:34" ht="12.75" customHeight="1">
      <c r="AH3529" s="253"/>
    </row>
    <row r="3530" spans="34:34" ht="12.75" customHeight="1">
      <c r="AH3530" s="253"/>
    </row>
    <row r="3531" spans="34:34" ht="12.75" customHeight="1">
      <c r="AH3531" s="253"/>
    </row>
    <row r="3532" spans="34:34" ht="12.75" customHeight="1">
      <c r="AH3532" s="253"/>
    </row>
    <row r="3533" spans="34:34" ht="12.75" customHeight="1">
      <c r="AH3533" s="253"/>
    </row>
    <row r="3534" spans="34:34" ht="12.75" customHeight="1">
      <c r="AH3534" s="253"/>
    </row>
    <row r="3535" spans="34:34" ht="12.75" customHeight="1">
      <c r="AH3535" s="253"/>
    </row>
    <row r="3536" spans="34:34" ht="12.75" customHeight="1">
      <c r="AH3536" s="253"/>
    </row>
    <row r="3537" spans="34:34" ht="12.75" customHeight="1">
      <c r="AH3537" s="253"/>
    </row>
    <row r="3538" spans="34:34" ht="12.75" customHeight="1">
      <c r="AH3538" s="253"/>
    </row>
    <row r="3539" spans="34:34" ht="12.75" customHeight="1">
      <c r="AH3539" s="253"/>
    </row>
    <row r="3540" spans="34:34" ht="12.75" customHeight="1">
      <c r="AH3540" s="253"/>
    </row>
    <row r="3541" spans="34:34" ht="12.75" customHeight="1">
      <c r="AH3541" s="253"/>
    </row>
    <row r="3542" spans="34:34" ht="12.75" customHeight="1">
      <c r="AH3542" s="253"/>
    </row>
    <row r="3543" spans="34:34" ht="12.75" customHeight="1">
      <c r="AH3543" s="253"/>
    </row>
    <row r="3544" spans="34:34" ht="12.75" customHeight="1">
      <c r="AH3544" s="253"/>
    </row>
    <row r="3545" spans="34:34" ht="12.75" customHeight="1">
      <c r="AH3545" s="253"/>
    </row>
    <row r="3546" spans="34:34" ht="12.75" customHeight="1">
      <c r="AH3546" s="253"/>
    </row>
    <row r="3547" spans="34:34" ht="12.75" customHeight="1">
      <c r="AH3547" s="253"/>
    </row>
    <row r="3548" spans="34:34" ht="12.75" customHeight="1">
      <c r="AH3548" s="253"/>
    </row>
    <row r="3549" spans="34:34" ht="12.75" customHeight="1">
      <c r="AH3549" s="253"/>
    </row>
    <row r="3550" spans="34:34" ht="12.75" customHeight="1">
      <c r="AH3550" s="253"/>
    </row>
    <row r="3551" spans="34:34" ht="12.75" customHeight="1">
      <c r="AH3551" s="253"/>
    </row>
    <row r="3552" spans="34:34" ht="12.75" customHeight="1">
      <c r="AH3552" s="253"/>
    </row>
    <row r="3553" spans="34:34" ht="12.75" customHeight="1">
      <c r="AH3553" s="253"/>
    </row>
    <row r="3554" spans="34:34" ht="12.75" customHeight="1">
      <c r="AH3554" s="253"/>
    </row>
    <row r="3555" spans="34:34" ht="12.75" customHeight="1">
      <c r="AH3555" s="253"/>
    </row>
    <row r="3556" spans="34:34" ht="12.75" customHeight="1">
      <c r="AH3556" s="253"/>
    </row>
    <row r="3557" spans="34:34" ht="12.75" customHeight="1">
      <c r="AH3557" s="253"/>
    </row>
    <row r="3558" spans="34:34" ht="12.75" customHeight="1">
      <c r="AH3558" s="253"/>
    </row>
    <row r="3559" spans="34:34" ht="12.75" customHeight="1">
      <c r="AH3559" s="253"/>
    </row>
    <row r="3560" spans="34:34" ht="12.75" customHeight="1">
      <c r="AH3560" s="253"/>
    </row>
    <row r="3561" spans="34:34" ht="12.75" customHeight="1">
      <c r="AH3561" s="253"/>
    </row>
    <row r="3562" spans="34:34" ht="12.75" customHeight="1">
      <c r="AH3562" s="253"/>
    </row>
    <row r="3563" spans="34:34" ht="12.75" customHeight="1">
      <c r="AH3563" s="253"/>
    </row>
    <row r="3564" spans="34:34" ht="12.75" customHeight="1">
      <c r="AH3564" s="253"/>
    </row>
    <row r="3565" spans="34:34" ht="12.75" customHeight="1">
      <c r="AH3565" s="253"/>
    </row>
    <row r="3566" spans="34:34" ht="12.75" customHeight="1">
      <c r="AH3566" s="253"/>
    </row>
    <row r="3567" spans="34:34" ht="12.75" customHeight="1">
      <c r="AH3567" s="253"/>
    </row>
    <row r="3568" spans="34:34" ht="12.75" customHeight="1">
      <c r="AH3568" s="253"/>
    </row>
    <row r="3569" spans="34:34" ht="12.75" customHeight="1">
      <c r="AH3569" s="253"/>
    </row>
    <row r="3570" spans="34:34" ht="12.75" customHeight="1">
      <c r="AH3570" s="253"/>
    </row>
    <row r="3571" spans="34:34" ht="12.75" customHeight="1">
      <c r="AH3571" s="253"/>
    </row>
    <row r="3572" spans="34:34" ht="12.75" customHeight="1">
      <c r="AH3572" s="253"/>
    </row>
    <row r="3573" spans="34:34" ht="12.75" customHeight="1">
      <c r="AH3573" s="253"/>
    </row>
    <row r="3574" spans="34:34" ht="12.75" customHeight="1">
      <c r="AH3574" s="253"/>
    </row>
    <row r="3575" spans="34:34" ht="12.75" customHeight="1">
      <c r="AH3575" s="253"/>
    </row>
    <row r="3576" spans="34:34" ht="12.75" customHeight="1">
      <c r="AH3576" s="253"/>
    </row>
    <row r="3577" spans="34:34" ht="12.75" customHeight="1">
      <c r="AH3577" s="253"/>
    </row>
    <row r="3578" spans="34:34" ht="12.75" customHeight="1">
      <c r="AH3578" s="253"/>
    </row>
    <row r="3579" spans="34:34" ht="12.75" customHeight="1">
      <c r="AH3579" s="253"/>
    </row>
    <row r="3580" spans="34:34" ht="12.75" customHeight="1">
      <c r="AH3580" s="253"/>
    </row>
    <row r="3581" spans="34:34" ht="12.75" customHeight="1">
      <c r="AH3581" s="253"/>
    </row>
    <row r="3582" spans="34:34" ht="12.75" customHeight="1">
      <c r="AH3582" s="253"/>
    </row>
    <row r="3583" spans="34:34" ht="12.75" customHeight="1">
      <c r="AH3583" s="253"/>
    </row>
    <row r="3584" spans="34:34" ht="12.75" customHeight="1">
      <c r="AH3584" s="253"/>
    </row>
    <row r="3585" spans="34:34" ht="12.75" customHeight="1">
      <c r="AH3585" s="253"/>
    </row>
    <row r="3586" spans="34:34" ht="12.75" customHeight="1">
      <c r="AH3586" s="253"/>
    </row>
    <row r="3587" spans="34:34" ht="12.75" customHeight="1">
      <c r="AH3587" s="253"/>
    </row>
    <row r="3588" spans="34:34" ht="12.75" customHeight="1">
      <c r="AH3588" s="253"/>
    </row>
    <row r="3589" spans="34:34" ht="12.75" customHeight="1">
      <c r="AH3589" s="253"/>
    </row>
    <row r="3590" spans="34:34" ht="12.75" customHeight="1">
      <c r="AH3590" s="253"/>
    </row>
    <row r="3591" spans="34:34" ht="12.75" customHeight="1">
      <c r="AH3591" s="253"/>
    </row>
    <row r="3592" spans="34:34" ht="12.75" customHeight="1">
      <c r="AH3592" s="253"/>
    </row>
    <row r="3593" spans="34:34" ht="12.75" customHeight="1">
      <c r="AH3593" s="253"/>
    </row>
    <row r="3594" spans="34:34" ht="12.75" customHeight="1">
      <c r="AH3594" s="253"/>
    </row>
    <row r="3595" spans="34:34" ht="12.75" customHeight="1">
      <c r="AH3595" s="253"/>
    </row>
    <row r="3596" spans="34:34" ht="12.75" customHeight="1">
      <c r="AH3596" s="253"/>
    </row>
    <row r="3597" spans="34:34" ht="12.75" customHeight="1">
      <c r="AH3597" s="253"/>
    </row>
    <row r="3598" spans="34:34" ht="12.75" customHeight="1">
      <c r="AH3598" s="253"/>
    </row>
    <row r="3599" spans="34:34" ht="12.75" customHeight="1">
      <c r="AH3599" s="253"/>
    </row>
    <row r="3600" spans="34:34" ht="12.75" customHeight="1">
      <c r="AH3600" s="253"/>
    </row>
    <row r="3601" spans="34:34" ht="12.75" customHeight="1">
      <c r="AH3601" s="253"/>
    </row>
    <row r="3602" spans="34:34" ht="12.75" customHeight="1">
      <c r="AH3602" s="253"/>
    </row>
    <row r="3603" spans="34:34" ht="12.75" customHeight="1">
      <c r="AH3603" s="253"/>
    </row>
    <row r="3604" spans="34:34" ht="12.75" customHeight="1">
      <c r="AH3604" s="253"/>
    </row>
    <row r="3605" spans="34:34" ht="12.75" customHeight="1">
      <c r="AH3605" s="253"/>
    </row>
    <row r="3606" spans="34:34" ht="12.75" customHeight="1">
      <c r="AH3606" s="253"/>
    </row>
    <row r="3607" spans="34:34" ht="12.75" customHeight="1">
      <c r="AH3607" s="253"/>
    </row>
    <row r="3608" spans="34:34" ht="12.75" customHeight="1">
      <c r="AH3608" s="253"/>
    </row>
    <row r="3609" spans="34:34" ht="12.75" customHeight="1">
      <c r="AH3609" s="253"/>
    </row>
    <row r="3610" spans="34:34" ht="12.75" customHeight="1">
      <c r="AH3610" s="253"/>
    </row>
    <row r="3611" spans="34:34" ht="12.75" customHeight="1">
      <c r="AH3611" s="253"/>
    </row>
    <row r="3612" spans="34:34" ht="12.75" customHeight="1">
      <c r="AH3612" s="253"/>
    </row>
    <row r="3613" spans="34:34" ht="12.75" customHeight="1">
      <c r="AH3613" s="253"/>
    </row>
    <row r="3614" spans="34:34" ht="12.75" customHeight="1">
      <c r="AH3614" s="253"/>
    </row>
    <row r="3615" spans="34:34" ht="12.75" customHeight="1">
      <c r="AH3615" s="253"/>
    </row>
    <row r="3616" spans="34:34" ht="12.75" customHeight="1">
      <c r="AH3616" s="253"/>
    </row>
    <row r="3617" spans="34:34" ht="12.75" customHeight="1">
      <c r="AH3617" s="253"/>
    </row>
    <row r="3618" spans="34:34" ht="12.75" customHeight="1">
      <c r="AH3618" s="253"/>
    </row>
    <row r="3619" spans="34:34" ht="12.75" customHeight="1">
      <c r="AH3619" s="253"/>
    </row>
    <row r="3620" spans="34:34" ht="12.75" customHeight="1">
      <c r="AH3620" s="253"/>
    </row>
    <row r="3621" spans="34:34" ht="12.75" customHeight="1">
      <c r="AH3621" s="253"/>
    </row>
    <row r="3622" spans="34:34" ht="12.75" customHeight="1">
      <c r="AH3622" s="253"/>
    </row>
    <row r="3623" spans="34:34" ht="12.75" customHeight="1">
      <c r="AH3623" s="253"/>
    </row>
    <row r="3624" spans="34:34" ht="12.75" customHeight="1">
      <c r="AH3624" s="253"/>
    </row>
    <row r="3625" spans="34:34" ht="12.75" customHeight="1">
      <c r="AH3625" s="253"/>
    </row>
    <row r="3626" spans="34:34" ht="12.75" customHeight="1">
      <c r="AH3626" s="253"/>
    </row>
    <row r="3627" spans="34:34" ht="12.75" customHeight="1">
      <c r="AH3627" s="253"/>
    </row>
    <row r="3628" spans="34:34" ht="12.75" customHeight="1">
      <c r="AH3628" s="253"/>
    </row>
    <row r="3629" spans="34:34" ht="12.75" customHeight="1">
      <c r="AH3629" s="253"/>
    </row>
    <row r="3630" spans="34:34" ht="12.75" customHeight="1">
      <c r="AH3630" s="253"/>
    </row>
    <row r="3631" spans="34:34" ht="12.75" customHeight="1">
      <c r="AH3631" s="253"/>
    </row>
    <row r="3632" spans="34:34" ht="12.75" customHeight="1">
      <c r="AH3632" s="253"/>
    </row>
    <row r="3633" spans="34:34" ht="12.75" customHeight="1">
      <c r="AH3633" s="253"/>
    </row>
    <row r="3634" spans="34:34" ht="12.75" customHeight="1">
      <c r="AH3634" s="253"/>
    </row>
    <row r="3635" spans="34:34" ht="12.75" customHeight="1">
      <c r="AH3635" s="253"/>
    </row>
    <row r="3636" spans="34:34" ht="12.75" customHeight="1">
      <c r="AH3636" s="253"/>
    </row>
    <row r="3637" spans="34:34" ht="12.75" customHeight="1">
      <c r="AH3637" s="253"/>
    </row>
    <row r="3638" spans="34:34" ht="12.75" customHeight="1">
      <c r="AH3638" s="253"/>
    </row>
    <row r="3639" spans="34:34" ht="12.75" customHeight="1">
      <c r="AH3639" s="253"/>
    </row>
    <row r="3640" spans="34:34" ht="12.75" customHeight="1">
      <c r="AH3640" s="253"/>
    </row>
    <row r="3641" spans="34:34" ht="12.75" customHeight="1">
      <c r="AH3641" s="253"/>
    </row>
    <row r="3642" spans="34:34" ht="12.75" customHeight="1">
      <c r="AH3642" s="253"/>
    </row>
    <row r="3643" spans="34:34" ht="12.75" customHeight="1">
      <c r="AH3643" s="253"/>
    </row>
    <row r="3644" spans="34:34" ht="12.75" customHeight="1">
      <c r="AH3644" s="253"/>
    </row>
    <row r="3645" spans="34:34" ht="12.75" customHeight="1">
      <c r="AH3645" s="253"/>
    </row>
    <row r="3646" spans="34:34" ht="12.75" customHeight="1">
      <c r="AH3646" s="253"/>
    </row>
    <row r="3647" spans="34:34" ht="12.75" customHeight="1">
      <c r="AH3647" s="253"/>
    </row>
    <row r="3648" spans="34:34" ht="12.75" customHeight="1">
      <c r="AH3648" s="253"/>
    </row>
    <row r="3649" spans="34:34" ht="12.75" customHeight="1">
      <c r="AH3649" s="253"/>
    </row>
    <row r="3650" spans="34:34" ht="12.75" customHeight="1">
      <c r="AH3650" s="253"/>
    </row>
    <row r="3651" spans="34:34" ht="12.75" customHeight="1">
      <c r="AH3651" s="253"/>
    </row>
    <row r="3652" spans="34:34" ht="12.75" customHeight="1">
      <c r="AH3652" s="253"/>
    </row>
    <row r="3653" spans="34:34" ht="12.75" customHeight="1">
      <c r="AH3653" s="253"/>
    </row>
    <row r="3654" spans="34:34" ht="12.75" customHeight="1">
      <c r="AH3654" s="253"/>
    </row>
    <row r="3655" spans="34:34" ht="12.75" customHeight="1">
      <c r="AH3655" s="253"/>
    </row>
    <row r="3656" spans="34:34" ht="12.75" customHeight="1">
      <c r="AH3656" s="253"/>
    </row>
    <row r="3657" spans="34:34" ht="12.75" customHeight="1">
      <c r="AH3657" s="253"/>
    </row>
    <row r="3658" spans="34:34" ht="12.75" customHeight="1">
      <c r="AH3658" s="253"/>
    </row>
    <row r="3659" spans="34:34" ht="12.75" customHeight="1">
      <c r="AH3659" s="253"/>
    </row>
    <row r="3660" spans="34:34" ht="12.75" customHeight="1">
      <c r="AH3660" s="253"/>
    </row>
    <row r="3661" spans="34:34" ht="12.75" customHeight="1">
      <c r="AH3661" s="253"/>
    </row>
    <row r="3662" spans="34:34" ht="12.75" customHeight="1">
      <c r="AH3662" s="253"/>
    </row>
    <row r="3663" spans="34:34" ht="12.75" customHeight="1">
      <c r="AH3663" s="253"/>
    </row>
    <row r="3664" spans="34:34" ht="12.75" customHeight="1">
      <c r="AH3664" s="253"/>
    </row>
    <row r="3665" spans="34:34" ht="12.75" customHeight="1">
      <c r="AH3665" s="253"/>
    </row>
    <row r="3666" spans="34:34" ht="12.75" customHeight="1">
      <c r="AH3666" s="253"/>
    </row>
    <row r="3667" spans="34:34" ht="12.75" customHeight="1">
      <c r="AH3667" s="253"/>
    </row>
    <row r="3668" spans="34:34" ht="12.75" customHeight="1">
      <c r="AH3668" s="253"/>
    </row>
    <row r="3669" spans="34:34" ht="12.75" customHeight="1">
      <c r="AH3669" s="253"/>
    </row>
    <row r="3670" spans="34:34" ht="12.75" customHeight="1">
      <c r="AH3670" s="253"/>
    </row>
    <row r="3671" spans="34:34" ht="12.75" customHeight="1">
      <c r="AH3671" s="253"/>
    </row>
    <row r="3672" spans="34:34" ht="12.75" customHeight="1">
      <c r="AH3672" s="253"/>
    </row>
    <row r="3673" spans="34:34" ht="12.75" customHeight="1">
      <c r="AH3673" s="253"/>
    </row>
    <row r="3674" spans="34:34" ht="12.75" customHeight="1">
      <c r="AH3674" s="253"/>
    </row>
    <row r="3675" spans="34:34" ht="12.75" customHeight="1">
      <c r="AH3675" s="253"/>
    </row>
    <row r="3676" spans="34:34" ht="12.75" customHeight="1">
      <c r="AH3676" s="253"/>
    </row>
    <row r="3677" spans="34:34" ht="12.75" customHeight="1">
      <c r="AH3677" s="253"/>
    </row>
    <row r="3678" spans="34:34" ht="12.75" customHeight="1">
      <c r="AH3678" s="253"/>
    </row>
    <row r="3679" spans="34:34" ht="12.75" customHeight="1">
      <c r="AH3679" s="253"/>
    </row>
    <row r="3680" spans="34:34" ht="12.75" customHeight="1">
      <c r="AH3680" s="253"/>
    </row>
    <row r="3681" spans="34:34" ht="12.75" customHeight="1">
      <c r="AH3681" s="253"/>
    </row>
    <row r="3682" spans="34:34" ht="12.75" customHeight="1">
      <c r="AH3682" s="253"/>
    </row>
    <row r="3683" spans="34:34" ht="12.75" customHeight="1">
      <c r="AH3683" s="253"/>
    </row>
    <row r="3684" spans="34:34" ht="12.75" customHeight="1">
      <c r="AH3684" s="253"/>
    </row>
    <row r="3685" spans="34:34" ht="12.75" customHeight="1">
      <c r="AH3685" s="253"/>
    </row>
    <row r="3686" spans="34:34" ht="12.75" customHeight="1">
      <c r="AH3686" s="253"/>
    </row>
    <row r="3687" spans="34:34" ht="12.75" customHeight="1">
      <c r="AH3687" s="253"/>
    </row>
    <row r="3688" spans="34:34" ht="12.75" customHeight="1">
      <c r="AH3688" s="253"/>
    </row>
    <row r="3689" spans="34:34" ht="12.75" customHeight="1">
      <c r="AH3689" s="253"/>
    </row>
    <row r="3690" spans="34:34" ht="12.75" customHeight="1">
      <c r="AH3690" s="253"/>
    </row>
    <row r="3691" spans="34:34" ht="12.75" customHeight="1">
      <c r="AH3691" s="253"/>
    </row>
    <row r="3692" spans="34:34" ht="12.75" customHeight="1">
      <c r="AH3692" s="253"/>
    </row>
    <row r="3693" spans="34:34" ht="12.75" customHeight="1">
      <c r="AH3693" s="253"/>
    </row>
    <row r="3694" spans="34:34" ht="12.75" customHeight="1">
      <c r="AH3694" s="253"/>
    </row>
    <row r="3695" spans="34:34" ht="12.75" customHeight="1">
      <c r="AH3695" s="253"/>
    </row>
    <row r="3696" spans="34:34" ht="12.75" customHeight="1">
      <c r="AH3696" s="253"/>
    </row>
    <row r="3697" spans="34:34" ht="12.75" customHeight="1">
      <c r="AH3697" s="253"/>
    </row>
    <row r="3698" spans="34:34" ht="12.75" customHeight="1">
      <c r="AH3698" s="253"/>
    </row>
    <row r="3699" spans="34:34" ht="12.75" customHeight="1">
      <c r="AH3699" s="253"/>
    </row>
    <row r="3700" spans="34:34" ht="12.75" customHeight="1">
      <c r="AH3700" s="253"/>
    </row>
    <row r="3701" spans="34:34" ht="12.75" customHeight="1">
      <c r="AH3701" s="253"/>
    </row>
    <row r="3702" spans="34:34" ht="12.75" customHeight="1">
      <c r="AH3702" s="253"/>
    </row>
    <row r="3703" spans="34:34" ht="12.75" customHeight="1">
      <c r="AH3703" s="253"/>
    </row>
    <row r="3704" spans="34:34" ht="12.75" customHeight="1">
      <c r="AH3704" s="253"/>
    </row>
    <row r="3705" spans="34:34" ht="12.75" customHeight="1">
      <c r="AH3705" s="253"/>
    </row>
    <row r="3706" spans="34:34" ht="12.75" customHeight="1">
      <c r="AH3706" s="253"/>
    </row>
    <row r="3707" spans="34:34" ht="12.75" customHeight="1">
      <c r="AH3707" s="253"/>
    </row>
    <row r="3708" spans="34:34" ht="12.75" customHeight="1">
      <c r="AH3708" s="253"/>
    </row>
    <row r="3709" spans="34:34" ht="12.75" customHeight="1">
      <c r="AH3709" s="253"/>
    </row>
    <row r="3710" spans="34:34" ht="12.75" customHeight="1">
      <c r="AH3710" s="253"/>
    </row>
    <row r="3711" spans="34:34" ht="12.75" customHeight="1">
      <c r="AH3711" s="253"/>
    </row>
    <row r="3712" spans="34:34" ht="12.75" customHeight="1">
      <c r="AH3712" s="253"/>
    </row>
    <row r="3713" spans="34:34" ht="12.75" customHeight="1">
      <c r="AH3713" s="253"/>
    </row>
    <row r="3714" spans="34:34" ht="12.75" customHeight="1">
      <c r="AH3714" s="253"/>
    </row>
    <row r="3715" spans="34:34" ht="12.75" customHeight="1">
      <c r="AH3715" s="253"/>
    </row>
    <row r="3716" spans="34:34" ht="12.75" customHeight="1">
      <c r="AH3716" s="253"/>
    </row>
    <row r="3717" spans="34:34" ht="12.75" customHeight="1">
      <c r="AH3717" s="253"/>
    </row>
    <row r="3718" spans="34:34" ht="12.75" customHeight="1">
      <c r="AH3718" s="253"/>
    </row>
    <row r="3719" spans="34:34" ht="12.75" customHeight="1">
      <c r="AH3719" s="253"/>
    </row>
    <row r="3720" spans="34:34" ht="12.75" customHeight="1">
      <c r="AH3720" s="253"/>
    </row>
    <row r="3721" spans="34:34" ht="12.75" customHeight="1">
      <c r="AH3721" s="253"/>
    </row>
    <row r="3722" spans="34:34" ht="12.75" customHeight="1">
      <c r="AH3722" s="253"/>
    </row>
    <row r="3723" spans="34:34" ht="12.75" customHeight="1">
      <c r="AH3723" s="253"/>
    </row>
    <row r="3724" spans="34:34" ht="12.75" customHeight="1">
      <c r="AH3724" s="253"/>
    </row>
    <row r="3725" spans="34:34" ht="12.75" customHeight="1">
      <c r="AH3725" s="253"/>
    </row>
    <row r="3726" spans="34:34" ht="12.75" customHeight="1">
      <c r="AH3726" s="253"/>
    </row>
    <row r="3727" spans="34:34" ht="12.75" customHeight="1">
      <c r="AH3727" s="253"/>
    </row>
    <row r="3728" spans="34:34" ht="12.75" customHeight="1">
      <c r="AH3728" s="253"/>
    </row>
    <row r="3729" spans="34:34" ht="12.75" customHeight="1">
      <c r="AH3729" s="253"/>
    </row>
    <row r="3730" spans="34:34" ht="12.75" customHeight="1">
      <c r="AH3730" s="253"/>
    </row>
    <row r="3731" spans="34:34" ht="12.75" customHeight="1">
      <c r="AH3731" s="253"/>
    </row>
    <row r="3732" spans="34:34" ht="12.75" customHeight="1">
      <c r="AH3732" s="253"/>
    </row>
    <row r="3733" spans="34:34" ht="12.75" customHeight="1">
      <c r="AH3733" s="253"/>
    </row>
    <row r="3734" spans="34:34" ht="12.75" customHeight="1">
      <c r="AH3734" s="253"/>
    </row>
    <row r="3735" spans="34:34" ht="12.75" customHeight="1">
      <c r="AH3735" s="253"/>
    </row>
    <row r="3736" spans="34:34" ht="12.75" customHeight="1">
      <c r="AH3736" s="253"/>
    </row>
    <row r="3737" spans="34:34" ht="12.75" customHeight="1">
      <c r="AH3737" s="253"/>
    </row>
    <row r="3738" spans="34:34" ht="12.75" customHeight="1">
      <c r="AH3738" s="253"/>
    </row>
    <row r="3739" spans="34:34" ht="12.75" customHeight="1">
      <c r="AH3739" s="253"/>
    </row>
    <row r="3740" spans="34:34" ht="12.75" customHeight="1">
      <c r="AH3740" s="253"/>
    </row>
    <row r="3741" spans="34:34" ht="12.75" customHeight="1">
      <c r="AH3741" s="253"/>
    </row>
    <row r="3742" spans="34:34" ht="12.75" customHeight="1">
      <c r="AH3742" s="253"/>
    </row>
    <row r="3743" spans="34:34" ht="12.75" customHeight="1">
      <c r="AH3743" s="253"/>
    </row>
    <row r="3744" spans="34:34" ht="12.75" customHeight="1">
      <c r="AH3744" s="253"/>
    </row>
    <row r="3745" spans="34:34" ht="12.75" customHeight="1">
      <c r="AH3745" s="253"/>
    </row>
    <row r="3746" spans="34:34" ht="12.75" customHeight="1">
      <c r="AH3746" s="253"/>
    </row>
    <row r="3747" spans="34:34" ht="12.75" customHeight="1">
      <c r="AH3747" s="253"/>
    </row>
    <row r="3748" spans="34:34" ht="12.75" customHeight="1">
      <c r="AH3748" s="253"/>
    </row>
    <row r="3749" spans="34:34" ht="12.75" customHeight="1">
      <c r="AH3749" s="253"/>
    </row>
    <row r="3750" spans="34:34" ht="12.75" customHeight="1">
      <c r="AH3750" s="253"/>
    </row>
    <row r="3751" spans="34:34" ht="12.75" customHeight="1">
      <c r="AH3751" s="253"/>
    </row>
    <row r="3752" spans="34:34" ht="12.75" customHeight="1">
      <c r="AH3752" s="253"/>
    </row>
    <row r="3753" spans="34:34" ht="12.75" customHeight="1">
      <c r="AH3753" s="253"/>
    </row>
    <row r="3754" spans="34:34" ht="12.75" customHeight="1">
      <c r="AH3754" s="253"/>
    </row>
    <row r="3755" spans="34:34" ht="12.75" customHeight="1">
      <c r="AH3755" s="253"/>
    </row>
    <row r="3756" spans="34:34" ht="12.75" customHeight="1">
      <c r="AH3756" s="253"/>
    </row>
    <row r="3757" spans="34:34" ht="12.75" customHeight="1">
      <c r="AH3757" s="253"/>
    </row>
    <row r="3758" spans="34:34" ht="12.75" customHeight="1">
      <c r="AH3758" s="253"/>
    </row>
    <row r="3759" spans="34:34" ht="12.75" customHeight="1">
      <c r="AH3759" s="253"/>
    </row>
    <row r="3760" spans="34:34" ht="12.75" customHeight="1">
      <c r="AH3760" s="253"/>
    </row>
    <row r="3761" spans="34:34" ht="12.75" customHeight="1">
      <c r="AH3761" s="253"/>
    </row>
    <row r="3762" spans="34:34" ht="12.75" customHeight="1">
      <c r="AH3762" s="253"/>
    </row>
    <row r="3763" spans="34:34" ht="12.75" customHeight="1">
      <c r="AH3763" s="253"/>
    </row>
    <row r="3764" spans="34:34" ht="12.75" customHeight="1">
      <c r="AH3764" s="253"/>
    </row>
    <row r="3765" spans="34:34" ht="12.75" customHeight="1">
      <c r="AH3765" s="253"/>
    </row>
    <row r="3766" spans="34:34" ht="12.75" customHeight="1">
      <c r="AH3766" s="253"/>
    </row>
    <row r="3767" spans="34:34" ht="12.75" customHeight="1">
      <c r="AH3767" s="253"/>
    </row>
    <row r="3768" spans="34:34" ht="12.75" customHeight="1">
      <c r="AH3768" s="253"/>
    </row>
    <row r="3769" spans="34:34" ht="12.75" customHeight="1">
      <c r="AH3769" s="253"/>
    </row>
    <row r="3770" spans="34:34" ht="12.75" customHeight="1">
      <c r="AH3770" s="253"/>
    </row>
    <row r="3771" spans="34:34" ht="12.75" customHeight="1">
      <c r="AH3771" s="253"/>
    </row>
    <row r="3772" spans="34:34" ht="12.75" customHeight="1">
      <c r="AH3772" s="253"/>
    </row>
    <row r="3773" spans="34:34" ht="12.75" customHeight="1">
      <c r="AH3773" s="253"/>
    </row>
    <row r="3774" spans="34:34" ht="12.75" customHeight="1">
      <c r="AH3774" s="253"/>
    </row>
    <row r="3775" spans="34:34" ht="12.75" customHeight="1">
      <c r="AH3775" s="253"/>
    </row>
    <row r="3776" spans="34:34" ht="12.75" customHeight="1">
      <c r="AH3776" s="253"/>
    </row>
    <row r="3777" spans="34:34" ht="12.75" customHeight="1">
      <c r="AH3777" s="253"/>
    </row>
    <row r="3778" spans="34:34" ht="12.75" customHeight="1">
      <c r="AH3778" s="253"/>
    </row>
    <row r="3779" spans="34:34" ht="12.75" customHeight="1">
      <c r="AH3779" s="253"/>
    </row>
    <row r="3780" spans="34:34" ht="12.75" customHeight="1">
      <c r="AH3780" s="253"/>
    </row>
    <row r="3781" spans="34:34" ht="12.75" customHeight="1">
      <c r="AH3781" s="253"/>
    </row>
    <row r="3782" spans="34:34" ht="12.75" customHeight="1">
      <c r="AH3782" s="253"/>
    </row>
    <row r="3783" spans="34:34" ht="12.75" customHeight="1">
      <c r="AH3783" s="253"/>
    </row>
    <row r="3784" spans="34:34" ht="12.75" customHeight="1">
      <c r="AH3784" s="253"/>
    </row>
    <row r="3785" spans="34:34" ht="12.75" customHeight="1">
      <c r="AH3785" s="253"/>
    </row>
    <row r="3786" spans="34:34" ht="12.75" customHeight="1">
      <c r="AH3786" s="253"/>
    </row>
    <row r="3787" spans="34:34" ht="12.75" customHeight="1">
      <c r="AH3787" s="253"/>
    </row>
    <row r="3788" spans="34:34" ht="12.75" customHeight="1">
      <c r="AH3788" s="253"/>
    </row>
    <row r="3789" spans="34:34" ht="12.75" customHeight="1">
      <c r="AH3789" s="253"/>
    </row>
    <row r="3790" spans="34:34" ht="12.75" customHeight="1">
      <c r="AH3790" s="253"/>
    </row>
    <row r="3791" spans="34:34" ht="12.75" customHeight="1">
      <c r="AH3791" s="253"/>
    </row>
    <row r="3792" spans="34:34" ht="12.75" customHeight="1">
      <c r="AH3792" s="253"/>
    </row>
    <row r="3793" spans="34:34" ht="12.75" customHeight="1">
      <c r="AH3793" s="253"/>
    </row>
    <row r="3794" spans="34:34" ht="12.75" customHeight="1">
      <c r="AH3794" s="253"/>
    </row>
    <row r="3795" spans="34:34" ht="12.75" customHeight="1">
      <c r="AH3795" s="253"/>
    </row>
    <row r="3796" spans="34:34" ht="12.75" customHeight="1">
      <c r="AH3796" s="253"/>
    </row>
    <row r="3797" spans="34:34" ht="12.75" customHeight="1">
      <c r="AH3797" s="253"/>
    </row>
    <row r="3798" spans="34:34" ht="12.75" customHeight="1">
      <c r="AH3798" s="253"/>
    </row>
    <row r="3799" spans="34:34" ht="12.75" customHeight="1">
      <c r="AH3799" s="253"/>
    </row>
    <row r="3800" spans="34:34" ht="12.75" customHeight="1">
      <c r="AH3800" s="253"/>
    </row>
    <row r="3801" spans="34:34" ht="12.75" customHeight="1">
      <c r="AH3801" s="253"/>
    </row>
    <row r="3802" spans="34:34" ht="12.75" customHeight="1">
      <c r="AH3802" s="253"/>
    </row>
    <row r="3803" spans="34:34" ht="12.75" customHeight="1">
      <c r="AH3803" s="253"/>
    </row>
    <row r="3804" spans="34:34" ht="12.75" customHeight="1">
      <c r="AH3804" s="253"/>
    </row>
    <row r="3805" spans="34:34" ht="12.75" customHeight="1">
      <c r="AH3805" s="253"/>
    </row>
    <row r="3806" spans="34:34" ht="12.75" customHeight="1">
      <c r="AH3806" s="253"/>
    </row>
    <row r="3807" spans="34:34" ht="12.75" customHeight="1">
      <c r="AH3807" s="253"/>
    </row>
    <row r="3808" spans="34:34" ht="12.75" customHeight="1">
      <c r="AH3808" s="253"/>
    </row>
    <row r="3809" spans="34:34" ht="12.75" customHeight="1">
      <c r="AH3809" s="253"/>
    </row>
    <row r="3810" spans="34:34" ht="12.75" customHeight="1">
      <c r="AH3810" s="253"/>
    </row>
    <row r="3811" spans="34:34" ht="12.75" customHeight="1">
      <c r="AH3811" s="253"/>
    </row>
    <row r="3812" spans="34:34" ht="12.75" customHeight="1">
      <c r="AH3812" s="253"/>
    </row>
    <row r="3813" spans="34:34" ht="12.75" customHeight="1">
      <c r="AH3813" s="253"/>
    </row>
    <row r="3814" spans="34:34" ht="12.75" customHeight="1">
      <c r="AH3814" s="253"/>
    </row>
    <row r="3815" spans="34:34" ht="12.75" customHeight="1">
      <c r="AH3815" s="253"/>
    </row>
    <row r="3816" spans="34:34" ht="12.75" customHeight="1">
      <c r="AH3816" s="253"/>
    </row>
    <row r="3817" spans="34:34" ht="12.75" customHeight="1">
      <c r="AH3817" s="253"/>
    </row>
    <row r="3818" spans="34:34" ht="12.75" customHeight="1">
      <c r="AH3818" s="253"/>
    </row>
    <row r="3819" spans="34:34" ht="12.75" customHeight="1">
      <c r="AH3819" s="253"/>
    </row>
    <row r="3820" spans="34:34" ht="12.75" customHeight="1">
      <c r="AH3820" s="253"/>
    </row>
    <row r="3821" spans="34:34" ht="12.75" customHeight="1">
      <c r="AH3821" s="253"/>
    </row>
    <row r="3822" spans="34:34" ht="12.75" customHeight="1">
      <c r="AH3822" s="253"/>
    </row>
    <row r="3823" spans="34:34" ht="12.75" customHeight="1">
      <c r="AH3823" s="253"/>
    </row>
    <row r="3824" spans="34:34" ht="12.75" customHeight="1">
      <c r="AH3824" s="253"/>
    </row>
    <row r="3825" spans="34:34" ht="12.75" customHeight="1">
      <c r="AH3825" s="253"/>
    </row>
    <row r="3826" spans="34:34" ht="12.75" customHeight="1">
      <c r="AH3826" s="253"/>
    </row>
    <row r="3827" spans="34:34" ht="12.75" customHeight="1">
      <c r="AH3827" s="253"/>
    </row>
    <row r="3828" spans="34:34" ht="12.75" customHeight="1">
      <c r="AH3828" s="253"/>
    </row>
    <row r="3829" spans="34:34" ht="12.75" customHeight="1">
      <c r="AH3829" s="253"/>
    </row>
    <row r="3830" spans="34:34" ht="12.75" customHeight="1">
      <c r="AH3830" s="253"/>
    </row>
    <row r="3831" spans="34:34" ht="12.75" customHeight="1">
      <c r="AH3831" s="253"/>
    </row>
    <row r="3832" spans="34:34" ht="12.75" customHeight="1">
      <c r="AH3832" s="253"/>
    </row>
    <row r="3833" spans="34:34" ht="12.75" customHeight="1">
      <c r="AH3833" s="253"/>
    </row>
    <row r="3834" spans="34:34" ht="12.75" customHeight="1">
      <c r="AH3834" s="253"/>
    </row>
    <row r="3835" spans="34:34" ht="12.75" customHeight="1">
      <c r="AH3835" s="253"/>
    </row>
    <row r="3836" spans="34:34" ht="12.75" customHeight="1">
      <c r="AH3836" s="253"/>
    </row>
    <row r="3837" spans="34:34" ht="12.75" customHeight="1">
      <c r="AH3837" s="253"/>
    </row>
    <row r="3838" spans="34:34" ht="12.75" customHeight="1">
      <c r="AH3838" s="253"/>
    </row>
    <row r="3839" spans="34:34" ht="12.75" customHeight="1">
      <c r="AH3839" s="253"/>
    </row>
    <row r="3840" spans="34:34" ht="12.75" customHeight="1">
      <c r="AH3840" s="253"/>
    </row>
    <row r="3841" spans="34:34" ht="12.75" customHeight="1">
      <c r="AH3841" s="253"/>
    </row>
    <row r="3842" spans="34:34" ht="12.75" customHeight="1">
      <c r="AH3842" s="253"/>
    </row>
    <row r="3843" spans="34:34" ht="12.75" customHeight="1">
      <c r="AH3843" s="253"/>
    </row>
    <row r="3844" spans="34:34" ht="12.75" customHeight="1">
      <c r="AH3844" s="253"/>
    </row>
    <row r="3845" spans="34:34" ht="12.75" customHeight="1">
      <c r="AH3845" s="253"/>
    </row>
    <row r="3846" spans="34:34" ht="12.75" customHeight="1">
      <c r="AH3846" s="253"/>
    </row>
    <row r="3847" spans="34:34" ht="12.75" customHeight="1">
      <c r="AH3847" s="253"/>
    </row>
    <row r="3848" spans="34:34" ht="12.75" customHeight="1">
      <c r="AH3848" s="253"/>
    </row>
    <row r="3849" spans="34:34" ht="12.75" customHeight="1">
      <c r="AH3849" s="253"/>
    </row>
    <row r="3850" spans="34:34" ht="12.75" customHeight="1">
      <c r="AH3850" s="253"/>
    </row>
    <row r="3851" spans="34:34" ht="12.75" customHeight="1">
      <c r="AH3851" s="253"/>
    </row>
    <row r="3852" spans="34:34" ht="12.75" customHeight="1">
      <c r="AH3852" s="253"/>
    </row>
    <row r="3853" spans="34:34" ht="12.75" customHeight="1">
      <c r="AH3853" s="253"/>
    </row>
    <row r="3854" spans="34:34" ht="12.75" customHeight="1">
      <c r="AH3854" s="253"/>
    </row>
    <row r="3855" spans="34:34" ht="12.75" customHeight="1">
      <c r="AH3855" s="253"/>
    </row>
    <row r="3856" spans="34:34" ht="12.75" customHeight="1">
      <c r="AH3856" s="253"/>
    </row>
    <row r="3857" spans="34:34" ht="12.75" customHeight="1">
      <c r="AH3857" s="253"/>
    </row>
    <row r="3858" spans="34:34" ht="12.75" customHeight="1">
      <c r="AH3858" s="253"/>
    </row>
    <row r="3859" spans="34:34" ht="12.75" customHeight="1">
      <c r="AH3859" s="253"/>
    </row>
    <row r="3860" spans="34:34" ht="12.75" customHeight="1">
      <c r="AH3860" s="253"/>
    </row>
    <row r="3861" spans="34:34" ht="12.75" customHeight="1">
      <c r="AH3861" s="253"/>
    </row>
    <row r="3862" spans="34:34" ht="12.75" customHeight="1">
      <c r="AH3862" s="253"/>
    </row>
    <row r="3863" spans="34:34" ht="12.75" customHeight="1">
      <c r="AH3863" s="253"/>
    </row>
    <row r="3864" spans="34:34" ht="12.75" customHeight="1">
      <c r="AH3864" s="253"/>
    </row>
    <row r="3865" spans="34:34" ht="12.75" customHeight="1">
      <c r="AH3865" s="253"/>
    </row>
    <row r="3866" spans="34:34" ht="12.75" customHeight="1">
      <c r="AH3866" s="253"/>
    </row>
    <row r="3867" spans="34:34" ht="12.75" customHeight="1">
      <c r="AH3867" s="253"/>
    </row>
    <row r="3868" spans="34:34" ht="12.75" customHeight="1">
      <c r="AH3868" s="253"/>
    </row>
    <row r="3869" spans="34:34" ht="12.75" customHeight="1">
      <c r="AH3869" s="253"/>
    </row>
    <row r="3870" spans="34:34" ht="12.75" customHeight="1">
      <c r="AH3870" s="253"/>
    </row>
    <row r="3871" spans="34:34" ht="12.75" customHeight="1">
      <c r="AH3871" s="253"/>
    </row>
    <row r="3872" spans="34:34" ht="12.75" customHeight="1">
      <c r="AH3872" s="253"/>
    </row>
    <row r="3873" spans="34:34" ht="12.75" customHeight="1">
      <c r="AH3873" s="253"/>
    </row>
    <row r="3874" spans="34:34" ht="12.75" customHeight="1">
      <c r="AH3874" s="253"/>
    </row>
    <row r="3875" spans="34:34" ht="12.75" customHeight="1">
      <c r="AH3875" s="253"/>
    </row>
    <row r="3876" spans="34:34" ht="12.75" customHeight="1">
      <c r="AH3876" s="253"/>
    </row>
    <row r="3877" spans="34:34" ht="12.75" customHeight="1">
      <c r="AH3877" s="253"/>
    </row>
    <row r="3878" spans="34:34" ht="12.75" customHeight="1">
      <c r="AH3878" s="253"/>
    </row>
    <row r="3879" spans="34:34" ht="12.75" customHeight="1">
      <c r="AH3879" s="253"/>
    </row>
    <row r="3880" spans="34:34" ht="12.75" customHeight="1">
      <c r="AH3880" s="253"/>
    </row>
    <row r="3881" spans="34:34" ht="12.75" customHeight="1">
      <c r="AH3881" s="253"/>
    </row>
    <row r="3882" spans="34:34" ht="12.75" customHeight="1">
      <c r="AH3882" s="253"/>
    </row>
    <row r="3883" spans="34:34" ht="12.75" customHeight="1">
      <c r="AH3883" s="253"/>
    </row>
    <row r="3884" spans="34:34" ht="12.75" customHeight="1">
      <c r="AH3884" s="253"/>
    </row>
    <row r="3885" spans="34:34" ht="12.75" customHeight="1">
      <c r="AH3885" s="253"/>
    </row>
    <row r="3886" spans="34:34" ht="12.75" customHeight="1">
      <c r="AH3886" s="253"/>
    </row>
    <row r="3887" spans="34:34" ht="12.75" customHeight="1">
      <c r="AH3887" s="253"/>
    </row>
    <row r="3888" spans="34:34" ht="12.75" customHeight="1">
      <c r="AH3888" s="253"/>
    </row>
    <row r="3889" spans="34:34" ht="12.75" customHeight="1">
      <c r="AH3889" s="253"/>
    </row>
    <row r="3890" spans="34:34" ht="12.75" customHeight="1">
      <c r="AH3890" s="253"/>
    </row>
    <row r="3891" spans="34:34" ht="12.75" customHeight="1">
      <c r="AH3891" s="253"/>
    </row>
    <row r="3892" spans="34:34" ht="12.75" customHeight="1">
      <c r="AH3892" s="253"/>
    </row>
    <row r="3893" spans="34:34" ht="12.75" customHeight="1">
      <c r="AH3893" s="253"/>
    </row>
    <row r="3894" spans="34:34" ht="12.75" customHeight="1">
      <c r="AH3894" s="253"/>
    </row>
    <row r="3895" spans="34:34" ht="12.75" customHeight="1">
      <c r="AH3895" s="253"/>
    </row>
    <row r="3896" spans="34:34" ht="12.75" customHeight="1">
      <c r="AH3896" s="253"/>
    </row>
    <row r="3897" spans="34:34" ht="12.75" customHeight="1">
      <c r="AH3897" s="253"/>
    </row>
    <row r="3898" spans="34:34" ht="12.75" customHeight="1">
      <c r="AH3898" s="253"/>
    </row>
    <row r="3899" spans="34:34" ht="12.75" customHeight="1">
      <c r="AH3899" s="253"/>
    </row>
    <row r="3900" spans="34:34" ht="12.75" customHeight="1">
      <c r="AH3900" s="253"/>
    </row>
    <row r="3901" spans="34:34" ht="12.75" customHeight="1">
      <c r="AH3901" s="253"/>
    </row>
    <row r="3902" spans="34:34" ht="12.75" customHeight="1">
      <c r="AH3902" s="253"/>
    </row>
    <row r="3903" spans="34:34" ht="12.75" customHeight="1">
      <c r="AH3903" s="253"/>
    </row>
    <row r="3904" spans="34:34" ht="12.75" customHeight="1">
      <c r="AH3904" s="253"/>
    </row>
    <row r="3905" spans="34:34" ht="12.75" customHeight="1">
      <c r="AH3905" s="253"/>
    </row>
    <row r="3906" spans="34:34" ht="12.75" customHeight="1">
      <c r="AH3906" s="253"/>
    </row>
    <row r="3907" spans="34:34" ht="12.75" customHeight="1">
      <c r="AH3907" s="253"/>
    </row>
    <row r="3908" spans="34:34" ht="12.75" customHeight="1">
      <c r="AH3908" s="253"/>
    </row>
    <row r="3909" spans="34:34" ht="12.75" customHeight="1">
      <c r="AH3909" s="253"/>
    </row>
    <row r="3910" spans="34:34" ht="12.75" customHeight="1">
      <c r="AH3910" s="253"/>
    </row>
    <row r="3911" spans="34:34" ht="12.75" customHeight="1">
      <c r="AH3911" s="253"/>
    </row>
    <row r="3912" spans="34:34" ht="12.75" customHeight="1">
      <c r="AH3912" s="253"/>
    </row>
    <row r="3913" spans="34:34" ht="12.75" customHeight="1">
      <c r="AH3913" s="253"/>
    </row>
    <row r="3914" spans="34:34" ht="12.75" customHeight="1">
      <c r="AH3914" s="253"/>
    </row>
    <row r="3915" spans="34:34" ht="12.75" customHeight="1">
      <c r="AH3915" s="253"/>
    </row>
    <row r="3916" spans="34:34" ht="12.75" customHeight="1">
      <c r="AH3916" s="253"/>
    </row>
    <row r="3917" spans="34:34" ht="12.75" customHeight="1">
      <c r="AH3917" s="253"/>
    </row>
    <row r="3918" spans="34:34" ht="12.75" customHeight="1">
      <c r="AH3918" s="253"/>
    </row>
    <row r="3919" spans="34:34" ht="12.75" customHeight="1">
      <c r="AH3919" s="253"/>
    </row>
    <row r="3920" spans="34:34" ht="12.75" customHeight="1">
      <c r="AH3920" s="253"/>
    </row>
    <row r="3921" spans="34:34" ht="12.75" customHeight="1">
      <c r="AH3921" s="253"/>
    </row>
    <row r="3922" spans="34:34" ht="12.75" customHeight="1">
      <c r="AH3922" s="253"/>
    </row>
    <row r="3923" spans="34:34" ht="12.75" customHeight="1">
      <c r="AH3923" s="253"/>
    </row>
    <row r="3924" spans="34:34" ht="12.75" customHeight="1">
      <c r="AH3924" s="253"/>
    </row>
    <row r="3925" spans="34:34" ht="12.75" customHeight="1">
      <c r="AH3925" s="253"/>
    </row>
    <row r="3926" spans="34:34" ht="12.75" customHeight="1">
      <c r="AH3926" s="253"/>
    </row>
    <row r="3927" spans="34:34" ht="12.75" customHeight="1">
      <c r="AH3927" s="253"/>
    </row>
    <row r="3928" spans="34:34" ht="12.75" customHeight="1">
      <c r="AH3928" s="253"/>
    </row>
    <row r="3929" spans="34:34" ht="12.75" customHeight="1">
      <c r="AH3929" s="253"/>
    </row>
    <row r="3930" spans="34:34" ht="12.75" customHeight="1">
      <c r="AH3930" s="253"/>
    </row>
    <row r="3931" spans="34:34" ht="12.75" customHeight="1">
      <c r="AH3931" s="253"/>
    </row>
    <row r="3932" spans="34:34" ht="12.75" customHeight="1">
      <c r="AH3932" s="253"/>
    </row>
    <row r="3933" spans="34:34" ht="12.75" customHeight="1">
      <c r="AH3933" s="253"/>
    </row>
    <row r="3934" spans="34:34" ht="12.75" customHeight="1">
      <c r="AH3934" s="253"/>
    </row>
    <row r="3935" spans="34:34" ht="12.75" customHeight="1">
      <c r="AH3935" s="253"/>
    </row>
    <row r="3936" spans="34:34" ht="12.75" customHeight="1">
      <c r="AH3936" s="253"/>
    </row>
    <row r="3937" spans="34:34" ht="12.75" customHeight="1">
      <c r="AH3937" s="253"/>
    </row>
    <row r="3938" spans="34:34" ht="12.75" customHeight="1">
      <c r="AH3938" s="253"/>
    </row>
    <row r="3939" spans="34:34" ht="12.75" customHeight="1">
      <c r="AH3939" s="253"/>
    </row>
    <row r="3940" spans="34:34" ht="12.75" customHeight="1">
      <c r="AH3940" s="253"/>
    </row>
    <row r="3941" spans="34:34" ht="12.75" customHeight="1">
      <c r="AH3941" s="253"/>
    </row>
    <row r="3942" spans="34:34" ht="12.75" customHeight="1">
      <c r="AH3942" s="253"/>
    </row>
    <row r="3943" spans="34:34" ht="12.75" customHeight="1">
      <c r="AH3943" s="253"/>
    </row>
    <row r="3944" spans="34:34" ht="12.75" customHeight="1">
      <c r="AH3944" s="253"/>
    </row>
    <row r="3945" spans="34:34" ht="12.75" customHeight="1">
      <c r="AH3945" s="253"/>
    </row>
    <row r="3946" spans="34:34" ht="12.75" customHeight="1">
      <c r="AH3946" s="253"/>
    </row>
    <row r="3947" spans="34:34" ht="12.75" customHeight="1">
      <c r="AH3947" s="253"/>
    </row>
    <row r="3948" spans="34:34" ht="12.75" customHeight="1">
      <c r="AH3948" s="253"/>
    </row>
    <row r="3949" spans="34:34" ht="12.75" customHeight="1">
      <c r="AH3949" s="253"/>
    </row>
    <row r="3950" spans="34:34" ht="12.75" customHeight="1">
      <c r="AH3950" s="253"/>
    </row>
    <row r="3951" spans="34:34" ht="12.75" customHeight="1">
      <c r="AH3951" s="253"/>
    </row>
    <row r="3952" spans="34:34" ht="12.75" customHeight="1">
      <c r="AH3952" s="253"/>
    </row>
    <row r="3953" spans="34:34" ht="12.75" customHeight="1">
      <c r="AH3953" s="253"/>
    </row>
    <row r="3954" spans="34:34" ht="12.75" customHeight="1">
      <c r="AH3954" s="253"/>
    </row>
    <row r="3955" spans="34:34" ht="12.75" customHeight="1">
      <c r="AH3955" s="253"/>
    </row>
    <row r="3956" spans="34:34" ht="12.75" customHeight="1">
      <c r="AH3956" s="253"/>
    </row>
    <row r="3957" spans="34:34" ht="12.75" customHeight="1">
      <c r="AH3957" s="253"/>
    </row>
    <row r="3958" spans="34:34" ht="12.75" customHeight="1">
      <c r="AH3958" s="253"/>
    </row>
    <row r="3959" spans="34:34" ht="12.75" customHeight="1">
      <c r="AH3959" s="253"/>
    </row>
    <row r="3960" spans="34:34" ht="12.75" customHeight="1">
      <c r="AH3960" s="253"/>
    </row>
    <row r="3961" spans="34:34" ht="12.75" customHeight="1">
      <c r="AH3961" s="253"/>
    </row>
    <row r="3962" spans="34:34" ht="12.75" customHeight="1">
      <c r="AH3962" s="253"/>
    </row>
    <row r="3963" spans="34:34" ht="12.75" customHeight="1">
      <c r="AH3963" s="253"/>
    </row>
    <row r="3964" spans="34:34" ht="12.75" customHeight="1">
      <c r="AH3964" s="253"/>
    </row>
    <row r="3965" spans="34:34" ht="12.75" customHeight="1">
      <c r="AH3965" s="253"/>
    </row>
    <row r="3966" spans="34:34" ht="12.75" customHeight="1">
      <c r="AH3966" s="253"/>
    </row>
    <row r="3967" spans="34:34" ht="12.75" customHeight="1">
      <c r="AH3967" s="253"/>
    </row>
    <row r="3968" spans="34:34" ht="12.75" customHeight="1">
      <c r="AH3968" s="253"/>
    </row>
    <row r="3969" spans="34:34" ht="12.75" customHeight="1">
      <c r="AH3969" s="253"/>
    </row>
    <row r="3970" spans="34:34" ht="12.75" customHeight="1">
      <c r="AH3970" s="253"/>
    </row>
    <row r="3971" spans="34:34" ht="12.75" customHeight="1">
      <c r="AH3971" s="253"/>
    </row>
    <row r="3972" spans="34:34" ht="12.75" customHeight="1">
      <c r="AH3972" s="253"/>
    </row>
    <row r="3973" spans="34:34" ht="12.75" customHeight="1">
      <c r="AH3973" s="253"/>
    </row>
    <row r="3974" spans="34:34" ht="12.75" customHeight="1">
      <c r="AH3974" s="253"/>
    </row>
    <row r="3975" spans="34:34" ht="12.75" customHeight="1">
      <c r="AH3975" s="253"/>
    </row>
    <row r="3976" spans="34:34" ht="12.75" customHeight="1">
      <c r="AH3976" s="253"/>
    </row>
    <row r="3977" spans="34:34" ht="12.75" customHeight="1">
      <c r="AH3977" s="253"/>
    </row>
    <row r="3978" spans="34:34" ht="12.75" customHeight="1">
      <c r="AH3978" s="253"/>
    </row>
    <row r="3979" spans="34:34" ht="12.75" customHeight="1">
      <c r="AH3979" s="253"/>
    </row>
    <row r="3980" spans="34:34" ht="12.75" customHeight="1">
      <c r="AH3980" s="253"/>
    </row>
    <row r="3981" spans="34:34" ht="12.75" customHeight="1">
      <c r="AH3981" s="253"/>
    </row>
    <row r="3982" spans="34:34" ht="12.75" customHeight="1">
      <c r="AH3982" s="253"/>
    </row>
    <row r="3983" spans="34:34" ht="12.75" customHeight="1">
      <c r="AH3983" s="253"/>
    </row>
    <row r="3984" spans="34:34" ht="12.75" customHeight="1">
      <c r="AH3984" s="253"/>
    </row>
    <row r="3985" spans="34:34" ht="12.75" customHeight="1">
      <c r="AH3985" s="253"/>
    </row>
    <row r="3986" spans="34:34" ht="12.75" customHeight="1">
      <c r="AH3986" s="253"/>
    </row>
    <row r="3987" spans="34:34" ht="12.75" customHeight="1">
      <c r="AH3987" s="253"/>
    </row>
    <row r="3988" spans="34:34" ht="12.75" customHeight="1">
      <c r="AH3988" s="253"/>
    </row>
    <row r="3989" spans="34:34" ht="12.75" customHeight="1">
      <c r="AH3989" s="253"/>
    </row>
    <row r="3990" spans="34:34" ht="12.75" customHeight="1">
      <c r="AH3990" s="253"/>
    </row>
    <row r="3991" spans="34:34" ht="12.75" customHeight="1">
      <c r="AH3991" s="253"/>
    </row>
    <row r="3992" spans="34:34" ht="12.75" customHeight="1">
      <c r="AH3992" s="253"/>
    </row>
    <row r="3993" spans="34:34" ht="12.75" customHeight="1">
      <c r="AH3993" s="253"/>
    </row>
    <row r="3994" spans="34:34" ht="12.75" customHeight="1">
      <c r="AH3994" s="253"/>
    </row>
    <row r="3995" spans="34:34" ht="12.75" customHeight="1">
      <c r="AH3995" s="253"/>
    </row>
    <row r="3996" spans="34:34" ht="12.75" customHeight="1">
      <c r="AH3996" s="253"/>
    </row>
    <row r="3997" spans="34:34" ht="12.75" customHeight="1">
      <c r="AH3997" s="253"/>
    </row>
    <row r="3998" spans="34:34" ht="12.75" customHeight="1">
      <c r="AH3998" s="253"/>
    </row>
    <row r="3999" spans="34:34" ht="12.75" customHeight="1">
      <c r="AH3999" s="253"/>
    </row>
    <row r="4000" spans="34:34" ht="12.75" customHeight="1">
      <c r="AH4000" s="253"/>
    </row>
    <row r="4001" spans="34:34" ht="12.75" customHeight="1">
      <c r="AH4001" s="253"/>
    </row>
    <row r="4002" spans="34:34" ht="12.75" customHeight="1">
      <c r="AH4002" s="253"/>
    </row>
    <row r="4003" spans="34:34" ht="12.75" customHeight="1">
      <c r="AH4003" s="253"/>
    </row>
    <row r="4004" spans="34:34" ht="12.75" customHeight="1">
      <c r="AH4004" s="253"/>
    </row>
    <row r="4005" spans="34:34" ht="12.75" customHeight="1">
      <c r="AH4005" s="253"/>
    </row>
    <row r="4006" spans="34:34" ht="12.75" customHeight="1">
      <c r="AH4006" s="253"/>
    </row>
    <row r="4007" spans="34:34" ht="12.75" customHeight="1">
      <c r="AH4007" s="253"/>
    </row>
    <row r="4008" spans="34:34" ht="12.75" customHeight="1">
      <c r="AH4008" s="253"/>
    </row>
    <row r="4009" spans="34:34" ht="12.75" customHeight="1">
      <c r="AH4009" s="253"/>
    </row>
    <row r="4010" spans="34:34" ht="12.75" customHeight="1">
      <c r="AH4010" s="253"/>
    </row>
    <row r="4011" spans="34:34" ht="12.75" customHeight="1">
      <c r="AH4011" s="253"/>
    </row>
    <row r="4012" spans="34:34" ht="12.75" customHeight="1">
      <c r="AH4012" s="253"/>
    </row>
    <row r="4013" spans="34:34" ht="12.75" customHeight="1">
      <c r="AH4013" s="253"/>
    </row>
    <row r="4014" spans="34:34" ht="12.75" customHeight="1">
      <c r="AH4014" s="253"/>
    </row>
    <row r="4015" spans="34:34" ht="12.75" customHeight="1">
      <c r="AH4015" s="253"/>
    </row>
    <row r="4016" spans="34:34" ht="12.75" customHeight="1">
      <c r="AH4016" s="253"/>
    </row>
    <row r="4017" spans="34:34" ht="12.75" customHeight="1">
      <c r="AH4017" s="253"/>
    </row>
    <row r="4018" spans="34:34" ht="12.75" customHeight="1">
      <c r="AH4018" s="253"/>
    </row>
    <row r="4019" spans="34:34" ht="12.75" customHeight="1">
      <c r="AH4019" s="253"/>
    </row>
    <row r="4020" spans="34:34" ht="12.75" customHeight="1">
      <c r="AH4020" s="253"/>
    </row>
    <row r="4021" spans="34:34" ht="12.75" customHeight="1">
      <c r="AH4021" s="253"/>
    </row>
    <row r="4022" spans="34:34" ht="12.75" customHeight="1">
      <c r="AH4022" s="253"/>
    </row>
    <row r="4023" spans="34:34" ht="12.75" customHeight="1">
      <c r="AH4023" s="253"/>
    </row>
    <row r="4024" spans="34:34" ht="12.75" customHeight="1">
      <c r="AH4024" s="253"/>
    </row>
    <row r="4025" spans="34:34" ht="12.75" customHeight="1">
      <c r="AH4025" s="253"/>
    </row>
    <row r="4026" spans="34:34" ht="12.75" customHeight="1">
      <c r="AH4026" s="253"/>
    </row>
    <row r="4027" spans="34:34" ht="12.75" customHeight="1">
      <c r="AH4027" s="253"/>
    </row>
    <row r="4028" spans="34:34" ht="12.75" customHeight="1">
      <c r="AH4028" s="253"/>
    </row>
    <row r="4029" spans="34:34" ht="12.75" customHeight="1">
      <c r="AH4029" s="253"/>
    </row>
    <row r="4030" spans="34:34" ht="12.75" customHeight="1">
      <c r="AH4030" s="253"/>
    </row>
    <row r="4031" spans="34:34" ht="12.75" customHeight="1">
      <c r="AH4031" s="253"/>
    </row>
    <row r="4032" spans="34:34" ht="12.75" customHeight="1">
      <c r="AH4032" s="253"/>
    </row>
    <row r="4033" spans="34:34" ht="12.75" customHeight="1">
      <c r="AH4033" s="253"/>
    </row>
    <row r="4034" spans="34:34" ht="12.75" customHeight="1">
      <c r="AH4034" s="253"/>
    </row>
    <row r="4035" spans="34:34" ht="12.75" customHeight="1">
      <c r="AH4035" s="253"/>
    </row>
    <row r="4036" spans="34:34" ht="12.75" customHeight="1">
      <c r="AH4036" s="253"/>
    </row>
    <row r="4037" spans="34:34" ht="12.75" customHeight="1">
      <c r="AH4037" s="253"/>
    </row>
    <row r="4038" spans="34:34" ht="12.75" customHeight="1">
      <c r="AH4038" s="253"/>
    </row>
    <row r="4039" spans="34:34" ht="12.75" customHeight="1">
      <c r="AH4039" s="253"/>
    </row>
    <row r="4040" spans="34:34" ht="12.75" customHeight="1">
      <c r="AH4040" s="253"/>
    </row>
    <row r="4041" spans="34:34" ht="12.75" customHeight="1">
      <c r="AH4041" s="253"/>
    </row>
    <row r="4042" spans="34:34" ht="12.75" customHeight="1">
      <c r="AH4042" s="253"/>
    </row>
    <row r="4043" spans="34:34" ht="12.75" customHeight="1">
      <c r="AH4043" s="253"/>
    </row>
    <row r="4044" spans="34:34" ht="12.75" customHeight="1">
      <c r="AH4044" s="253"/>
    </row>
    <row r="4045" spans="34:34" ht="12.75" customHeight="1">
      <c r="AH4045" s="253"/>
    </row>
    <row r="4046" spans="34:34" ht="12.75" customHeight="1">
      <c r="AH4046" s="253"/>
    </row>
    <row r="4047" spans="34:34" ht="12.75" customHeight="1">
      <c r="AH4047" s="253"/>
    </row>
    <row r="4048" spans="34:34" ht="12.75" customHeight="1">
      <c r="AH4048" s="253"/>
    </row>
    <row r="4049" spans="34:34" ht="12.75" customHeight="1">
      <c r="AH4049" s="253"/>
    </row>
    <row r="4050" spans="34:34" ht="12.75" customHeight="1">
      <c r="AH4050" s="253"/>
    </row>
    <row r="4051" spans="34:34" ht="12.75" customHeight="1">
      <c r="AH4051" s="253"/>
    </row>
    <row r="4052" spans="34:34" ht="12.75" customHeight="1">
      <c r="AH4052" s="253"/>
    </row>
    <row r="4053" spans="34:34" ht="12.75" customHeight="1">
      <c r="AH4053" s="253"/>
    </row>
    <row r="4054" spans="34:34" ht="12.75" customHeight="1">
      <c r="AH4054" s="253"/>
    </row>
    <row r="4055" spans="34:34" ht="12.75" customHeight="1">
      <c r="AH4055" s="253"/>
    </row>
    <row r="4056" spans="34:34" ht="12.75" customHeight="1">
      <c r="AH4056" s="253"/>
    </row>
    <row r="4057" spans="34:34" ht="12.75" customHeight="1">
      <c r="AH4057" s="253"/>
    </row>
    <row r="4058" spans="34:34" ht="12.75" customHeight="1">
      <c r="AH4058" s="253"/>
    </row>
    <row r="4059" spans="34:34" ht="12.75" customHeight="1">
      <c r="AH4059" s="253"/>
    </row>
    <row r="4060" spans="34:34" ht="12.75" customHeight="1">
      <c r="AH4060" s="253"/>
    </row>
    <row r="4061" spans="34:34" ht="12.75" customHeight="1">
      <c r="AH4061" s="253"/>
    </row>
    <row r="4062" spans="34:34" ht="12.75" customHeight="1">
      <c r="AH4062" s="253"/>
    </row>
    <row r="4063" spans="34:34" ht="12.75" customHeight="1">
      <c r="AH4063" s="253"/>
    </row>
    <row r="4064" spans="34:34" ht="12.75" customHeight="1">
      <c r="AH4064" s="253"/>
    </row>
    <row r="4065" spans="34:34" ht="12.75" customHeight="1">
      <c r="AH4065" s="253"/>
    </row>
    <row r="4066" spans="34:34" ht="12.75" customHeight="1">
      <c r="AH4066" s="253"/>
    </row>
    <row r="4067" spans="34:34" ht="12.75" customHeight="1">
      <c r="AH4067" s="253"/>
    </row>
    <row r="4068" spans="34:34" ht="12.75" customHeight="1">
      <c r="AH4068" s="253"/>
    </row>
    <row r="4069" spans="34:34" ht="12.75" customHeight="1">
      <c r="AH4069" s="253"/>
    </row>
    <row r="4070" spans="34:34" ht="12.75" customHeight="1">
      <c r="AH4070" s="253"/>
    </row>
    <row r="4071" spans="34:34" ht="12.75" customHeight="1">
      <c r="AH4071" s="253"/>
    </row>
    <row r="4072" spans="34:34" ht="12.75" customHeight="1">
      <c r="AH4072" s="253"/>
    </row>
    <row r="4073" spans="34:34" ht="12.75" customHeight="1">
      <c r="AH4073" s="253"/>
    </row>
    <row r="4074" spans="34:34" ht="12.75" customHeight="1">
      <c r="AH4074" s="253"/>
    </row>
    <row r="4075" spans="34:34" ht="12.75" customHeight="1">
      <c r="AH4075" s="253"/>
    </row>
    <row r="4076" spans="34:34" ht="12.75" customHeight="1">
      <c r="AH4076" s="253"/>
    </row>
    <row r="4077" spans="34:34" ht="12.75" customHeight="1">
      <c r="AH4077" s="253"/>
    </row>
    <row r="4078" spans="34:34" ht="12.75" customHeight="1">
      <c r="AH4078" s="253"/>
    </row>
    <row r="4079" spans="34:34" ht="12.75" customHeight="1">
      <c r="AH4079" s="253"/>
    </row>
    <row r="4080" spans="34:34" ht="12.75" customHeight="1">
      <c r="AH4080" s="253"/>
    </row>
    <row r="4081" spans="34:34" ht="12.75" customHeight="1">
      <c r="AH4081" s="253"/>
    </row>
    <row r="4082" spans="34:34" ht="12.75" customHeight="1">
      <c r="AH4082" s="253"/>
    </row>
    <row r="4083" spans="34:34" ht="12.75" customHeight="1">
      <c r="AH4083" s="253"/>
    </row>
    <row r="4084" spans="34:34" ht="12.75" customHeight="1">
      <c r="AH4084" s="253"/>
    </row>
    <row r="4085" spans="34:34" ht="12.75" customHeight="1">
      <c r="AH4085" s="253"/>
    </row>
    <row r="4086" spans="34:34" ht="12.75" customHeight="1">
      <c r="AH4086" s="253"/>
    </row>
    <row r="4087" spans="34:34" ht="12.75" customHeight="1">
      <c r="AH4087" s="253"/>
    </row>
    <row r="4088" spans="34:34" ht="12.75" customHeight="1">
      <c r="AH4088" s="253"/>
    </row>
    <row r="4089" spans="34:34" ht="12.75" customHeight="1">
      <c r="AH4089" s="253"/>
    </row>
    <row r="4090" spans="34:34" ht="12.75" customHeight="1">
      <c r="AH4090" s="253"/>
    </row>
    <row r="4091" spans="34:34" ht="12.75" customHeight="1">
      <c r="AH4091" s="253"/>
    </row>
    <row r="4092" spans="34:34" ht="12.75" customHeight="1">
      <c r="AH4092" s="253"/>
    </row>
    <row r="4093" spans="34:34" ht="12.75" customHeight="1">
      <c r="AH4093" s="253"/>
    </row>
    <row r="4094" spans="34:34" ht="12.75" customHeight="1">
      <c r="AH4094" s="253"/>
    </row>
    <row r="4095" spans="34:34" ht="12.75" customHeight="1">
      <c r="AH4095" s="253"/>
    </row>
    <row r="4096" spans="34:34" ht="12.75" customHeight="1">
      <c r="AH4096" s="253"/>
    </row>
    <row r="4097" spans="34:34" ht="12.75" customHeight="1">
      <c r="AH4097" s="253"/>
    </row>
    <row r="4098" spans="34:34" ht="12.75" customHeight="1">
      <c r="AH4098" s="253"/>
    </row>
    <row r="4099" spans="34:34" ht="12.75" customHeight="1">
      <c r="AH4099" s="253"/>
    </row>
    <row r="4100" spans="34:34" ht="12.75" customHeight="1">
      <c r="AH4100" s="253"/>
    </row>
    <row r="4101" spans="34:34" ht="12.75" customHeight="1">
      <c r="AH4101" s="253"/>
    </row>
    <row r="4102" spans="34:34" ht="12.75" customHeight="1">
      <c r="AH4102" s="253"/>
    </row>
    <row r="4103" spans="34:34" ht="12.75" customHeight="1">
      <c r="AH4103" s="253"/>
    </row>
    <row r="4104" spans="34:34" ht="12.75" customHeight="1">
      <c r="AH4104" s="253"/>
    </row>
    <row r="4105" spans="34:34" ht="12.75" customHeight="1">
      <c r="AH4105" s="253"/>
    </row>
    <row r="4106" spans="34:34" ht="12.75" customHeight="1">
      <c r="AH4106" s="253"/>
    </row>
    <row r="4107" spans="34:34" ht="12.75" customHeight="1">
      <c r="AH4107" s="253"/>
    </row>
    <row r="4108" spans="34:34" ht="12.75" customHeight="1">
      <c r="AH4108" s="253"/>
    </row>
    <row r="4109" spans="34:34" ht="12.75" customHeight="1">
      <c r="AH4109" s="253"/>
    </row>
    <row r="4110" spans="34:34" ht="12.75" customHeight="1">
      <c r="AH4110" s="253"/>
    </row>
    <row r="4111" spans="34:34" ht="12.75" customHeight="1">
      <c r="AH4111" s="253"/>
    </row>
    <row r="4112" spans="34:34" ht="12.75" customHeight="1">
      <c r="AH4112" s="253"/>
    </row>
    <row r="4113" spans="34:34" ht="12.75" customHeight="1">
      <c r="AH4113" s="253"/>
    </row>
    <row r="4114" spans="34:34" ht="12.75" customHeight="1">
      <c r="AH4114" s="253"/>
    </row>
    <row r="4115" spans="34:34" ht="12.75" customHeight="1">
      <c r="AH4115" s="253"/>
    </row>
    <row r="4116" spans="34:34" ht="12.75" customHeight="1">
      <c r="AH4116" s="253"/>
    </row>
    <row r="4117" spans="34:34" ht="12.75" customHeight="1">
      <c r="AH4117" s="253"/>
    </row>
    <row r="4118" spans="34:34" ht="12.75" customHeight="1">
      <c r="AH4118" s="253"/>
    </row>
    <row r="4119" spans="34:34" ht="12.75" customHeight="1">
      <c r="AH4119" s="253"/>
    </row>
    <row r="4120" spans="34:34" ht="12.75" customHeight="1">
      <c r="AH4120" s="253"/>
    </row>
    <row r="4121" spans="34:34" ht="12.75" customHeight="1">
      <c r="AH4121" s="253"/>
    </row>
    <row r="4122" spans="34:34" ht="12.75" customHeight="1">
      <c r="AH4122" s="253"/>
    </row>
    <row r="4123" spans="34:34" ht="12.75" customHeight="1">
      <c r="AH4123" s="253"/>
    </row>
    <row r="4124" spans="34:34" ht="12.75" customHeight="1">
      <c r="AH4124" s="253"/>
    </row>
    <row r="4125" spans="34:34" ht="12.75" customHeight="1">
      <c r="AH4125" s="253"/>
    </row>
    <row r="4126" spans="34:34" ht="12.75" customHeight="1">
      <c r="AH4126" s="253"/>
    </row>
    <row r="4127" spans="34:34" ht="12.75" customHeight="1">
      <c r="AH4127" s="253"/>
    </row>
    <row r="4128" spans="34:34" ht="12.75" customHeight="1">
      <c r="AH4128" s="253"/>
    </row>
    <row r="4129" spans="34:34" ht="12.75" customHeight="1">
      <c r="AH4129" s="253"/>
    </row>
    <row r="4130" spans="34:34" ht="12.75" customHeight="1">
      <c r="AH4130" s="253"/>
    </row>
    <row r="4131" spans="34:34" ht="12.75" customHeight="1">
      <c r="AH4131" s="253"/>
    </row>
    <row r="4132" spans="34:34" ht="12.75" customHeight="1">
      <c r="AH4132" s="253"/>
    </row>
    <row r="4133" spans="34:34" ht="12.75" customHeight="1">
      <c r="AH4133" s="253"/>
    </row>
    <row r="4134" spans="34:34" ht="12.75" customHeight="1">
      <c r="AH4134" s="253"/>
    </row>
    <row r="4135" spans="34:34" ht="12.75" customHeight="1">
      <c r="AH4135" s="253"/>
    </row>
    <row r="4136" spans="34:34" ht="12.75" customHeight="1">
      <c r="AH4136" s="253"/>
    </row>
    <row r="4137" spans="34:34" ht="12.75" customHeight="1">
      <c r="AH4137" s="253"/>
    </row>
    <row r="4138" spans="34:34" ht="12.75" customHeight="1">
      <c r="AH4138" s="253"/>
    </row>
    <row r="4139" spans="34:34" ht="12.75" customHeight="1">
      <c r="AH4139" s="253"/>
    </row>
    <row r="4140" spans="34:34" ht="12.75" customHeight="1">
      <c r="AH4140" s="253"/>
    </row>
    <row r="4141" spans="34:34" ht="12.75" customHeight="1">
      <c r="AH4141" s="253"/>
    </row>
    <row r="4142" spans="34:34" ht="12.75" customHeight="1">
      <c r="AH4142" s="253"/>
    </row>
    <row r="4143" spans="34:34" ht="12.75" customHeight="1">
      <c r="AH4143" s="253"/>
    </row>
    <row r="4144" spans="34:34" ht="12.75" customHeight="1">
      <c r="AH4144" s="253"/>
    </row>
    <row r="4145" spans="34:34" ht="12.75" customHeight="1">
      <c r="AH4145" s="253"/>
    </row>
    <row r="4146" spans="34:34" ht="12.75" customHeight="1">
      <c r="AH4146" s="253"/>
    </row>
    <row r="4147" spans="34:34" ht="12.75" customHeight="1">
      <c r="AH4147" s="253"/>
    </row>
    <row r="4148" spans="34:34" ht="12.75" customHeight="1">
      <c r="AH4148" s="253"/>
    </row>
    <row r="4149" spans="34:34" ht="12.75" customHeight="1">
      <c r="AH4149" s="253"/>
    </row>
    <row r="4150" spans="34:34" ht="12.75" customHeight="1">
      <c r="AH4150" s="253"/>
    </row>
    <row r="4151" spans="34:34" ht="12.75" customHeight="1">
      <c r="AH4151" s="253"/>
    </row>
    <row r="4152" spans="34:34" ht="12.75" customHeight="1">
      <c r="AH4152" s="253"/>
    </row>
    <row r="4153" spans="34:34" ht="12.75" customHeight="1">
      <c r="AH4153" s="253"/>
    </row>
    <row r="4154" spans="34:34" ht="12.75" customHeight="1">
      <c r="AH4154" s="253"/>
    </row>
    <row r="4155" spans="34:34" ht="12.75" customHeight="1">
      <c r="AH4155" s="253"/>
    </row>
    <row r="4156" spans="34:34" ht="12.75" customHeight="1">
      <c r="AH4156" s="253"/>
    </row>
    <row r="4157" spans="34:34" ht="12.75" customHeight="1">
      <c r="AH4157" s="253"/>
    </row>
    <row r="4158" spans="34:34" ht="12.75" customHeight="1">
      <c r="AH4158" s="253"/>
    </row>
    <row r="4159" spans="34:34" ht="12.75" customHeight="1">
      <c r="AH4159" s="253"/>
    </row>
    <row r="4160" spans="34:34" ht="12.75" customHeight="1">
      <c r="AH4160" s="253"/>
    </row>
    <row r="4161" spans="34:34" ht="12.75" customHeight="1">
      <c r="AH4161" s="253"/>
    </row>
    <row r="4162" spans="34:34" ht="12.75" customHeight="1">
      <c r="AH4162" s="253"/>
    </row>
    <row r="4163" spans="34:34" ht="12.75" customHeight="1">
      <c r="AH4163" s="253"/>
    </row>
    <row r="4164" spans="34:34" ht="12.75" customHeight="1">
      <c r="AH4164" s="253"/>
    </row>
    <row r="4165" spans="34:34" ht="12.75" customHeight="1">
      <c r="AH4165" s="253"/>
    </row>
    <row r="4166" spans="34:34" ht="12.75" customHeight="1">
      <c r="AH4166" s="253"/>
    </row>
    <row r="4167" spans="34:34" ht="12.75" customHeight="1">
      <c r="AH4167" s="253"/>
    </row>
    <row r="4168" spans="34:34" ht="12.75" customHeight="1">
      <c r="AH4168" s="253"/>
    </row>
    <row r="4169" spans="34:34" ht="12.75" customHeight="1">
      <c r="AH4169" s="253"/>
    </row>
    <row r="4170" spans="34:34" ht="12.75" customHeight="1">
      <c r="AH4170" s="253"/>
    </row>
    <row r="4171" spans="34:34" ht="12.75" customHeight="1">
      <c r="AH4171" s="253"/>
    </row>
    <row r="4172" spans="34:34" ht="12.75" customHeight="1">
      <c r="AH4172" s="253"/>
    </row>
    <row r="4173" spans="34:34" ht="12.75" customHeight="1">
      <c r="AH4173" s="253"/>
    </row>
    <row r="4174" spans="34:34" ht="12.75" customHeight="1">
      <c r="AH4174" s="253"/>
    </row>
    <row r="4175" spans="34:34" ht="12.75" customHeight="1">
      <c r="AH4175" s="253"/>
    </row>
    <row r="4176" spans="34:34" ht="12.75" customHeight="1">
      <c r="AH4176" s="253"/>
    </row>
    <row r="4177" spans="34:34" ht="12.75" customHeight="1">
      <c r="AH4177" s="253"/>
    </row>
    <row r="4178" spans="34:34" ht="12.75" customHeight="1">
      <c r="AH4178" s="253"/>
    </row>
    <row r="4179" spans="34:34" ht="12.75" customHeight="1">
      <c r="AH4179" s="253"/>
    </row>
    <row r="4180" spans="34:34" ht="12.75" customHeight="1">
      <c r="AH4180" s="253"/>
    </row>
    <row r="4181" spans="34:34" ht="12.75" customHeight="1">
      <c r="AH4181" s="253"/>
    </row>
    <row r="4182" spans="34:34" ht="12.75" customHeight="1">
      <c r="AH4182" s="253"/>
    </row>
    <row r="4183" spans="34:34" ht="12.75" customHeight="1">
      <c r="AH4183" s="253"/>
    </row>
    <row r="4184" spans="34:34" ht="12.75" customHeight="1">
      <c r="AH4184" s="253"/>
    </row>
    <row r="4185" spans="34:34" ht="12.75" customHeight="1">
      <c r="AH4185" s="253"/>
    </row>
    <row r="4186" spans="34:34" ht="12.75" customHeight="1">
      <c r="AH4186" s="253"/>
    </row>
    <row r="4187" spans="34:34" ht="12.75" customHeight="1">
      <c r="AH4187" s="253"/>
    </row>
    <row r="4188" spans="34:34" ht="12.75" customHeight="1">
      <c r="AH4188" s="253"/>
    </row>
    <row r="4189" spans="34:34" ht="12.75" customHeight="1">
      <c r="AH4189" s="253"/>
    </row>
    <row r="4190" spans="34:34" ht="12.75" customHeight="1">
      <c r="AH4190" s="253"/>
    </row>
    <row r="4191" spans="34:34" ht="12.75" customHeight="1">
      <c r="AH4191" s="253"/>
    </row>
    <row r="4192" spans="34:34" ht="12.75" customHeight="1">
      <c r="AH4192" s="253"/>
    </row>
    <row r="4193" spans="34:34" ht="12.75" customHeight="1">
      <c r="AH4193" s="253"/>
    </row>
    <row r="4194" spans="34:34" ht="12.75" customHeight="1">
      <c r="AH4194" s="253"/>
    </row>
    <row r="4195" spans="34:34" ht="12.75" customHeight="1">
      <c r="AH4195" s="253"/>
    </row>
    <row r="4196" spans="34:34" ht="12.75" customHeight="1">
      <c r="AH4196" s="253"/>
    </row>
    <row r="4197" spans="34:34" ht="12.75" customHeight="1">
      <c r="AH4197" s="253"/>
    </row>
    <row r="4198" spans="34:34" ht="12.75" customHeight="1">
      <c r="AH4198" s="253"/>
    </row>
    <row r="4199" spans="34:34" ht="12.75" customHeight="1">
      <c r="AH4199" s="253"/>
    </row>
    <row r="4200" spans="34:34" ht="12.75" customHeight="1">
      <c r="AH4200" s="253"/>
    </row>
    <row r="4201" spans="34:34" ht="12.75" customHeight="1">
      <c r="AH4201" s="253"/>
    </row>
    <row r="4202" spans="34:34" ht="12.75" customHeight="1">
      <c r="AH4202" s="253"/>
    </row>
    <row r="4203" spans="34:34" ht="12.75" customHeight="1">
      <c r="AH4203" s="253"/>
    </row>
    <row r="4204" spans="34:34" ht="12.75" customHeight="1">
      <c r="AH4204" s="253"/>
    </row>
    <row r="4205" spans="34:34" ht="12.75" customHeight="1">
      <c r="AH4205" s="253"/>
    </row>
    <row r="4206" spans="34:34" ht="12.75" customHeight="1">
      <c r="AH4206" s="253"/>
    </row>
    <row r="4207" spans="34:34" ht="12.75" customHeight="1">
      <c r="AH4207" s="253"/>
    </row>
    <row r="4208" spans="34:34" ht="12.75" customHeight="1">
      <c r="AH4208" s="253"/>
    </row>
    <row r="4209" spans="34:34" ht="12.75" customHeight="1">
      <c r="AH4209" s="253"/>
    </row>
    <row r="4210" spans="34:34" ht="12.75" customHeight="1">
      <c r="AH4210" s="253"/>
    </row>
    <row r="4211" spans="34:34" ht="12.75" customHeight="1">
      <c r="AH4211" s="253"/>
    </row>
    <row r="4212" spans="34:34" ht="12.75" customHeight="1">
      <c r="AH4212" s="253"/>
    </row>
    <row r="4213" spans="34:34" ht="12.75" customHeight="1">
      <c r="AH4213" s="253"/>
    </row>
    <row r="4214" spans="34:34" ht="12.75" customHeight="1">
      <c r="AH4214" s="253"/>
    </row>
    <row r="4215" spans="34:34" ht="12.75" customHeight="1">
      <c r="AH4215" s="253"/>
    </row>
    <row r="4216" spans="34:34" ht="12.75" customHeight="1">
      <c r="AH4216" s="253"/>
    </row>
    <row r="4217" spans="34:34" ht="12.75" customHeight="1">
      <c r="AH4217" s="253"/>
    </row>
    <row r="4218" spans="34:34" ht="12.75" customHeight="1">
      <c r="AH4218" s="253"/>
    </row>
    <row r="4219" spans="34:34" ht="12.75" customHeight="1">
      <c r="AH4219" s="253"/>
    </row>
    <row r="4220" spans="34:34" ht="12.75" customHeight="1">
      <c r="AH4220" s="253"/>
    </row>
    <row r="4221" spans="34:34" ht="12.75" customHeight="1">
      <c r="AH4221" s="253"/>
    </row>
    <row r="4222" spans="34:34" ht="12.75" customHeight="1">
      <c r="AH4222" s="253"/>
    </row>
    <row r="4223" spans="34:34" ht="12.75" customHeight="1">
      <c r="AH4223" s="253"/>
    </row>
    <row r="4224" spans="34:34" ht="12.75" customHeight="1">
      <c r="AH4224" s="253"/>
    </row>
    <row r="4225" spans="34:34" ht="12.75" customHeight="1">
      <c r="AH4225" s="253"/>
    </row>
    <row r="4226" spans="34:34" ht="12.75" customHeight="1">
      <c r="AH4226" s="253"/>
    </row>
    <row r="4227" spans="34:34" ht="12.75" customHeight="1">
      <c r="AH4227" s="253"/>
    </row>
    <row r="4228" spans="34:34" ht="12.75" customHeight="1">
      <c r="AH4228" s="253"/>
    </row>
    <row r="4229" spans="34:34" ht="12.75" customHeight="1">
      <c r="AH4229" s="253"/>
    </row>
    <row r="4230" spans="34:34" ht="12.75" customHeight="1">
      <c r="AH4230" s="253"/>
    </row>
    <row r="4231" spans="34:34" ht="12.75" customHeight="1">
      <c r="AH4231" s="253"/>
    </row>
    <row r="4232" spans="34:34" ht="12.75" customHeight="1">
      <c r="AH4232" s="253"/>
    </row>
    <row r="4233" spans="34:34" ht="12.75" customHeight="1">
      <c r="AH4233" s="253"/>
    </row>
    <row r="4234" spans="34:34" ht="12.75" customHeight="1">
      <c r="AH4234" s="253"/>
    </row>
    <row r="4235" spans="34:34" ht="12.75" customHeight="1">
      <c r="AH4235" s="253"/>
    </row>
    <row r="4236" spans="34:34" ht="12.75" customHeight="1">
      <c r="AH4236" s="253"/>
    </row>
    <row r="4237" spans="34:34" ht="12.75" customHeight="1">
      <c r="AH4237" s="253"/>
    </row>
    <row r="4238" spans="34:34" ht="12.75" customHeight="1">
      <c r="AH4238" s="253"/>
    </row>
    <row r="4239" spans="34:34" ht="12.75" customHeight="1">
      <c r="AH4239" s="253"/>
    </row>
    <row r="4240" spans="34:34" ht="12.75" customHeight="1">
      <c r="AH4240" s="253"/>
    </row>
    <row r="4241" spans="34:34" ht="12.75" customHeight="1">
      <c r="AH4241" s="253"/>
    </row>
    <row r="4242" spans="34:34" ht="12.75" customHeight="1">
      <c r="AH4242" s="253"/>
    </row>
    <row r="4243" spans="34:34" ht="12.75" customHeight="1">
      <c r="AH4243" s="253"/>
    </row>
    <row r="4244" spans="34:34" ht="12.75" customHeight="1">
      <c r="AH4244" s="253"/>
    </row>
    <row r="4245" spans="34:34" ht="12.75" customHeight="1">
      <c r="AH4245" s="253"/>
    </row>
    <row r="4246" spans="34:34" ht="12.75" customHeight="1">
      <c r="AH4246" s="253"/>
    </row>
    <row r="4247" spans="34:34" ht="12.75" customHeight="1">
      <c r="AH4247" s="253"/>
    </row>
    <row r="4248" spans="34:34" ht="12.75" customHeight="1">
      <c r="AH4248" s="253"/>
    </row>
    <row r="4249" spans="34:34" ht="12.75" customHeight="1">
      <c r="AH4249" s="253"/>
    </row>
    <row r="4250" spans="34:34" ht="12.75" customHeight="1">
      <c r="AH4250" s="253"/>
    </row>
    <row r="4251" spans="34:34" ht="12.75" customHeight="1">
      <c r="AH4251" s="253"/>
    </row>
    <row r="4252" spans="34:34" ht="12.75" customHeight="1">
      <c r="AH4252" s="253"/>
    </row>
    <row r="4253" spans="34:34" ht="12.75" customHeight="1">
      <c r="AH4253" s="253"/>
    </row>
    <row r="4254" spans="34:34" ht="12.75" customHeight="1">
      <c r="AH4254" s="253"/>
    </row>
    <row r="4255" spans="34:34" ht="12.75" customHeight="1">
      <c r="AH4255" s="253"/>
    </row>
    <row r="4256" spans="34:34" ht="12.75" customHeight="1">
      <c r="AH4256" s="253"/>
    </row>
    <row r="4257" spans="34:34" ht="12.75" customHeight="1">
      <c r="AH4257" s="253"/>
    </row>
    <row r="4258" spans="34:34" ht="12.75" customHeight="1">
      <c r="AH4258" s="253"/>
    </row>
    <row r="4259" spans="34:34" ht="12.75" customHeight="1">
      <c r="AH4259" s="253"/>
    </row>
    <row r="4260" spans="34:34" ht="12.75" customHeight="1">
      <c r="AH4260" s="253"/>
    </row>
    <row r="4261" spans="34:34" ht="12.75" customHeight="1">
      <c r="AH4261" s="253"/>
    </row>
    <row r="4262" spans="34:34" ht="12.75" customHeight="1">
      <c r="AH4262" s="253"/>
    </row>
    <row r="4263" spans="34:34" ht="12.75" customHeight="1">
      <c r="AH4263" s="253"/>
    </row>
    <row r="4264" spans="34:34" ht="12.75" customHeight="1">
      <c r="AH4264" s="253"/>
    </row>
    <row r="4265" spans="34:34" ht="12.75" customHeight="1">
      <c r="AH4265" s="253"/>
    </row>
    <row r="4266" spans="34:34" ht="12.75" customHeight="1">
      <c r="AH4266" s="253"/>
    </row>
    <row r="4267" spans="34:34" ht="12.75" customHeight="1">
      <c r="AH4267" s="253"/>
    </row>
    <row r="4268" spans="34:34" ht="12.75" customHeight="1">
      <c r="AH4268" s="253"/>
    </row>
    <row r="4269" spans="34:34" ht="12.75" customHeight="1">
      <c r="AH4269" s="253"/>
    </row>
    <row r="4270" spans="34:34" ht="12.75" customHeight="1">
      <c r="AH4270" s="253"/>
    </row>
    <row r="4271" spans="34:34" ht="12.75" customHeight="1">
      <c r="AH4271" s="253"/>
    </row>
    <row r="4272" spans="34:34" ht="12.75" customHeight="1">
      <c r="AH4272" s="253"/>
    </row>
    <row r="4273" spans="34:34" ht="12.75" customHeight="1">
      <c r="AH4273" s="253"/>
    </row>
    <row r="4274" spans="34:34" ht="12.75" customHeight="1">
      <c r="AH4274" s="253"/>
    </row>
    <row r="4275" spans="34:34" ht="12.75" customHeight="1">
      <c r="AH4275" s="253"/>
    </row>
    <row r="4276" spans="34:34" ht="12.75" customHeight="1">
      <c r="AH4276" s="253"/>
    </row>
    <row r="4277" spans="34:34" ht="12.75" customHeight="1">
      <c r="AH4277" s="253"/>
    </row>
    <row r="4278" spans="34:34" ht="12.75" customHeight="1">
      <c r="AH4278" s="253"/>
    </row>
    <row r="4279" spans="34:34" ht="12.75" customHeight="1">
      <c r="AH4279" s="253"/>
    </row>
    <row r="4280" spans="34:34" ht="12.75" customHeight="1">
      <c r="AH4280" s="253"/>
    </row>
    <row r="4281" spans="34:34" ht="12.75" customHeight="1">
      <c r="AH4281" s="253"/>
    </row>
    <row r="4282" spans="34:34" ht="12.75" customHeight="1">
      <c r="AH4282" s="253"/>
    </row>
    <row r="4283" spans="34:34" ht="12.75" customHeight="1">
      <c r="AH4283" s="253"/>
    </row>
    <row r="4284" spans="34:34" ht="12.75" customHeight="1">
      <c r="AH4284" s="253"/>
    </row>
    <row r="4285" spans="34:34" ht="12.75" customHeight="1">
      <c r="AH4285" s="253"/>
    </row>
    <row r="4286" spans="34:34" ht="12.75" customHeight="1">
      <c r="AH4286" s="253"/>
    </row>
    <row r="4287" spans="34:34" ht="12.75" customHeight="1">
      <c r="AH4287" s="253"/>
    </row>
    <row r="4288" spans="34:34" ht="12.75" customHeight="1">
      <c r="AH4288" s="253"/>
    </row>
    <row r="4289" spans="34:34" ht="12.75" customHeight="1">
      <c r="AH4289" s="253"/>
    </row>
    <row r="4290" spans="34:34" ht="12.75" customHeight="1">
      <c r="AH4290" s="253"/>
    </row>
    <row r="4291" spans="34:34" ht="12.75" customHeight="1">
      <c r="AH4291" s="253"/>
    </row>
    <row r="4292" spans="34:34" ht="12.75" customHeight="1">
      <c r="AH4292" s="253"/>
    </row>
    <row r="4293" spans="34:34" ht="12.75" customHeight="1">
      <c r="AH4293" s="253"/>
    </row>
    <row r="4294" spans="34:34" ht="12.75" customHeight="1">
      <c r="AH4294" s="253"/>
    </row>
    <row r="4295" spans="34:34" ht="12.75" customHeight="1">
      <c r="AH4295" s="253"/>
    </row>
    <row r="4296" spans="34:34" ht="12.75" customHeight="1">
      <c r="AH4296" s="253"/>
    </row>
    <row r="4297" spans="34:34" ht="12.75" customHeight="1">
      <c r="AH4297" s="253"/>
    </row>
    <row r="4298" spans="34:34" ht="12.75" customHeight="1">
      <c r="AH4298" s="253"/>
    </row>
    <row r="4299" spans="34:34" ht="12.75" customHeight="1">
      <c r="AH4299" s="253"/>
    </row>
    <row r="4300" spans="34:34" ht="12.75" customHeight="1">
      <c r="AH4300" s="253"/>
    </row>
    <row r="4301" spans="34:34" ht="12.75" customHeight="1">
      <c r="AH4301" s="253"/>
    </row>
    <row r="4302" spans="34:34" ht="12.75" customHeight="1">
      <c r="AH4302" s="253"/>
    </row>
    <row r="4303" spans="34:34" ht="12.75" customHeight="1">
      <c r="AH4303" s="253"/>
    </row>
    <row r="4304" spans="34:34" ht="12.75" customHeight="1">
      <c r="AH4304" s="253"/>
    </row>
    <row r="4305" spans="34:34" ht="12.75" customHeight="1">
      <c r="AH4305" s="253"/>
    </row>
    <row r="4306" spans="34:34" ht="12.75" customHeight="1">
      <c r="AH4306" s="253"/>
    </row>
    <row r="4307" spans="34:34" ht="12.75" customHeight="1">
      <c r="AH4307" s="253"/>
    </row>
    <row r="4308" spans="34:34" ht="12.75" customHeight="1">
      <c r="AH4308" s="253"/>
    </row>
    <row r="4309" spans="34:34" ht="12.75" customHeight="1">
      <c r="AH4309" s="253"/>
    </row>
    <row r="4310" spans="34:34" ht="12.75" customHeight="1">
      <c r="AH4310" s="253"/>
    </row>
    <row r="4311" spans="34:34" ht="12.75" customHeight="1">
      <c r="AH4311" s="253"/>
    </row>
    <row r="4312" spans="34:34" ht="12.75" customHeight="1">
      <c r="AH4312" s="253"/>
    </row>
    <row r="4313" spans="34:34" ht="12.75" customHeight="1">
      <c r="AH4313" s="253"/>
    </row>
    <row r="4314" spans="34:34" ht="12.75" customHeight="1">
      <c r="AH4314" s="253"/>
    </row>
    <row r="4315" spans="34:34" ht="12.75" customHeight="1">
      <c r="AH4315" s="253"/>
    </row>
    <row r="4316" spans="34:34" ht="12.75" customHeight="1">
      <c r="AH4316" s="253"/>
    </row>
    <row r="4317" spans="34:34" ht="12.75" customHeight="1">
      <c r="AH4317" s="253"/>
    </row>
    <row r="4318" spans="34:34" ht="12.75" customHeight="1">
      <c r="AH4318" s="253"/>
    </row>
    <row r="4319" spans="34:34" ht="12.75" customHeight="1">
      <c r="AH4319" s="253"/>
    </row>
    <row r="4320" spans="34:34" ht="12.75" customHeight="1">
      <c r="AH4320" s="253"/>
    </row>
    <row r="4321" spans="34:34" ht="12.75" customHeight="1">
      <c r="AH4321" s="253"/>
    </row>
    <row r="4322" spans="34:34" ht="12.75" customHeight="1">
      <c r="AH4322" s="253"/>
    </row>
    <row r="4323" spans="34:34" ht="12.75" customHeight="1">
      <c r="AH4323" s="253"/>
    </row>
    <row r="4324" spans="34:34" ht="12.75" customHeight="1">
      <c r="AH4324" s="253"/>
    </row>
    <row r="4325" spans="34:34" ht="12.75" customHeight="1">
      <c r="AH4325" s="253"/>
    </row>
    <row r="4326" spans="34:34" ht="12.75" customHeight="1">
      <c r="AH4326" s="253"/>
    </row>
    <row r="4327" spans="34:34" ht="12.75" customHeight="1">
      <c r="AH4327" s="253"/>
    </row>
    <row r="4328" spans="34:34" ht="12.75" customHeight="1">
      <c r="AH4328" s="253"/>
    </row>
    <row r="4329" spans="34:34" ht="12.75" customHeight="1">
      <c r="AH4329" s="253"/>
    </row>
    <row r="4330" spans="34:34" ht="12.75" customHeight="1">
      <c r="AH4330" s="253"/>
    </row>
    <row r="4331" spans="34:34" ht="12.75" customHeight="1">
      <c r="AH4331" s="253"/>
    </row>
    <row r="4332" spans="34:34" ht="12.75" customHeight="1">
      <c r="AH4332" s="253"/>
    </row>
    <row r="4333" spans="34:34" ht="12.75" customHeight="1">
      <c r="AH4333" s="253"/>
    </row>
    <row r="4334" spans="34:34" ht="12.75" customHeight="1">
      <c r="AH4334" s="253"/>
    </row>
    <row r="4335" spans="34:34" ht="12.75" customHeight="1">
      <c r="AH4335" s="253"/>
    </row>
    <row r="4336" spans="34:34" ht="12.75" customHeight="1">
      <c r="AH4336" s="253"/>
    </row>
    <row r="4337" spans="34:34" ht="12.75" customHeight="1">
      <c r="AH4337" s="253"/>
    </row>
    <row r="4338" spans="34:34" ht="12.75" customHeight="1">
      <c r="AH4338" s="253"/>
    </row>
    <row r="4339" spans="34:34" ht="12.75" customHeight="1">
      <c r="AH4339" s="253"/>
    </row>
    <row r="4340" spans="34:34" ht="12.75" customHeight="1">
      <c r="AH4340" s="253"/>
    </row>
    <row r="4341" spans="34:34" ht="12.75" customHeight="1">
      <c r="AH4341" s="253"/>
    </row>
    <row r="4342" spans="34:34" ht="12.75" customHeight="1">
      <c r="AH4342" s="253"/>
    </row>
    <row r="4343" spans="34:34" ht="12.75" customHeight="1">
      <c r="AH4343" s="253"/>
    </row>
    <row r="4344" spans="34:34" ht="12.75" customHeight="1">
      <c r="AH4344" s="253"/>
    </row>
    <row r="4345" spans="34:34" ht="12.75" customHeight="1">
      <c r="AH4345" s="253"/>
    </row>
    <row r="4346" spans="34:34" ht="12.75" customHeight="1">
      <c r="AH4346" s="253"/>
    </row>
    <row r="4347" spans="34:34" ht="12.75" customHeight="1">
      <c r="AH4347" s="253"/>
    </row>
    <row r="4348" spans="34:34" ht="12.75" customHeight="1">
      <c r="AH4348" s="253"/>
    </row>
    <row r="4349" spans="34:34" ht="12.75" customHeight="1">
      <c r="AH4349" s="253"/>
    </row>
    <row r="4350" spans="34:34" ht="12.75" customHeight="1">
      <c r="AH4350" s="253"/>
    </row>
    <row r="4351" spans="34:34" ht="12.75" customHeight="1">
      <c r="AH4351" s="253"/>
    </row>
    <row r="4352" spans="34:34" ht="12.75" customHeight="1">
      <c r="AH4352" s="253"/>
    </row>
    <row r="4353" spans="34:34" ht="12.75" customHeight="1">
      <c r="AH4353" s="253"/>
    </row>
    <row r="4354" spans="34:34" ht="12.75" customHeight="1">
      <c r="AH4354" s="253"/>
    </row>
    <row r="4355" spans="34:34" ht="12.75" customHeight="1">
      <c r="AH4355" s="253"/>
    </row>
    <row r="4356" spans="34:34" ht="12.75" customHeight="1">
      <c r="AH4356" s="253"/>
    </row>
    <row r="4357" spans="34:34" ht="12.75" customHeight="1">
      <c r="AH4357" s="253"/>
    </row>
    <row r="4358" spans="34:34" ht="12.75" customHeight="1">
      <c r="AH4358" s="253"/>
    </row>
    <row r="4359" spans="34:34" ht="12.75" customHeight="1">
      <c r="AH4359" s="253"/>
    </row>
    <row r="4360" spans="34:34" ht="12.75" customHeight="1">
      <c r="AH4360" s="253"/>
    </row>
    <row r="4361" spans="34:34" ht="12.75" customHeight="1">
      <c r="AH4361" s="253"/>
    </row>
    <row r="4362" spans="34:34" ht="12.75" customHeight="1">
      <c r="AH4362" s="253"/>
    </row>
    <row r="4363" spans="34:34" ht="12.75" customHeight="1">
      <c r="AH4363" s="253"/>
    </row>
    <row r="4364" spans="34:34" ht="12.75" customHeight="1">
      <c r="AH4364" s="253"/>
    </row>
    <row r="4365" spans="34:34" ht="12.75" customHeight="1">
      <c r="AH4365" s="253"/>
    </row>
    <row r="4366" spans="34:34" ht="12.75" customHeight="1">
      <c r="AH4366" s="253"/>
    </row>
    <row r="4367" spans="34:34" ht="12.75" customHeight="1">
      <c r="AH4367" s="253"/>
    </row>
    <row r="4368" spans="34:34" ht="12.75" customHeight="1">
      <c r="AH4368" s="253"/>
    </row>
    <row r="4369" spans="34:34" ht="12.75" customHeight="1">
      <c r="AH4369" s="253"/>
    </row>
    <row r="4370" spans="34:34" ht="12.75" customHeight="1">
      <c r="AH4370" s="253"/>
    </row>
    <row r="4371" spans="34:34" ht="12.75" customHeight="1">
      <c r="AH4371" s="253"/>
    </row>
    <row r="4372" spans="34:34" ht="12.75" customHeight="1">
      <c r="AH4372" s="253"/>
    </row>
    <row r="4373" spans="34:34" ht="12.75" customHeight="1">
      <c r="AH4373" s="253"/>
    </row>
    <row r="4374" spans="34:34" ht="12.75" customHeight="1">
      <c r="AH4374" s="253"/>
    </row>
    <row r="4375" spans="34:34" ht="12.75" customHeight="1">
      <c r="AH4375" s="253"/>
    </row>
    <row r="4376" spans="34:34" ht="12.75" customHeight="1">
      <c r="AH4376" s="253"/>
    </row>
    <row r="4377" spans="34:34" ht="12.75" customHeight="1">
      <c r="AH4377" s="253"/>
    </row>
    <row r="4378" spans="34:34" ht="12.75" customHeight="1">
      <c r="AH4378" s="253"/>
    </row>
    <row r="4379" spans="34:34" ht="12.75" customHeight="1">
      <c r="AH4379" s="253"/>
    </row>
    <row r="4380" spans="34:34" ht="12.75" customHeight="1">
      <c r="AH4380" s="253"/>
    </row>
    <row r="4381" spans="34:34" ht="12.75" customHeight="1">
      <c r="AH4381" s="253"/>
    </row>
    <row r="4382" spans="34:34" ht="12.75" customHeight="1">
      <c r="AH4382" s="253"/>
    </row>
    <row r="4383" spans="34:34" ht="12.75" customHeight="1">
      <c r="AH4383" s="253"/>
    </row>
    <row r="4384" spans="34:34" ht="12.75" customHeight="1">
      <c r="AH4384" s="253"/>
    </row>
    <row r="4385" spans="34:34" ht="12.75" customHeight="1">
      <c r="AH4385" s="253"/>
    </row>
    <row r="4386" spans="34:34" ht="12.75" customHeight="1">
      <c r="AH4386" s="253"/>
    </row>
    <row r="4387" spans="34:34" ht="12.75" customHeight="1">
      <c r="AH4387" s="253"/>
    </row>
    <row r="4388" spans="34:34" ht="12.75" customHeight="1">
      <c r="AH4388" s="253"/>
    </row>
    <row r="4389" spans="34:34" ht="12.75" customHeight="1">
      <c r="AH4389" s="253"/>
    </row>
    <row r="4390" spans="34:34" ht="12.75" customHeight="1">
      <c r="AH4390" s="253"/>
    </row>
    <row r="4391" spans="34:34" ht="12.75" customHeight="1">
      <c r="AH4391" s="253"/>
    </row>
    <row r="4392" spans="34:34" ht="12.75" customHeight="1">
      <c r="AH4392" s="253"/>
    </row>
    <row r="4393" spans="34:34" ht="12.75" customHeight="1">
      <c r="AH4393" s="253"/>
    </row>
    <row r="4394" spans="34:34" ht="12.75" customHeight="1">
      <c r="AH4394" s="253"/>
    </row>
    <row r="4395" spans="34:34" ht="12.75" customHeight="1">
      <c r="AH4395" s="253"/>
    </row>
    <row r="4396" spans="34:34" ht="12.75" customHeight="1">
      <c r="AH4396" s="253"/>
    </row>
    <row r="4397" spans="34:34" ht="12.75" customHeight="1">
      <c r="AH4397" s="253"/>
    </row>
    <row r="4398" spans="34:34" ht="12.75" customHeight="1">
      <c r="AH4398" s="253"/>
    </row>
    <row r="4399" spans="34:34" ht="12.75" customHeight="1">
      <c r="AH4399" s="253"/>
    </row>
    <row r="4400" spans="34:34" ht="12.75" customHeight="1">
      <c r="AH4400" s="253"/>
    </row>
    <row r="4401" spans="34:34" ht="12.75" customHeight="1">
      <c r="AH4401" s="253"/>
    </row>
    <row r="4402" spans="34:34" ht="12.75" customHeight="1">
      <c r="AH4402" s="253"/>
    </row>
    <row r="4403" spans="34:34" ht="12.75" customHeight="1">
      <c r="AH4403" s="253"/>
    </row>
    <row r="4404" spans="34:34" ht="12.75" customHeight="1">
      <c r="AH4404" s="253"/>
    </row>
    <row r="4405" spans="34:34" ht="12.75" customHeight="1">
      <c r="AH4405" s="253"/>
    </row>
    <row r="4406" spans="34:34" ht="12.75" customHeight="1">
      <c r="AH4406" s="253"/>
    </row>
    <row r="4407" spans="34:34" ht="12.75" customHeight="1">
      <c r="AH4407" s="253"/>
    </row>
    <row r="4408" spans="34:34" ht="12.75" customHeight="1">
      <c r="AH4408" s="253"/>
    </row>
    <row r="4409" spans="34:34" ht="12.75" customHeight="1">
      <c r="AH4409" s="253"/>
    </row>
    <row r="4410" spans="34:34" ht="12.75" customHeight="1">
      <c r="AH4410" s="253"/>
    </row>
    <row r="4411" spans="34:34" ht="12.75" customHeight="1">
      <c r="AH4411" s="253"/>
    </row>
    <row r="4412" spans="34:34" ht="12.75" customHeight="1">
      <c r="AH4412" s="253"/>
    </row>
    <row r="4413" spans="34:34" ht="12.75" customHeight="1">
      <c r="AH4413" s="253"/>
    </row>
    <row r="4414" spans="34:34" ht="12.75" customHeight="1">
      <c r="AH4414" s="253"/>
    </row>
    <row r="4415" spans="34:34" ht="12.75" customHeight="1">
      <c r="AH4415" s="253"/>
    </row>
    <row r="4416" spans="34:34" ht="12.75" customHeight="1">
      <c r="AH4416" s="253"/>
    </row>
    <row r="4417" spans="34:34" ht="12.75" customHeight="1">
      <c r="AH4417" s="253"/>
    </row>
    <row r="4418" spans="34:34" ht="12.75" customHeight="1">
      <c r="AH4418" s="253"/>
    </row>
    <row r="4419" spans="34:34" ht="12.75" customHeight="1">
      <c r="AH4419" s="253"/>
    </row>
    <row r="4420" spans="34:34" ht="12.75" customHeight="1">
      <c r="AH4420" s="253"/>
    </row>
    <row r="4421" spans="34:34" ht="12.75" customHeight="1">
      <c r="AH4421" s="253"/>
    </row>
    <row r="4422" spans="34:34" ht="12.75" customHeight="1">
      <c r="AH4422" s="253"/>
    </row>
    <row r="4423" spans="34:34" ht="12.75" customHeight="1">
      <c r="AH4423" s="253"/>
    </row>
    <row r="4424" spans="34:34" ht="12.75" customHeight="1">
      <c r="AH4424" s="253"/>
    </row>
    <row r="4425" spans="34:34" ht="12.75" customHeight="1">
      <c r="AH4425" s="253"/>
    </row>
    <row r="4426" spans="34:34" ht="12.75" customHeight="1">
      <c r="AH4426" s="253"/>
    </row>
    <row r="4427" spans="34:34" ht="12.75" customHeight="1">
      <c r="AH4427" s="253"/>
    </row>
    <row r="4428" spans="34:34" ht="12.75" customHeight="1">
      <c r="AH4428" s="253"/>
    </row>
    <row r="4429" spans="34:34" ht="12.75" customHeight="1">
      <c r="AH4429" s="253"/>
    </row>
    <row r="4430" spans="34:34" ht="12.75" customHeight="1">
      <c r="AH4430" s="253"/>
    </row>
    <row r="4431" spans="34:34" ht="12.75" customHeight="1">
      <c r="AH4431" s="253"/>
    </row>
    <row r="4432" spans="34:34" ht="12.75" customHeight="1">
      <c r="AH4432" s="253"/>
    </row>
    <row r="4433" spans="34:34" ht="12.75" customHeight="1">
      <c r="AH4433" s="253"/>
    </row>
    <row r="4434" spans="34:34" ht="12.75" customHeight="1">
      <c r="AH4434" s="253"/>
    </row>
    <row r="4435" spans="34:34" ht="12.75" customHeight="1">
      <c r="AH4435" s="253"/>
    </row>
    <row r="4436" spans="34:34" ht="12.75" customHeight="1">
      <c r="AH4436" s="253"/>
    </row>
    <row r="4437" spans="34:34" ht="12.75" customHeight="1">
      <c r="AH4437" s="253"/>
    </row>
    <row r="4438" spans="34:34" ht="12.75" customHeight="1">
      <c r="AH4438" s="253"/>
    </row>
    <row r="4439" spans="34:34" ht="12.75" customHeight="1">
      <c r="AH4439" s="253"/>
    </row>
    <row r="4440" spans="34:34" ht="12.75" customHeight="1">
      <c r="AH4440" s="253"/>
    </row>
    <row r="4441" spans="34:34" ht="12.75" customHeight="1">
      <c r="AH4441" s="253"/>
    </row>
    <row r="4442" spans="34:34" ht="12.75" customHeight="1">
      <c r="AH4442" s="253"/>
    </row>
    <row r="4443" spans="34:34" ht="12.75" customHeight="1">
      <c r="AH4443" s="253"/>
    </row>
    <row r="4444" spans="34:34" ht="12.75" customHeight="1">
      <c r="AH4444" s="253"/>
    </row>
    <row r="4445" spans="34:34" ht="12.75" customHeight="1">
      <c r="AH4445" s="253"/>
    </row>
    <row r="4446" spans="34:34" ht="12.75" customHeight="1">
      <c r="AH4446" s="253"/>
    </row>
    <row r="4447" spans="34:34" ht="12.75" customHeight="1">
      <c r="AH4447" s="253"/>
    </row>
    <row r="4448" spans="34:34" ht="12.75" customHeight="1">
      <c r="AH4448" s="253"/>
    </row>
    <row r="4449" spans="34:34" ht="12.75" customHeight="1">
      <c r="AH4449" s="253"/>
    </row>
    <row r="4450" spans="34:34" ht="12.75" customHeight="1">
      <c r="AH4450" s="253"/>
    </row>
    <row r="4451" spans="34:34" ht="12.75" customHeight="1">
      <c r="AH4451" s="253"/>
    </row>
    <row r="4452" spans="34:34" ht="12.75" customHeight="1">
      <c r="AH4452" s="253"/>
    </row>
    <row r="4453" spans="34:34" ht="12.75" customHeight="1">
      <c r="AH4453" s="253"/>
    </row>
    <row r="4454" spans="34:34" ht="12.75" customHeight="1">
      <c r="AH4454" s="253"/>
    </row>
    <row r="4455" spans="34:34" ht="12.75" customHeight="1">
      <c r="AH4455" s="253"/>
    </row>
    <row r="4456" spans="34:34" ht="12.75" customHeight="1">
      <c r="AH4456" s="253"/>
    </row>
    <row r="4457" spans="34:34" ht="12.75" customHeight="1">
      <c r="AH4457" s="253"/>
    </row>
    <row r="4458" spans="34:34" ht="12.75" customHeight="1">
      <c r="AH4458" s="253"/>
    </row>
    <row r="4459" spans="34:34" ht="12.75" customHeight="1">
      <c r="AH4459" s="253"/>
    </row>
    <row r="4460" spans="34:34" ht="12.75" customHeight="1">
      <c r="AH4460" s="253"/>
    </row>
    <row r="4461" spans="34:34" ht="12.75" customHeight="1">
      <c r="AH4461" s="253"/>
    </row>
    <row r="4462" spans="34:34" ht="12.75" customHeight="1">
      <c r="AH4462" s="253"/>
    </row>
    <row r="4463" spans="34:34" ht="12.75" customHeight="1">
      <c r="AH4463" s="253"/>
    </row>
    <row r="4464" spans="34:34" ht="12.75" customHeight="1">
      <c r="AH4464" s="253"/>
    </row>
    <row r="4465" spans="34:34" ht="12.75" customHeight="1">
      <c r="AH4465" s="253"/>
    </row>
    <row r="4466" spans="34:34" ht="12.75" customHeight="1">
      <c r="AH4466" s="253"/>
    </row>
    <row r="4467" spans="34:34" ht="12.75" customHeight="1">
      <c r="AH4467" s="253"/>
    </row>
    <row r="4468" spans="34:34" ht="12.75" customHeight="1">
      <c r="AH4468" s="253"/>
    </row>
    <row r="4469" spans="34:34" ht="12.75" customHeight="1">
      <c r="AH4469" s="253"/>
    </row>
    <row r="4470" spans="34:34" ht="12.75" customHeight="1">
      <c r="AH4470" s="253"/>
    </row>
    <row r="4471" spans="34:34" ht="12.75" customHeight="1">
      <c r="AH4471" s="253"/>
    </row>
    <row r="4472" spans="34:34" ht="12.75" customHeight="1">
      <c r="AH4472" s="253"/>
    </row>
    <row r="4473" spans="34:34" ht="12.75" customHeight="1">
      <c r="AH4473" s="253"/>
    </row>
    <row r="4474" spans="34:34" ht="12.75" customHeight="1">
      <c r="AH4474" s="253"/>
    </row>
    <row r="4475" spans="34:34" ht="12.75" customHeight="1">
      <c r="AH4475" s="253"/>
    </row>
    <row r="4476" spans="34:34" ht="12.75" customHeight="1">
      <c r="AH4476" s="253"/>
    </row>
    <row r="4477" spans="34:34" ht="12.75" customHeight="1">
      <c r="AH4477" s="253"/>
    </row>
    <row r="4478" spans="34:34" ht="12.75" customHeight="1">
      <c r="AH4478" s="253"/>
    </row>
    <row r="4479" spans="34:34" ht="12.75" customHeight="1">
      <c r="AH4479" s="253"/>
    </row>
    <row r="4480" spans="34:34" ht="12.75" customHeight="1">
      <c r="AH4480" s="253"/>
    </row>
    <row r="4481" spans="34:34" ht="12.75" customHeight="1">
      <c r="AH4481" s="253"/>
    </row>
    <row r="4482" spans="34:34" ht="12.75" customHeight="1">
      <c r="AH4482" s="253"/>
    </row>
    <row r="4483" spans="34:34" ht="12.75" customHeight="1">
      <c r="AH4483" s="253"/>
    </row>
    <row r="4484" spans="34:34" ht="12.75" customHeight="1">
      <c r="AH4484" s="253"/>
    </row>
    <row r="4485" spans="34:34" ht="12.75" customHeight="1">
      <c r="AH4485" s="253"/>
    </row>
    <row r="4486" spans="34:34" ht="12.75" customHeight="1">
      <c r="AH4486" s="253"/>
    </row>
    <row r="4487" spans="34:34" ht="12.75" customHeight="1">
      <c r="AH4487" s="253"/>
    </row>
    <row r="4488" spans="34:34" ht="12.75" customHeight="1">
      <c r="AH4488" s="253"/>
    </row>
    <row r="4489" spans="34:34" ht="12.75" customHeight="1">
      <c r="AH4489" s="253"/>
    </row>
    <row r="4490" spans="34:34" ht="12.75" customHeight="1">
      <c r="AH4490" s="253"/>
    </row>
    <row r="4491" spans="34:34" ht="12.75" customHeight="1">
      <c r="AH4491" s="253"/>
    </row>
    <row r="4492" spans="34:34" ht="12.75" customHeight="1">
      <c r="AH4492" s="253"/>
    </row>
    <row r="4493" spans="34:34" ht="12.75" customHeight="1">
      <c r="AH4493" s="253"/>
    </row>
    <row r="4494" spans="34:34" ht="12.75" customHeight="1">
      <c r="AH4494" s="253"/>
    </row>
    <row r="4495" spans="34:34" ht="12.75" customHeight="1">
      <c r="AH4495" s="253"/>
    </row>
    <row r="4496" spans="34:34" ht="12.75" customHeight="1">
      <c r="AH4496" s="253"/>
    </row>
    <row r="4497" spans="34:34" ht="12.75" customHeight="1">
      <c r="AH4497" s="253"/>
    </row>
    <row r="4498" spans="34:34" ht="12.75" customHeight="1">
      <c r="AH4498" s="253"/>
    </row>
    <row r="4499" spans="34:34" ht="12.75" customHeight="1">
      <c r="AH4499" s="253"/>
    </row>
    <row r="4500" spans="34:34" ht="12.75" customHeight="1">
      <c r="AH4500" s="253"/>
    </row>
    <row r="4501" spans="34:34" ht="12.75" customHeight="1">
      <c r="AH4501" s="253"/>
    </row>
    <row r="4502" spans="34:34" ht="12.75" customHeight="1">
      <c r="AH4502" s="253"/>
    </row>
    <row r="4503" spans="34:34" ht="12.75" customHeight="1">
      <c r="AH4503" s="253"/>
    </row>
    <row r="4504" spans="34:34" ht="12.75" customHeight="1">
      <c r="AH4504" s="253"/>
    </row>
    <row r="4505" spans="34:34" ht="12.75" customHeight="1">
      <c r="AH4505" s="253"/>
    </row>
    <row r="4506" spans="34:34" ht="12.75" customHeight="1">
      <c r="AH4506" s="253"/>
    </row>
    <row r="4507" spans="34:34" ht="12.75" customHeight="1">
      <c r="AH4507" s="253"/>
    </row>
    <row r="4508" spans="34:34" ht="12.75" customHeight="1">
      <c r="AH4508" s="253"/>
    </row>
    <row r="4509" spans="34:34" ht="12.75" customHeight="1">
      <c r="AH4509" s="253"/>
    </row>
    <row r="4510" spans="34:34" ht="12.75" customHeight="1">
      <c r="AH4510" s="253"/>
    </row>
    <row r="4511" spans="34:34" ht="12.75" customHeight="1">
      <c r="AH4511" s="253"/>
    </row>
    <row r="4512" spans="34:34" ht="12.75" customHeight="1">
      <c r="AH4512" s="253"/>
    </row>
    <row r="4513" spans="34:34" ht="12.75" customHeight="1">
      <c r="AH4513" s="253"/>
    </row>
    <row r="4514" spans="34:34" ht="12.75" customHeight="1">
      <c r="AH4514" s="253"/>
    </row>
    <row r="4515" spans="34:34" ht="12.75" customHeight="1">
      <c r="AH4515" s="253"/>
    </row>
    <row r="4516" spans="34:34" ht="12.75" customHeight="1">
      <c r="AH4516" s="253"/>
    </row>
    <row r="4517" spans="34:34" ht="12.75" customHeight="1">
      <c r="AH4517" s="253"/>
    </row>
    <row r="4518" spans="34:34" ht="12.75" customHeight="1">
      <c r="AH4518" s="253"/>
    </row>
    <row r="4519" spans="34:34" ht="12.75" customHeight="1">
      <c r="AH4519" s="253"/>
    </row>
    <row r="4520" spans="34:34" ht="12.75" customHeight="1">
      <c r="AH4520" s="253"/>
    </row>
    <row r="4521" spans="34:34" ht="12.75" customHeight="1">
      <c r="AH4521" s="253"/>
    </row>
    <row r="4522" spans="34:34" ht="12.75" customHeight="1">
      <c r="AH4522" s="253"/>
    </row>
    <row r="4523" spans="34:34" ht="12.75" customHeight="1">
      <c r="AH4523" s="253"/>
    </row>
    <row r="4524" spans="34:34" ht="12.75" customHeight="1">
      <c r="AH4524" s="253"/>
    </row>
    <row r="4525" spans="34:34" ht="12.75" customHeight="1">
      <c r="AH4525" s="253"/>
    </row>
    <row r="4526" spans="34:34" ht="12.75" customHeight="1">
      <c r="AH4526" s="253"/>
    </row>
    <row r="4527" spans="34:34" ht="12.75" customHeight="1">
      <c r="AH4527" s="253"/>
    </row>
    <row r="4528" spans="34:34" ht="12.75" customHeight="1">
      <c r="AH4528" s="253"/>
    </row>
    <row r="4529" spans="34:34" ht="12.75" customHeight="1">
      <c r="AH4529" s="253"/>
    </row>
    <row r="4530" spans="34:34" ht="12.75" customHeight="1">
      <c r="AH4530" s="253"/>
    </row>
    <row r="4531" spans="34:34" ht="12.75" customHeight="1">
      <c r="AH4531" s="253"/>
    </row>
    <row r="4532" spans="34:34" ht="12.75" customHeight="1">
      <c r="AH4532" s="253"/>
    </row>
    <row r="4533" spans="34:34" ht="12.75" customHeight="1">
      <c r="AH4533" s="253"/>
    </row>
    <row r="4534" spans="34:34" ht="12.75" customHeight="1">
      <c r="AH4534" s="253"/>
    </row>
    <row r="4535" spans="34:34" ht="12.75" customHeight="1">
      <c r="AH4535" s="253"/>
    </row>
    <row r="4536" spans="34:34" ht="12.75" customHeight="1">
      <c r="AH4536" s="253"/>
    </row>
    <row r="4537" spans="34:34" ht="12.75" customHeight="1">
      <c r="AH4537" s="253"/>
    </row>
    <row r="4538" spans="34:34" ht="12.75" customHeight="1">
      <c r="AH4538" s="253"/>
    </row>
    <row r="4539" spans="34:34" ht="12.75" customHeight="1">
      <c r="AH4539" s="253"/>
    </row>
    <row r="4540" spans="34:34" ht="12.75" customHeight="1">
      <c r="AH4540" s="253"/>
    </row>
    <row r="4541" spans="34:34" ht="12.75" customHeight="1">
      <c r="AH4541" s="253"/>
    </row>
    <row r="4542" spans="34:34" ht="12.75" customHeight="1">
      <c r="AH4542" s="253"/>
    </row>
    <row r="4543" spans="34:34" ht="12.75" customHeight="1">
      <c r="AH4543" s="253"/>
    </row>
    <row r="4544" spans="34:34" ht="12.75" customHeight="1">
      <c r="AH4544" s="253"/>
    </row>
    <row r="4545" spans="34:34" ht="12.75" customHeight="1">
      <c r="AH4545" s="253"/>
    </row>
    <row r="4546" spans="34:34" ht="12.75" customHeight="1">
      <c r="AH4546" s="253"/>
    </row>
    <row r="4547" spans="34:34" ht="12.75" customHeight="1">
      <c r="AH4547" s="253"/>
    </row>
    <row r="4548" spans="34:34" ht="12.75" customHeight="1">
      <c r="AH4548" s="253"/>
    </row>
    <row r="4549" spans="34:34" ht="12.75" customHeight="1">
      <c r="AH4549" s="253"/>
    </row>
    <row r="4550" spans="34:34" ht="12.75" customHeight="1">
      <c r="AH4550" s="253"/>
    </row>
    <row r="4551" spans="34:34" ht="12.75" customHeight="1">
      <c r="AH4551" s="253"/>
    </row>
    <row r="4552" spans="34:34" ht="12.75" customHeight="1">
      <c r="AH4552" s="253"/>
    </row>
    <row r="4553" spans="34:34" ht="12.75" customHeight="1">
      <c r="AH4553" s="253"/>
    </row>
    <row r="4554" spans="34:34" ht="12.75" customHeight="1">
      <c r="AH4554" s="253"/>
    </row>
    <row r="4555" spans="34:34" ht="12.75" customHeight="1">
      <c r="AH4555" s="253"/>
    </row>
    <row r="4556" spans="34:34" ht="12.75" customHeight="1">
      <c r="AH4556" s="253"/>
    </row>
    <row r="4557" spans="34:34" ht="12.75" customHeight="1">
      <c r="AH4557" s="253"/>
    </row>
    <row r="4558" spans="34:34" ht="12.75" customHeight="1">
      <c r="AH4558" s="253"/>
    </row>
    <row r="4559" spans="34:34" ht="12.75" customHeight="1">
      <c r="AH4559" s="253"/>
    </row>
    <row r="4560" spans="34:34" ht="12.75" customHeight="1">
      <c r="AH4560" s="253"/>
    </row>
    <row r="4561" spans="34:34" ht="12.75" customHeight="1">
      <c r="AH4561" s="253"/>
    </row>
    <row r="4562" spans="34:34" ht="12.75" customHeight="1">
      <c r="AH4562" s="253"/>
    </row>
    <row r="4563" spans="34:34" ht="12.75" customHeight="1">
      <c r="AH4563" s="253"/>
    </row>
    <row r="4564" spans="34:34" ht="12.75" customHeight="1">
      <c r="AH4564" s="253"/>
    </row>
    <row r="4565" spans="34:34" ht="12.75" customHeight="1">
      <c r="AH4565" s="253"/>
    </row>
    <row r="4566" spans="34:34" ht="12.75" customHeight="1">
      <c r="AH4566" s="253"/>
    </row>
    <row r="4567" spans="34:34" ht="12.75" customHeight="1">
      <c r="AH4567" s="253"/>
    </row>
    <row r="4568" spans="34:34" ht="12.75" customHeight="1">
      <c r="AH4568" s="253"/>
    </row>
    <row r="4569" spans="34:34" ht="12.75" customHeight="1">
      <c r="AH4569" s="253"/>
    </row>
    <row r="4570" spans="34:34" ht="12.75" customHeight="1">
      <c r="AH4570" s="253"/>
    </row>
    <row r="4571" spans="34:34" ht="12.75" customHeight="1">
      <c r="AH4571" s="253"/>
    </row>
    <row r="4572" spans="34:34" ht="12.75" customHeight="1">
      <c r="AH4572" s="253"/>
    </row>
    <row r="4573" spans="34:34" ht="12.75" customHeight="1">
      <c r="AH4573" s="253"/>
    </row>
    <row r="4574" spans="34:34" ht="12.75" customHeight="1">
      <c r="AH4574" s="253"/>
    </row>
    <row r="4575" spans="34:34" ht="12.75" customHeight="1">
      <c r="AH4575" s="253"/>
    </row>
    <row r="4576" spans="34:34" ht="12.75" customHeight="1">
      <c r="AH4576" s="253"/>
    </row>
    <row r="4577" spans="34:34" ht="12.75" customHeight="1">
      <c r="AH4577" s="253"/>
    </row>
    <row r="4578" spans="34:34" ht="12.75" customHeight="1">
      <c r="AH4578" s="253"/>
    </row>
    <row r="4579" spans="34:34" ht="12.75" customHeight="1">
      <c r="AH4579" s="253"/>
    </row>
    <row r="4580" spans="34:34" ht="12.75" customHeight="1">
      <c r="AH4580" s="253"/>
    </row>
    <row r="4581" spans="34:34" ht="12.75" customHeight="1">
      <c r="AH4581" s="253"/>
    </row>
    <row r="4582" spans="34:34" ht="12.75" customHeight="1">
      <c r="AH4582" s="253"/>
    </row>
    <row r="4583" spans="34:34" ht="12.75" customHeight="1">
      <c r="AH4583" s="253"/>
    </row>
    <row r="4584" spans="34:34" ht="12.75" customHeight="1">
      <c r="AH4584" s="253"/>
    </row>
    <row r="4585" spans="34:34" ht="12.75" customHeight="1">
      <c r="AH4585" s="253"/>
    </row>
    <row r="4586" spans="34:34" ht="12.75" customHeight="1">
      <c r="AH4586" s="253"/>
    </row>
    <row r="4587" spans="34:34" ht="12.75" customHeight="1">
      <c r="AH4587" s="253"/>
    </row>
    <row r="4588" spans="34:34" ht="12.75" customHeight="1">
      <c r="AH4588" s="253"/>
    </row>
    <row r="4589" spans="34:34" ht="12.75" customHeight="1">
      <c r="AH4589" s="253"/>
    </row>
    <row r="4590" spans="34:34" ht="12.75" customHeight="1">
      <c r="AH4590" s="253"/>
    </row>
    <row r="4591" spans="34:34" ht="12.75" customHeight="1">
      <c r="AH4591" s="253"/>
    </row>
    <row r="4592" spans="34:34" ht="12.75" customHeight="1">
      <c r="AH4592" s="253"/>
    </row>
    <row r="4593" spans="34:34" ht="12.75" customHeight="1">
      <c r="AH4593" s="253"/>
    </row>
    <row r="4594" spans="34:34" ht="12.75" customHeight="1">
      <c r="AH4594" s="253"/>
    </row>
    <row r="4595" spans="34:34" ht="12.75" customHeight="1">
      <c r="AH4595" s="253"/>
    </row>
    <row r="4596" spans="34:34" ht="12.75" customHeight="1">
      <c r="AH4596" s="253"/>
    </row>
    <row r="4597" spans="34:34" ht="12.75" customHeight="1">
      <c r="AH4597" s="253"/>
    </row>
    <row r="4598" spans="34:34" ht="12.75" customHeight="1">
      <c r="AH4598" s="253"/>
    </row>
    <row r="4599" spans="34:34" ht="12.75" customHeight="1">
      <c r="AH4599" s="253"/>
    </row>
    <row r="4600" spans="34:34" ht="12.75" customHeight="1">
      <c r="AH4600" s="253"/>
    </row>
    <row r="4601" spans="34:34" ht="12.75" customHeight="1">
      <c r="AH4601" s="253"/>
    </row>
    <row r="4602" spans="34:34" ht="12.75" customHeight="1">
      <c r="AH4602" s="253"/>
    </row>
    <row r="4603" spans="34:34" ht="12.75" customHeight="1">
      <c r="AH4603" s="253"/>
    </row>
    <row r="4604" spans="34:34" ht="12.75" customHeight="1">
      <c r="AH4604" s="253"/>
    </row>
    <row r="4605" spans="34:34" ht="12.75" customHeight="1">
      <c r="AH4605" s="253"/>
    </row>
    <row r="4606" spans="34:34" ht="12.75" customHeight="1">
      <c r="AH4606" s="253"/>
    </row>
    <row r="4607" spans="34:34" ht="12.75" customHeight="1">
      <c r="AH4607" s="253"/>
    </row>
    <row r="4608" spans="34:34" ht="12.75" customHeight="1">
      <c r="AH4608" s="253"/>
    </row>
    <row r="4609" spans="34:34" ht="12.75" customHeight="1">
      <c r="AH4609" s="253"/>
    </row>
    <row r="4610" spans="34:34" ht="12.75" customHeight="1">
      <c r="AH4610" s="253"/>
    </row>
    <row r="4611" spans="34:34" ht="12.75" customHeight="1">
      <c r="AH4611" s="253"/>
    </row>
    <row r="4612" spans="34:34" ht="12.75" customHeight="1">
      <c r="AH4612" s="253"/>
    </row>
    <row r="4613" spans="34:34" ht="12.75" customHeight="1">
      <c r="AH4613" s="253"/>
    </row>
    <row r="4614" spans="34:34" ht="12.75" customHeight="1">
      <c r="AH4614" s="253"/>
    </row>
    <row r="4615" spans="34:34" ht="12.75" customHeight="1">
      <c r="AH4615" s="253"/>
    </row>
    <row r="4616" spans="34:34" ht="12.75" customHeight="1">
      <c r="AH4616" s="253"/>
    </row>
    <row r="4617" spans="34:34" ht="12.75" customHeight="1">
      <c r="AH4617" s="253"/>
    </row>
    <row r="4618" spans="34:34" ht="12.75" customHeight="1">
      <c r="AH4618" s="253"/>
    </row>
    <row r="4619" spans="34:34" ht="12.75" customHeight="1">
      <c r="AH4619" s="253"/>
    </row>
    <row r="4620" spans="34:34" ht="12.75" customHeight="1">
      <c r="AH4620" s="253"/>
    </row>
    <row r="4621" spans="34:34" ht="12.75" customHeight="1">
      <c r="AH4621" s="253"/>
    </row>
    <row r="4622" spans="34:34" ht="12.75" customHeight="1">
      <c r="AH4622" s="253"/>
    </row>
    <row r="4623" spans="34:34" ht="12.75" customHeight="1">
      <c r="AH4623" s="253"/>
    </row>
    <row r="4624" spans="34:34" ht="12.75" customHeight="1">
      <c r="AH4624" s="253"/>
    </row>
    <row r="4625" spans="34:34" ht="12.75" customHeight="1">
      <c r="AH4625" s="253"/>
    </row>
    <row r="4626" spans="34:34" ht="12.75" customHeight="1">
      <c r="AH4626" s="253"/>
    </row>
    <row r="4627" spans="34:34" ht="12.75" customHeight="1">
      <c r="AH4627" s="253"/>
    </row>
    <row r="4628" spans="34:34" ht="12.75" customHeight="1">
      <c r="AH4628" s="253"/>
    </row>
    <row r="4629" spans="34:34" ht="12.75" customHeight="1">
      <c r="AH4629" s="253"/>
    </row>
    <row r="4630" spans="34:34" ht="12.75" customHeight="1">
      <c r="AH4630" s="253"/>
    </row>
    <row r="4631" spans="34:34" ht="12.75" customHeight="1">
      <c r="AH4631" s="253"/>
    </row>
    <row r="4632" spans="34:34" ht="12.75" customHeight="1">
      <c r="AH4632" s="253"/>
    </row>
    <row r="4633" spans="34:34" ht="12.75" customHeight="1">
      <c r="AH4633" s="253"/>
    </row>
    <row r="4634" spans="34:34" ht="12.75" customHeight="1">
      <c r="AH4634" s="253"/>
    </row>
    <row r="4635" spans="34:34" ht="12.75" customHeight="1">
      <c r="AH4635" s="253"/>
    </row>
    <row r="4636" spans="34:34" ht="12.75" customHeight="1">
      <c r="AH4636" s="253"/>
    </row>
    <row r="4637" spans="34:34" ht="12.75" customHeight="1">
      <c r="AH4637" s="253"/>
    </row>
    <row r="4638" spans="34:34" ht="12.75" customHeight="1">
      <c r="AH4638" s="253"/>
    </row>
    <row r="4639" spans="34:34" ht="12.75" customHeight="1">
      <c r="AH4639" s="253"/>
    </row>
    <row r="4640" spans="34:34" ht="12.75" customHeight="1">
      <c r="AH4640" s="253"/>
    </row>
    <row r="4641" spans="34:34" ht="12.75" customHeight="1">
      <c r="AH4641" s="253"/>
    </row>
    <row r="4642" spans="34:34" ht="12.75" customHeight="1">
      <c r="AH4642" s="253"/>
    </row>
    <row r="4643" spans="34:34" ht="12.75" customHeight="1">
      <c r="AH4643" s="253"/>
    </row>
    <row r="4644" spans="34:34" ht="12.75" customHeight="1">
      <c r="AH4644" s="253"/>
    </row>
    <row r="4645" spans="34:34" ht="12.75" customHeight="1">
      <c r="AH4645" s="253"/>
    </row>
    <row r="4646" spans="34:34" ht="12.75" customHeight="1">
      <c r="AH4646" s="253"/>
    </row>
    <row r="4647" spans="34:34" ht="12.75" customHeight="1">
      <c r="AH4647" s="253"/>
    </row>
    <row r="4648" spans="34:34" ht="12.75" customHeight="1">
      <c r="AH4648" s="253"/>
    </row>
    <row r="4649" spans="34:34" ht="12.75" customHeight="1">
      <c r="AH4649" s="253"/>
    </row>
    <row r="4650" spans="34:34" ht="12.75" customHeight="1">
      <c r="AH4650" s="253"/>
    </row>
    <row r="4651" spans="34:34" ht="12.75" customHeight="1">
      <c r="AH4651" s="253"/>
    </row>
    <row r="4652" spans="34:34" ht="12.75" customHeight="1">
      <c r="AH4652" s="253"/>
    </row>
    <row r="4653" spans="34:34" ht="12.75" customHeight="1">
      <c r="AH4653" s="253"/>
    </row>
    <row r="4654" spans="34:34" ht="12.75" customHeight="1">
      <c r="AH4654" s="253"/>
    </row>
    <row r="4655" spans="34:34" ht="12.75" customHeight="1">
      <c r="AH4655" s="253"/>
    </row>
    <row r="4656" spans="34:34" ht="12.75" customHeight="1">
      <c r="AH4656" s="253"/>
    </row>
    <row r="4657" spans="34:34" ht="12.75" customHeight="1">
      <c r="AH4657" s="253"/>
    </row>
    <row r="4658" spans="34:34" ht="12.75" customHeight="1">
      <c r="AH4658" s="253"/>
    </row>
    <row r="4659" spans="34:34" ht="12.75" customHeight="1">
      <c r="AH4659" s="253"/>
    </row>
    <row r="4660" spans="34:34" ht="12.75" customHeight="1">
      <c r="AH4660" s="253"/>
    </row>
    <row r="4661" spans="34:34" ht="12.75" customHeight="1">
      <c r="AH4661" s="253"/>
    </row>
    <row r="4662" spans="34:34" ht="12.75" customHeight="1">
      <c r="AH4662" s="253"/>
    </row>
    <row r="4663" spans="34:34" ht="12.75" customHeight="1">
      <c r="AH4663" s="253"/>
    </row>
    <row r="4664" spans="34:34" ht="12.75" customHeight="1">
      <c r="AH4664" s="253"/>
    </row>
    <row r="4665" spans="34:34" ht="12.75" customHeight="1">
      <c r="AH4665" s="253"/>
    </row>
    <row r="4666" spans="34:34" ht="12.75" customHeight="1">
      <c r="AH4666" s="253"/>
    </row>
    <row r="4667" spans="34:34" ht="12.75" customHeight="1">
      <c r="AH4667" s="253"/>
    </row>
    <row r="4668" spans="34:34" ht="12.75" customHeight="1">
      <c r="AH4668" s="253"/>
    </row>
    <row r="4669" spans="34:34" ht="12.75" customHeight="1">
      <c r="AH4669" s="253"/>
    </row>
    <row r="4670" spans="34:34" ht="12.75" customHeight="1">
      <c r="AH4670" s="253"/>
    </row>
    <row r="4671" spans="34:34" ht="12.75" customHeight="1">
      <c r="AH4671" s="253"/>
    </row>
    <row r="4672" spans="34:34" ht="12.75" customHeight="1">
      <c r="AH4672" s="253"/>
    </row>
    <row r="4673" spans="34:34" ht="12.75" customHeight="1">
      <c r="AH4673" s="253"/>
    </row>
    <row r="4674" spans="34:34" ht="12.75" customHeight="1">
      <c r="AH4674" s="253"/>
    </row>
    <row r="4675" spans="34:34" ht="12.75" customHeight="1">
      <c r="AH4675" s="253"/>
    </row>
    <row r="4676" spans="34:34" ht="12.75" customHeight="1">
      <c r="AH4676" s="253"/>
    </row>
    <row r="4677" spans="34:34" ht="12.75" customHeight="1">
      <c r="AH4677" s="253"/>
    </row>
    <row r="4678" spans="34:34" ht="12.75" customHeight="1">
      <c r="AH4678" s="253"/>
    </row>
    <row r="4679" spans="34:34" ht="12.75" customHeight="1">
      <c r="AH4679" s="253"/>
    </row>
    <row r="4680" spans="34:34" ht="12.75" customHeight="1">
      <c r="AH4680" s="253"/>
    </row>
    <row r="4681" spans="34:34" ht="12.75" customHeight="1">
      <c r="AH4681" s="253"/>
    </row>
    <row r="4682" spans="34:34" ht="12.75" customHeight="1">
      <c r="AH4682" s="253"/>
    </row>
    <row r="4683" spans="34:34" ht="12.75" customHeight="1">
      <c r="AH4683" s="253"/>
    </row>
    <row r="4684" spans="34:34" ht="12.75" customHeight="1">
      <c r="AH4684" s="253"/>
    </row>
    <row r="4685" spans="34:34" ht="12.75" customHeight="1">
      <c r="AH4685" s="253"/>
    </row>
    <row r="4686" spans="34:34" ht="12.75" customHeight="1">
      <c r="AH4686" s="253"/>
    </row>
    <row r="4687" spans="34:34" ht="12.75" customHeight="1">
      <c r="AH4687" s="253"/>
    </row>
    <row r="4688" spans="34:34" ht="12.75" customHeight="1">
      <c r="AH4688" s="253"/>
    </row>
    <row r="4689" spans="34:34" ht="12.75" customHeight="1">
      <c r="AH4689" s="253"/>
    </row>
    <row r="4690" spans="34:34" ht="12.75" customHeight="1">
      <c r="AH4690" s="253"/>
    </row>
    <row r="4691" spans="34:34" ht="12.75" customHeight="1">
      <c r="AH4691" s="253"/>
    </row>
    <row r="4692" spans="34:34" ht="12.75" customHeight="1">
      <c r="AH4692" s="253"/>
    </row>
    <row r="4693" spans="34:34" ht="12.75" customHeight="1">
      <c r="AH4693" s="253"/>
    </row>
    <row r="4694" spans="34:34" ht="12.75" customHeight="1">
      <c r="AH4694" s="253"/>
    </row>
    <row r="4695" spans="34:34" ht="12.75" customHeight="1">
      <c r="AH4695" s="253"/>
    </row>
    <row r="4696" spans="34:34" ht="12.75" customHeight="1">
      <c r="AH4696" s="253"/>
    </row>
    <row r="4697" spans="34:34" ht="12.75" customHeight="1">
      <c r="AH4697" s="253"/>
    </row>
    <row r="4698" spans="34:34" ht="12.75" customHeight="1">
      <c r="AH4698" s="253"/>
    </row>
    <row r="4699" spans="34:34" ht="12.75" customHeight="1">
      <c r="AH4699" s="253"/>
    </row>
    <row r="4700" spans="34:34" ht="12.75" customHeight="1">
      <c r="AH4700" s="253"/>
    </row>
    <row r="4701" spans="34:34" ht="12.75" customHeight="1">
      <c r="AH4701" s="253"/>
    </row>
    <row r="4702" spans="34:34" ht="12.75" customHeight="1">
      <c r="AH4702" s="253"/>
    </row>
    <row r="4703" spans="34:34" ht="12.75" customHeight="1">
      <c r="AH4703" s="253"/>
    </row>
    <row r="4704" spans="34:34" ht="12.75" customHeight="1">
      <c r="AH4704" s="253"/>
    </row>
    <row r="4705" spans="34:34" ht="12.75" customHeight="1">
      <c r="AH4705" s="253"/>
    </row>
    <row r="4706" spans="34:34" ht="12.75" customHeight="1">
      <c r="AH4706" s="253"/>
    </row>
    <row r="4707" spans="34:34" ht="12.75" customHeight="1">
      <c r="AH4707" s="253"/>
    </row>
    <row r="4708" spans="34:34" ht="12.75" customHeight="1">
      <c r="AH4708" s="253"/>
    </row>
    <row r="4709" spans="34:34" ht="12.75" customHeight="1">
      <c r="AH4709" s="253"/>
    </row>
    <row r="4710" spans="34:34" ht="12.75" customHeight="1">
      <c r="AH4710" s="253"/>
    </row>
    <row r="4711" spans="34:34" ht="12.75" customHeight="1">
      <c r="AH4711" s="253"/>
    </row>
    <row r="4712" spans="34:34" ht="12.75" customHeight="1">
      <c r="AH4712" s="253"/>
    </row>
    <row r="4713" spans="34:34" ht="12.75" customHeight="1">
      <c r="AH4713" s="253"/>
    </row>
    <row r="4714" spans="34:34" ht="12.75" customHeight="1">
      <c r="AH4714" s="253"/>
    </row>
    <row r="4715" spans="34:34" ht="12.75" customHeight="1">
      <c r="AH4715" s="253"/>
    </row>
    <row r="4716" spans="34:34" ht="12.75" customHeight="1">
      <c r="AH4716" s="253"/>
    </row>
    <row r="4717" spans="34:34" ht="12.75" customHeight="1">
      <c r="AH4717" s="253"/>
    </row>
    <row r="4718" spans="34:34" ht="12.75" customHeight="1">
      <c r="AH4718" s="253"/>
    </row>
    <row r="4719" spans="34:34" ht="12.75" customHeight="1">
      <c r="AH4719" s="253"/>
    </row>
    <row r="4720" spans="34:34" ht="12.75" customHeight="1">
      <c r="AH4720" s="253"/>
    </row>
    <row r="4721" spans="34:34" ht="12.75" customHeight="1">
      <c r="AH4721" s="253"/>
    </row>
    <row r="4722" spans="34:34" ht="12.75" customHeight="1">
      <c r="AH4722" s="253"/>
    </row>
    <row r="4723" spans="34:34" ht="12.75" customHeight="1">
      <c r="AH4723" s="253"/>
    </row>
    <row r="4724" spans="34:34" ht="12.75" customHeight="1">
      <c r="AH4724" s="253"/>
    </row>
    <row r="4725" spans="34:34" ht="12.75" customHeight="1">
      <c r="AH4725" s="253"/>
    </row>
    <row r="4726" spans="34:34" ht="12.75" customHeight="1">
      <c r="AH4726" s="253"/>
    </row>
    <row r="4727" spans="34:34" ht="12.75" customHeight="1">
      <c r="AH4727" s="253"/>
    </row>
    <row r="4728" spans="34:34" ht="12.75" customHeight="1">
      <c r="AH4728" s="253"/>
    </row>
    <row r="4729" spans="34:34" ht="12.75" customHeight="1">
      <c r="AH4729" s="253"/>
    </row>
    <row r="4730" spans="34:34" ht="12.75" customHeight="1">
      <c r="AH4730" s="253"/>
    </row>
    <row r="4731" spans="34:34" ht="12.75" customHeight="1">
      <c r="AH4731" s="253"/>
    </row>
    <row r="4732" spans="34:34" ht="12.75" customHeight="1">
      <c r="AH4732" s="253"/>
    </row>
    <row r="4733" spans="34:34" ht="12.75" customHeight="1">
      <c r="AH4733" s="253"/>
    </row>
    <row r="4734" spans="34:34" ht="12.75" customHeight="1">
      <c r="AH4734" s="253"/>
    </row>
    <row r="4735" spans="34:34" ht="12.75" customHeight="1">
      <c r="AH4735" s="253"/>
    </row>
    <row r="4736" spans="34:34" ht="12.75" customHeight="1">
      <c r="AH4736" s="253"/>
    </row>
    <row r="4737" spans="34:34" ht="12.75" customHeight="1">
      <c r="AH4737" s="253"/>
    </row>
    <row r="4738" spans="34:34" ht="12.75" customHeight="1">
      <c r="AH4738" s="253"/>
    </row>
    <row r="4739" spans="34:34" ht="12.75" customHeight="1">
      <c r="AH4739" s="253"/>
    </row>
    <row r="4740" spans="34:34" ht="12.75" customHeight="1">
      <c r="AH4740" s="253"/>
    </row>
    <row r="4741" spans="34:34" ht="12.75" customHeight="1">
      <c r="AH4741" s="253"/>
    </row>
    <row r="4742" spans="34:34" ht="12.75" customHeight="1">
      <c r="AH4742" s="253"/>
    </row>
    <row r="4743" spans="34:34" ht="12.75" customHeight="1">
      <c r="AH4743" s="253"/>
    </row>
    <row r="4744" spans="34:34" ht="12.75" customHeight="1">
      <c r="AH4744" s="253"/>
    </row>
    <row r="4745" spans="34:34" ht="12.75" customHeight="1">
      <c r="AH4745" s="253"/>
    </row>
    <row r="4746" spans="34:34" ht="12.75" customHeight="1">
      <c r="AH4746" s="253"/>
    </row>
    <row r="4747" spans="34:34" ht="12.75" customHeight="1">
      <c r="AH4747" s="253"/>
    </row>
    <row r="4748" spans="34:34" ht="12.75" customHeight="1">
      <c r="AH4748" s="253"/>
    </row>
    <row r="4749" spans="34:34" ht="12.75" customHeight="1">
      <c r="AH4749" s="253"/>
    </row>
    <row r="4750" spans="34:34" ht="12.75" customHeight="1">
      <c r="AH4750" s="253"/>
    </row>
    <row r="4751" spans="34:34" ht="12.75" customHeight="1">
      <c r="AH4751" s="253"/>
    </row>
    <row r="4752" spans="34:34" ht="12.75" customHeight="1">
      <c r="AH4752" s="253"/>
    </row>
    <row r="4753" spans="34:34" ht="12.75" customHeight="1">
      <c r="AH4753" s="253"/>
    </row>
    <row r="4754" spans="34:34" ht="12.75" customHeight="1">
      <c r="AH4754" s="253"/>
    </row>
    <row r="4755" spans="34:34" ht="12.75" customHeight="1">
      <c r="AH4755" s="253"/>
    </row>
    <row r="4756" spans="34:34" ht="12.75" customHeight="1">
      <c r="AH4756" s="253"/>
    </row>
    <row r="4757" spans="34:34" ht="12.75" customHeight="1">
      <c r="AH4757" s="253"/>
    </row>
    <row r="4758" spans="34:34" ht="12.75" customHeight="1">
      <c r="AH4758" s="253"/>
    </row>
    <row r="4759" spans="34:34" ht="12.75" customHeight="1">
      <c r="AH4759" s="253"/>
    </row>
    <row r="4760" spans="34:34" ht="12.75" customHeight="1">
      <c r="AH4760" s="253"/>
    </row>
    <row r="4761" spans="34:34" ht="12.75" customHeight="1">
      <c r="AH4761" s="253"/>
    </row>
    <row r="4762" spans="34:34" ht="12.75" customHeight="1">
      <c r="AH4762" s="253"/>
    </row>
    <row r="4763" spans="34:34" ht="12.75" customHeight="1">
      <c r="AH4763" s="253"/>
    </row>
    <row r="4764" spans="34:34" ht="12.75" customHeight="1">
      <c r="AH4764" s="253"/>
    </row>
    <row r="4765" spans="34:34" ht="12.75" customHeight="1">
      <c r="AH4765" s="253"/>
    </row>
    <row r="4766" spans="34:34" ht="12.75" customHeight="1">
      <c r="AH4766" s="253"/>
    </row>
    <row r="4767" spans="34:34" ht="12.75" customHeight="1">
      <c r="AH4767" s="253"/>
    </row>
    <row r="4768" spans="34:34" ht="12.75" customHeight="1">
      <c r="AH4768" s="253"/>
    </row>
    <row r="4769" spans="34:34" ht="12.75" customHeight="1">
      <c r="AH4769" s="253"/>
    </row>
    <row r="4770" spans="34:34" ht="12.75" customHeight="1">
      <c r="AH4770" s="253"/>
    </row>
    <row r="4771" spans="34:34" ht="12.75" customHeight="1">
      <c r="AH4771" s="253"/>
    </row>
    <row r="4772" spans="34:34" ht="12.75" customHeight="1">
      <c r="AH4772" s="253"/>
    </row>
    <row r="4773" spans="34:34" ht="12.75" customHeight="1">
      <c r="AH4773" s="253"/>
    </row>
    <row r="4774" spans="34:34" ht="12.75" customHeight="1">
      <c r="AH4774" s="253"/>
    </row>
    <row r="4775" spans="34:34" ht="12.75" customHeight="1">
      <c r="AH4775" s="253"/>
    </row>
    <row r="4776" spans="34:34" ht="12.75" customHeight="1">
      <c r="AH4776" s="253"/>
    </row>
    <row r="4777" spans="34:34" ht="12.75" customHeight="1">
      <c r="AH4777" s="253"/>
    </row>
    <row r="4778" spans="34:34" ht="12.75" customHeight="1">
      <c r="AH4778" s="253"/>
    </row>
    <row r="4779" spans="34:34" ht="12.75" customHeight="1">
      <c r="AH4779" s="253"/>
    </row>
    <row r="4780" spans="34:34" ht="12.75" customHeight="1">
      <c r="AH4780" s="253"/>
    </row>
    <row r="4781" spans="34:34" ht="12.75" customHeight="1">
      <c r="AH4781" s="253"/>
    </row>
    <row r="4782" spans="34:34" ht="12.75" customHeight="1">
      <c r="AH4782" s="253"/>
    </row>
    <row r="4783" spans="34:34" ht="12.75" customHeight="1">
      <c r="AH4783" s="253"/>
    </row>
    <row r="4784" spans="34:34" ht="12.75" customHeight="1">
      <c r="AH4784" s="253"/>
    </row>
    <row r="4785" spans="34:34" ht="12.75" customHeight="1">
      <c r="AH4785" s="253"/>
    </row>
    <row r="4786" spans="34:34" ht="12.75" customHeight="1">
      <c r="AH4786" s="253"/>
    </row>
    <row r="4787" spans="34:34" ht="12.75" customHeight="1">
      <c r="AH4787" s="253"/>
    </row>
    <row r="4788" spans="34:34" ht="12.75" customHeight="1">
      <c r="AH4788" s="253"/>
    </row>
    <row r="4789" spans="34:34" ht="12.75" customHeight="1">
      <c r="AH4789" s="253"/>
    </row>
    <row r="4790" spans="34:34" ht="12.75" customHeight="1">
      <c r="AH4790" s="253"/>
    </row>
    <row r="4791" spans="34:34" ht="12.75" customHeight="1">
      <c r="AH4791" s="253"/>
    </row>
    <row r="4792" spans="34:34" ht="12.75" customHeight="1">
      <c r="AH4792" s="253"/>
    </row>
    <row r="4793" spans="34:34" ht="12.75" customHeight="1">
      <c r="AH4793" s="253"/>
    </row>
    <row r="4794" spans="34:34" ht="12.75" customHeight="1">
      <c r="AH4794" s="253"/>
    </row>
    <row r="4795" spans="34:34" ht="12.75" customHeight="1">
      <c r="AH4795" s="253"/>
    </row>
    <row r="4796" spans="34:34" ht="12.75" customHeight="1">
      <c r="AH4796" s="253"/>
    </row>
    <row r="4797" spans="34:34" ht="12.75" customHeight="1">
      <c r="AH4797" s="253"/>
    </row>
    <row r="4798" spans="34:34" ht="12.75" customHeight="1">
      <c r="AH4798" s="253"/>
    </row>
    <row r="4799" spans="34:34" ht="12.75" customHeight="1">
      <c r="AH4799" s="253"/>
    </row>
    <row r="4800" spans="34:34" ht="12.75" customHeight="1">
      <c r="AH4800" s="253"/>
    </row>
    <row r="4801" spans="34:34" ht="12.75" customHeight="1">
      <c r="AH4801" s="253"/>
    </row>
    <row r="4802" spans="34:34" ht="12.75" customHeight="1">
      <c r="AH4802" s="253"/>
    </row>
    <row r="4803" spans="34:34" ht="12.75" customHeight="1">
      <c r="AH4803" s="253"/>
    </row>
    <row r="4804" spans="34:34" ht="12.75" customHeight="1">
      <c r="AH4804" s="253"/>
    </row>
    <row r="4805" spans="34:34" ht="12.75" customHeight="1">
      <c r="AH4805" s="253"/>
    </row>
    <row r="4806" spans="34:34" ht="12.75" customHeight="1">
      <c r="AH4806" s="253"/>
    </row>
    <row r="4807" spans="34:34" ht="12.75" customHeight="1">
      <c r="AH4807" s="253"/>
    </row>
    <row r="4808" spans="34:34" ht="12.75" customHeight="1">
      <c r="AH4808" s="253"/>
    </row>
    <row r="4809" spans="34:34" ht="12.75" customHeight="1">
      <c r="AH4809" s="253"/>
    </row>
    <row r="4810" spans="34:34" ht="12.75" customHeight="1">
      <c r="AH4810" s="253"/>
    </row>
    <row r="4811" spans="34:34" ht="12.75" customHeight="1">
      <c r="AH4811" s="253"/>
    </row>
    <row r="4812" spans="34:34" ht="12.75" customHeight="1">
      <c r="AH4812" s="253"/>
    </row>
    <row r="4813" spans="34:34" ht="12.75" customHeight="1">
      <c r="AH4813" s="253"/>
    </row>
    <row r="4814" spans="34:34" ht="12.75" customHeight="1">
      <c r="AH4814" s="253"/>
    </row>
    <row r="4815" spans="34:34" ht="12.75" customHeight="1">
      <c r="AH4815" s="253"/>
    </row>
    <row r="4816" spans="34:34" ht="12.75" customHeight="1">
      <c r="AH4816" s="253"/>
    </row>
    <row r="4817" spans="34:34" ht="12.75" customHeight="1">
      <c r="AH4817" s="253"/>
    </row>
    <row r="4818" spans="34:34" ht="12.75" customHeight="1">
      <c r="AH4818" s="253"/>
    </row>
    <row r="4819" spans="34:34" ht="12.75" customHeight="1">
      <c r="AH4819" s="253"/>
    </row>
    <row r="4820" spans="34:34" ht="12.75" customHeight="1">
      <c r="AH4820" s="253"/>
    </row>
    <row r="4821" spans="34:34" ht="12.75" customHeight="1">
      <c r="AH4821" s="253"/>
    </row>
    <row r="4822" spans="34:34" ht="12.75" customHeight="1">
      <c r="AH4822" s="253"/>
    </row>
    <row r="4823" spans="34:34" ht="12.75" customHeight="1">
      <c r="AH4823" s="253"/>
    </row>
    <row r="4824" spans="34:34" ht="12.75" customHeight="1">
      <c r="AH4824" s="253"/>
    </row>
    <row r="4825" spans="34:34" ht="12.75" customHeight="1">
      <c r="AH4825" s="253"/>
    </row>
    <row r="4826" spans="34:34" ht="12.75" customHeight="1">
      <c r="AH4826" s="253"/>
    </row>
    <row r="4827" spans="34:34" ht="12.75" customHeight="1">
      <c r="AH4827" s="253"/>
    </row>
    <row r="4828" spans="34:34" ht="12.75" customHeight="1">
      <c r="AH4828" s="253"/>
    </row>
    <row r="4829" spans="34:34" ht="12.75" customHeight="1">
      <c r="AH4829" s="253"/>
    </row>
    <row r="4830" spans="34:34" ht="12.75" customHeight="1">
      <c r="AH4830" s="253"/>
    </row>
    <row r="4831" spans="34:34" ht="12.75" customHeight="1">
      <c r="AH4831" s="253"/>
    </row>
    <row r="4832" spans="34:34" ht="12.75" customHeight="1">
      <c r="AH4832" s="253"/>
    </row>
    <row r="4833" spans="34:34" ht="12.75" customHeight="1">
      <c r="AH4833" s="253"/>
    </row>
    <row r="4834" spans="34:34" ht="12.75" customHeight="1">
      <c r="AH4834" s="253"/>
    </row>
    <row r="4835" spans="34:34" ht="12.75" customHeight="1">
      <c r="AH4835" s="253"/>
    </row>
    <row r="4836" spans="34:34" ht="12.75" customHeight="1">
      <c r="AH4836" s="253"/>
    </row>
    <row r="4837" spans="34:34" ht="12.75" customHeight="1">
      <c r="AH4837" s="253"/>
    </row>
    <row r="4838" spans="34:34" ht="12.75" customHeight="1">
      <c r="AH4838" s="253"/>
    </row>
    <row r="4839" spans="34:34" ht="12.75" customHeight="1">
      <c r="AH4839" s="253"/>
    </row>
    <row r="4840" spans="34:34" ht="12.75" customHeight="1">
      <c r="AH4840" s="253"/>
    </row>
    <row r="4841" spans="34:34" ht="12.75" customHeight="1">
      <c r="AH4841" s="253"/>
    </row>
    <row r="4842" spans="34:34" ht="12.75" customHeight="1">
      <c r="AH4842" s="253"/>
    </row>
    <row r="4843" spans="34:34" ht="12.75" customHeight="1">
      <c r="AH4843" s="253"/>
    </row>
    <row r="4844" spans="34:34" ht="12.75" customHeight="1">
      <c r="AH4844" s="253"/>
    </row>
    <row r="4845" spans="34:34" ht="12.75" customHeight="1">
      <c r="AH4845" s="253"/>
    </row>
    <row r="4846" spans="34:34" ht="12.75" customHeight="1">
      <c r="AH4846" s="253"/>
    </row>
    <row r="4847" spans="34:34" ht="12.75" customHeight="1">
      <c r="AH4847" s="253"/>
    </row>
    <row r="4848" spans="34:34" ht="12.75" customHeight="1">
      <c r="AH4848" s="253"/>
    </row>
    <row r="4849" spans="34:34" ht="12.75" customHeight="1">
      <c r="AH4849" s="253"/>
    </row>
    <row r="4850" spans="34:34" ht="12.75" customHeight="1">
      <c r="AH4850" s="253"/>
    </row>
    <row r="4851" spans="34:34" ht="12.75" customHeight="1">
      <c r="AH4851" s="253"/>
    </row>
    <row r="4852" spans="34:34" ht="12.75" customHeight="1">
      <c r="AH4852" s="253"/>
    </row>
    <row r="4853" spans="34:34" ht="12.75" customHeight="1">
      <c r="AH4853" s="253"/>
    </row>
    <row r="4854" spans="34:34" ht="12.75" customHeight="1">
      <c r="AH4854" s="253"/>
    </row>
    <row r="4855" spans="34:34" ht="12.75" customHeight="1">
      <c r="AH4855" s="253"/>
    </row>
    <row r="4856" spans="34:34" ht="12.75" customHeight="1">
      <c r="AH4856" s="253"/>
    </row>
    <row r="4857" spans="34:34" ht="12.75" customHeight="1">
      <c r="AH4857" s="253"/>
    </row>
    <row r="4858" spans="34:34" ht="12.75" customHeight="1">
      <c r="AH4858" s="253"/>
    </row>
    <row r="4859" spans="34:34" ht="12.75" customHeight="1">
      <c r="AH4859" s="253"/>
    </row>
    <row r="4860" spans="34:34" ht="12.75" customHeight="1">
      <c r="AH4860" s="253"/>
    </row>
    <row r="4861" spans="34:34" ht="12.75" customHeight="1">
      <c r="AH4861" s="253"/>
    </row>
    <row r="4862" spans="34:34" ht="12.75" customHeight="1">
      <c r="AH4862" s="253"/>
    </row>
    <row r="4863" spans="34:34" ht="12.75" customHeight="1">
      <c r="AH4863" s="253"/>
    </row>
    <row r="4864" spans="34:34" ht="12.75" customHeight="1">
      <c r="AH4864" s="253"/>
    </row>
    <row r="4865" spans="34:34" ht="12.75" customHeight="1">
      <c r="AH4865" s="253"/>
    </row>
    <row r="4866" spans="34:34" ht="12.75" customHeight="1">
      <c r="AH4866" s="253"/>
    </row>
    <row r="4867" spans="34:34" ht="12.75" customHeight="1">
      <c r="AH4867" s="253"/>
    </row>
    <row r="4868" spans="34:34" ht="12.75" customHeight="1">
      <c r="AH4868" s="253"/>
    </row>
    <row r="4869" spans="34:34" ht="12.75" customHeight="1">
      <c r="AH4869" s="253"/>
    </row>
    <row r="4870" spans="34:34" ht="12.75" customHeight="1">
      <c r="AH4870" s="253"/>
    </row>
    <row r="4871" spans="34:34" ht="12.75" customHeight="1">
      <c r="AH4871" s="253"/>
    </row>
    <row r="4872" spans="34:34" ht="12.75" customHeight="1">
      <c r="AH4872" s="253"/>
    </row>
    <row r="4873" spans="34:34" ht="12.75" customHeight="1">
      <c r="AH4873" s="253"/>
    </row>
    <row r="4874" spans="34:34" ht="12.75" customHeight="1">
      <c r="AH4874" s="253"/>
    </row>
    <row r="4875" spans="34:34" ht="12.75" customHeight="1">
      <c r="AH4875" s="253"/>
    </row>
    <row r="4876" spans="34:34" ht="12.75" customHeight="1">
      <c r="AH4876" s="253"/>
    </row>
    <row r="4877" spans="34:34" ht="12.75" customHeight="1">
      <c r="AH4877" s="253"/>
    </row>
    <row r="4878" spans="34:34" ht="12.75" customHeight="1">
      <c r="AH4878" s="253"/>
    </row>
    <row r="4879" spans="34:34" ht="12.75" customHeight="1">
      <c r="AH4879" s="253"/>
    </row>
    <row r="4880" spans="34:34" ht="12.75" customHeight="1">
      <c r="AH4880" s="253"/>
    </row>
    <row r="4881" spans="34:34" ht="12.75" customHeight="1">
      <c r="AH4881" s="253"/>
    </row>
    <row r="4882" spans="34:34" ht="12.75" customHeight="1">
      <c r="AH4882" s="253"/>
    </row>
    <row r="4883" spans="34:34" ht="12.75" customHeight="1">
      <c r="AH4883" s="253"/>
    </row>
    <row r="4884" spans="34:34" ht="12.75" customHeight="1">
      <c r="AH4884" s="253"/>
    </row>
    <row r="4885" spans="34:34" ht="12.75" customHeight="1">
      <c r="AH4885" s="253"/>
    </row>
    <row r="4886" spans="34:34" ht="12.75" customHeight="1">
      <c r="AH4886" s="253"/>
    </row>
    <row r="4887" spans="34:34" ht="12.75" customHeight="1">
      <c r="AH4887" s="253"/>
    </row>
    <row r="4888" spans="34:34" ht="12.75" customHeight="1">
      <c r="AH4888" s="253"/>
    </row>
    <row r="4889" spans="34:34" ht="12.75" customHeight="1">
      <c r="AH4889" s="253"/>
    </row>
    <row r="4890" spans="34:34" ht="12.75" customHeight="1">
      <c r="AH4890" s="253"/>
    </row>
    <row r="4891" spans="34:34" ht="12.75" customHeight="1">
      <c r="AH4891" s="253"/>
    </row>
    <row r="4892" spans="34:34" ht="12.75" customHeight="1">
      <c r="AH4892" s="253"/>
    </row>
    <row r="4893" spans="34:34" ht="12.75" customHeight="1">
      <c r="AH4893" s="253"/>
    </row>
    <row r="4894" spans="34:34" ht="12.75" customHeight="1">
      <c r="AH4894" s="253"/>
    </row>
    <row r="4895" spans="34:34" ht="12.75" customHeight="1">
      <c r="AH4895" s="253"/>
    </row>
    <row r="4896" spans="34:34" ht="12.75" customHeight="1">
      <c r="AH4896" s="253"/>
    </row>
    <row r="4897" spans="34:34" ht="12.75" customHeight="1">
      <c r="AH4897" s="253"/>
    </row>
    <row r="4898" spans="34:34" ht="12.75" customHeight="1">
      <c r="AH4898" s="253"/>
    </row>
    <row r="4899" spans="34:34" ht="12.75" customHeight="1">
      <c r="AH4899" s="253"/>
    </row>
    <row r="4900" spans="34:34" ht="12.75" customHeight="1">
      <c r="AH4900" s="253"/>
    </row>
    <row r="4901" spans="34:34" ht="12.75" customHeight="1">
      <c r="AH4901" s="253"/>
    </row>
    <row r="4902" spans="34:34" ht="12.75" customHeight="1">
      <c r="AH4902" s="253"/>
    </row>
    <row r="4903" spans="34:34" ht="12.75" customHeight="1">
      <c r="AH4903" s="253"/>
    </row>
    <row r="4904" spans="34:34" ht="12.75" customHeight="1">
      <c r="AH4904" s="253"/>
    </row>
    <row r="4905" spans="34:34" ht="12.75" customHeight="1">
      <c r="AH4905" s="253"/>
    </row>
    <row r="4906" spans="34:34" ht="12.75" customHeight="1">
      <c r="AH4906" s="253"/>
    </row>
    <row r="4907" spans="34:34" ht="12.75" customHeight="1">
      <c r="AH4907" s="253"/>
    </row>
    <row r="4908" spans="34:34" ht="12.75" customHeight="1">
      <c r="AH4908" s="253"/>
    </row>
    <row r="4909" spans="34:34" ht="12.75" customHeight="1">
      <c r="AH4909" s="253"/>
    </row>
    <row r="4910" spans="34:34" ht="12.75" customHeight="1">
      <c r="AH4910" s="253"/>
    </row>
    <row r="4911" spans="34:34" ht="12.75" customHeight="1">
      <c r="AH4911" s="253"/>
    </row>
    <row r="4912" spans="34:34" ht="12.75" customHeight="1">
      <c r="AH4912" s="253"/>
    </row>
    <row r="4913" spans="34:34" ht="12.75" customHeight="1">
      <c r="AH4913" s="253"/>
    </row>
    <row r="4914" spans="34:34" ht="12.75" customHeight="1">
      <c r="AH4914" s="253"/>
    </row>
    <row r="4915" spans="34:34" ht="12.75" customHeight="1">
      <c r="AH4915" s="253"/>
    </row>
    <row r="4916" spans="34:34" ht="12.75" customHeight="1">
      <c r="AH4916" s="253"/>
    </row>
    <row r="4917" spans="34:34" ht="12.75" customHeight="1">
      <c r="AH4917" s="253"/>
    </row>
    <row r="4918" spans="34:34" ht="12.75" customHeight="1">
      <c r="AH4918" s="253"/>
    </row>
    <row r="4919" spans="34:34" ht="12.75" customHeight="1">
      <c r="AH4919" s="253"/>
    </row>
    <row r="4920" spans="34:34" ht="12.75" customHeight="1">
      <c r="AH4920" s="253"/>
    </row>
    <row r="4921" spans="34:34" ht="12.75" customHeight="1">
      <c r="AH4921" s="253"/>
    </row>
    <row r="4922" spans="34:34" ht="12.75" customHeight="1">
      <c r="AH4922" s="253"/>
    </row>
    <row r="4923" spans="34:34" ht="12.75" customHeight="1">
      <c r="AH4923" s="253"/>
    </row>
    <row r="4924" spans="34:34" ht="12.75" customHeight="1">
      <c r="AH4924" s="253"/>
    </row>
    <row r="4925" spans="34:34" ht="12.75" customHeight="1">
      <c r="AH4925" s="253"/>
    </row>
    <row r="4926" spans="34:34" ht="12.75" customHeight="1">
      <c r="AH4926" s="253"/>
    </row>
    <row r="4927" spans="34:34" ht="12.75" customHeight="1">
      <c r="AH4927" s="253"/>
    </row>
    <row r="4928" spans="34:34" ht="12.75" customHeight="1">
      <c r="AH4928" s="253"/>
    </row>
    <row r="4929" spans="34:34" ht="12.75" customHeight="1">
      <c r="AH4929" s="253"/>
    </row>
    <row r="4930" spans="34:34" ht="12.75" customHeight="1">
      <c r="AH4930" s="253"/>
    </row>
    <row r="4931" spans="34:34" ht="12.75" customHeight="1">
      <c r="AH4931" s="253"/>
    </row>
    <row r="4932" spans="34:34" ht="12.75" customHeight="1">
      <c r="AH4932" s="253"/>
    </row>
    <row r="4933" spans="34:34" ht="12.75" customHeight="1">
      <c r="AH4933" s="253"/>
    </row>
    <row r="4934" spans="34:34" ht="12.75" customHeight="1">
      <c r="AH4934" s="253"/>
    </row>
    <row r="4935" spans="34:34" ht="12.75" customHeight="1">
      <c r="AH4935" s="253"/>
    </row>
    <row r="4936" spans="34:34" ht="12.75" customHeight="1">
      <c r="AH4936" s="253"/>
    </row>
    <row r="4937" spans="34:34" ht="12.75" customHeight="1">
      <c r="AH4937" s="253"/>
    </row>
    <row r="4938" spans="34:34" ht="12.75" customHeight="1">
      <c r="AH4938" s="253"/>
    </row>
    <row r="4939" spans="34:34" ht="12.75" customHeight="1">
      <c r="AH4939" s="253"/>
    </row>
    <row r="4940" spans="34:34" ht="12.75" customHeight="1">
      <c r="AH4940" s="253"/>
    </row>
    <row r="4941" spans="34:34" ht="12.75" customHeight="1">
      <c r="AH4941" s="253"/>
    </row>
    <row r="4942" spans="34:34" ht="12.75" customHeight="1">
      <c r="AH4942" s="253"/>
    </row>
    <row r="4943" spans="34:34" ht="12.75" customHeight="1">
      <c r="AH4943" s="253"/>
    </row>
    <row r="4944" spans="34:34" ht="12.75" customHeight="1">
      <c r="AH4944" s="253"/>
    </row>
    <row r="4945" spans="34:34" ht="12.75" customHeight="1">
      <c r="AH4945" s="253"/>
    </row>
    <row r="4946" spans="34:34" ht="12.75" customHeight="1">
      <c r="AH4946" s="253"/>
    </row>
    <row r="4947" spans="34:34" ht="12.75" customHeight="1">
      <c r="AH4947" s="253"/>
    </row>
    <row r="4948" spans="34:34" ht="12.75" customHeight="1">
      <c r="AH4948" s="253"/>
    </row>
    <row r="4949" spans="34:34" ht="12.75" customHeight="1">
      <c r="AH4949" s="253"/>
    </row>
    <row r="4950" spans="34:34" ht="12.75" customHeight="1">
      <c r="AH4950" s="253"/>
    </row>
    <row r="4951" spans="34:34" ht="12.75" customHeight="1">
      <c r="AH4951" s="253"/>
    </row>
    <row r="4952" spans="34:34" ht="12.75" customHeight="1">
      <c r="AH4952" s="253"/>
    </row>
    <row r="4953" spans="34:34" ht="12.75" customHeight="1">
      <c r="AH4953" s="253"/>
    </row>
    <row r="4954" spans="34:34" ht="12.75" customHeight="1">
      <c r="AH4954" s="253"/>
    </row>
    <row r="4955" spans="34:34" ht="12.75" customHeight="1">
      <c r="AH4955" s="253"/>
    </row>
    <row r="4956" spans="34:34" ht="12.75" customHeight="1">
      <c r="AH4956" s="253"/>
    </row>
    <row r="4957" spans="34:34" ht="12.75" customHeight="1">
      <c r="AH4957" s="253"/>
    </row>
    <row r="4958" spans="34:34" ht="12.75" customHeight="1">
      <c r="AH4958" s="253"/>
    </row>
    <row r="4959" spans="34:34" ht="12.75" customHeight="1">
      <c r="AH4959" s="253"/>
    </row>
    <row r="4960" spans="34:34" ht="12.75" customHeight="1">
      <c r="AH4960" s="253"/>
    </row>
    <row r="4961" spans="34:34" ht="12.75" customHeight="1">
      <c r="AH4961" s="253"/>
    </row>
    <row r="4962" spans="34:34" ht="12.75" customHeight="1">
      <c r="AH4962" s="253"/>
    </row>
    <row r="4963" spans="34:34" ht="12.75" customHeight="1">
      <c r="AH4963" s="253"/>
    </row>
    <row r="4964" spans="34:34" ht="12.75" customHeight="1">
      <c r="AH4964" s="253"/>
    </row>
    <row r="4965" spans="34:34" ht="12.75" customHeight="1">
      <c r="AH4965" s="253"/>
    </row>
    <row r="4966" spans="34:34" ht="12.75" customHeight="1">
      <c r="AH4966" s="253"/>
    </row>
    <row r="4967" spans="34:34" ht="12.75" customHeight="1">
      <c r="AH4967" s="253"/>
    </row>
    <row r="4968" spans="34:34" ht="12.75" customHeight="1">
      <c r="AH4968" s="253"/>
    </row>
    <row r="4969" spans="34:34" ht="12.75" customHeight="1">
      <c r="AH4969" s="253"/>
    </row>
    <row r="4970" spans="34:34" ht="12.75" customHeight="1">
      <c r="AH4970" s="253"/>
    </row>
    <row r="4971" spans="34:34" ht="12.75" customHeight="1">
      <c r="AH4971" s="253"/>
    </row>
    <row r="4972" spans="34:34" ht="12.75" customHeight="1">
      <c r="AH4972" s="253"/>
    </row>
    <row r="4973" spans="34:34" ht="12.75" customHeight="1">
      <c r="AH4973" s="253"/>
    </row>
    <row r="4974" spans="34:34" ht="12.75" customHeight="1">
      <c r="AH4974" s="253"/>
    </row>
    <row r="4975" spans="34:34" ht="12.75" customHeight="1">
      <c r="AH4975" s="253"/>
    </row>
    <row r="4976" spans="34:34" ht="12.75" customHeight="1">
      <c r="AH4976" s="253"/>
    </row>
    <row r="4977" spans="34:34" ht="12.75" customHeight="1">
      <c r="AH4977" s="253"/>
    </row>
    <row r="4978" spans="34:34" ht="12.75" customHeight="1">
      <c r="AH4978" s="253"/>
    </row>
    <row r="4979" spans="34:34" ht="12.75" customHeight="1">
      <c r="AH4979" s="253"/>
    </row>
    <row r="4980" spans="34:34" ht="12.75" customHeight="1">
      <c r="AH4980" s="253"/>
    </row>
    <row r="4981" spans="34:34" ht="12.75" customHeight="1">
      <c r="AH4981" s="253"/>
    </row>
    <row r="4982" spans="34:34" ht="12.75" customHeight="1">
      <c r="AH4982" s="253"/>
    </row>
    <row r="4983" spans="34:34" ht="12.75" customHeight="1">
      <c r="AH4983" s="253"/>
    </row>
    <row r="4984" spans="34:34" ht="12.75" customHeight="1">
      <c r="AH4984" s="253"/>
    </row>
    <row r="4985" spans="34:34" ht="12.75" customHeight="1">
      <c r="AH4985" s="253"/>
    </row>
    <row r="4986" spans="34:34" ht="12.75" customHeight="1">
      <c r="AH4986" s="253"/>
    </row>
    <row r="4987" spans="34:34" ht="12.75" customHeight="1">
      <c r="AH4987" s="253"/>
    </row>
    <row r="4988" spans="34:34" ht="12.75" customHeight="1">
      <c r="AH4988" s="253"/>
    </row>
    <row r="4989" spans="34:34" ht="12.75" customHeight="1">
      <c r="AH4989" s="253"/>
    </row>
    <row r="4990" spans="34:34" ht="12.75" customHeight="1">
      <c r="AH4990" s="253"/>
    </row>
    <row r="4991" spans="34:34" ht="12.75" customHeight="1">
      <c r="AH4991" s="253"/>
    </row>
    <row r="4992" spans="34:34" ht="12.75" customHeight="1">
      <c r="AH4992" s="253"/>
    </row>
    <row r="4993" spans="34:34" ht="12.75" customHeight="1">
      <c r="AH4993" s="253"/>
    </row>
    <row r="4994" spans="34:34" ht="12.75" customHeight="1">
      <c r="AH4994" s="253"/>
    </row>
    <row r="4995" spans="34:34" ht="12.75" customHeight="1">
      <c r="AH4995" s="253"/>
    </row>
    <row r="4996" spans="34:34" ht="12.75" customHeight="1">
      <c r="AH4996" s="253"/>
    </row>
    <row r="4997" spans="34:34" ht="12.75" customHeight="1">
      <c r="AH4997" s="253"/>
    </row>
    <row r="4998" spans="34:34" ht="12.75" customHeight="1">
      <c r="AH4998" s="253"/>
    </row>
    <row r="4999" spans="34:34" ht="12.75" customHeight="1">
      <c r="AH4999" s="253"/>
    </row>
    <row r="5000" spans="34:34" ht="12.75" customHeight="1">
      <c r="AH5000" s="253"/>
    </row>
    <row r="5001" spans="34:34" ht="12.75" customHeight="1">
      <c r="AH5001" s="253"/>
    </row>
    <row r="5002" spans="34:34" ht="12.75" customHeight="1">
      <c r="AH5002" s="253"/>
    </row>
    <row r="5003" spans="34:34" ht="12.75" customHeight="1">
      <c r="AH5003" s="253"/>
    </row>
    <row r="5004" spans="34:34" ht="12.75" customHeight="1">
      <c r="AH5004" s="253"/>
    </row>
    <row r="5005" spans="34:34" ht="12.75" customHeight="1">
      <c r="AH5005" s="253"/>
    </row>
    <row r="5006" spans="34:34" ht="12.75" customHeight="1">
      <c r="AH5006" s="253"/>
    </row>
    <row r="5007" spans="34:34" ht="12.75" customHeight="1">
      <c r="AH5007" s="253"/>
    </row>
    <row r="5008" spans="34:34" ht="12.75" customHeight="1">
      <c r="AH5008" s="253"/>
    </row>
    <row r="5009" spans="34:34" ht="12.75" customHeight="1">
      <c r="AH5009" s="253"/>
    </row>
    <row r="5010" spans="34:34" ht="12.75" customHeight="1">
      <c r="AH5010" s="253"/>
    </row>
    <row r="5011" spans="34:34" ht="12.75" customHeight="1">
      <c r="AH5011" s="253"/>
    </row>
    <row r="5012" spans="34:34" ht="12.75" customHeight="1">
      <c r="AH5012" s="253"/>
    </row>
    <row r="5013" spans="34:34" ht="12.75" customHeight="1">
      <c r="AH5013" s="253"/>
    </row>
    <row r="5014" spans="34:34" ht="12.75" customHeight="1">
      <c r="AH5014" s="253"/>
    </row>
    <row r="5015" spans="34:34" ht="12.75" customHeight="1">
      <c r="AH5015" s="253"/>
    </row>
    <row r="5016" spans="34:34" ht="12.75" customHeight="1">
      <c r="AH5016" s="253"/>
    </row>
    <row r="5017" spans="34:34" ht="12.75" customHeight="1">
      <c r="AH5017" s="253"/>
    </row>
    <row r="5018" spans="34:34" ht="12.75" customHeight="1">
      <c r="AH5018" s="253"/>
    </row>
    <row r="5019" spans="34:34" ht="12.75" customHeight="1">
      <c r="AH5019" s="253"/>
    </row>
    <row r="5020" spans="34:34" ht="12.75" customHeight="1">
      <c r="AH5020" s="253"/>
    </row>
    <row r="5021" spans="34:34" ht="12.75" customHeight="1">
      <c r="AH5021" s="253"/>
    </row>
    <row r="5022" spans="34:34" ht="12.75" customHeight="1">
      <c r="AH5022" s="253"/>
    </row>
    <row r="5023" spans="34:34" ht="12.75" customHeight="1">
      <c r="AH5023" s="253"/>
    </row>
    <row r="5024" spans="34:34" ht="12.75" customHeight="1">
      <c r="AH5024" s="253"/>
    </row>
    <row r="5025" spans="34:34" ht="12.75" customHeight="1">
      <c r="AH5025" s="253"/>
    </row>
    <row r="5026" spans="34:34" ht="12.75" customHeight="1">
      <c r="AH5026" s="253"/>
    </row>
    <row r="5027" spans="34:34" ht="12.75" customHeight="1">
      <c r="AH5027" s="253"/>
    </row>
    <row r="5028" spans="34:34" ht="12.75" customHeight="1">
      <c r="AH5028" s="253"/>
    </row>
    <row r="5029" spans="34:34" ht="12.75" customHeight="1">
      <c r="AH5029" s="253"/>
    </row>
    <row r="5030" spans="34:34" ht="12.75" customHeight="1">
      <c r="AH5030" s="253"/>
    </row>
    <row r="5031" spans="34:34" ht="12.75" customHeight="1">
      <c r="AH5031" s="253"/>
    </row>
    <row r="5032" spans="34:34" ht="12.75" customHeight="1">
      <c r="AH5032" s="253"/>
    </row>
    <row r="5033" spans="34:34" ht="12.75" customHeight="1">
      <c r="AH5033" s="253"/>
    </row>
    <row r="5034" spans="34:34" ht="12.75" customHeight="1">
      <c r="AH5034" s="253"/>
    </row>
    <row r="5035" spans="34:34" ht="12.75" customHeight="1">
      <c r="AH5035" s="253"/>
    </row>
    <row r="5036" spans="34:34" ht="12.75" customHeight="1">
      <c r="AH5036" s="253"/>
    </row>
    <row r="5037" spans="34:34" ht="12.75" customHeight="1">
      <c r="AH5037" s="253"/>
    </row>
    <row r="5038" spans="34:34" ht="12.75" customHeight="1">
      <c r="AH5038" s="253"/>
    </row>
    <row r="5039" spans="34:34" ht="12.75" customHeight="1">
      <c r="AH5039" s="253"/>
    </row>
    <row r="5040" spans="34:34" ht="12.75" customHeight="1">
      <c r="AH5040" s="253"/>
    </row>
    <row r="5041" spans="34:34" ht="12.75" customHeight="1">
      <c r="AH5041" s="253"/>
    </row>
    <row r="5042" spans="34:34" ht="12.75" customHeight="1">
      <c r="AH5042" s="253"/>
    </row>
    <row r="5043" spans="34:34" ht="12.75" customHeight="1">
      <c r="AH5043" s="253"/>
    </row>
    <row r="5044" spans="34:34" ht="12.75" customHeight="1">
      <c r="AH5044" s="253"/>
    </row>
    <row r="5045" spans="34:34" ht="12.75" customHeight="1">
      <c r="AH5045" s="253"/>
    </row>
    <row r="5046" spans="34:34" ht="12.75" customHeight="1">
      <c r="AH5046" s="253"/>
    </row>
    <row r="5047" spans="34:34" ht="12.75" customHeight="1">
      <c r="AH5047" s="253"/>
    </row>
    <row r="5048" spans="34:34" ht="12.75" customHeight="1">
      <c r="AH5048" s="253"/>
    </row>
    <row r="5049" spans="34:34" ht="12.75" customHeight="1">
      <c r="AH5049" s="253"/>
    </row>
    <row r="5050" spans="34:34" ht="12.75" customHeight="1">
      <c r="AH5050" s="253"/>
    </row>
    <row r="5051" spans="34:34" ht="12.75" customHeight="1">
      <c r="AH5051" s="253"/>
    </row>
    <row r="5052" spans="34:34" ht="12.75" customHeight="1">
      <c r="AH5052" s="253"/>
    </row>
    <row r="5053" spans="34:34" ht="12.75" customHeight="1">
      <c r="AH5053" s="253"/>
    </row>
    <row r="5054" spans="34:34" ht="12.75" customHeight="1">
      <c r="AH5054" s="253"/>
    </row>
    <row r="5055" spans="34:34" ht="12.75" customHeight="1">
      <c r="AH5055" s="253"/>
    </row>
    <row r="5056" spans="34:34" ht="12.75" customHeight="1">
      <c r="AH5056" s="253"/>
    </row>
    <row r="5057" spans="34:34" ht="12.75" customHeight="1">
      <c r="AH5057" s="253"/>
    </row>
    <row r="5058" spans="34:34" ht="12.75" customHeight="1">
      <c r="AH5058" s="253"/>
    </row>
    <row r="5059" spans="34:34" ht="12.75" customHeight="1">
      <c r="AH5059" s="253"/>
    </row>
    <row r="5060" spans="34:34" ht="12.75" customHeight="1">
      <c r="AH5060" s="253"/>
    </row>
    <row r="5061" spans="34:34" ht="12.75" customHeight="1">
      <c r="AH5061" s="253"/>
    </row>
    <row r="5062" spans="34:34" ht="12.75" customHeight="1">
      <c r="AH5062" s="253"/>
    </row>
    <row r="5063" spans="34:34" ht="12.75" customHeight="1">
      <c r="AH5063" s="253"/>
    </row>
    <row r="5064" spans="34:34" ht="12.75" customHeight="1">
      <c r="AH5064" s="253"/>
    </row>
    <row r="5065" spans="34:34" ht="12.75" customHeight="1">
      <c r="AH5065" s="253"/>
    </row>
    <row r="5066" spans="34:34" ht="12.75" customHeight="1">
      <c r="AH5066" s="253"/>
    </row>
    <row r="5067" spans="34:34" ht="12.75" customHeight="1">
      <c r="AH5067" s="253"/>
    </row>
    <row r="5068" spans="34:34" ht="12.75" customHeight="1">
      <c r="AH5068" s="253"/>
    </row>
    <row r="5069" spans="34:34" ht="12.75" customHeight="1">
      <c r="AH5069" s="253"/>
    </row>
    <row r="5070" spans="34:34" ht="12.75" customHeight="1">
      <c r="AH5070" s="253"/>
    </row>
    <row r="5071" spans="34:34" ht="12.75" customHeight="1">
      <c r="AH5071" s="253"/>
    </row>
    <row r="5072" spans="34:34" ht="12.75" customHeight="1">
      <c r="AH5072" s="253"/>
    </row>
    <row r="5073" spans="34:34" ht="12.75" customHeight="1">
      <c r="AH5073" s="253"/>
    </row>
    <row r="5074" spans="34:34" ht="12.75" customHeight="1">
      <c r="AH5074" s="253"/>
    </row>
    <row r="5075" spans="34:34" ht="12.75" customHeight="1">
      <c r="AH5075" s="253"/>
    </row>
    <row r="5076" spans="34:34" ht="12.75" customHeight="1">
      <c r="AH5076" s="253"/>
    </row>
    <row r="5077" spans="34:34" ht="12.75" customHeight="1">
      <c r="AH5077" s="253"/>
    </row>
    <row r="5078" spans="34:34" ht="12.75" customHeight="1">
      <c r="AH5078" s="253"/>
    </row>
    <row r="5079" spans="34:34" ht="12.75" customHeight="1">
      <c r="AH5079" s="253"/>
    </row>
    <row r="5080" spans="34:34" ht="12.75" customHeight="1">
      <c r="AH5080" s="253"/>
    </row>
    <row r="5081" spans="34:34" ht="12.75" customHeight="1">
      <c r="AH5081" s="253"/>
    </row>
    <row r="5082" spans="34:34" ht="12.75" customHeight="1">
      <c r="AH5082" s="253"/>
    </row>
    <row r="5083" spans="34:34" ht="12.75" customHeight="1">
      <c r="AH5083" s="253"/>
    </row>
    <row r="5084" spans="34:34" ht="12.75" customHeight="1">
      <c r="AH5084" s="253"/>
    </row>
    <row r="5085" spans="34:34" ht="12.75" customHeight="1">
      <c r="AH5085" s="253"/>
    </row>
    <row r="5086" spans="34:34" ht="12.75" customHeight="1">
      <c r="AH5086" s="253"/>
    </row>
    <row r="5087" spans="34:34" ht="12.75" customHeight="1">
      <c r="AH5087" s="253"/>
    </row>
    <row r="5088" spans="34:34" ht="12.75" customHeight="1">
      <c r="AH5088" s="253"/>
    </row>
    <row r="5089" spans="34:34" ht="12.75" customHeight="1">
      <c r="AH5089" s="253"/>
    </row>
    <row r="5090" spans="34:34" ht="12.75" customHeight="1">
      <c r="AH5090" s="253"/>
    </row>
    <row r="5091" spans="34:34" ht="12.75" customHeight="1">
      <c r="AH5091" s="253"/>
    </row>
    <row r="5092" spans="34:34" ht="12.75" customHeight="1">
      <c r="AH5092" s="253"/>
    </row>
    <row r="5093" spans="34:34" ht="12.75" customHeight="1">
      <c r="AH5093" s="253"/>
    </row>
    <row r="5094" spans="34:34" ht="12.75" customHeight="1">
      <c r="AH5094" s="253"/>
    </row>
    <row r="5095" spans="34:34" ht="12.75" customHeight="1">
      <c r="AH5095" s="253"/>
    </row>
    <row r="5096" spans="34:34" ht="12.75" customHeight="1">
      <c r="AH5096" s="253"/>
    </row>
    <row r="5097" spans="34:34" ht="12.75" customHeight="1">
      <c r="AH5097" s="253"/>
    </row>
    <row r="5098" spans="34:34" ht="12.75" customHeight="1">
      <c r="AH5098" s="253"/>
    </row>
    <row r="5099" spans="34:34" ht="12.75" customHeight="1">
      <c r="AH5099" s="253"/>
    </row>
    <row r="5100" spans="34:34" ht="12.75" customHeight="1">
      <c r="AH5100" s="253"/>
    </row>
    <row r="5101" spans="34:34" ht="12.75" customHeight="1">
      <c r="AH5101" s="253"/>
    </row>
    <row r="5102" spans="34:34" ht="12.75" customHeight="1">
      <c r="AH5102" s="253"/>
    </row>
    <row r="5103" spans="34:34" ht="12.75" customHeight="1">
      <c r="AH5103" s="253"/>
    </row>
    <row r="5104" spans="34:34" ht="12.75" customHeight="1">
      <c r="AH5104" s="253"/>
    </row>
    <row r="5105" spans="34:34" ht="12.75" customHeight="1">
      <c r="AH5105" s="253"/>
    </row>
    <row r="5106" spans="34:34" ht="12.75" customHeight="1">
      <c r="AH5106" s="253"/>
    </row>
    <row r="5107" spans="34:34" ht="12.75" customHeight="1">
      <c r="AH5107" s="253"/>
    </row>
    <row r="5108" spans="34:34" ht="12.75" customHeight="1">
      <c r="AH5108" s="253"/>
    </row>
    <row r="5109" spans="34:34" ht="12.75" customHeight="1">
      <c r="AH5109" s="253"/>
    </row>
    <row r="5110" spans="34:34" ht="12.75" customHeight="1">
      <c r="AH5110" s="253"/>
    </row>
    <row r="5111" spans="34:34" ht="12.75" customHeight="1">
      <c r="AH5111" s="253"/>
    </row>
    <row r="5112" spans="34:34" ht="12.75" customHeight="1">
      <c r="AH5112" s="253"/>
    </row>
    <row r="5113" spans="34:34" ht="12.75" customHeight="1">
      <c r="AH5113" s="253"/>
    </row>
    <row r="5114" spans="34:34" ht="12.75" customHeight="1">
      <c r="AH5114" s="253"/>
    </row>
    <row r="5115" spans="34:34" ht="12.75" customHeight="1">
      <c r="AH5115" s="253"/>
    </row>
    <row r="5116" spans="34:34" ht="12.75" customHeight="1">
      <c r="AH5116" s="253"/>
    </row>
    <row r="5117" spans="34:34" ht="12.75" customHeight="1">
      <c r="AH5117" s="253"/>
    </row>
    <row r="5118" spans="34:34" ht="12.75" customHeight="1">
      <c r="AH5118" s="253"/>
    </row>
    <row r="5119" spans="34:34" ht="12.75" customHeight="1">
      <c r="AH5119" s="253"/>
    </row>
    <row r="5120" spans="34:34" ht="12.75" customHeight="1">
      <c r="AH5120" s="253"/>
    </row>
    <row r="5121" spans="34:34" ht="12.75" customHeight="1">
      <c r="AH5121" s="253"/>
    </row>
    <row r="5122" spans="34:34" ht="12.75" customHeight="1">
      <c r="AH5122" s="253"/>
    </row>
    <row r="5123" spans="34:34" ht="12.75" customHeight="1">
      <c r="AH5123" s="253"/>
    </row>
    <row r="5124" spans="34:34" ht="12.75" customHeight="1">
      <c r="AH5124" s="253"/>
    </row>
    <row r="5125" spans="34:34" ht="12.75" customHeight="1">
      <c r="AH5125" s="253"/>
    </row>
    <row r="5126" spans="34:34" ht="12.75" customHeight="1">
      <c r="AH5126" s="253"/>
    </row>
    <row r="5127" spans="34:34" ht="12.75" customHeight="1">
      <c r="AH5127" s="253"/>
    </row>
    <row r="5128" spans="34:34" ht="12.75" customHeight="1">
      <c r="AH5128" s="253"/>
    </row>
    <row r="5129" spans="34:34" ht="12.75" customHeight="1">
      <c r="AH5129" s="253"/>
    </row>
    <row r="5130" spans="34:34" ht="12.75" customHeight="1">
      <c r="AH5130" s="253"/>
    </row>
    <row r="5131" spans="34:34" ht="12.75" customHeight="1">
      <c r="AH5131" s="253"/>
    </row>
    <row r="5132" spans="34:34" ht="12.75" customHeight="1">
      <c r="AH5132" s="253"/>
    </row>
    <row r="5133" spans="34:34" ht="12.75" customHeight="1">
      <c r="AH5133" s="253"/>
    </row>
    <row r="5134" spans="34:34" ht="12.75" customHeight="1">
      <c r="AH5134" s="253"/>
    </row>
    <row r="5135" spans="34:34" ht="12.75" customHeight="1">
      <c r="AH5135" s="253"/>
    </row>
    <row r="5136" spans="34:34" ht="12.75" customHeight="1">
      <c r="AH5136" s="253"/>
    </row>
    <row r="5137" spans="34:34" ht="12.75" customHeight="1">
      <c r="AH5137" s="253"/>
    </row>
    <row r="5138" spans="34:34" ht="12.75" customHeight="1">
      <c r="AH5138" s="253"/>
    </row>
    <row r="5139" spans="34:34" ht="12.75" customHeight="1">
      <c r="AH5139" s="253"/>
    </row>
    <row r="5140" spans="34:34" ht="12.75" customHeight="1">
      <c r="AH5140" s="253"/>
    </row>
    <row r="5141" spans="34:34" ht="12.75" customHeight="1">
      <c r="AH5141" s="253"/>
    </row>
    <row r="5142" spans="34:34" ht="12.75" customHeight="1">
      <c r="AH5142" s="253"/>
    </row>
    <row r="5143" spans="34:34" ht="12.75" customHeight="1">
      <c r="AH5143" s="253"/>
    </row>
    <row r="5144" spans="34:34" ht="12.75" customHeight="1">
      <c r="AH5144" s="253"/>
    </row>
    <row r="5145" spans="34:34" ht="12.75" customHeight="1">
      <c r="AH5145" s="253"/>
    </row>
    <row r="5146" spans="34:34" ht="12.75" customHeight="1">
      <c r="AH5146" s="253"/>
    </row>
    <row r="5147" spans="34:34" ht="12.75" customHeight="1">
      <c r="AH5147" s="253"/>
    </row>
    <row r="5148" spans="34:34" ht="12.75" customHeight="1">
      <c r="AH5148" s="253"/>
    </row>
    <row r="5149" spans="34:34" ht="12.75" customHeight="1">
      <c r="AH5149" s="253"/>
    </row>
    <row r="5150" spans="34:34" ht="12.75" customHeight="1">
      <c r="AH5150" s="253"/>
    </row>
    <row r="5151" spans="34:34" ht="12.75" customHeight="1">
      <c r="AH5151" s="253"/>
    </row>
    <row r="5152" spans="34:34" ht="12.75" customHeight="1">
      <c r="AH5152" s="253"/>
    </row>
    <row r="5153" spans="34:34" ht="12.75" customHeight="1">
      <c r="AH5153" s="253"/>
    </row>
    <row r="5154" spans="34:34" ht="12.75" customHeight="1">
      <c r="AH5154" s="253"/>
    </row>
    <row r="5155" spans="34:34" ht="12.75" customHeight="1">
      <c r="AH5155" s="253"/>
    </row>
    <row r="5156" spans="34:34" ht="12.75" customHeight="1">
      <c r="AH5156" s="253"/>
    </row>
    <row r="5157" spans="34:34" ht="12.75" customHeight="1">
      <c r="AH5157" s="253"/>
    </row>
    <row r="5158" spans="34:34" ht="12.75" customHeight="1">
      <c r="AH5158" s="253"/>
    </row>
    <row r="5159" spans="34:34" ht="12.75" customHeight="1">
      <c r="AH5159" s="253"/>
    </row>
    <row r="5160" spans="34:34" ht="12.75" customHeight="1">
      <c r="AH5160" s="253"/>
    </row>
    <row r="5161" spans="34:34" ht="12.75" customHeight="1">
      <c r="AH5161" s="253"/>
    </row>
    <row r="5162" spans="34:34" ht="12.75" customHeight="1">
      <c r="AH5162" s="253"/>
    </row>
    <row r="5163" spans="34:34" ht="12.75" customHeight="1">
      <c r="AH5163" s="253"/>
    </row>
    <row r="5164" spans="34:34" ht="12.75" customHeight="1">
      <c r="AH5164" s="253"/>
    </row>
    <row r="5165" spans="34:34" ht="12.75" customHeight="1">
      <c r="AH5165" s="253"/>
    </row>
    <row r="5166" spans="34:34" ht="12.75" customHeight="1">
      <c r="AH5166" s="253"/>
    </row>
    <row r="5167" spans="34:34" ht="12.75" customHeight="1">
      <c r="AH5167" s="253"/>
    </row>
    <row r="5168" spans="34:34" ht="12.75" customHeight="1">
      <c r="AH5168" s="253"/>
    </row>
    <row r="5169" spans="34:34" ht="12.75" customHeight="1">
      <c r="AH5169" s="253"/>
    </row>
    <row r="5170" spans="34:34" ht="12.75" customHeight="1">
      <c r="AH5170" s="253"/>
    </row>
    <row r="5171" spans="34:34" ht="12.75" customHeight="1">
      <c r="AH5171" s="253"/>
    </row>
    <row r="5172" spans="34:34" ht="12.75" customHeight="1">
      <c r="AH5172" s="253"/>
    </row>
    <row r="5173" spans="34:34" ht="12.75" customHeight="1">
      <c r="AH5173" s="253"/>
    </row>
    <row r="5174" spans="34:34" ht="12.75" customHeight="1">
      <c r="AH5174" s="253"/>
    </row>
    <row r="5175" spans="34:34" ht="12.75" customHeight="1">
      <c r="AH5175" s="253"/>
    </row>
    <row r="5176" spans="34:34" ht="12.75" customHeight="1">
      <c r="AH5176" s="253"/>
    </row>
    <row r="5177" spans="34:34" ht="12.75" customHeight="1">
      <c r="AH5177" s="253"/>
    </row>
    <row r="5178" spans="34:34" ht="12.75" customHeight="1">
      <c r="AH5178" s="253"/>
    </row>
    <row r="5179" spans="34:34" ht="12.75" customHeight="1">
      <c r="AH5179" s="253"/>
    </row>
    <row r="5180" spans="34:34" ht="12.75" customHeight="1">
      <c r="AH5180" s="253"/>
    </row>
    <row r="5181" spans="34:34" ht="12.75" customHeight="1">
      <c r="AH5181" s="253"/>
    </row>
    <row r="5182" spans="34:34" ht="12.75" customHeight="1">
      <c r="AH5182" s="253"/>
    </row>
    <row r="5183" spans="34:34" ht="12.75" customHeight="1">
      <c r="AH5183" s="253"/>
    </row>
    <row r="5184" spans="34:34" ht="12.75" customHeight="1">
      <c r="AH5184" s="253"/>
    </row>
    <row r="5185" spans="34:34" ht="12.75" customHeight="1">
      <c r="AH5185" s="253"/>
    </row>
    <row r="5186" spans="34:34" ht="12.75" customHeight="1">
      <c r="AH5186" s="253"/>
    </row>
    <row r="5187" spans="34:34" ht="12.75" customHeight="1">
      <c r="AH5187" s="253"/>
    </row>
    <row r="5188" spans="34:34" ht="12.75" customHeight="1">
      <c r="AH5188" s="253"/>
    </row>
    <row r="5189" spans="34:34" ht="12.75" customHeight="1">
      <c r="AH5189" s="253"/>
    </row>
    <row r="5190" spans="34:34" ht="12.75" customHeight="1">
      <c r="AH5190" s="253"/>
    </row>
    <row r="5191" spans="34:34" ht="12.75" customHeight="1">
      <c r="AH5191" s="253"/>
    </row>
    <row r="5192" spans="34:34" ht="12.75" customHeight="1">
      <c r="AH5192" s="253"/>
    </row>
    <row r="5193" spans="34:34" ht="12.75" customHeight="1">
      <c r="AH5193" s="253"/>
    </row>
    <row r="5194" spans="34:34" ht="12.75" customHeight="1">
      <c r="AH5194" s="253"/>
    </row>
    <row r="5195" spans="34:34" ht="12.75" customHeight="1">
      <c r="AH5195" s="253"/>
    </row>
    <row r="5196" spans="34:34" ht="12.75" customHeight="1">
      <c r="AH5196" s="253"/>
    </row>
    <row r="5197" spans="34:34" ht="12.75" customHeight="1">
      <c r="AH5197" s="253"/>
    </row>
    <row r="5198" spans="34:34" ht="12.75" customHeight="1">
      <c r="AH5198" s="253"/>
    </row>
    <row r="5199" spans="34:34" ht="12.75" customHeight="1">
      <c r="AH5199" s="253"/>
    </row>
    <row r="5200" spans="34:34" ht="12.75" customHeight="1">
      <c r="AH5200" s="253"/>
    </row>
    <row r="5201" spans="34:34" ht="12.75" customHeight="1">
      <c r="AH5201" s="253"/>
    </row>
    <row r="5202" spans="34:34" ht="12.75" customHeight="1">
      <c r="AH5202" s="253"/>
    </row>
    <row r="5203" spans="34:34" ht="12.75" customHeight="1">
      <c r="AH5203" s="253"/>
    </row>
    <row r="5204" spans="34:34" ht="12.75" customHeight="1">
      <c r="AH5204" s="253"/>
    </row>
    <row r="5205" spans="34:34" ht="12.75" customHeight="1">
      <c r="AH5205" s="253"/>
    </row>
    <row r="5206" spans="34:34" ht="12.75" customHeight="1">
      <c r="AH5206" s="253"/>
    </row>
    <row r="5207" spans="34:34" ht="12.75" customHeight="1">
      <c r="AH5207" s="253"/>
    </row>
    <row r="5208" spans="34:34" ht="12.75" customHeight="1">
      <c r="AH5208" s="253"/>
    </row>
    <row r="5209" spans="34:34" ht="12.75" customHeight="1">
      <c r="AH5209" s="253"/>
    </row>
    <row r="5210" spans="34:34" ht="12.75" customHeight="1">
      <c r="AH5210" s="253"/>
    </row>
    <row r="5211" spans="34:34" ht="12.75" customHeight="1">
      <c r="AH5211" s="253"/>
    </row>
    <row r="5212" spans="34:34" ht="12.75" customHeight="1">
      <c r="AH5212" s="253"/>
    </row>
    <row r="5213" spans="34:34" ht="12.75" customHeight="1">
      <c r="AH5213" s="253"/>
    </row>
    <row r="5214" spans="34:34" ht="12.75" customHeight="1">
      <c r="AH5214" s="253"/>
    </row>
    <row r="5215" spans="34:34" ht="12.75" customHeight="1">
      <c r="AH5215" s="253"/>
    </row>
    <row r="5216" spans="34:34" ht="12.75" customHeight="1">
      <c r="AH5216" s="253"/>
    </row>
    <row r="5217" spans="34:34" ht="12.75" customHeight="1">
      <c r="AH5217" s="253"/>
    </row>
    <row r="5218" spans="34:34" ht="12.75" customHeight="1">
      <c r="AH5218" s="253"/>
    </row>
    <row r="5219" spans="34:34" ht="12.75" customHeight="1">
      <c r="AH5219" s="253"/>
    </row>
    <row r="5220" spans="34:34" ht="12.75" customHeight="1">
      <c r="AH5220" s="253"/>
    </row>
    <row r="5221" spans="34:34" ht="12.75" customHeight="1">
      <c r="AH5221" s="253"/>
    </row>
    <row r="5222" spans="34:34" ht="12.75" customHeight="1">
      <c r="AH5222" s="253"/>
    </row>
    <row r="5223" spans="34:34" ht="12.75" customHeight="1">
      <c r="AH5223" s="253"/>
    </row>
    <row r="5224" spans="34:34" ht="12.75" customHeight="1">
      <c r="AH5224" s="253"/>
    </row>
    <row r="5225" spans="34:34" ht="12.75" customHeight="1">
      <c r="AH5225" s="253"/>
    </row>
    <row r="5226" spans="34:34" ht="12.75" customHeight="1">
      <c r="AH5226" s="253"/>
    </row>
    <row r="5227" spans="34:34" ht="12.75" customHeight="1">
      <c r="AH5227" s="253"/>
    </row>
    <row r="5228" spans="34:34" ht="12.75" customHeight="1">
      <c r="AH5228" s="253"/>
    </row>
    <row r="5229" spans="34:34" ht="12.75" customHeight="1">
      <c r="AH5229" s="253"/>
    </row>
    <row r="5230" spans="34:34" ht="12.75" customHeight="1">
      <c r="AH5230" s="253"/>
    </row>
    <row r="5231" spans="34:34" ht="12.75" customHeight="1">
      <c r="AH5231" s="253"/>
    </row>
    <row r="5232" spans="34:34" ht="12.75" customHeight="1">
      <c r="AH5232" s="253"/>
    </row>
    <row r="5233" spans="34:34" ht="12.75" customHeight="1">
      <c r="AH5233" s="253"/>
    </row>
    <row r="5234" spans="34:34" ht="12.75" customHeight="1">
      <c r="AH5234" s="253"/>
    </row>
    <row r="5235" spans="34:34" ht="12.75" customHeight="1">
      <c r="AH5235" s="253"/>
    </row>
    <row r="5236" spans="34:34" ht="12.75" customHeight="1">
      <c r="AH5236" s="253"/>
    </row>
    <row r="5237" spans="34:34" ht="12.75" customHeight="1">
      <c r="AH5237" s="253"/>
    </row>
    <row r="5238" spans="34:34" ht="12.75" customHeight="1">
      <c r="AH5238" s="253"/>
    </row>
    <row r="5239" spans="34:34" ht="12.75" customHeight="1">
      <c r="AH5239" s="253"/>
    </row>
    <row r="5240" spans="34:34" ht="12.75" customHeight="1">
      <c r="AH5240" s="253"/>
    </row>
    <row r="5241" spans="34:34" ht="12.75" customHeight="1">
      <c r="AH5241" s="253"/>
    </row>
    <row r="5242" spans="34:34" ht="12.75" customHeight="1">
      <c r="AH5242" s="253"/>
    </row>
    <row r="5243" spans="34:34" ht="12.75" customHeight="1">
      <c r="AH5243" s="253"/>
    </row>
    <row r="5244" spans="34:34" ht="12.75" customHeight="1">
      <c r="AH5244" s="253"/>
    </row>
    <row r="5245" spans="34:34" ht="12.75" customHeight="1">
      <c r="AH5245" s="253"/>
    </row>
    <row r="5246" spans="34:34" ht="12.75" customHeight="1">
      <c r="AH5246" s="253"/>
    </row>
    <row r="5247" spans="34:34" ht="12.75" customHeight="1">
      <c r="AH5247" s="253"/>
    </row>
    <row r="5248" spans="34:34" ht="12.75" customHeight="1">
      <c r="AH5248" s="253"/>
    </row>
    <row r="5249" spans="34:34" ht="12.75" customHeight="1">
      <c r="AH5249" s="253"/>
    </row>
    <row r="5250" spans="34:34" ht="12.75" customHeight="1">
      <c r="AH5250" s="253"/>
    </row>
    <row r="5251" spans="34:34" ht="12.75" customHeight="1">
      <c r="AH5251" s="253"/>
    </row>
    <row r="5252" spans="34:34" ht="12.75" customHeight="1">
      <c r="AH5252" s="253"/>
    </row>
    <row r="5253" spans="34:34" ht="12.75" customHeight="1">
      <c r="AH5253" s="253"/>
    </row>
    <row r="5254" spans="34:34" ht="12.75" customHeight="1">
      <c r="AH5254" s="253"/>
    </row>
    <row r="5255" spans="34:34" ht="12.75" customHeight="1">
      <c r="AH5255" s="253"/>
    </row>
    <row r="5256" spans="34:34" ht="12.75" customHeight="1">
      <c r="AH5256" s="253"/>
    </row>
    <row r="5257" spans="34:34" ht="12.75" customHeight="1">
      <c r="AH5257" s="253"/>
    </row>
    <row r="5258" spans="34:34" ht="12.75" customHeight="1">
      <c r="AH5258" s="253"/>
    </row>
    <row r="5259" spans="34:34" ht="12.75" customHeight="1">
      <c r="AH5259" s="253"/>
    </row>
    <row r="5260" spans="34:34" ht="12.75" customHeight="1">
      <c r="AH5260" s="253"/>
    </row>
    <row r="5261" spans="34:34" ht="12.75" customHeight="1">
      <c r="AH5261" s="253"/>
    </row>
    <row r="5262" spans="34:34" ht="12.75" customHeight="1">
      <c r="AH5262" s="253"/>
    </row>
    <row r="5263" spans="34:34" ht="12.75" customHeight="1">
      <c r="AH5263" s="253"/>
    </row>
    <row r="5264" spans="34:34" ht="12.75" customHeight="1">
      <c r="AH5264" s="253"/>
    </row>
    <row r="5265" spans="34:34" ht="12.75" customHeight="1">
      <c r="AH5265" s="253"/>
    </row>
    <row r="5266" spans="34:34" ht="12.75" customHeight="1">
      <c r="AH5266" s="253"/>
    </row>
    <row r="5267" spans="34:34" ht="12.75" customHeight="1">
      <c r="AH5267" s="253"/>
    </row>
    <row r="5268" spans="34:34" ht="12.75" customHeight="1">
      <c r="AH5268" s="253"/>
    </row>
    <row r="5269" spans="34:34" ht="12.75" customHeight="1">
      <c r="AH5269" s="253"/>
    </row>
    <row r="5270" spans="34:34" ht="12.75" customHeight="1">
      <c r="AH5270" s="253"/>
    </row>
    <row r="5271" spans="34:34" ht="12.75" customHeight="1">
      <c r="AH5271" s="253"/>
    </row>
    <row r="5272" spans="34:34" ht="12.75" customHeight="1">
      <c r="AH5272" s="253"/>
    </row>
    <row r="5273" spans="34:34" ht="12.75" customHeight="1">
      <c r="AH5273" s="253"/>
    </row>
    <row r="5274" spans="34:34" ht="12.75" customHeight="1">
      <c r="AH5274" s="253"/>
    </row>
    <row r="5275" spans="34:34" ht="12.75" customHeight="1">
      <c r="AH5275" s="253"/>
    </row>
    <row r="5276" spans="34:34" ht="12.75" customHeight="1">
      <c r="AH5276" s="253"/>
    </row>
    <row r="5277" spans="34:34" ht="12.75" customHeight="1">
      <c r="AH5277" s="253"/>
    </row>
    <row r="5278" spans="34:34" ht="12.75" customHeight="1">
      <c r="AH5278" s="253"/>
    </row>
    <row r="5279" spans="34:34" ht="12.75" customHeight="1">
      <c r="AH5279" s="253"/>
    </row>
    <row r="5280" spans="34:34" ht="12.75" customHeight="1">
      <c r="AH5280" s="253"/>
    </row>
    <row r="5281" spans="34:34" ht="12.75" customHeight="1">
      <c r="AH5281" s="253"/>
    </row>
    <row r="5282" spans="34:34" ht="12.75" customHeight="1">
      <c r="AH5282" s="253"/>
    </row>
    <row r="5283" spans="34:34" ht="12.75" customHeight="1">
      <c r="AH5283" s="253"/>
    </row>
    <row r="5284" spans="34:34" ht="12.75" customHeight="1">
      <c r="AH5284" s="253"/>
    </row>
    <row r="5285" spans="34:34" ht="12.75" customHeight="1">
      <c r="AH5285" s="253"/>
    </row>
    <row r="5286" spans="34:34" ht="12.75" customHeight="1">
      <c r="AH5286" s="253"/>
    </row>
    <row r="5287" spans="34:34" ht="12.75" customHeight="1">
      <c r="AH5287" s="253"/>
    </row>
    <row r="5288" spans="34:34" ht="12.75" customHeight="1">
      <c r="AH5288" s="253"/>
    </row>
    <row r="5289" spans="34:34" ht="12.75" customHeight="1">
      <c r="AH5289" s="253"/>
    </row>
    <row r="5290" spans="34:34" ht="12.75" customHeight="1">
      <c r="AH5290" s="253"/>
    </row>
    <row r="5291" spans="34:34" ht="12.75" customHeight="1">
      <c r="AH5291" s="253"/>
    </row>
    <row r="5292" spans="34:34" ht="12.75" customHeight="1">
      <c r="AH5292" s="253"/>
    </row>
    <row r="5293" spans="34:34" ht="12.75" customHeight="1">
      <c r="AH5293" s="253"/>
    </row>
    <row r="5294" spans="34:34" ht="12.75" customHeight="1">
      <c r="AH5294" s="253"/>
    </row>
    <row r="5295" spans="34:34" ht="12.75" customHeight="1">
      <c r="AH5295" s="253"/>
    </row>
    <row r="5296" spans="34:34" ht="12.75" customHeight="1">
      <c r="AH5296" s="253"/>
    </row>
    <row r="5297" spans="34:34" ht="12.75" customHeight="1">
      <c r="AH5297" s="253"/>
    </row>
    <row r="5298" spans="34:34" ht="12.75" customHeight="1">
      <c r="AH5298" s="253"/>
    </row>
    <row r="5299" spans="34:34" ht="12.75" customHeight="1">
      <c r="AH5299" s="253"/>
    </row>
    <row r="5300" spans="34:34" ht="12.75" customHeight="1">
      <c r="AH5300" s="253"/>
    </row>
    <row r="5301" spans="34:34" ht="12.75" customHeight="1">
      <c r="AH5301" s="253"/>
    </row>
    <row r="5302" spans="34:34" ht="12.75" customHeight="1">
      <c r="AH5302" s="253"/>
    </row>
    <row r="5303" spans="34:34" ht="12.75" customHeight="1">
      <c r="AH5303" s="253"/>
    </row>
    <row r="5304" spans="34:34" ht="12.75" customHeight="1">
      <c r="AH5304" s="253"/>
    </row>
    <row r="5305" spans="34:34" ht="12.75" customHeight="1">
      <c r="AH5305" s="253"/>
    </row>
    <row r="5306" spans="34:34" ht="12.75" customHeight="1">
      <c r="AH5306" s="253"/>
    </row>
    <row r="5307" spans="34:34" ht="12.75" customHeight="1">
      <c r="AH5307" s="253"/>
    </row>
    <row r="5308" spans="34:34" ht="12.75" customHeight="1">
      <c r="AH5308" s="253"/>
    </row>
    <row r="5309" spans="34:34" ht="12.75" customHeight="1">
      <c r="AH5309" s="253"/>
    </row>
    <row r="5310" spans="34:34" ht="12.75" customHeight="1">
      <c r="AH5310" s="253"/>
    </row>
    <row r="5311" spans="34:34" ht="12.75" customHeight="1">
      <c r="AH5311" s="253"/>
    </row>
    <row r="5312" spans="34:34" ht="12.75" customHeight="1">
      <c r="AH5312" s="253"/>
    </row>
    <row r="5313" spans="34:34" ht="12.75" customHeight="1">
      <c r="AH5313" s="253"/>
    </row>
    <row r="5314" spans="34:34" ht="12.75" customHeight="1">
      <c r="AH5314" s="253"/>
    </row>
    <row r="5315" spans="34:34" ht="12.75" customHeight="1">
      <c r="AH5315" s="253"/>
    </row>
    <row r="5316" spans="34:34" ht="12.75" customHeight="1">
      <c r="AH5316" s="253"/>
    </row>
    <row r="5317" spans="34:34" ht="12.75" customHeight="1">
      <c r="AH5317" s="253"/>
    </row>
    <row r="5318" spans="34:34" ht="12.75" customHeight="1">
      <c r="AH5318" s="253"/>
    </row>
    <row r="5319" spans="34:34" ht="12.75" customHeight="1">
      <c r="AH5319" s="253"/>
    </row>
    <row r="5320" spans="34:34" ht="12.75" customHeight="1">
      <c r="AH5320" s="253"/>
    </row>
    <row r="5321" spans="34:34" ht="12.75" customHeight="1">
      <c r="AH5321" s="253"/>
    </row>
    <row r="5322" spans="34:34" ht="12.75" customHeight="1">
      <c r="AH5322" s="253"/>
    </row>
    <row r="5323" spans="34:34" ht="12.75" customHeight="1">
      <c r="AH5323" s="253"/>
    </row>
    <row r="5324" spans="34:34" ht="12.75" customHeight="1">
      <c r="AH5324" s="253"/>
    </row>
    <row r="5325" spans="34:34" ht="12.75" customHeight="1">
      <c r="AH5325" s="253"/>
    </row>
    <row r="5326" spans="34:34" ht="12.75" customHeight="1">
      <c r="AH5326" s="253"/>
    </row>
    <row r="5327" spans="34:34" ht="12.75" customHeight="1">
      <c r="AH5327" s="253"/>
    </row>
    <row r="5328" spans="34:34" ht="12.75" customHeight="1">
      <c r="AH5328" s="253"/>
    </row>
    <row r="5329" spans="34:34" ht="12.75" customHeight="1">
      <c r="AH5329" s="253"/>
    </row>
    <row r="5330" spans="34:34" ht="12.75" customHeight="1">
      <c r="AH5330" s="253"/>
    </row>
    <row r="5331" spans="34:34" ht="12.75" customHeight="1">
      <c r="AH5331" s="253"/>
    </row>
    <row r="5332" spans="34:34" ht="12.75" customHeight="1">
      <c r="AH5332" s="253"/>
    </row>
    <row r="5333" spans="34:34" ht="12.75" customHeight="1">
      <c r="AH5333" s="253"/>
    </row>
    <row r="5334" spans="34:34" ht="12.75" customHeight="1">
      <c r="AH5334" s="253"/>
    </row>
    <row r="5335" spans="34:34" ht="12.75" customHeight="1">
      <c r="AH5335" s="253"/>
    </row>
    <row r="5336" spans="34:34" ht="12.75" customHeight="1">
      <c r="AH5336" s="253"/>
    </row>
    <row r="5337" spans="34:34" ht="12.75" customHeight="1">
      <c r="AH5337" s="253"/>
    </row>
    <row r="5338" spans="34:34" ht="12.75" customHeight="1">
      <c r="AH5338" s="253"/>
    </row>
    <row r="5339" spans="34:34" ht="12.75" customHeight="1">
      <c r="AH5339" s="253"/>
    </row>
    <row r="5340" spans="34:34" ht="12.75" customHeight="1">
      <c r="AH5340" s="253"/>
    </row>
    <row r="5341" spans="34:34" ht="12.75" customHeight="1">
      <c r="AH5341" s="253"/>
    </row>
    <row r="5342" spans="34:34" ht="12.75" customHeight="1">
      <c r="AH5342" s="253"/>
    </row>
    <row r="5343" spans="34:34" ht="12.75" customHeight="1">
      <c r="AH5343" s="253"/>
    </row>
    <row r="5344" spans="34:34" ht="12.75" customHeight="1">
      <c r="AH5344" s="253"/>
    </row>
    <row r="5345" spans="34:34" ht="12.75" customHeight="1">
      <c r="AH5345" s="253"/>
    </row>
    <row r="5346" spans="34:34" ht="12.75" customHeight="1">
      <c r="AH5346" s="253"/>
    </row>
    <row r="5347" spans="34:34" ht="12.75" customHeight="1">
      <c r="AH5347" s="253"/>
    </row>
    <row r="5348" spans="34:34" ht="12.75" customHeight="1">
      <c r="AH5348" s="253"/>
    </row>
    <row r="5349" spans="34:34" ht="12.75" customHeight="1">
      <c r="AH5349" s="253"/>
    </row>
    <row r="5350" spans="34:34" ht="12.75" customHeight="1">
      <c r="AH5350" s="253"/>
    </row>
    <row r="5351" spans="34:34" ht="12.75" customHeight="1">
      <c r="AH5351" s="253"/>
    </row>
    <row r="5352" spans="34:34" ht="12.75" customHeight="1">
      <c r="AH5352" s="253"/>
    </row>
    <row r="5353" spans="34:34" ht="12.75" customHeight="1">
      <c r="AH5353" s="253"/>
    </row>
    <row r="5354" spans="34:34" ht="12.75" customHeight="1">
      <c r="AH5354" s="253"/>
    </row>
    <row r="5355" spans="34:34" ht="12.75" customHeight="1">
      <c r="AH5355" s="253"/>
    </row>
    <row r="5356" spans="34:34" ht="12.75" customHeight="1">
      <c r="AH5356" s="253"/>
    </row>
    <row r="5357" spans="34:34" ht="12.75" customHeight="1">
      <c r="AH5357" s="253"/>
    </row>
    <row r="5358" spans="34:34" ht="12.75" customHeight="1">
      <c r="AH5358" s="253"/>
    </row>
    <row r="5359" spans="34:34" ht="12.75" customHeight="1">
      <c r="AH5359" s="253"/>
    </row>
    <row r="5360" spans="34:34" ht="12.75" customHeight="1">
      <c r="AH5360" s="253"/>
    </row>
    <row r="5361" spans="34:34" ht="12.75" customHeight="1">
      <c r="AH5361" s="253"/>
    </row>
    <row r="5362" spans="34:34" ht="12.75" customHeight="1">
      <c r="AH5362" s="253"/>
    </row>
    <row r="5363" spans="34:34" ht="12.75" customHeight="1">
      <c r="AH5363" s="253"/>
    </row>
    <row r="5364" spans="34:34" ht="12.75" customHeight="1">
      <c r="AH5364" s="253"/>
    </row>
    <row r="5365" spans="34:34" ht="12.75" customHeight="1">
      <c r="AH5365" s="253"/>
    </row>
    <row r="5366" spans="34:34" ht="12.75" customHeight="1">
      <c r="AH5366" s="253"/>
    </row>
    <row r="5367" spans="34:34" ht="12.75" customHeight="1">
      <c r="AH5367" s="253"/>
    </row>
    <row r="5368" spans="34:34" ht="12.75" customHeight="1">
      <c r="AH5368" s="253"/>
    </row>
    <row r="5369" spans="34:34" ht="12.75" customHeight="1">
      <c r="AH5369" s="253"/>
    </row>
    <row r="5370" spans="34:34" ht="12.75" customHeight="1">
      <c r="AH5370" s="253"/>
    </row>
    <row r="5371" spans="34:34" ht="12.75" customHeight="1">
      <c r="AH5371" s="253"/>
    </row>
    <row r="5372" spans="34:34" ht="12.75" customHeight="1">
      <c r="AH5372" s="253"/>
    </row>
    <row r="5373" spans="34:34" ht="12.75" customHeight="1">
      <c r="AH5373" s="253"/>
    </row>
    <row r="5374" spans="34:34" ht="12.75" customHeight="1">
      <c r="AH5374" s="253"/>
    </row>
    <row r="5375" spans="34:34" ht="12.75" customHeight="1">
      <c r="AH5375" s="253"/>
    </row>
    <row r="5376" spans="34:34" ht="12.75" customHeight="1">
      <c r="AH5376" s="253"/>
    </row>
    <row r="5377" spans="34:34" ht="12.75" customHeight="1">
      <c r="AH5377" s="253"/>
    </row>
    <row r="5378" spans="34:34" ht="12.75" customHeight="1">
      <c r="AH5378" s="253"/>
    </row>
    <row r="5379" spans="34:34" ht="12.75" customHeight="1">
      <c r="AH5379" s="253"/>
    </row>
    <row r="5380" spans="34:34" ht="12.75" customHeight="1">
      <c r="AH5380" s="253"/>
    </row>
    <row r="5381" spans="34:34" ht="12.75" customHeight="1">
      <c r="AH5381" s="253"/>
    </row>
    <row r="5382" spans="34:34" ht="12.75" customHeight="1">
      <c r="AH5382" s="253"/>
    </row>
    <row r="5383" spans="34:34" ht="12.75" customHeight="1">
      <c r="AH5383" s="253"/>
    </row>
    <row r="5384" spans="34:34" ht="12.75" customHeight="1">
      <c r="AH5384" s="253"/>
    </row>
    <row r="5385" spans="34:34" ht="12.75" customHeight="1">
      <c r="AH5385" s="253"/>
    </row>
    <row r="5386" spans="34:34" ht="12.75" customHeight="1">
      <c r="AH5386" s="253"/>
    </row>
    <row r="5387" spans="34:34" ht="12.75" customHeight="1">
      <c r="AH5387" s="253"/>
    </row>
    <row r="5388" spans="34:34" ht="12.75" customHeight="1">
      <c r="AH5388" s="253"/>
    </row>
    <row r="5389" spans="34:34" ht="12.75" customHeight="1">
      <c r="AH5389" s="253"/>
    </row>
    <row r="5390" spans="34:34" ht="12.75" customHeight="1">
      <c r="AH5390" s="253"/>
    </row>
    <row r="5391" spans="34:34" ht="12.75" customHeight="1">
      <c r="AH5391" s="253"/>
    </row>
    <row r="5392" spans="34:34" ht="12.75" customHeight="1">
      <c r="AH5392" s="253"/>
    </row>
    <row r="5393" spans="34:34" ht="12.75" customHeight="1">
      <c r="AH5393" s="253"/>
    </row>
    <row r="5394" spans="34:34" ht="12.75" customHeight="1">
      <c r="AH5394" s="253"/>
    </row>
    <row r="5395" spans="34:34" ht="12.75" customHeight="1">
      <c r="AH5395" s="253"/>
    </row>
    <row r="5396" spans="34:34" ht="12.75" customHeight="1">
      <c r="AH5396" s="253"/>
    </row>
    <row r="5397" spans="34:34" ht="12.75" customHeight="1">
      <c r="AH5397" s="253"/>
    </row>
    <row r="5398" spans="34:34" ht="12.75" customHeight="1">
      <c r="AH5398" s="253"/>
    </row>
    <row r="5399" spans="34:34" ht="12.75" customHeight="1">
      <c r="AH5399" s="253"/>
    </row>
    <row r="5400" spans="34:34" ht="12.75" customHeight="1">
      <c r="AH5400" s="253"/>
    </row>
    <row r="5401" spans="34:34" ht="12.75" customHeight="1">
      <c r="AH5401" s="253"/>
    </row>
    <row r="5402" spans="34:34" ht="12.75" customHeight="1">
      <c r="AH5402" s="253"/>
    </row>
    <row r="5403" spans="34:34" ht="12.75" customHeight="1">
      <c r="AH5403" s="253"/>
    </row>
    <row r="5404" spans="34:34" ht="12.75" customHeight="1">
      <c r="AH5404" s="253"/>
    </row>
    <row r="5405" spans="34:34" ht="12.75" customHeight="1">
      <c r="AH5405" s="253"/>
    </row>
    <row r="5406" spans="34:34" ht="12.75" customHeight="1">
      <c r="AH5406" s="253"/>
    </row>
    <row r="5407" spans="34:34" ht="12.75" customHeight="1">
      <c r="AH5407" s="253"/>
    </row>
    <row r="5408" spans="34:34" ht="12.75" customHeight="1">
      <c r="AH5408" s="253"/>
    </row>
    <row r="5409" spans="34:34" ht="12.75" customHeight="1">
      <c r="AH5409" s="253"/>
    </row>
    <row r="5410" spans="34:34" ht="12.75" customHeight="1">
      <c r="AH5410" s="253"/>
    </row>
    <row r="5411" spans="34:34" ht="12.75" customHeight="1">
      <c r="AH5411" s="253"/>
    </row>
    <row r="5412" spans="34:34" ht="12.75" customHeight="1">
      <c r="AH5412" s="253"/>
    </row>
    <row r="5413" spans="34:34" ht="12.75" customHeight="1">
      <c r="AH5413" s="253"/>
    </row>
    <row r="5414" spans="34:34" ht="12.75" customHeight="1">
      <c r="AH5414" s="253"/>
    </row>
    <row r="5415" spans="34:34" ht="12.75" customHeight="1">
      <c r="AH5415" s="253"/>
    </row>
    <row r="5416" spans="34:34" ht="12.75" customHeight="1">
      <c r="AH5416" s="253"/>
    </row>
    <row r="5417" spans="34:34" ht="12.75" customHeight="1">
      <c r="AH5417" s="253"/>
    </row>
    <row r="5418" spans="34:34" ht="12.75" customHeight="1">
      <c r="AH5418" s="253"/>
    </row>
    <row r="5419" spans="34:34" ht="12.75" customHeight="1">
      <c r="AH5419" s="253"/>
    </row>
    <row r="5420" spans="34:34" ht="12.75" customHeight="1">
      <c r="AH5420" s="253"/>
    </row>
    <row r="5421" spans="34:34" ht="12.75" customHeight="1">
      <c r="AH5421" s="253"/>
    </row>
    <row r="5422" spans="34:34" ht="12.75" customHeight="1">
      <c r="AH5422" s="253"/>
    </row>
    <row r="5423" spans="34:34" ht="12.75" customHeight="1">
      <c r="AH5423" s="253"/>
    </row>
    <row r="5424" spans="34:34" ht="12.75" customHeight="1">
      <c r="AH5424" s="253"/>
    </row>
    <row r="5425" spans="34:34" ht="12.75" customHeight="1">
      <c r="AH5425" s="253"/>
    </row>
    <row r="5426" spans="34:34" ht="12.75" customHeight="1">
      <c r="AH5426" s="253"/>
    </row>
    <row r="5427" spans="34:34" ht="12.75" customHeight="1">
      <c r="AH5427" s="253"/>
    </row>
    <row r="5428" spans="34:34" ht="12.75" customHeight="1">
      <c r="AH5428" s="253"/>
    </row>
    <row r="5429" spans="34:34" ht="12.75" customHeight="1">
      <c r="AH5429" s="253"/>
    </row>
    <row r="5430" spans="34:34" ht="12.75" customHeight="1">
      <c r="AH5430" s="253"/>
    </row>
    <row r="5431" spans="34:34" ht="12.75" customHeight="1">
      <c r="AH5431" s="253"/>
    </row>
    <row r="5432" spans="34:34" ht="12.75" customHeight="1">
      <c r="AH5432" s="253"/>
    </row>
    <row r="5433" spans="34:34" ht="12.75" customHeight="1">
      <c r="AH5433" s="253"/>
    </row>
    <row r="5434" spans="34:34" ht="12.75" customHeight="1">
      <c r="AH5434" s="253"/>
    </row>
    <row r="5435" spans="34:34" ht="12.75" customHeight="1">
      <c r="AH5435" s="253"/>
    </row>
    <row r="5436" spans="34:34" ht="12.75" customHeight="1">
      <c r="AH5436" s="253"/>
    </row>
    <row r="5437" spans="34:34" ht="12.75" customHeight="1">
      <c r="AH5437" s="253"/>
    </row>
    <row r="5438" spans="34:34" ht="12.75" customHeight="1">
      <c r="AH5438" s="253"/>
    </row>
    <row r="5439" spans="34:34" ht="12.75" customHeight="1">
      <c r="AH5439" s="253"/>
    </row>
    <row r="5440" spans="34:34" ht="12.75" customHeight="1">
      <c r="AH5440" s="253"/>
    </row>
    <row r="5441" spans="34:34" ht="12.75" customHeight="1">
      <c r="AH5441" s="253"/>
    </row>
    <row r="5442" spans="34:34" ht="12.75" customHeight="1">
      <c r="AH5442" s="253"/>
    </row>
    <row r="5443" spans="34:34" ht="12.75" customHeight="1">
      <c r="AH5443" s="253"/>
    </row>
    <row r="5444" spans="34:34" ht="12.75" customHeight="1">
      <c r="AH5444" s="253"/>
    </row>
    <row r="5445" spans="34:34" ht="12.75" customHeight="1">
      <c r="AH5445" s="253"/>
    </row>
    <row r="5446" spans="34:34" ht="12.75" customHeight="1">
      <c r="AH5446" s="253"/>
    </row>
    <row r="5447" spans="34:34" ht="12.75" customHeight="1">
      <c r="AH5447" s="253"/>
    </row>
    <row r="5448" spans="34:34" ht="12.75" customHeight="1">
      <c r="AH5448" s="253"/>
    </row>
    <row r="5449" spans="34:34" ht="12.75" customHeight="1">
      <c r="AH5449" s="253"/>
    </row>
    <row r="5450" spans="34:34" ht="12.75" customHeight="1">
      <c r="AH5450" s="253"/>
    </row>
    <row r="5451" spans="34:34" ht="12.75" customHeight="1">
      <c r="AH5451" s="253"/>
    </row>
    <row r="5452" spans="34:34" ht="12.75" customHeight="1">
      <c r="AH5452" s="253"/>
    </row>
    <row r="5453" spans="34:34" ht="12.75" customHeight="1">
      <c r="AH5453" s="253"/>
    </row>
    <row r="5454" spans="34:34" ht="12.75" customHeight="1">
      <c r="AH5454" s="253"/>
    </row>
    <row r="5455" spans="34:34" ht="12.75" customHeight="1">
      <c r="AH5455" s="253"/>
    </row>
    <row r="5456" spans="34:34" ht="12.75" customHeight="1">
      <c r="AH5456" s="253"/>
    </row>
    <row r="5457" spans="34:34" ht="12.75" customHeight="1">
      <c r="AH5457" s="253"/>
    </row>
    <row r="5458" spans="34:34" ht="12.75" customHeight="1">
      <c r="AH5458" s="253"/>
    </row>
    <row r="5459" spans="34:34" ht="12.75" customHeight="1">
      <c r="AH5459" s="253"/>
    </row>
    <row r="5460" spans="34:34" ht="12.75" customHeight="1">
      <c r="AH5460" s="253"/>
    </row>
    <row r="5461" spans="34:34" ht="12.75" customHeight="1">
      <c r="AH5461" s="253"/>
    </row>
    <row r="5462" spans="34:34" ht="12.75" customHeight="1">
      <c r="AH5462" s="253"/>
    </row>
    <row r="5463" spans="34:34" ht="12.75" customHeight="1">
      <c r="AH5463" s="253"/>
    </row>
    <row r="5464" spans="34:34" ht="12.75" customHeight="1">
      <c r="AH5464" s="253"/>
    </row>
    <row r="5465" spans="34:34" ht="12.75" customHeight="1">
      <c r="AH5465" s="253"/>
    </row>
    <row r="5466" spans="34:34" ht="12.75" customHeight="1">
      <c r="AH5466" s="253"/>
    </row>
    <row r="5467" spans="34:34" ht="12.75" customHeight="1">
      <c r="AH5467" s="253"/>
    </row>
    <row r="5468" spans="34:34" ht="12.75" customHeight="1">
      <c r="AH5468" s="253"/>
    </row>
    <row r="5469" spans="34:34" ht="12.75" customHeight="1">
      <c r="AH5469" s="253"/>
    </row>
    <row r="5470" spans="34:34" ht="12.75" customHeight="1">
      <c r="AH5470" s="253"/>
    </row>
    <row r="5471" spans="34:34" ht="12.75" customHeight="1">
      <c r="AH5471" s="253"/>
    </row>
    <row r="5472" spans="34:34" ht="12.75" customHeight="1">
      <c r="AH5472" s="253"/>
    </row>
    <row r="5473" spans="34:34" ht="12.75" customHeight="1">
      <c r="AH5473" s="253"/>
    </row>
    <row r="5474" spans="34:34" ht="12.75" customHeight="1">
      <c r="AH5474" s="253"/>
    </row>
    <row r="5475" spans="34:34" ht="12.75" customHeight="1">
      <c r="AH5475" s="253"/>
    </row>
    <row r="5476" spans="34:34" ht="12.75" customHeight="1">
      <c r="AH5476" s="253"/>
    </row>
    <row r="5477" spans="34:34" ht="12.75" customHeight="1">
      <c r="AH5477" s="253"/>
    </row>
    <row r="5478" spans="34:34" ht="12.75" customHeight="1">
      <c r="AH5478" s="253"/>
    </row>
    <row r="5479" spans="34:34" ht="12.75" customHeight="1">
      <c r="AH5479" s="253"/>
    </row>
    <row r="5480" spans="34:34" ht="12.75" customHeight="1">
      <c r="AH5480" s="253"/>
    </row>
    <row r="5481" spans="34:34" ht="12.75" customHeight="1">
      <c r="AH5481" s="253"/>
    </row>
    <row r="5482" spans="34:34" ht="12.75" customHeight="1">
      <c r="AH5482" s="253"/>
    </row>
    <row r="5483" spans="34:34" ht="12.75" customHeight="1">
      <c r="AH5483" s="253"/>
    </row>
    <row r="5484" spans="34:34" ht="12.75" customHeight="1">
      <c r="AH5484" s="253"/>
    </row>
    <row r="5485" spans="34:34" ht="12.75" customHeight="1">
      <c r="AH5485" s="253"/>
    </row>
    <row r="5486" spans="34:34" ht="12.75" customHeight="1">
      <c r="AH5486" s="253"/>
    </row>
    <row r="5487" spans="34:34" ht="12.75" customHeight="1">
      <c r="AH5487" s="253"/>
    </row>
    <row r="5488" spans="34:34" ht="12.75" customHeight="1">
      <c r="AH5488" s="253"/>
    </row>
    <row r="5489" spans="34:34" ht="12.75" customHeight="1">
      <c r="AH5489" s="253"/>
    </row>
    <row r="5490" spans="34:34" ht="12.75" customHeight="1">
      <c r="AH5490" s="253"/>
    </row>
    <row r="5491" spans="34:34" ht="12.75" customHeight="1">
      <c r="AH5491" s="253"/>
    </row>
    <row r="5492" spans="34:34" ht="12.75" customHeight="1">
      <c r="AH5492" s="253"/>
    </row>
    <row r="5493" spans="34:34" ht="12.75" customHeight="1">
      <c r="AH5493" s="253"/>
    </row>
    <row r="5494" spans="34:34" ht="12.75" customHeight="1">
      <c r="AH5494" s="253"/>
    </row>
    <row r="5495" spans="34:34" ht="12.75" customHeight="1">
      <c r="AH5495" s="253"/>
    </row>
    <row r="5496" spans="34:34" ht="12.75" customHeight="1">
      <c r="AH5496" s="253"/>
    </row>
    <row r="5497" spans="34:34" ht="12.75" customHeight="1">
      <c r="AH5497" s="253"/>
    </row>
    <row r="5498" spans="34:34" ht="12.75" customHeight="1">
      <c r="AH5498" s="253"/>
    </row>
    <row r="5499" spans="34:34" ht="12.75" customHeight="1">
      <c r="AH5499" s="253"/>
    </row>
    <row r="5500" spans="34:34" ht="12.75" customHeight="1">
      <c r="AH5500" s="253"/>
    </row>
    <row r="5501" spans="34:34" ht="12.75" customHeight="1">
      <c r="AH5501" s="253"/>
    </row>
    <row r="5502" spans="34:34" ht="12.75" customHeight="1">
      <c r="AH5502" s="253"/>
    </row>
    <row r="5503" spans="34:34" ht="12.75" customHeight="1">
      <c r="AH5503" s="253"/>
    </row>
    <row r="5504" spans="34:34" ht="12.75" customHeight="1">
      <c r="AH5504" s="253"/>
    </row>
    <row r="5505" spans="34:34" ht="12.75" customHeight="1">
      <c r="AH5505" s="253"/>
    </row>
    <row r="5506" spans="34:34" ht="12.75" customHeight="1">
      <c r="AH5506" s="253"/>
    </row>
    <row r="5507" spans="34:34" ht="12.75" customHeight="1">
      <c r="AH5507" s="253"/>
    </row>
    <row r="5508" spans="34:34" ht="12.75" customHeight="1">
      <c r="AH5508" s="253"/>
    </row>
    <row r="5509" spans="34:34" ht="12.75" customHeight="1">
      <c r="AH5509" s="253"/>
    </row>
    <row r="5510" spans="34:34" ht="12.75" customHeight="1">
      <c r="AH5510" s="253"/>
    </row>
    <row r="5511" spans="34:34" ht="12.75" customHeight="1">
      <c r="AH5511" s="253"/>
    </row>
    <row r="5512" spans="34:34" ht="12.75" customHeight="1">
      <c r="AH5512" s="253"/>
    </row>
    <row r="5513" spans="34:34" ht="12.75" customHeight="1">
      <c r="AH5513" s="253"/>
    </row>
    <row r="5514" spans="34:34" ht="12.75" customHeight="1">
      <c r="AH5514" s="253"/>
    </row>
    <row r="5515" spans="34:34" ht="12.75" customHeight="1">
      <c r="AH5515" s="253"/>
    </row>
    <row r="5516" spans="34:34" ht="12.75" customHeight="1">
      <c r="AH5516" s="253"/>
    </row>
    <row r="5517" spans="34:34" ht="12.75" customHeight="1">
      <c r="AH5517" s="253"/>
    </row>
    <row r="5518" spans="34:34" ht="12.75" customHeight="1">
      <c r="AH5518" s="253"/>
    </row>
    <row r="5519" spans="34:34" ht="12.75" customHeight="1">
      <c r="AH5519" s="253"/>
    </row>
    <row r="5520" spans="34:34" ht="12.75" customHeight="1">
      <c r="AH5520" s="253"/>
    </row>
    <row r="5521" spans="34:34" ht="12.75" customHeight="1">
      <c r="AH5521" s="253"/>
    </row>
    <row r="5522" spans="34:34" ht="12.75" customHeight="1">
      <c r="AH5522" s="253"/>
    </row>
    <row r="5523" spans="34:34" ht="12.75" customHeight="1">
      <c r="AH5523" s="253"/>
    </row>
    <row r="5524" spans="34:34" ht="12.75" customHeight="1">
      <c r="AH5524" s="253"/>
    </row>
    <row r="5525" spans="34:34" ht="12.75" customHeight="1">
      <c r="AH5525" s="253"/>
    </row>
    <row r="5526" spans="34:34" ht="12.75" customHeight="1">
      <c r="AH5526" s="253"/>
    </row>
    <row r="5527" spans="34:34" ht="12.75" customHeight="1">
      <c r="AH5527" s="253"/>
    </row>
    <row r="5528" spans="34:34" ht="12.75" customHeight="1">
      <c r="AH5528" s="253"/>
    </row>
    <row r="5529" spans="34:34" ht="12.75" customHeight="1">
      <c r="AH5529" s="253"/>
    </row>
    <row r="5530" spans="34:34" ht="12.75" customHeight="1">
      <c r="AH5530" s="253"/>
    </row>
    <row r="5531" spans="34:34" ht="12.75" customHeight="1">
      <c r="AH5531" s="253"/>
    </row>
    <row r="5532" spans="34:34" ht="12.75" customHeight="1">
      <c r="AH5532" s="253"/>
    </row>
    <row r="5533" spans="34:34" ht="12.75" customHeight="1">
      <c r="AH5533" s="253"/>
    </row>
    <row r="5534" spans="34:34" ht="12.75" customHeight="1">
      <c r="AH5534" s="253"/>
    </row>
    <row r="5535" spans="34:34" ht="12.75" customHeight="1">
      <c r="AH5535" s="253"/>
    </row>
    <row r="5536" spans="34:34" ht="12.75" customHeight="1">
      <c r="AH5536" s="253"/>
    </row>
    <row r="5537" spans="34:34" ht="12.75" customHeight="1">
      <c r="AH5537" s="253"/>
    </row>
    <row r="5538" spans="34:34" ht="12.75" customHeight="1">
      <c r="AH5538" s="253"/>
    </row>
    <row r="5539" spans="34:34" ht="12.75" customHeight="1">
      <c r="AH5539" s="253"/>
    </row>
    <row r="5540" spans="34:34" ht="12.75" customHeight="1">
      <c r="AH5540" s="253"/>
    </row>
    <row r="5541" spans="34:34" ht="12.75" customHeight="1">
      <c r="AH5541" s="253"/>
    </row>
    <row r="5542" spans="34:34" ht="12.75" customHeight="1">
      <c r="AH5542" s="253"/>
    </row>
    <row r="5543" spans="34:34" ht="12.75" customHeight="1">
      <c r="AH5543" s="253"/>
    </row>
    <row r="5544" spans="34:34" ht="12.75" customHeight="1">
      <c r="AH5544" s="253"/>
    </row>
    <row r="5545" spans="34:34" ht="12.75" customHeight="1">
      <c r="AH5545" s="253"/>
    </row>
    <row r="5546" spans="34:34" ht="12.75" customHeight="1">
      <c r="AH5546" s="253"/>
    </row>
    <row r="5547" spans="34:34" ht="12.75" customHeight="1">
      <c r="AH5547" s="253"/>
    </row>
    <row r="5548" spans="34:34" ht="12.75" customHeight="1">
      <c r="AH5548" s="253"/>
    </row>
    <row r="5549" spans="34:34" ht="12.75" customHeight="1">
      <c r="AH5549" s="253"/>
    </row>
    <row r="5550" spans="34:34" ht="12.75" customHeight="1">
      <c r="AH5550" s="253"/>
    </row>
    <row r="5551" spans="34:34" ht="12.75" customHeight="1">
      <c r="AH5551" s="253"/>
    </row>
    <row r="5552" spans="34:34" ht="12.75" customHeight="1">
      <c r="AH5552" s="253"/>
    </row>
    <row r="5553" spans="34:34" ht="12.75" customHeight="1">
      <c r="AH5553" s="253"/>
    </row>
    <row r="5554" spans="34:34" ht="12.75" customHeight="1">
      <c r="AH5554" s="253"/>
    </row>
    <row r="5555" spans="34:34" ht="12.75" customHeight="1">
      <c r="AH5555" s="253"/>
    </row>
    <row r="5556" spans="34:34" ht="12.75" customHeight="1">
      <c r="AH5556" s="253"/>
    </row>
    <row r="5557" spans="34:34" ht="12.75" customHeight="1">
      <c r="AH5557" s="253"/>
    </row>
    <row r="5558" spans="34:34" ht="12.75" customHeight="1">
      <c r="AH5558" s="253"/>
    </row>
    <row r="5559" spans="34:34" ht="12.75" customHeight="1">
      <c r="AH5559" s="253"/>
    </row>
    <row r="5560" spans="34:34" ht="12.75" customHeight="1">
      <c r="AH5560" s="253"/>
    </row>
    <row r="5561" spans="34:34" ht="12.75" customHeight="1">
      <c r="AH5561" s="253"/>
    </row>
    <row r="5562" spans="34:34" ht="12.75" customHeight="1">
      <c r="AH5562" s="253"/>
    </row>
    <row r="5563" spans="34:34" ht="12.75" customHeight="1">
      <c r="AH5563" s="253"/>
    </row>
    <row r="5564" spans="34:34" ht="12.75" customHeight="1">
      <c r="AH5564" s="253"/>
    </row>
    <row r="5565" spans="34:34" ht="12.75" customHeight="1">
      <c r="AH5565" s="253"/>
    </row>
    <row r="5566" spans="34:34" ht="12.75" customHeight="1">
      <c r="AH5566" s="253"/>
    </row>
    <row r="5567" spans="34:34" ht="12.75" customHeight="1">
      <c r="AH5567" s="253"/>
    </row>
    <row r="5568" spans="34:34" ht="12.75" customHeight="1">
      <c r="AH5568" s="253"/>
    </row>
    <row r="5569" spans="34:34" ht="12.75" customHeight="1">
      <c r="AH5569" s="253"/>
    </row>
    <row r="5570" spans="34:34" ht="12.75" customHeight="1">
      <c r="AH5570" s="253"/>
    </row>
    <row r="5571" spans="34:34" ht="12.75" customHeight="1">
      <c r="AH5571" s="253"/>
    </row>
    <row r="5572" spans="34:34" ht="12.75" customHeight="1">
      <c r="AH5572" s="253"/>
    </row>
    <row r="5573" spans="34:34" ht="12.75" customHeight="1">
      <c r="AH5573" s="253"/>
    </row>
    <row r="5574" spans="34:34" ht="12.75" customHeight="1">
      <c r="AH5574" s="253"/>
    </row>
    <row r="5575" spans="34:34" ht="12.75" customHeight="1">
      <c r="AH5575" s="253"/>
    </row>
    <row r="5576" spans="34:34" ht="12.75" customHeight="1">
      <c r="AH5576" s="253"/>
    </row>
    <row r="5577" spans="34:34" ht="12.75" customHeight="1">
      <c r="AH5577" s="253"/>
    </row>
    <row r="5578" spans="34:34" ht="12.75" customHeight="1">
      <c r="AH5578" s="253"/>
    </row>
    <row r="5579" spans="34:34" ht="12.75" customHeight="1">
      <c r="AH5579" s="253"/>
    </row>
    <row r="5580" spans="34:34" ht="12.75" customHeight="1">
      <c r="AH5580" s="253"/>
    </row>
    <row r="5581" spans="34:34" ht="12.75" customHeight="1">
      <c r="AH5581" s="253"/>
    </row>
    <row r="5582" spans="34:34" ht="12.75" customHeight="1">
      <c r="AH5582" s="253"/>
    </row>
    <row r="5583" spans="34:34" ht="12.75" customHeight="1">
      <c r="AH5583" s="253"/>
    </row>
    <row r="5584" spans="34:34" ht="12.75" customHeight="1">
      <c r="AH5584" s="253"/>
    </row>
    <row r="5585" spans="34:34" ht="12.75" customHeight="1">
      <c r="AH5585" s="253"/>
    </row>
    <row r="5586" spans="34:34" ht="12.75" customHeight="1">
      <c r="AH5586" s="253"/>
    </row>
    <row r="5587" spans="34:34" ht="12.75" customHeight="1">
      <c r="AH5587" s="253"/>
    </row>
    <row r="5588" spans="34:34" ht="12.75" customHeight="1">
      <c r="AH5588" s="253"/>
    </row>
    <row r="5589" spans="34:34" ht="12.75" customHeight="1">
      <c r="AH5589" s="253"/>
    </row>
    <row r="5590" spans="34:34" ht="12.75" customHeight="1">
      <c r="AH5590" s="253"/>
    </row>
    <row r="5591" spans="34:34" ht="12.75" customHeight="1">
      <c r="AH5591" s="253"/>
    </row>
    <row r="5592" spans="34:34" ht="12.75" customHeight="1">
      <c r="AH5592" s="253"/>
    </row>
    <row r="5593" spans="34:34" ht="12.75" customHeight="1">
      <c r="AH5593" s="253"/>
    </row>
    <row r="5594" spans="34:34" ht="12.75" customHeight="1">
      <c r="AH5594" s="253"/>
    </row>
    <row r="5595" spans="34:34" ht="12.75" customHeight="1">
      <c r="AH5595" s="253"/>
    </row>
    <row r="5596" spans="34:34" ht="12.75" customHeight="1">
      <c r="AH5596" s="253"/>
    </row>
    <row r="5597" spans="34:34" ht="12.75" customHeight="1">
      <c r="AH5597" s="253"/>
    </row>
    <row r="5598" spans="34:34" ht="12.75" customHeight="1">
      <c r="AH5598" s="253"/>
    </row>
    <row r="5599" spans="34:34" ht="12.75" customHeight="1">
      <c r="AH5599" s="253"/>
    </row>
    <row r="5600" spans="34:34" ht="12.75" customHeight="1">
      <c r="AH5600" s="253"/>
    </row>
    <row r="5601" spans="34:34" ht="12.75" customHeight="1">
      <c r="AH5601" s="253"/>
    </row>
    <row r="5602" spans="34:34" ht="12.75" customHeight="1">
      <c r="AH5602" s="253"/>
    </row>
    <row r="5603" spans="34:34" ht="12.75" customHeight="1">
      <c r="AH5603" s="253"/>
    </row>
    <row r="5604" spans="34:34" ht="12.75" customHeight="1">
      <c r="AH5604" s="253"/>
    </row>
    <row r="5605" spans="34:34" ht="12.75" customHeight="1">
      <c r="AH5605" s="253"/>
    </row>
    <row r="5606" spans="34:34" ht="12.75" customHeight="1">
      <c r="AH5606" s="253"/>
    </row>
    <row r="5607" spans="34:34" ht="12.75" customHeight="1">
      <c r="AH5607" s="253"/>
    </row>
    <row r="5608" spans="34:34" ht="12.75" customHeight="1">
      <c r="AH5608" s="253"/>
    </row>
    <row r="5609" spans="34:34" ht="12.75" customHeight="1">
      <c r="AH5609" s="253"/>
    </row>
    <row r="5610" spans="34:34" ht="12.75" customHeight="1">
      <c r="AH5610" s="253"/>
    </row>
    <row r="5611" spans="34:34" ht="12.75" customHeight="1">
      <c r="AH5611" s="253"/>
    </row>
    <row r="5612" spans="34:34" ht="12.75" customHeight="1">
      <c r="AH5612" s="253"/>
    </row>
    <row r="5613" spans="34:34" ht="12.75" customHeight="1">
      <c r="AH5613" s="253"/>
    </row>
    <row r="5614" spans="34:34" ht="12.75" customHeight="1">
      <c r="AH5614" s="253"/>
    </row>
    <row r="5615" spans="34:34" ht="12.75" customHeight="1">
      <c r="AH5615" s="253"/>
    </row>
    <row r="5616" spans="34:34" ht="12.75" customHeight="1">
      <c r="AH5616" s="253"/>
    </row>
    <row r="5617" spans="34:34" ht="12.75" customHeight="1">
      <c r="AH5617" s="253"/>
    </row>
    <row r="5618" spans="34:34" ht="12.75" customHeight="1">
      <c r="AH5618" s="253"/>
    </row>
    <row r="5619" spans="34:34" ht="12.75" customHeight="1">
      <c r="AH5619" s="253"/>
    </row>
    <row r="5620" spans="34:34" ht="12.75" customHeight="1">
      <c r="AH5620" s="253"/>
    </row>
    <row r="5621" spans="34:34" ht="12.75" customHeight="1">
      <c r="AH5621" s="253"/>
    </row>
    <row r="5622" spans="34:34" ht="12.75" customHeight="1">
      <c r="AH5622" s="253"/>
    </row>
    <row r="5623" spans="34:34" ht="12.75" customHeight="1">
      <c r="AH5623" s="253"/>
    </row>
    <row r="5624" spans="34:34" ht="12.75" customHeight="1">
      <c r="AH5624" s="253"/>
    </row>
    <row r="5625" spans="34:34" ht="12.75" customHeight="1">
      <c r="AH5625" s="253"/>
    </row>
    <row r="5626" spans="34:34" ht="12.75" customHeight="1">
      <c r="AH5626" s="253"/>
    </row>
    <row r="5627" spans="34:34" ht="12.75" customHeight="1">
      <c r="AH5627" s="253"/>
    </row>
    <row r="5628" spans="34:34" ht="12.75" customHeight="1">
      <c r="AH5628" s="253"/>
    </row>
    <row r="5629" spans="34:34" ht="12.75" customHeight="1">
      <c r="AH5629" s="253"/>
    </row>
    <row r="5630" spans="34:34" ht="12.75" customHeight="1">
      <c r="AH5630" s="253"/>
    </row>
    <row r="5631" spans="34:34" ht="12.75" customHeight="1">
      <c r="AH5631" s="253"/>
    </row>
    <row r="5632" spans="34:34" ht="12.75" customHeight="1">
      <c r="AH5632" s="253"/>
    </row>
    <row r="5633" spans="34:34" ht="12.75" customHeight="1">
      <c r="AH5633" s="253"/>
    </row>
    <row r="5634" spans="34:34" ht="12.75" customHeight="1">
      <c r="AH5634" s="253"/>
    </row>
    <row r="5635" spans="34:34" ht="12.75" customHeight="1">
      <c r="AH5635" s="253"/>
    </row>
    <row r="5636" spans="34:34" ht="12.75" customHeight="1">
      <c r="AH5636" s="253"/>
    </row>
    <row r="5637" spans="34:34" ht="12.75" customHeight="1">
      <c r="AH5637" s="253"/>
    </row>
    <row r="5638" spans="34:34" ht="12.75" customHeight="1">
      <c r="AH5638" s="253"/>
    </row>
    <row r="5639" spans="34:34" ht="12.75" customHeight="1">
      <c r="AH5639" s="253"/>
    </row>
    <row r="5640" spans="34:34" ht="12.75" customHeight="1">
      <c r="AH5640" s="253"/>
    </row>
    <row r="5641" spans="34:34" ht="12.75" customHeight="1">
      <c r="AH5641" s="253"/>
    </row>
    <row r="5642" spans="34:34" ht="12.75" customHeight="1">
      <c r="AH5642" s="253"/>
    </row>
    <row r="5643" spans="34:34" ht="12.75" customHeight="1">
      <c r="AH5643" s="253"/>
    </row>
    <row r="5644" spans="34:34" ht="12.75" customHeight="1">
      <c r="AH5644" s="253"/>
    </row>
    <row r="5645" spans="34:34" ht="12.75" customHeight="1">
      <c r="AH5645" s="253"/>
    </row>
    <row r="5646" spans="34:34" ht="12.75" customHeight="1">
      <c r="AH5646" s="253"/>
    </row>
    <row r="5647" spans="34:34" ht="12.75" customHeight="1">
      <c r="AH5647" s="253"/>
    </row>
    <row r="5648" spans="34:34" ht="12.75" customHeight="1">
      <c r="AH5648" s="253"/>
    </row>
    <row r="5649" spans="34:34" ht="12.75" customHeight="1">
      <c r="AH5649" s="253"/>
    </row>
    <row r="5650" spans="34:34" ht="12.75" customHeight="1">
      <c r="AH5650" s="253"/>
    </row>
    <row r="5651" spans="34:34" ht="12.75" customHeight="1">
      <c r="AH5651" s="253"/>
    </row>
    <row r="5652" spans="34:34" ht="12.75" customHeight="1">
      <c r="AH5652" s="253"/>
    </row>
    <row r="5653" spans="34:34" ht="12.75" customHeight="1">
      <c r="AH5653" s="253"/>
    </row>
    <row r="5654" spans="34:34" ht="12.75" customHeight="1">
      <c r="AH5654" s="253"/>
    </row>
    <row r="5655" spans="34:34" ht="12.75" customHeight="1">
      <c r="AH5655" s="253"/>
    </row>
    <row r="5656" spans="34:34" ht="12.75" customHeight="1">
      <c r="AH5656" s="253"/>
    </row>
    <row r="5657" spans="34:34" ht="12.75" customHeight="1">
      <c r="AH5657" s="253"/>
    </row>
    <row r="5658" spans="34:34" ht="12.75" customHeight="1">
      <c r="AH5658" s="253"/>
    </row>
    <row r="5659" spans="34:34" ht="12.75" customHeight="1">
      <c r="AH5659" s="253"/>
    </row>
    <row r="5660" spans="34:34" ht="12.75" customHeight="1">
      <c r="AH5660" s="253"/>
    </row>
    <row r="5661" spans="34:34" ht="12.75" customHeight="1">
      <c r="AH5661" s="253"/>
    </row>
    <row r="5662" spans="34:34" ht="12.75" customHeight="1">
      <c r="AH5662" s="253"/>
    </row>
    <row r="5663" spans="34:34" ht="12.75" customHeight="1">
      <c r="AH5663" s="253"/>
    </row>
    <row r="5664" spans="34:34" ht="12.75" customHeight="1">
      <c r="AH5664" s="253"/>
    </row>
    <row r="5665" spans="34:34" ht="12.75" customHeight="1">
      <c r="AH5665" s="253"/>
    </row>
    <row r="5666" spans="34:34" ht="12.75" customHeight="1">
      <c r="AH5666" s="253"/>
    </row>
    <row r="5667" spans="34:34" ht="12.75" customHeight="1">
      <c r="AH5667" s="253"/>
    </row>
    <row r="5668" spans="34:34" ht="12.75" customHeight="1">
      <c r="AH5668" s="253"/>
    </row>
    <row r="5669" spans="34:34" ht="12.75" customHeight="1">
      <c r="AH5669" s="253"/>
    </row>
    <row r="5670" spans="34:34" ht="12.75" customHeight="1">
      <c r="AH5670" s="253"/>
    </row>
    <row r="5671" spans="34:34" ht="12.75" customHeight="1">
      <c r="AH5671" s="253"/>
    </row>
    <row r="5672" spans="34:34" ht="12.75" customHeight="1">
      <c r="AH5672" s="253"/>
    </row>
    <row r="5673" spans="34:34" ht="12.75" customHeight="1">
      <c r="AH5673" s="253"/>
    </row>
    <row r="5674" spans="34:34" ht="12.75" customHeight="1">
      <c r="AH5674" s="253"/>
    </row>
    <row r="5675" spans="34:34" ht="12.75" customHeight="1">
      <c r="AH5675" s="253"/>
    </row>
    <row r="5676" spans="34:34" ht="12.75" customHeight="1">
      <c r="AH5676" s="253"/>
    </row>
    <row r="5677" spans="34:34" ht="12.75" customHeight="1">
      <c r="AH5677" s="253"/>
    </row>
    <row r="5678" spans="34:34" ht="12.75" customHeight="1">
      <c r="AH5678" s="253"/>
    </row>
    <row r="5679" spans="34:34" ht="12.75" customHeight="1">
      <c r="AH5679" s="253"/>
    </row>
    <row r="5680" spans="34:34" ht="12.75" customHeight="1">
      <c r="AH5680" s="253"/>
    </row>
    <row r="5681" spans="34:34" ht="12.75" customHeight="1">
      <c r="AH5681" s="253"/>
    </row>
    <row r="5682" spans="34:34" ht="12.75" customHeight="1">
      <c r="AH5682" s="253"/>
    </row>
    <row r="5683" spans="34:34" ht="12.75" customHeight="1">
      <c r="AH5683" s="253"/>
    </row>
    <row r="5684" spans="34:34" ht="12.75" customHeight="1">
      <c r="AH5684" s="253"/>
    </row>
    <row r="5685" spans="34:34" ht="12.75" customHeight="1">
      <c r="AH5685" s="253"/>
    </row>
    <row r="5686" spans="34:34" ht="12.75" customHeight="1">
      <c r="AH5686" s="253"/>
    </row>
    <row r="5687" spans="34:34" ht="12.75" customHeight="1">
      <c r="AH5687" s="253"/>
    </row>
    <row r="5688" spans="34:34" ht="12.75" customHeight="1">
      <c r="AH5688" s="253"/>
    </row>
    <row r="5689" spans="34:34" ht="12.75" customHeight="1">
      <c r="AH5689" s="253"/>
    </row>
    <row r="5690" spans="34:34" ht="12.75" customHeight="1">
      <c r="AH5690" s="253"/>
    </row>
    <row r="5691" spans="34:34" ht="12.75" customHeight="1">
      <c r="AH5691" s="253"/>
    </row>
    <row r="5692" spans="34:34" ht="12.75" customHeight="1">
      <c r="AH5692" s="253"/>
    </row>
    <row r="5693" spans="34:34" ht="12.75" customHeight="1">
      <c r="AH5693" s="253"/>
    </row>
    <row r="5694" spans="34:34" ht="12.75" customHeight="1">
      <c r="AH5694" s="253"/>
    </row>
    <row r="5695" spans="34:34" ht="12.75" customHeight="1">
      <c r="AH5695" s="253"/>
    </row>
    <row r="5696" spans="34:34" ht="12.75" customHeight="1">
      <c r="AH5696" s="253"/>
    </row>
    <row r="5697" spans="34:34" ht="12.75" customHeight="1">
      <c r="AH5697" s="253"/>
    </row>
    <row r="5698" spans="34:34" ht="12.75" customHeight="1">
      <c r="AH5698" s="253"/>
    </row>
    <row r="5699" spans="34:34" ht="12.75" customHeight="1">
      <c r="AH5699" s="253"/>
    </row>
    <row r="5700" spans="34:34" ht="12.75" customHeight="1">
      <c r="AH5700" s="253"/>
    </row>
    <row r="5701" spans="34:34" ht="12.75" customHeight="1">
      <c r="AH5701" s="253"/>
    </row>
    <row r="5702" spans="34:34" ht="12.75" customHeight="1">
      <c r="AH5702" s="253"/>
    </row>
    <row r="5703" spans="34:34" ht="12.75" customHeight="1">
      <c r="AH5703" s="253"/>
    </row>
    <row r="5704" spans="34:34" ht="12.75" customHeight="1">
      <c r="AH5704" s="253"/>
    </row>
    <row r="5705" spans="34:34" ht="12.75" customHeight="1">
      <c r="AH5705" s="253"/>
    </row>
    <row r="5706" spans="34:34" ht="12.75" customHeight="1">
      <c r="AH5706" s="253"/>
    </row>
    <row r="5707" spans="34:34" ht="12.75" customHeight="1">
      <c r="AH5707" s="253"/>
    </row>
    <row r="5708" spans="34:34" ht="12.75" customHeight="1">
      <c r="AH5708" s="253"/>
    </row>
    <row r="5709" spans="34:34" ht="12.75" customHeight="1">
      <c r="AH5709" s="253"/>
    </row>
    <row r="5710" spans="34:34" ht="12.75" customHeight="1">
      <c r="AH5710" s="253"/>
    </row>
    <row r="5711" spans="34:34" ht="12.75" customHeight="1">
      <c r="AH5711" s="253"/>
    </row>
    <row r="5712" spans="34:34" ht="12.75" customHeight="1">
      <c r="AH5712" s="253"/>
    </row>
    <row r="5713" spans="34:34" ht="12.75" customHeight="1">
      <c r="AH5713" s="253"/>
    </row>
    <row r="5714" spans="34:34" ht="12.75" customHeight="1">
      <c r="AH5714" s="253"/>
    </row>
    <row r="5715" spans="34:34" ht="12.75" customHeight="1">
      <c r="AH5715" s="253"/>
    </row>
    <row r="5716" spans="34:34" ht="12.75" customHeight="1">
      <c r="AH5716" s="253"/>
    </row>
    <row r="5717" spans="34:34" ht="12.75" customHeight="1">
      <c r="AH5717" s="253"/>
    </row>
    <row r="5718" spans="34:34" ht="12.75" customHeight="1">
      <c r="AH5718" s="253"/>
    </row>
    <row r="5719" spans="34:34" ht="12.75" customHeight="1">
      <c r="AH5719" s="253"/>
    </row>
    <row r="5720" spans="34:34" ht="12.75" customHeight="1">
      <c r="AH5720" s="253"/>
    </row>
    <row r="5721" spans="34:34" ht="12.75" customHeight="1">
      <c r="AH5721" s="253"/>
    </row>
    <row r="5722" spans="34:34" ht="12.75" customHeight="1">
      <c r="AH5722" s="253"/>
    </row>
    <row r="5723" spans="34:34" ht="12.75" customHeight="1">
      <c r="AH5723" s="253"/>
    </row>
    <row r="5724" spans="34:34" ht="12.75" customHeight="1">
      <c r="AH5724" s="253"/>
    </row>
    <row r="5725" spans="34:34" ht="12.75" customHeight="1">
      <c r="AH5725" s="253"/>
    </row>
    <row r="5726" spans="34:34" ht="12.75" customHeight="1">
      <c r="AH5726" s="253"/>
    </row>
    <row r="5727" spans="34:34" ht="12.75" customHeight="1">
      <c r="AH5727" s="253"/>
    </row>
    <row r="5728" spans="34:34" ht="12.75" customHeight="1">
      <c r="AH5728" s="253"/>
    </row>
    <row r="5729" spans="34:34" ht="12.75" customHeight="1">
      <c r="AH5729" s="253"/>
    </row>
    <row r="5730" spans="34:34" ht="12.75" customHeight="1">
      <c r="AH5730" s="253"/>
    </row>
    <row r="5731" spans="34:34" ht="12.75" customHeight="1">
      <c r="AH5731" s="253"/>
    </row>
    <row r="5732" spans="34:34" ht="12.75" customHeight="1">
      <c r="AH5732" s="253"/>
    </row>
    <row r="5733" spans="34:34" ht="12.75" customHeight="1">
      <c r="AH5733" s="253"/>
    </row>
    <row r="5734" spans="34:34" ht="12.75" customHeight="1">
      <c r="AH5734" s="253"/>
    </row>
    <row r="5735" spans="34:34" ht="12.75" customHeight="1">
      <c r="AH5735" s="253"/>
    </row>
    <row r="5736" spans="34:34" ht="12.75" customHeight="1">
      <c r="AH5736" s="253"/>
    </row>
    <row r="5737" spans="34:34" ht="12.75" customHeight="1">
      <c r="AH5737" s="253"/>
    </row>
    <row r="5738" spans="34:34" ht="12.75" customHeight="1">
      <c r="AH5738" s="253"/>
    </row>
    <row r="5739" spans="34:34" ht="12.75" customHeight="1">
      <c r="AH5739" s="253"/>
    </row>
    <row r="5740" spans="34:34" ht="12.75" customHeight="1">
      <c r="AH5740" s="253"/>
    </row>
    <row r="5741" spans="34:34" ht="12.75" customHeight="1">
      <c r="AH5741" s="253"/>
    </row>
    <row r="5742" spans="34:34" ht="12.75" customHeight="1">
      <c r="AH5742" s="253"/>
    </row>
    <row r="5743" spans="34:34" ht="12.75" customHeight="1">
      <c r="AH5743" s="253"/>
    </row>
    <row r="5744" spans="34:34" ht="12.75" customHeight="1">
      <c r="AH5744" s="253"/>
    </row>
    <row r="5745" spans="34:34" ht="12.75" customHeight="1">
      <c r="AH5745" s="253"/>
    </row>
    <row r="5746" spans="34:34" ht="12.75" customHeight="1">
      <c r="AH5746" s="253"/>
    </row>
    <row r="5747" spans="34:34" ht="12.75" customHeight="1">
      <c r="AH5747" s="253"/>
    </row>
    <row r="5748" spans="34:34" ht="12.75" customHeight="1">
      <c r="AH5748" s="253"/>
    </row>
    <row r="5749" spans="34:34" ht="12.75" customHeight="1">
      <c r="AH5749" s="253"/>
    </row>
    <row r="5750" spans="34:34" ht="12.75" customHeight="1">
      <c r="AH5750" s="253"/>
    </row>
    <row r="5751" spans="34:34" ht="12.75" customHeight="1">
      <c r="AH5751" s="253"/>
    </row>
    <row r="5752" spans="34:34" ht="12.75" customHeight="1">
      <c r="AH5752" s="253"/>
    </row>
    <row r="5753" spans="34:34" ht="12.75" customHeight="1">
      <c r="AH5753" s="253"/>
    </row>
    <row r="5754" spans="34:34" ht="12.75" customHeight="1">
      <c r="AH5754" s="253"/>
    </row>
    <row r="5755" spans="34:34" ht="12.75" customHeight="1">
      <c r="AH5755" s="253"/>
    </row>
    <row r="5756" spans="34:34" ht="12.75" customHeight="1">
      <c r="AH5756" s="253"/>
    </row>
    <row r="5757" spans="34:34" ht="12.75" customHeight="1">
      <c r="AH5757" s="253"/>
    </row>
    <row r="5758" spans="34:34" ht="12.75" customHeight="1">
      <c r="AH5758" s="253"/>
    </row>
    <row r="5759" spans="34:34" ht="12.75" customHeight="1">
      <c r="AH5759" s="253"/>
    </row>
    <row r="5760" spans="34:34" ht="12.75" customHeight="1">
      <c r="AH5760" s="253"/>
    </row>
    <row r="5761" spans="34:34" ht="12.75" customHeight="1">
      <c r="AH5761" s="253"/>
    </row>
    <row r="5762" spans="34:34" ht="12.75" customHeight="1">
      <c r="AH5762" s="253"/>
    </row>
    <row r="5763" spans="34:34" ht="12.75" customHeight="1">
      <c r="AH5763" s="253"/>
    </row>
    <row r="5764" spans="34:34" ht="12.75" customHeight="1">
      <c r="AH5764" s="253"/>
    </row>
    <row r="5765" spans="34:34" ht="12.75" customHeight="1">
      <c r="AH5765" s="253"/>
    </row>
    <row r="5766" spans="34:34" ht="12.75" customHeight="1">
      <c r="AH5766" s="253"/>
    </row>
    <row r="5767" spans="34:34" ht="12.75" customHeight="1">
      <c r="AH5767" s="253"/>
    </row>
    <row r="5768" spans="34:34" ht="12.75" customHeight="1">
      <c r="AH5768" s="253"/>
    </row>
    <row r="5769" spans="34:34" ht="12.75" customHeight="1">
      <c r="AH5769" s="253"/>
    </row>
    <row r="5770" spans="34:34" ht="12.75" customHeight="1">
      <c r="AH5770" s="253"/>
    </row>
    <row r="5771" spans="34:34" ht="12.75" customHeight="1">
      <c r="AH5771" s="253"/>
    </row>
    <row r="5772" spans="34:34" ht="12.75" customHeight="1">
      <c r="AH5772" s="253"/>
    </row>
    <row r="5773" spans="34:34" ht="12.75" customHeight="1">
      <c r="AH5773" s="253"/>
    </row>
    <row r="5774" spans="34:34" ht="12.75" customHeight="1">
      <c r="AH5774" s="253"/>
    </row>
    <row r="5775" spans="34:34" ht="12.75" customHeight="1">
      <c r="AH5775" s="253"/>
    </row>
    <row r="5776" spans="34:34" ht="12.75" customHeight="1">
      <c r="AH5776" s="253"/>
    </row>
    <row r="5777" spans="34:34" ht="12.75" customHeight="1">
      <c r="AH5777" s="253"/>
    </row>
    <row r="5778" spans="34:34" ht="12.75" customHeight="1">
      <c r="AH5778" s="253"/>
    </row>
    <row r="5779" spans="34:34" ht="12.75" customHeight="1">
      <c r="AH5779" s="253"/>
    </row>
    <row r="5780" spans="34:34" ht="12.75" customHeight="1">
      <c r="AH5780" s="253"/>
    </row>
    <row r="5781" spans="34:34" ht="12.75" customHeight="1">
      <c r="AH5781" s="253"/>
    </row>
    <row r="5782" spans="34:34" ht="12.75" customHeight="1">
      <c r="AH5782" s="253"/>
    </row>
    <row r="5783" spans="34:34" ht="12.75" customHeight="1">
      <c r="AH5783" s="253"/>
    </row>
    <row r="5784" spans="34:34" ht="12.75" customHeight="1">
      <c r="AH5784" s="253"/>
    </row>
    <row r="5785" spans="34:34" ht="12.75" customHeight="1">
      <c r="AH5785" s="253"/>
    </row>
    <row r="5786" spans="34:34" ht="12.75" customHeight="1">
      <c r="AH5786" s="253"/>
    </row>
    <row r="5787" spans="34:34" ht="12.75" customHeight="1">
      <c r="AH5787" s="253"/>
    </row>
    <row r="5788" spans="34:34" ht="12.75" customHeight="1">
      <c r="AH5788" s="253"/>
    </row>
    <row r="5789" spans="34:34" ht="12.75" customHeight="1">
      <c r="AH5789" s="253"/>
    </row>
    <row r="5790" spans="34:34" ht="12.75" customHeight="1">
      <c r="AH5790" s="253"/>
    </row>
    <row r="5791" spans="34:34" ht="12.75" customHeight="1">
      <c r="AH5791" s="253"/>
    </row>
    <row r="5792" spans="34:34" ht="12.75" customHeight="1">
      <c r="AH5792" s="253"/>
    </row>
    <row r="5793" spans="34:34" ht="12.75" customHeight="1">
      <c r="AH5793" s="253"/>
    </row>
    <row r="5794" spans="34:34" ht="12.75" customHeight="1">
      <c r="AH5794" s="253"/>
    </row>
    <row r="5795" spans="34:34" ht="12.75" customHeight="1">
      <c r="AH5795" s="253"/>
    </row>
    <row r="5796" spans="34:34" ht="12.75" customHeight="1">
      <c r="AH5796" s="253"/>
    </row>
    <row r="5797" spans="34:34" ht="12.75" customHeight="1">
      <c r="AH5797" s="253"/>
    </row>
    <row r="5798" spans="34:34" ht="12.75" customHeight="1">
      <c r="AH5798" s="253"/>
    </row>
    <row r="5799" spans="34:34" ht="12.75" customHeight="1">
      <c r="AH5799" s="253"/>
    </row>
    <row r="5800" spans="34:34" ht="12.75" customHeight="1">
      <c r="AH5800" s="253"/>
    </row>
    <row r="5801" spans="34:34" ht="12.75" customHeight="1">
      <c r="AH5801" s="253"/>
    </row>
    <row r="5802" spans="34:34" ht="12.75" customHeight="1">
      <c r="AH5802" s="253"/>
    </row>
    <row r="5803" spans="34:34" ht="12.75" customHeight="1">
      <c r="AH5803" s="253"/>
    </row>
    <row r="5804" spans="34:34" ht="12.75" customHeight="1">
      <c r="AH5804" s="253"/>
    </row>
    <row r="5805" spans="34:34" ht="12.75" customHeight="1">
      <c r="AH5805" s="253"/>
    </row>
    <row r="5806" spans="34:34" ht="12.75" customHeight="1">
      <c r="AH5806" s="253"/>
    </row>
    <row r="5807" spans="34:34" ht="12.75" customHeight="1">
      <c r="AH5807" s="253"/>
    </row>
    <row r="5808" spans="34:34" ht="12.75" customHeight="1">
      <c r="AH5808" s="253"/>
    </row>
    <row r="5809" spans="34:34" ht="12.75" customHeight="1">
      <c r="AH5809" s="253"/>
    </row>
    <row r="5810" spans="34:34" ht="12.75" customHeight="1">
      <c r="AH5810" s="253"/>
    </row>
    <row r="5811" spans="34:34" ht="12.75" customHeight="1">
      <c r="AH5811" s="253"/>
    </row>
    <row r="5812" spans="34:34" ht="12.75" customHeight="1">
      <c r="AH5812" s="253"/>
    </row>
    <row r="5813" spans="34:34" ht="12.75" customHeight="1">
      <c r="AH5813" s="253"/>
    </row>
    <row r="5814" spans="34:34" ht="12.75" customHeight="1">
      <c r="AH5814" s="253"/>
    </row>
    <row r="5815" spans="34:34" ht="12.75" customHeight="1">
      <c r="AH5815" s="253"/>
    </row>
    <row r="5816" spans="34:34" ht="12.75" customHeight="1">
      <c r="AH5816" s="253"/>
    </row>
    <row r="5817" spans="34:34" ht="12.75" customHeight="1">
      <c r="AH5817" s="253"/>
    </row>
    <row r="5818" spans="34:34" ht="12.75" customHeight="1">
      <c r="AH5818" s="253"/>
    </row>
    <row r="5819" spans="34:34" ht="12.75" customHeight="1">
      <c r="AH5819" s="253"/>
    </row>
    <row r="5820" spans="34:34" ht="12.75" customHeight="1">
      <c r="AH5820" s="253"/>
    </row>
    <row r="5821" spans="34:34" ht="12.75" customHeight="1">
      <c r="AH5821" s="253"/>
    </row>
    <row r="5822" spans="34:34" ht="12.75" customHeight="1">
      <c r="AH5822" s="253"/>
    </row>
    <row r="5823" spans="34:34" ht="12.75" customHeight="1">
      <c r="AH5823" s="253"/>
    </row>
    <row r="5824" spans="34:34" ht="12.75" customHeight="1">
      <c r="AH5824" s="253"/>
    </row>
    <row r="5825" spans="34:34" ht="12.75" customHeight="1">
      <c r="AH5825" s="253"/>
    </row>
    <row r="5826" spans="34:34" ht="12.75" customHeight="1">
      <c r="AH5826" s="253"/>
    </row>
    <row r="5827" spans="34:34" ht="12.75" customHeight="1">
      <c r="AH5827" s="253"/>
    </row>
    <row r="5828" spans="34:34" ht="12.75" customHeight="1">
      <c r="AH5828" s="253"/>
    </row>
    <row r="5829" spans="34:34" ht="12.75" customHeight="1">
      <c r="AH5829" s="253"/>
    </row>
    <row r="5830" spans="34:34" ht="12.75" customHeight="1">
      <c r="AH5830" s="253"/>
    </row>
    <row r="5831" spans="34:34" ht="12.75" customHeight="1">
      <c r="AH5831" s="253"/>
    </row>
    <row r="5832" spans="34:34" ht="12.75" customHeight="1">
      <c r="AH5832" s="253"/>
    </row>
    <row r="5833" spans="34:34" ht="12.75" customHeight="1">
      <c r="AH5833" s="253"/>
    </row>
    <row r="5834" spans="34:34" ht="12.75" customHeight="1">
      <c r="AH5834" s="253"/>
    </row>
    <row r="5835" spans="34:34" ht="12.75" customHeight="1">
      <c r="AH5835" s="253"/>
    </row>
    <row r="5836" spans="34:34" ht="12.75" customHeight="1">
      <c r="AH5836" s="253"/>
    </row>
    <row r="5837" spans="34:34" ht="12.75" customHeight="1">
      <c r="AH5837" s="253"/>
    </row>
    <row r="5838" spans="34:34" ht="12.75" customHeight="1">
      <c r="AH5838" s="253"/>
    </row>
    <row r="5839" spans="34:34" ht="12.75" customHeight="1">
      <c r="AH5839" s="253"/>
    </row>
    <row r="5840" spans="34:34" ht="12.75" customHeight="1">
      <c r="AH5840" s="253"/>
    </row>
    <row r="5841" spans="34:34" ht="12.75" customHeight="1">
      <c r="AH5841" s="253"/>
    </row>
    <row r="5842" spans="34:34" ht="12.75" customHeight="1">
      <c r="AH5842" s="253"/>
    </row>
    <row r="5843" spans="34:34" ht="12.75" customHeight="1">
      <c r="AH5843" s="253"/>
    </row>
    <row r="5844" spans="34:34" ht="12.75" customHeight="1">
      <c r="AH5844" s="253"/>
    </row>
    <row r="5845" spans="34:34" ht="12.75" customHeight="1">
      <c r="AH5845" s="253"/>
    </row>
    <row r="5846" spans="34:34" ht="12.75" customHeight="1">
      <c r="AH5846" s="253"/>
    </row>
    <row r="5847" spans="34:34" ht="12.75" customHeight="1">
      <c r="AH5847" s="253"/>
    </row>
    <row r="5848" spans="34:34" ht="12.75" customHeight="1">
      <c r="AH5848" s="253"/>
    </row>
    <row r="5849" spans="34:34" ht="12.75" customHeight="1">
      <c r="AH5849" s="253"/>
    </row>
    <row r="5850" spans="34:34" ht="12.75" customHeight="1">
      <c r="AH5850" s="253"/>
    </row>
    <row r="5851" spans="34:34" ht="12.75" customHeight="1">
      <c r="AH5851" s="253"/>
    </row>
    <row r="5852" spans="34:34" ht="12.75" customHeight="1">
      <c r="AH5852" s="253"/>
    </row>
    <row r="5853" spans="34:34" ht="12.75" customHeight="1">
      <c r="AH5853" s="253"/>
    </row>
    <row r="5854" spans="34:34" ht="12.75" customHeight="1">
      <c r="AH5854" s="253"/>
    </row>
    <row r="5855" spans="34:34" ht="12.75" customHeight="1">
      <c r="AH5855" s="253"/>
    </row>
    <row r="5856" spans="34:34" ht="12.75" customHeight="1">
      <c r="AH5856" s="253"/>
    </row>
    <row r="5857" spans="34:34" ht="12.75" customHeight="1">
      <c r="AH5857" s="253"/>
    </row>
    <row r="5858" spans="34:34" ht="12.75" customHeight="1">
      <c r="AH5858" s="253"/>
    </row>
    <row r="5859" spans="34:34" ht="12.75" customHeight="1">
      <c r="AH5859" s="253"/>
    </row>
    <row r="5860" spans="34:34" ht="12.75" customHeight="1">
      <c r="AH5860" s="253"/>
    </row>
    <row r="5861" spans="34:34" ht="12.75" customHeight="1">
      <c r="AH5861" s="253"/>
    </row>
    <row r="5862" spans="34:34" ht="12.75" customHeight="1">
      <c r="AH5862" s="253"/>
    </row>
    <row r="5863" spans="34:34" ht="12.75" customHeight="1">
      <c r="AH5863" s="253"/>
    </row>
    <row r="5864" spans="34:34" ht="12.75" customHeight="1">
      <c r="AH5864" s="253"/>
    </row>
    <row r="5865" spans="34:34" ht="12.75" customHeight="1">
      <c r="AH5865" s="253"/>
    </row>
    <row r="5866" spans="34:34" ht="12.75" customHeight="1">
      <c r="AH5866" s="253"/>
    </row>
    <row r="5867" spans="34:34" ht="12.75" customHeight="1">
      <c r="AH5867" s="253"/>
    </row>
    <row r="5868" spans="34:34" ht="12.75" customHeight="1">
      <c r="AH5868" s="253"/>
    </row>
    <row r="5869" spans="34:34" ht="12.75" customHeight="1">
      <c r="AH5869" s="253"/>
    </row>
    <row r="5870" spans="34:34" ht="12.75" customHeight="1">
      <c r="AH5870" s="253"/>
    </row>
    <row r="5871" spans="34:34" ht="12.75" customHeight="1">
      <c r="AH5871" s="253"/>
    </row>
    <row r="5872" spans="34:34" ht="12.75" customHeight="1">
      <c r="AH5872" s="253"/>
    </row>
    <row r="5873" spans="34:34" ht="12.75" customHeight="1">
      <c r="AH5873" s="253"/>
    </row>
    <row r="5874" spans="34:34" ht="12.75" customHeight="1">
      <c r="AH5874" s="253"/>
    </row>
    <row r="5875" spans="34:34" ht="12.75" customHeight="1">
      <c r="AH5875" s="253"/>
    </row>
    <row r="5876" spans="34:34" ht="12.75" customHeight="1">
      <c r="AH5876" s="253"/>
    </row>
    <row r="5877" spans="34:34" ht="12.75" customHeight="1">
      <c r="AH5877" s="253"/>
    </row>
    <row r="5878" spans="34:34" ht="12.75" customHeight="1">
      <c r="AH5878" s="253"/>
    </row>
    <row r="5879" spans="34:34" ht="12.75" customHeight="1">
      <c r="AH5879" s="253"/>
    </row>
    <row r="5880" spans="34:34" ht="12.75" customHeight="1">
      <c r="AH5880" s="253"/>
    </row>
    <row r="5881" spans="34:34" ht="12.75" customHeight="1">
      <c r="AH5881" s="253"/>
    </row>
    <row r="5882" spans="34:34" ht="12.75" customHeight="1">
      <c r="AH5882" s="253"/>
    </row>
    <row r="5883" spans="34:34" ht="12.75" customHeight="1">
      <c r="AH5883" s="253"/>
    </row>
    <row r="5884" spans="34:34" ht="12.75" customHeight="1">
      <c r="AH5884" s="253"/>
    </row>
    <row r="5885" spans="34:34" ht="12.75" customHeight="1">
      <c r="AH5885" s="253"/>
    </row>
    <row r="5886" spans="34:34" ht="12.75" customHeight="1">
      <c r="AH5886" s="253"/>
    </row>
    <row r="5887" spans="34:34" ht="12.75" customHeight="1">
      <c r="AH5887" s="253"/>
    </row>
    <row r="5888" spans="34:34" ht="12.75" customHeight="1">
      <c r="AH5888" s="253"/>
    </row>
    <row r="5889" spans="34:34" ht="12.75" customHeight="1">
      <c r="AH5889" s="253"/>
    </row>
    <row r="5890" spans="34:34" ht="12.75" customHeight="1">
      <c r="AH5890" s="253"/>
    </row>
    <row r="5891" spans="34:34" ht="12.75" customHeight="1">
      <c r="AH5891" s="253"/>
    </row>
    <row r="5892" spans="34:34" ht="12.75" customHeight="1">
      <c r="AH5892" s="253"/>
    </row>
    <row r="5893" spans="34:34" ht="12.75" customHeight="1">
      <c r="AH5893" s="253"/>
    </row>
    <row r="5894" spans="34:34" ht="12.75" customHeight="1">
      <c r="AH5894" s="253"/>
    </row>
    <row r="5895" spans="34:34" ht="12.75" customHeight="1">
      <c r="AH5895" s="253"/>
    </row>
    <row r="5896" spans="34:34" ht="12.75" customHeight="1">
      <c r="AH5896" s="253"/>
    </row>
    <row r="5897" spans="34:34" ht="12.75" customHeight="1">
      <c r="AH5897" s="253"/>
    </row>
    <row r="5898" spans="34:34" ht="12.75" customHeight="1">
      <c r="AH5898" s="253"/>
    </row>
    <row r="5899" spans="34:34" ht="12.75" customHeight="1">
      <c r="AH5899" s="253"/>
    </row>
    <row r="5900" spans="34:34" ht="12.75" customHeight="1">
      <c r="AH5900" s="253"/>
    </row>
    <row r="5901" spans="34:34" ht="12.75" customHeight="1">
      <c r="AH5901" s="253"/>
    </row>
    <row r="5902" spans="34:34" ht="12.75" customHeight="1">
      <c r="AH5902" s="253"/>
    </row>
    <row r="5903" spans="34:34" ht="12.75" customHeight="1">
      <c r="AH5903" s="253"/>
    </row>
    <row r="5904" spans="34:34" ht="12.75" customHeight="1">
      <c r="AH5904" s="253"/>
    </row>
    <row r="5905" spans="34:34" ht="12.75" customHeight="1">
      <c r="AH5905" s="253"/>
    </row>
    <row r="5906" spans="34:34" ht="12.75" customHeight="1">
      <c r="AH5906" s="253"/>
    </row>
    <row r="5907" spans="34:34" ht="12.75" customHeight="1">
      <c r="AH5907" s="253"/>
    </row>
    <row r="5908" spans="34:34" ht="12.75" customHeight="1">
      <c r="AH5908" s="253"/>
    </row>
    <row r="5909" spans="34:34" ht="12.75" customHeight="1">
      <c r="AH5909" s="253"/>
    </row>
    <row r="5910" spans="34:34" ht="12.75" customHeight="1">
      <c r="AH5910" s="253"/>
    </row>
    <row r="5911" spans="34:34" ht="12.75" customHeight="1">
      <c r="AH5911" s="253"/>
    </row>
    <row r="5912" spans="34:34" ht="12.75" customHeight="1">
      <c r="AH5912" s="253"/>
    </row>
    <row r="5913" spans="34:34" ht="12.75" customHeight="1">
      <c r="AH5913" s="253"/>
    </row>
    <row r="5914" spans="34:34" ht="12.75" customHeight="1">
      <c r="AH5914" s="253"/>
    </row>
    <row r="5915" spans="34:34" ht="12.75" customHeight="1">
      <c r="AH5915" s="253"/>
    </row>
    <row r="5916" spans="34:34" ht="12.75" customHeight="1">
      <c r="AH5916" s="253"/>
    </row>
    <row r="5917" spans="34:34" ht="12.75" customHeight="1">
      <c r="AH5917" s="253"/>
    </row>
    <row r="5918" spans="34:34" ht="12.75" customHeight="1">
      <c r="AH5918" s="253"/>
    </row>
    <row r="5919" spans="34:34" ht="12.75" customHeight="1">
      <c r="AH5919" s="253"/>
    </row>
    <row r="5920" spans="34:34" ht="12.75" customHeight="1">
      <c r="AH5920" s="253"/>
    </row>
    <row r="5921" spans="34:34" ht="12.75" customHeight="1">
      <c r="AH5921" s="253"/>
    </row>
    <row r="5922" spans="34:34" ht="12.75" customHeight="1">
      <c r="AH5922" s="253"/>
    </row>
    <row r="5923" spans="34:34" ht="12.75" customHeight="1">
      <c r="AH5923" s="253"/>
    </row>
    <row r="5924" spans="34:34" ht="12.75" customHeight="1">
      <c r="AH5924" s="253"/>
    </row>
    <row r="5925" spans="34:34" ht="12.75" customHeight="1">
      <c r="AH5925" s="253"/>
    </row>
    <row r="5926" spans="34:34" ht="12.75" customHeight="1">
      <c r="AH5926" s="253"/>
    </row>
    <row r="5927" spans="34:34" ht="12.75" customHeight="1">
      <c r="AH5927" s="253"/>
    </row>
    <row r="5928" spans="34:34" ht="12.75" customHeight="1">
      <c r="AH5928" s="253"/>
    </row>
    <row r="5929" spans="34:34" ht="12.75" customHeight="1">
      <c r="AH5929" s="253"/>
    </row>
    <row r="5930" spans="34:34" ht="12.75" customHeight="1">
      <c r="AH5930" s="253"/>
    </row>
    <row r="5931" spans="34:34" ht="12.75" customHeight="1">
      <c r="AH5931" s="253"/>
    </row>
    <row r="5932" spans="34:34" ht="12.75" customHeight="1">
      <c r="AH5932" s="253"/>
    </row>
    <row r="5933" spans="34:34" ht="12.75" customHeight="1">
      <c r="AH5933" s="253"/>
    </row>
    <row r="5934" spans="34:34" ht="12.75" customHeight="1">
      <c r="AH5934" s="253"/>
    </row>
    <row r="5935" spans="34:34" ht="12.75" customHeight="1">
      <c r="AH5935" s="253"/>
    </row>
    <row r="5936" spans="34:34" ht="12.75" customHeight="1">
      <c r="AH5936" s="253"/>
    </row>
    <row r="5937" spans="34:34" ht="12.75" customHeight="1">
      <c r="AH5937" s="253"/>
    </row>
    <row r="5938" spans="34:34" ht="12.75" customHeight="1">
      <c r="AH5938" s="253"/>
    </row>
    <row r="5939" spans="34:34" ht="12.75" customHeight="1">
      <c r="AH5939" s="253"/>
    </row>
    <row r="5940" spans="34:34" ht="12.75" customHeight="1">
      <c r="AH5940" s="253"/>
    </row>
    <row r="5941" spans="34:34" ht="12.75" customHeight="1">
      <c r="AH5941" s="253"/>
    </row>
    <row r="5942" spans="34:34" ht="12.75" customHeight="1">
      <c r="AH5942" s="253"/>
    </row>
    <row r="5943" spans="34:34" ht="12.75" customHeight="1">
      <c r="AH5943" s="253"/>
    </row>
    <row r="5944" spans="34:34" ht="12.75" customHeight="1">
      <c r="AH5944" s="253"/>
    </row>
    <row r="5945" spans="34:34" ht="12.75" customHeight="1">
      <c r="AH5945" s="253"/>
    </row>
    <row r="5946" spans="34:34" ht="12.75" customHeight="1">
      <c r="AH5946" s="253"/>
    </row>
    <row r="5947" spans="34:34" ht="12.75" customHeight="1">
      <c r="AH5947" s="253"/>
    </row>
    <row r="5948" spans="34:34" ht="12.75" customHeight="1">
      <c r="AH5948" s="253"/>
    </row>
    <row r="5949" spans="34:34" ht="12.75" customHeight="1">
      <c r="AH5949" s="253"/>
    </row>
    <row r="5950" spans="34:34" ht="12.75" customHeight="1">
      <c r="AH5950" s="253"/>
    </row>
    <row r="5951" spans="34:34" ht="12.75" customHeight="1">
      <c r="AH5951" s="253"/>
    </row>
    <row r="5952" spans="34:34" ht="12.75" customHeight="1">
      <c r="AH5952" s="253"/>
    </row>
    <row r="5953" spans="34:34" ht="12.75" customHeight="1">
      <c r="AH5953" s="253"/>
    </row>
    <row r="5954" spans="34:34" ht="12.75" customHeight="1">
      <c r="AH5954" s="253"/>
    </row>
    <row r="5955" spans="34:34" ht="12.75" customHeight="1">
      <c r="AH5955" s="253"/>
    </row>
    <row r="5956" spans="34:34" ht="12.75" customHeight="1">
      <c r="AH5956" s="253"/>
    </row>
    <row r="5957" spans="34:34" ht="12.75" customHeight="1">
      <c r="AH5957" s="253"/>
    </row>
    <row r="5958" spans="34:34" ht="12.75" customHeight="1">
      <c r="AH5958" s="253"/>
    </row>
    <row r="5959" spans="34:34" ht="12.75" customHeight="1">
      <c r="AH5959" s="253"/>
    </row>
    <row r="5960" spans="34:34" ht="12.75" customHeight="1">
      <c r="AH5960" s="253"/>
    </row>
    <row r="5961" spans="34:34" ht="12.75" customHeight="1">
      <c r="AH5961" s="253"/>
    </row>
    <row r="5962" spans="34:34" ht="12.75" customHeight="1">
      <c r="AH5962" s="253"/>
    </row>
    <row r="5963" spans="34:34" ht="12.75" customHeight="1">
      <c r="AH5963" s="253"/>
    </row>
    <row r="5964" spans="34:34" ht="12.75" customHeight="1">
      <c r="AH5964" s="253"/>
    </row>
    <row r="5965" spans="34:34" ht="12.75" customHeight="1">
      <c r="AH5965" s="253"/>
    </row>
    <row r="5966" spans="34:34" ht="12.75" customHeight="1">
      <c r="AH5966" s="253"/>
    </row>
    <row r="5967" spans="34:34" ht="12.75" customHeight="1">
      <c r="AH5967" s="253"/>
    </row>
    <row r="5968" spans="34:34" ht="12.75" customHeight="1">
      <c r="AH5968" s="253"/>
    </row>
    <row r="5969" spans="34:34" ht="12.75" customHeight="1">
      <c r="AH5969" s="253"/>
    </row>
    <row r="5970" spans="34:34" ht="12.75" customHeight="1">
      <c r="AH5970" s="253"/>
    </row>
    <row r="5971" spans="34:34" ht="12.75" customHeight="1">
      <c r="AH5971" s="253"/>
    </row>
    <row r="5972" spans="34:34" ht="12.75" customHeight="1">
      <c r="AH5972" s="253"/>
    </row>
    <row r="5973" spans="34:34" ht="12.75" customHeight="1">
      <c r="AH5973" s="253"/>
    </row>
    <row r="5974" spans="34:34" ht="12.75" customHeight="1">
      <c r="AH5974" s="253"/>
    </row>
    <row r="5975" spans="34:34" ht="12.75" customHeight="1">
      <c r="AH5975" s="253"/>
    </row>
    <row r="5976" spans="34:34" ht="12.75" customHeight="1">
      <c r="AH5976" s="253"/>
    </row>
    <row r="5977" spans="34:34" ht="12.75" customHeight="1">
      <c r="AH5977" s="253"/>
    </row>
    <row r="5978" spans="34:34" ht="12.75" customHeight="1">
      <c r="AH5978" s="253"/>
    </row>
    <row r="5979" spans="34:34" ht="12.75" customHeight="1">
      <c r="AH5979" s="253"/>
    </row>
    <row r="5980" spans="34:34" ht="12.75" customHeight="1">
      <c r="AH5980" s="253"/>
    </row>
    <row r="5981" spans="34:34" ht="12.75" customHeight="1">
      <c r="AH5981" s="253"/>
    </row>
    <row r="5982" spans="34:34" ht="12.75" customHeight="1">
      <c r="AH5982" s="253"/>
    </row>
    <row r="5983" spans="34:34" ht="12.75" customHeight="1">
      <c r="AH5983" s="253"/>
    </row>
    <row r="5984" spans="34:34" ht="12.75" customHeight="1">
      <c r="AH5984" s="253"/>
    </row>
    <row r="5985" spans="34:34" ht="12.75" customHeight="1">
      <c r="AH5985" s="253"/>
    </row>
    <row r="5986" spans="34:34" ht="12.75" customHeight="1">
      <c r="AH5986" s="253"/>
    </row>
    <row r="5987" spans="34:34" ht="12.75" customHeight="1">
      <c r="AH5987" s="253"/>
    </row>
    <row r="5988" spans="34:34" ht="12.75" customHeight="1">
      <c r="AH5988" s="253"/>
    </row>
    <row r="5989" spans="34:34" ht="12.75" customHeight="1">
      <c r="AH5989" s="253"/>
    </row>
    <row r="5990" spans="34:34" ht="12.75" customHeight="1">
      <c r="AH5990" s="253"/>
    </row>
    <row r="5991" spans="34:34" ht="12.75" customHeight="1">
      <c r="AH5991" s="253"/>
    </row>
    <row r="5992" spans="34:34" ht="12.75" customHeight="1">
      <c r="AH5992" s="253"/>
    </row>
    <row r="5993" spans="34:34" ht="12.75" customHeight="1">
      <c r="AH5993" s="253"/>
    </row>
    <row r="5994" spans="34:34" ht="12.75" customHeight="1">
      <c r="AH5994" s="253"/>
    </row>
    <row r="5995" spans="34:34" ht="12.75" customHeight="1">
      <c r="AH5995" s="253"/>
    </row>
    <row r="5996" spans="34:34" ht="12.75" customHeight="1">
      <c r="AH5996" s="253"/>
    </row>
    <row r="5997" spans="34:34" ht="12.75" customHeight="1">
      <c r="AH5997" s="253"/>
    </row>
    <row r="5998" spans="34:34" ht="12.75" customHeight="1">
      <c r="AH5998" s="253"/>
    </row>
    <row r="5999" spans="34:34" ht="12.75" customHeight="1">
      <c r="AH5999" s="253"/>
    </row>
    <row r="6000" spans="34:34" ht="12.75" customHeight="1">
      <c r="AH6000" s="253"/>
    </row>
    <row r="6001" spans="34:34" ht="12.75" customHeight="1">
      <c r="AH6001" s="253"/>
    </row>
    <row r="6002" spans="34:34" ht="12.75" customHeight="1">
      <c r="AH6002" s="253"/>
    </row>
    <row r="6003" spans="34:34" ht="12.75" customHeight="1">
      <c r="AH6003" s="253"/>
    </row>
    <row r="6004" spans="34:34" ht="12.75" customHeight="1">
      <c r="AH6004" s="253"/>
    </row>
    <row r="6005" spans="34:34" ht="12.75" customHeight="1">
      <c r="AH6005" s="253"/>
    </row>
    <row r="6006" spans="34:34" ht="12.75" customHeight="1">
      <c r="AH6006" s="253"/>
    </row>
    <row r="6007" spans="34:34" ht="12.75" customHeight="1">
      <c r="AH6007" s="253"/>
    </row>
    <row r="6008" spans="34:34" ht="12.75" customHeight="1">
      <c r="AH6008" s="253"/>
    </row>
    <row r="6009" spans="34:34" ht="12.75" customHeight="1">
      <c r="AH6009" s="253"/>
    </row>
    <row r="6010" spans="34:34" ht="12.75" customHeight="1">
      <c r="AH6010" s="253"/>
    </row>
    <row r="6011" spans="34:34" ht="12.75" customHeight="1">
      <c r="AH6011" s="253"/>
    </row>
    <row r="6012" spans="34:34" ht="12.75" customHeight="1">
      <c r="AH6012" s="253"/>
    </row>
    <row r="6013" spans="34:34" ht="12.75" customHeight="1">
      <c r="AH6013" s="253"/>
    </row>
    <row r="6014" spans="34:34" ht="12.75" customHeight="1">
      <c r="AH6014" s="253"/>
    </row>
    <row r="6015" spans="34:34" ht="12.75" customHeight="1">
      <c r="AH6015" s="253"/>
    </row>
    <row r="6016" spans="34:34" ht="12.75" customHeight="1">
      <c r="AH6016" s="253"/>
    </row>
    <row r="6017" spans="34:34" ht="12.75" customHeight="1">
      <c r="AH6017" s="253"/>
    </row>
    <row r="6018" spans="34:34" ht="12.75" customHeight="1">
      <c r="AH6018" s="253"/>
    </row>
    <row r="6019" spans="34:34" ht="12.75" customHeight="1">
      <c r="AH6019" s="253"/>
    </row>
    <row r="6020" spans="34:34" ht="12.75" customHeight="1">
      <c r="AH6020" s="253"/>
    </row>
    <row r="6021" spans="34:34" ht="12.75" customHeight="1">
      <c r="AH6021" s="253"/>
    </row>
    <row r="6022" spans="34:34" ht="12.75" customHeight="1">
      <c r="AH6022" s="253"/>
    </row>
    <row r="6023" spans="34:34" ht="12.75" customHeight="1">
      <c r="AH6023" s="253"/>
    </row>
    <row r="6024" spans="34:34" ht="12.75" customHeight="1">
      <c r="AH6024" s="253"/>
    </row>
    <row r="6025" spans="34:34" ht="12.75" customHeight="1">
      <c r="AH6025" s="253"/>
    </row>
    <row r="6026" spans="34:34" ht="12.75" customHeight="1">
      <c r="AH6026" s="253"/>
    </row>
    <row r="6027" spans="34:34" ht="12.75" customHeight="1">
      <c r="AH6027" s="253"/>
    </row>
    <row r="6028" spans="34:34" ht="12.75" customHeight="1">
      <c r="AH6028" s="253"/>
    </row>
    <row r="6029" spans="34:34" ht="12.75" customHeight="1">
      <c r="AH6029" s="253"/>
    </row>
    <row r="6030" spans="34:34" ht="12.75" customHeight="1">
      <c r="AH6030" s="253"/>
    </row>
    <row r="6031" spans="34:34" ht="12.75" customHeight="1">
      <c r="AH6031" s="253"/>
    </row>
    <row r="6032" spans="34:34" ht="12.75" customHeight="1">
      <c r="AH6032" s="253"/>
    </row>
    <row r="6033" spans="34:34" ht="12.75" customHeight="1">
      <c r="AH6033" s="253"/>
    </row>
    <row r="6034" spans="34:34" ht="12.75" customHeight="1">
      <c r="AH6034" s="253"/>
    </row>
    <row r="6035" spans="34:34" ht="12.75" customHeight="1">
      <c r="AH6035" s="253"/>
    </row>
    <row r="6036" spans="34:34" ht="12.75" customHeight="1">
      <c r="AH6036" s="253"/>
    </row>
    <row r="6037" spans="34:34" ht="12.75" customHeight="1">
      <c r="AH6037" s="253"/>
    </row>
    <row r="6038" spans="34:34" ht="12.75" customHeight="1">
      <c r="AH6038" s="253"/>
    </row>
    <row r="6039" spans="34:34" ht="12.75" customHeight="1">
      <c r="AH6039" s="253"/>
    </row>
    <row r="6040" spans="34:34" ht="12.75" customHeight="1">
      <c r="AH6040" s="253"/>
    </row>
    <row r="6041" spans="34:34" ht="12.75" customHeight="1">
      <c r="AH6041" s="253"/>
    </row>
    <row r="6042" spans="34:34" ht="12.75" customHeight="1">
      <c r="AH6042" s="253"/>
    </row>
    <row r="6043" spans="34:34" ht="12.75" customHeight="1">
      <c r="AH6043" s="253"/>
    </row>
    <row r="6044" spans="34:34" ht="12.75" customHeight="1">
      <c r="AH6044" s="253"/>
    </row>
    <row r="6045" spans="34:34" ht="12.75" customHeight="1">
      <c r="AH6045" s="253"/>
    </row>
    <row r="6046" spans="34:34" ht="12.75" customHeight="1">
      <c r="AH6046" s="253"/>
    </row>
    <row r="6047" spans="34:34" ht="12.75" customHeight="1">
      <c r="AH6047" s="253"/>
    </row>
    <row r="6048" spans="34:34" ht="12.75" customHeight="1">
      <c r="AH6048" s="253"/>
    </row>
    <row r="6049" spans="34:34" ht="12.75" customHeight="1">
      <c r="AH6049" s="253"/>
    </row>
    <row r="6050" spans="34:34" ht="12.75" customHeight="1">
      <c r="AH6050" s="253"/>
    </row>
    <row r="6051" spans="34:34" ht="12.75" customHeight="1">
      <c r="AH6051" s="253"/>
    </row>
    <row r="6052" spans="34:34" ht="12.75" customHeight="1">
      <c r="AH6052" s="253"/>
    </row>
    <row r="6053" spans="34:34" ht="12.75" customHeight="1">
      <c r="AH6053" s="253"/>
    </row>
    <row r="6054" spans="34:34" ht="12.75" customHeight="1">
      <c r="AH6054" s="253"/>
    </row>
    <row r="6055" spans="34:34" ht="12.75" customHeight="1">
      <c r="AH6055" s="253"/>
    </row>
    <row r="6056" spans="34:34" ht="12.75" customHeight="1">
      <c r="AH6056" s="253"/>
    </row>
    <row r="6057" spans="34:34" ht="12.75" customHeight="1">
      <c r="AH6057" s="253"/>
    </row>
    <row r="6058" spans="34:34" ht="12.75" customHeight="1">
      <c r="AH6058" s="253"/>
    </row>
    <row r="6059" spans="34:34" ht="12.75" customHeight="1">
      <c r="AH6059" s="253"/>
    </row>
    <row r="6060" spans="34:34" ht="12.75" customHeight="1">
      <c r="AH6060" s="253"/>
    </row>
    <row r="6061" spans="34:34" ht="12.75" customHeight="1">
      <c r="AH6061" s="253"/>
    </row>
    <row r="6062" spans="34:34" ht="12.75" customHeight="1">
      <c r="AH6062" s="253"/>
    </row>
    <row r="6063" spans="34:34" ht="12.75" customHeight="1">
      <c r="AH6063" s="253"/>
    </row>
    <row r="6064" spans="34:34" ht="12.75" customHeight="1">
      <c r="AH6064" s="253"/>
    </row>
    <row r="6065" spans="34:34" ht="12.75" customHeight="1">
      <c r="AH6065" s="253"/>
    </row>
    <row r="6066" spans="34:34" ht="12.75" customHeight="1">
      <c r="AH6066" s="253"/>
    </row>
    <row r="6067" spans="34:34" ht="12.75" customHeight="1">
      <c r="AH6067" s="253"/>
    </row>
    <row r="6068" spans="34:34" ht="12.75" customHeight="1">
      <c r="AH6068" s="253"/>
    </row>
    <row r="6069" spans="34:34" ht="12.75" customHeight="1">
      <c r="AH6069" s="253"/>
    </row>
    <row r="6070" spans="34:34" ht="12.75" customHeight="1">
      <c r="AH6070" s="253"/>
    </row>
    <row r="6071" spans="34:34" ht="12.75" customHeight="1">
      <c r="AH6071" s="253"/>
    </row>
    <row r="6072" spans="34:34" ht="12.75" customHeight="1">
      <c r="AH6072" s="253"/>
    </row>
    <row r="6073" spans="34:34" ht="12.75" customHeight="1">
      <c r="AH6073" s="253"/>
    </row>
    <row r="6074" spans="34:34" ht="12.75" customHeight="1">
      <c r="AH6074" s="253"/>
    </row>
    <row r="6075" spans="34:34" ht="12.75" customHeight="1">
      <c r="AH6075" s="253"/>
    </row>
    <row r="6076" spans="34:34" ht="12.75" customHeight="1">
      <c r="AH6076" s="253"/>
    </row>
    <row r="6077" spans="34:34" ht="12.75" customHeight="1">
      <c r="AH6077" s="253"/>
    </row>
    <row r="6078" spans="34:34" ht="12.75" customHeight="1">
      <c r="AH6078" s="253"/>
    </row>
    <row r="6079" spans="34:34" ht="12.75" customHeight="1">
      <c r="AH6079" s="253"/>
    </row>
    <row r="6080" spans="34:34" ht="12.75" customHeight="1">
      <c r="AH6080" s="253"/>
    </row>
    <row r="6081" spans="34:34" ht="12.75" customHeight="1">
      <c r="AH6081" s="253"/>
    </row>
    <row r="6082" spans="34:34" ht="12.75" customHeight="1">
      <c r="AH6082" s="253"/>
    </row>
    <row r="6083" spans="34:34" ht="12.75" customHeight="1">
      <c r="AH6083" s="253"/>
    </row>
    <row r="6084" spans="34:34" ht="12.75" customHeight="1">
      <c r="AH6084" s="253"/>
    </row>
    <row r="6085" spans="34:34" ht="12.75" customHeight="1">
      <c r="AH6085" s="253"/>
    </row>
    <row r="6086" spans="34:34" ht="12.75" customHeight="1">
      <c r="AH6086" s="253"/>
    </row>
    <row r="6087" spans="34:34" ht="12.75" customHeight="1">
      <c r="AH6087" s="253"/>
    </row>
    <row r="6088" spans="34:34" ht="12.75" customHeight="1">
      <c r="AH6088" s="253"/>
    </row>
    <row r="6089" spans="34:34" ht="12.75" customHeight="1">
      <c r="AH6089" s="253"/>
    </row>
    <row r="6090" spans="34:34" ht="12.75" customHeight="1">
      <c r="AH6090" s="253"/>
    </row>
    <row r="6091" spans="34:34" ht="12.75" customHeight="1">
      <c r="AH6091" s="253"/>
    </row>
    <row r="6092" spans="34:34" ht="12.75" customHeight="1">
      <c r="AH6092" s="253"/>
    </row>
    <row r="6093" spans="34:34" ht="12.75" customHeight="1">
      <c r="AH6093" s="253"/>
    </row>
    <row r="6094" spans="34:34" ht="12.75" customHeight="1">
      <c r="AH6094" s="253"/>
    </row>
    <row r="6095" spans="34:34" ht="12.75" customHeight="1">
      <c r="AH6095" s="253"/>
    </row>
    <row r="6096" spans="34:34" ht="12.75" customHeight="1">
      <c r="AH6096" s="253"/>
    </row>
    <row r="6097" spans="34:34" ht="12.75" customHeight="1">
      <c r="AH6097" s="253"/>
    </row>
    <row r="6098" spans="34:34" ht="12.75" customHeight="1">
      <c r="AH6098" s="253"/>
    </row>
    <row r="6099" spans="34:34" ht="12.75" customHeight="1">
      <c r="AH6099" s="253"/>
    </row>
    <row r="6100" spans="34:34" ht="12.75" customHeight="1">
      <c r="AH6100" s="253"/>
    </row>
    <row r="6101" spans="34:34" ht="12.75" customHeight="1">
      <c r="AH6101" s="253"/>
    </row>
    <row r="6102" spans="34:34" ht="12.75" customHeight="1">
      <c r="AH6102" s="253"/>
    </row>
    <row r="6103" spans="34:34" ht="12.75" customHeight="1">
      <c r="AH6103" s="253"/>
    </row>
    <row r="6104" spans="34:34" ht="12.75" customHeight="1">
      <c r="AH6104" s="253"/>
    </row>
    <row r="6105" spans="34:34" ht="12.75" customHeight="1">
      <c r="AH6105" s="253"/>
    </row>
    <row r="6106" spans="34:34" ht="12.75" customHeight="1">
      <c r="AH6106" s="253"/>
    </row>
    <row r="6107" spans="34:34" ht="12.75" customHeight="1">
      <c r="AH6107" s="253"/>
    </row>
    <row r="6108" spans="34:34" ht="12.75" customHeight="1">
      <c r="AH6108" s="253"/>
    </row>
    <row r="6109" spans="34:34" ht="12.75" customHeight="1">
      <c r="AH6109" s="253"/>
    </row>
    <row r="6110" spans="34:34" ht="12.75" customHeight="1">
      <c r="AH6110" s="253"/>
    </row>
    <row r="6111" spans="34:34" ht="12.75" customHeight="1">
      <c r="AH6111" s="253"/>
    </row>
    <row r="6112" spans="34:34" ht="12.75" customHeight="1">
      <c r="AH6112" s="253"/>
    </row>
    <row r="6113" spans="34:34" ht="12.75" customHeight="1">
      <c r="AH6113" s="253"/>
    </row>
    <row r="6114" spans="34:34" ht="12.75" customHeight="1">
      <c r="AH6114" s="253"/>
    </row>
    <row r="6115" spans="34:34" ht="12.75" customHeight="1">
      <c r="AH6115" s="253"/>
    </row>
    <row r="6116" spans="34:34" ht="12.75" customHeight="1">
      <c r="AH6116" s="253"/>
    </row>
    <row r="6117" spans="34:34" ht="12.75" customHeight="1">
      <c r="AH6117" s="253"/>
    </row>
    <row r="6118" spans="34:34" ht="12.75" customHeight="1">
      <c r="AH6118" s="253"/>
    </row>
    <row r="6119" spans="34:34" ht="12.75" customHeight="1">
      <c r="AH6119" s="253"/>
    </row>
    <row r="6120" spans="34:34" ht="12.75" customHeight="1">
      <c r="AH6120" s="253"/>
    </row>
    <row r="6121" spans="34:34" ht="12.75" customHeight="1">
      <c r="AH6121" s="253"/>
    </row>
    <row r="6122" spans="34:34" ht="12.75" customHeight="1">
      <c r="AH6122" s="253"/>
    </row>
    <row r="6123" spans="34:34" ht="12.75" customHeight="1">
      <c r="AH6123" s="253"/>
    </row>
    <row r="6124" spans="34:34" ht="12.75" customHeight="1">
      <c r="AH6124" s="253"/>
    </row>
    <row r="6125" spans="34:34" ht="12.75" customHeight="1">
      <c r="AH6125" s="253"/>
    </row>
    <row r="6126" spans="34:34" ht="12.75" customHeight="1">
      <c r="AH6126" s="253"/>
    </row>
    <row r="6127" spans="34:34" ht="12.75" customHeight="1">
      <c r="AH6127" s="253"/>
    </row>
    <row r="6128" spans="34:34" ht="12.75" customHeight="1">
      <c r="AH6128" s="253"/>
    </row>
    <row r="6129" spans="34:34" ht="12.75" customHeight="1">
      <c r="AH6129" s="253"/>
    </row>
    <row r="6130" spans="34:34" ht="12.75" customHeight="1">
      <c r="AH6130" s="253"/>
    </row>
    <row r="6131" spans="34:34" ht="12.75" customHeight="1">
      <c r="AH6131" s="253"/>
    </row>
    <row r="6132" spans="34:34" ht="12.75" customHeight="1">
      <c r="AH6132" s="253"/>
    </row>
    <row r="6133" spans="34:34" ht="12.75" customHeight="1">
      <c r="AH6133" s="253"/>
    </row>
    <row r="6134" spans="34:34" ht="12.75" customHeight="1">
      <c r="AH6134" s="253"/>
    </row>
    <row r="6135" spans="34:34" ht="12.75" customHeight="1">
      <c r="AH6135" s="253"/>
    </row>
    <row r="6136" spans="34:34" ht="12.75" customHeight="1">
      <c r="AH6136" s="253"/>
    </row>
    <row r="6137" spans="34:34" ht="12.75" customHeight="1">
      <c r="AH6137" s="253"/>
    </row>
    <row r="6138" spans="34:34" ht="12.75" customHeight="1">
      <c r="AH6138" s="253"/>
    </row>
    <row r="6139" spans="34:34" ht="12.75" customHeight="1">
      <c r="AH6139" s="253"/>
    </row>
    <row r="6140" spans="34:34" ht="12.75" customHeight="1">
      <c r="AH6140" s="253"/>
    </row>
    <row r="6141" spans="34:34" ht="12.75" customHeight="1">
      <c r="AH6141" s="253"/>
    </row>
    <row r="6142" spans="34:34" ht="12.75" customHeight="1">
      <c r="AH6142" s="253"/>
    </row>
    <row r="6143" spans="34:34" ht="12.75" customHeight="1">
      <c r="AH6143" s="253"/>
    </row>
    <row r="6144" spans="34:34" ht="12.75" customHeight="1">
      <c r="AH6144" s="253"/>
    </row>
    <row r="6145" spans="34:34" ht="12.75" customHeight="1">
      <c r="AH6145" s="253"/>
    </row>
    <row r="6146" spans="34:34" ht="12.75" customHeight="1">
      <c r="AH6146" s="253"/>
    </row>
    <row r="6147" spans="34:34" ht="12.75" customHeight="1">
      <c r="AH6147" s="253"/>
    </row>
    <row r="6148" spans="34:34" ht="12.75" customHeight="1">
      <c r="AH6148" s="253"/>
    </row>
    <row r="6149" spans="34:34" ht="12.75" customHeight="1">
      <c r="AH6149" s="253"/>
    </row>
    <row r="6150" spans="34:34" ht="12.75" customHeight="1">
      <c r="AH6150" s="253"/>
    </row>
    <row r="6151" spans="34:34" ht="12.75" customHeight="1">
      <c r="AH6151" s="253"/>
    </row>
    <row r="6152" spans="34:34" ht="12.75" customHeight="1">
      <c r="AH6152" s="253"/>
    </row>
    <row r="6153" spans="34:34" ht="12.75" customHeight="1">
      <c r="AH6153" s="253"/>
    </row>
    <row r="6154" spans="34:34" ht="12.75" customHeight="1">
      <c r="AH6154" s="253"/>
    </row>
    <row r="6155" spans="34:34" ht="12.75" customHeight="1">
      <c r="AH6155" s="253"/>
    </row>
    <row r="6156" spans="34:34" ht="12.75" customHeight="1">
      <c r="AH6156" s="253"/>
    </row>
    <row r="6157" spans="34:34" ht="12.75" customHeight="1">
      <c r="AH6157" s="253"/>
    </row>
    <row r="6158" spans="34:34" ht="12.75" customHeight="1">
      <c r="AH6158" s="253"/>
    </row>
    <row r="6159" spans="34:34" ht="12.75" customHeight="1">
      <c r="AH6159" s="253"/>
    </row>
    <row r="6160" spans="34:34" ht="12.75" customHeight="1">
      <c r="AH6160" s="253"/>
    </row>
    <row r="6161" spans="34:34" ht="12.75" customHeight="1">
      <c r="AH6161" s="253"/>
    </row>
    <row r="6162" spans="34:34" ht="12.75" customHeight="1">
      <c r="AH6162" s="253"/>
    </row>
    <row r="6163" spans="34:34" ht="12.75" customHeight="1">
      <c r="AH6163" s="253"/>
    </row>
    <row r="6164" spans="34:34" ht="12.75" customHeight="1">
      <c r="AH6164" s="253"/>
    </row>
    <row r="6165" spans="34:34" ht="12.75" customHeight="1">
      <c r="AH6165" s="253"/>
    </row>
    <row r="6166" spans="34:34" ht="12.75" customHeight="1">
      <c r="AH6166" s="253"/>
    </row>
    <row r="6167" spans="34:34" ht="12.75" customHeight="1">
      <c r="AH6167" s="253"/>
    </row>
    <row r="6168" spans="34:34" ht="12.75" customHeight="1">
      <c r="AH6168" s="253"/>
    </row>
    <row r="6169" spans="34:34" ht="12.75" customHeight="1">
      <c r="AH6169" s="253"/>
    </row>
    <row r="6170" spans="34:34" ht="12.75" customHeight="1">
      <c r="AH6170" s="253"/>
    </row>
    <row r="6171" spans="34:34" ht="12.75" customHeight="1">
      <c r="AH6171" s="253"/>
    </row>
    <row r="6172" spans="34:34" ht="12.75" customHeight="1">
      <c r="AH6172" s="253"/>
    </row>
    <row r="6173" spans="34:34" ht="12.75" customHeight="1">
      <c r="AH6173" s="253"/>
    </row>
    <row r="6174" spans="34:34" ht="12.75" customHeight="1">
      <c r="AH6174" s="253"/>
    </row>
    <row r="6175" spans="34:34" ht="12.75" customHeight="1">
      <c r="AH6175" s="253"/>
    </row>
    <row r="6176" spans="34:34" ht="12.75" customHeight="1">
      <c r="AH6176" s="253"/>
    </row>
    <row r="6177" spans="34:34" ht="12.75" customHeight="1">
      <c r="AH6177" s="253"/>
    </row>
    <row r="6178" spans="34:34" ht="12.75" customHeight="1">
      <c r="AH6178" s="253"/>
    </row>
    <row r="6179" spans="34:34" ht="12.75" customHeight="1">
      <c r="AH6179" s="253"/>
    </row>
    <row r="6180" spans="34:34" ht="12.75" customHeight="1">
      <c r="AH6180" s="253"/>
    </row>
    <row r="6181" spans="34:34" ht="12.75" customHeight="1">
      <c r="AH6181" s="253"/>
    </row>
    <row r="6182" spans="34:34" ht="12.75" customHeight="1">
      <c r="AH6182" s="253"/>
    </row>
    <row r="6183" spans="34:34" ht="12.75" customHeight="1">
      <c r="AH6183" s="253"/>
    </row>
    <row r="6184" spans="34:34" ht="12.75" customHeight="1">
      <c r="AH6184" s="253"/>
    </row>
    <row r="6185" spans="34:34" ht="12.75" customHeight="1">
      <c r="AH6185" s="253"/>
    </row>
    <row r="6186" spans="34:34" ht="12.75" customHeight="1">
      <c r="AH6186" s="253"/>
    </row>
    <row r="6187" spans="34:34" ht="12.75" customHeight="1">
      <c r="AH6187" s="253"/>
    </row>
    <row r="6188" spans="34:34" ht="12.75" customHeight="1">
      <c r="AH6188" s="253"/>
    </row>
    <row r="6189" spans="34:34" ht="12.75" customHeight="1">
      <c r="AH6189" s="253"/>
    </row>
    <row r="6190" spans="34:34" ht="12.75" customHeight="1">
      <c r="AH6190" s="253"/>
    </row>
    <row r="6191" spans="34:34" ht="12.75" customHeight="1">
      <c r="AH6191" s="253"/>
    </row>
    <row r="6192" spans="34:34" ht="12.75" customHeight="1">
      <c r="AH6192" s="253"/>
    </row>
    <row r="6193" spans="34:34" ht="12.75" customHeight="1">
      <c r="AH6193" s="253"/>
    </row>
    <row r="6194" spans="34:34" ht="12.75" customHeight="1">
      <c r="AH6194" s="253"/>
    </row>
    <row r="6195" spans="34:34" ht="12.75" customHeight="1">
      <c r="AH6195" s="253"/>
    </row>
    <row r="6196" spans="34:34" ht="12.75" customHeight="1">
      <c r="AH6196" s="253"/>
    </row>
    <row r="6197" spans="34:34" ht="12.75" customHeight="1">
      <c r="AH6197" s="253"/>
    </row>
    <row r="6198" spans="34:34" ht="12.75" customHeight="1">
      <c r="AH6198" s="253"/>
    </row>
    <row r="6199" spans="34:34" ht="12.75" customHeight="1">
      <c r="AH6199" s="253"/>
    </row>
    <row r="6200" spans="34:34" ht="12.75" customHeight="1">
      <c r="AH6200" s="253"/>
    </row>
    <row r="6201" spans="34:34" ht="12.75" customHeight="1">
      <c r="AH6201" s="253"/>
    </row>
    <row r="6202" spans="34:34" ht="12.75" customHeight="1">
      <c r="AH6202" s="253"/>
    </row>
    <row r="6203" spans="34:34" ht="12.75" customHeight="1">
      <c r="AH6203" s="253"/>
    </row>
    <row r="6204" spans="34:34" ht="12.75" customHeight="1">
      <c r="AH6204" s="253"/>
    </row>
    <row r="6205" spans="34:34" ht="12.75" customHeight="1">
      <c r="AH6205" s="253"/>
    </row>
    <row r="6206" spans="34:34" ht="12.75" customHeight="1">
      <c r="AH6206" s="253"/>
    </row>
    <row r="6207" spans="34:34" ht="12.75" customHeight="1">
      <c r="AH6207" s="253"/>
    </row>
    <row r="6208" spans="34:34" ht="12.75" customHeight="1">
      <c r="AH6208" s="253"/>
    </row>
    <row r="6209" spans="34:34" ht="12.75" customHeight="1">
      <c r="AH6209" s="253"/>
    </row>
    <row r="6210" spans="34:34" ht="12.75" customHeight="1">
      <c r="AH6210" s="253"/>
    </row>
    <row r="6211" spans="34:34" ht="12.75" customHeight="1">
      <c r="AH6211" s="253"/>
    </row>
    <row r="6212" spans="34:34" ht="12.75" customHeight="1">
      <c r="AH6212" s="253"/>
    </row>
    <row r="6213" spans="34:34" ht="12.75" customHeight="1">
      <c r="AH6213" s="253"/>
    </row>
    <row r="6214" spans="34:34" ht="12.75" customHeight="1">
      <c r="AH6214" s="253"/>
    </row>
    <row r="6215" spans="34:34" ht="12.75" customHeight="1">
      <c r="AH6215" s="253"/>
    </row>
    <row r="6216" spans="34:34" ht="12.75" customHeight="1">
      <c r="AH6216" s="253"/>
    </row>
    <row r="6217" spans="34:34" ht="12.75" customHeight="1">
      <c r="AH6217" s="253"/>
    </row>
    <row r="6218" spans="34:34" ht="12.75" customHeight="1">
      <c r="AH6218" s="253"/>
    </row>
    <row r="6219" spans="34:34" ht="12.75" customHeight="1">
      <c r="AH6219" s="253"/>
    </row>
    <row r="6220" spans="34:34" ht="12.75" customHeight="1">
      <c r="AH6220" s="253"/>
    </row>
    <row r="6221" spans="34:34" ht="12.75" customHeight="1">
      <c r="AH6221" s="253"/>
    </row>
    <row r="6222" spans="34:34" ht="12.75" customHeight="1">
      <c r="AH6222" s="253"/>
    </row>
    <row r="6223" spans="34:34" ht="12.75" customHeight="1">
      <c r="AH6223" s="253"/>
    </row>
    <row r="6224" spans="34:34" ht="12.75" customHeight="1">
      <c r="AH6224" s="253"/>
    </row>
    <row r="6225" spans="34:34" ht="12.75" customHeight="1">
      <c r="AH6225" s="253"/>
    </row>
    <row r="6226" spans="34:34" ht="12.75" customHeight="1">
      <c r="AH6226" s="253"/>
    </row>
    <row r="6227" spans="34:34" ht="12.75" customHeight="1">
      <c r="AH6227" s="253"/>
    </row>
    <row r="6228" spans="34:34" ht="12.75" customHeight="1">
      <c r="AH6228" s="253"/>
    </row>
    <row r="6229" spans="34:34" ht="12.75" customHeight="1">
      <c r="AH6229" s="253"/>
    </row>
    <row r="6230" spans="34:34" ht="12.75" customHeight="1">
      <c r="AH6230" s="253"/>
    </row>
    <row r="6231" spans="34:34" ht="12.75" customHeight="1">
      <c r="AH6231" s="253"/>
    </row>
    <row r="6232" spans="34:34" ht="12.75" customHeight="1">
      <c r="AH6232" s="253"/>
    </row>
    <row r="6233" spans="34:34" ht="12.75" customHeight="1">
      <c r="AH6233" s="253"/>
    </row>
    <row r="6234" spans="34:34" ht="12.75" customHeight="1">
      <c r="AH6234" s="253"/>
    </row>
    <row r="6235" spans="34:34" ht="12.75" customHeight="1">
      <c r="AH6235" s="253"/>
    </row>
    <row r="6236" spans="34:34" ht="12.75" customHeight="1">
      <c r="AH6236" s="253"/>
    </row>
    <row r="6237" spans="34:34" ht="12.75" customHeight="1">
      <c r="AH6237" s="253"/>
    </row>
    <row r="6238" spans="34:34" ht="12.75" customHeight="1">
      <c r="AH6238" s="253"/>
    </row>
    <row r="6239" spans="34:34" ht="12.75" customHeight="1">
      <c r="AH6239" s="253"/>
    </row>
    <row r="6240" spans="34:34" ht="12.75" customHeight="1">
      <c r="AH6240" s="253"/>
    </row>
    <row r="6241" spans="34:34" ht="12.75" customHeight="1">
      <c r="AH6241" s="253"/>
    </row>
    <row r="6242" spans="34:34" ht="12.75" customHeight="1">
      <c r="AH6242" s="253"/>
    </row>
    <row r="6243" spans="34:34" ht="12.75" customHeight="1">
      <c r="AH6243" s="253"/>
    </row>
    <row r="6244" spans="34:34" ht="12.75" customHeight="1">
      <c r="AH6244" s="253"/>
    </row>
    <row r="6245" spans="34:34" ht="12.75" customHeight="1">
      <c r="AH6245" s="253"/>
    </row>
    <row r="6246" spans="34:34" ht="12.75" customHeight="1">
      <c r="AH6246" s="253"/>
    </row>
    <row r="6247" spans="34:34" ht="12.75" customHeight="1">
      <c r="AH6247" s="253"/>
    </row>
    <row r="6248" spans="34:34" ht="12.75" customHeight="1">
      <c r="AH6248" s="253"/>
    </row>
    <row r="6249" spans="34:34" ht="12.75" customHeight="1">
      <c r="AH6249" s="253"/>
    </row>
    <row r="6250" spans="34:34" ht="12.75" customHeight="1">
      <c r="AH6250" s="253"/>
    </row>
    <row r="6251" spans="34:34" ht="12.75" customHeight="1">
      <c r="AH6251" s="253"/>
    </row>
    <row r="6252" spans="34:34" ht="12.75" customHeight="1">
      <c r="AH6252" s="253"/>
    </row>
    <row r="6253" spans="34:34" ht="12.75" customHeight="1">
      <c r="AH6253" s="253"/>
    </row>
    <row r="6254" spans="34:34" ht="12.75" customHeight="1">
      <c r="AH6254" s="253"/>
    </row>
    <row r="6255" spans="34:34" ht="12.75" customHeight="1">
      <c r="AH6255" s="253"/>
    </row>
    <row r="6256" spans="34:34" ht="12.75" customHeight="1">
      <c r="AH6256" s="253"/>
    </row>
    <row r="6257" spans="34:34" ht="12.75" customHeight="1">
      <c r="AH6257" s="253"/>
    </row>
    <row r="6258" spans="34:34" ht="12.75" customHeight="1">
      <c r="AH6258" s="253"/>
    </row>
    <row r="6259" spans="34:34" ht="12.75" customHeight="1">
      <c r="AH6259" s="253"/>
    </row>
    <row r="6260" spans="34:34" ht="12.75" customHeight="1">
      <c r="AH6260" s="253"/>
    </row>
    <row r="6261" spans="34:34" ht="12.75" customHeight="1">
      <c r="AH6261" s="253"/>
    </row>
    <row r="6262" spans="34:34" ht="12.75" customHeight="1">
      <c r="AH6262" s="253"/>
    </row>
    <row r="6263" spans="34:34" ht="12.75" customHeight="1">
      <c r="AH6263" s="253"/>
    </row>
    <row r="6264" spans="34:34" ht="12.75" customHeight="1">
      <c r="AH6264" s="253"/>
    </row>
    <row r="6265" spans="34:34" ht="12.75" customHeight="1">
      <c r="AH6265" s="253"/>
    </row>
    <row r="6266" spans="34:34" ht="12.75" customHeight="1">
      <c r="AH6266" s="253"/>
    </row>
    <row r="6267" spans="34:34" ht="12.75" customHeight="1">
      <c r="AH6267" s="253"/>
    </row>
    <row r="6268" spans="34:34" ht="12.75" customHeight="1">
      <c r="AH6268" s="253"/>
    </row>
    <row r="6269" spans="34:34" ht="12.75" customHeight="1">
      <c r="AH6269" s="253"/>
    </row>
    <row r="6270" spans="34:34" ht="12.75" customHeight="1">
      <c r="AH6270" s="253"/>
    </row>
    <row r="6271" spans="34:34" ht="12.75" customHeight="1">
      <c r="AH6271" s="253"/>
    </row>
    <row r="6272" spans="34:34" ht="12.75" customHeight="1">
      <c r="AH6272" s="253"/>
    </row>
    <row r="6273" spans="34:34" ht="12.75" customHeight="1">
      <c r="AH6273" s="253"/>
    </row>
    <row r="6274" spans="34:34" ht="12.75" customHeight="1">
      <c r="AH6274" s="253"/>
    </row>
    <row r="6275" spans="34:34" ht="12.75" customHeight="1">
      <c r="AH6275" s="253"/>
    </row>
    <row r="6276" spans="34:34" ht="12.75" customHeight="1">
      <c r="AH6276" s="253"/>
    </row>
    <row r="6277" spans="34:34" ht="12.75" customHeight="1">
      <c r="AH6277" s="253"/>
    </row>
    <row r="6278" spans="34:34" ht="12.75" customHeight="1">
      <c r="AH6278" s="253"/>
    </row>
    <row r="6279" spans="34:34" ht="12.75" customHeight="1">
      <c r="AH6279" s="253"/>
    </row>
    <row r="6280" spans="34:34" ht="12.75" customHeight="1">
      <c r="AH6280" s="253"/>
    </row>
    <row r="6281" spans="34:34" ht="12.75" customHeight="1">
      <c r="AH6281" s="253"/>
    </row>
    <row r="6282" spans="34:34" ht="12.75" customHeight="1">
      <c r="AH6282" s="253"/>
    </row>
    <row r="6283" spans="34:34" ht="12.75" customHeight="1">
      <c r="AH6283" s="253"/>
    </row>
    <row r="6284" spans="34:34" ht="12.75" customHeight="1">
      <c r="AH6284" s="253"/>
    </row>
    <row r="6285" spans="34:34" ht="12.75" customHeight="1">
      <c r="AH6285" s="253"/>
    </row>
    <row r="6286" spans="34:34" ht="12.75" customHeight="1">
      <c r="AH6286" s="253"/>
    </row>
    <row r="6287" spans="34:34" ht="12.75" customHeight="1">
      <c r="AH6287" s="253"/>
    </row>
    <row r="6288" spans="34:34" ht="12.75" customHeight="1">
      <c r="AH6288" s="253"/>
    </row>
    <row r="6289" spans="34:34" ht="12.75" customHeight="1">
      <c r="AH6289" s="253"/>
    </row>
    <row r="6290" spans="34:34" ht="12.75" customHeight="1">
      <c r="AH6290" s="253"/>
    </row>
    <row r="6291" spans="34:34" ht="12.75" customHeight="1">
      <c r="AH6291" s="253"/>
    </row>
    <row r="6292" spans="34:34" ht="12.75" customHeight="1">
      <c r="AH6292" s="253"/>
    </row>
    <row r="6293" spans="34:34" ht="12.75" customHeight="1">
      <c r="AH6293" s="253"/>
    </row>
    <row r="6294" spans="34:34" ht="12.75" customHeight="1">
      <c r="AH6294" s="253"/>
    </row>
    <row r="6295" spans="34:34" ht="12.75" customHeight="1">
      <c r="AH6295" s="253"/>
    </row>
    <row r="6296" spans="34:34" ht="12.75" customHeight="1">
      <c r="AH6296" s="253"/>
    </row>
    <row r="6297" spans="34:34" ht="12.75" customHeight="1">
      <c r="AH6297" s="253"/>
    </row>
    <row r="6298" spans="34:34" ht="12.75" customHeight="1">
      <c r="AH6298" s="253"/>
    </row>
    <row r="6299" spans="34:34" ht="12.75" customHeight="1">
      <c r="AH6299" s="253"/>
    </row>
    <row r="6300" spans="34:34" ht="12.75" customHeight="1">
      <c r="AH6300" s="253"/>
    </row>
    <row r="6301" spans="34:34" ht="12.75" customHeight="1">
      <c r="AH6301" s="253"/>
    </row>
    <row r="6302" spans="34:34" ht="12.75" customHeight="1">
      <c r="AH6302" s="253"/>
    </row>
    <row r="6303" spans="34:34" ht="12.75" customHeight="1">
      <c r="AH6303" s="253"/>
    </row>
    <row r="6304" spans="34:34" ht="12.75" customHeight="1">
      <c r="AH6304" s="253"/>
    </row>
    <row r="6305" spans="34:34" ht="12.75" customHeight="1">
      <c r="AH6305" s="253"/>
    </row>
    <row r="6306" spans="34:34" ht="12.75" customHeight="1">
      <c r="AH6306" s="253"/>
    </row>
    <row r="6307" spans="34:34" ht="12.75" customHeight="1">
      <c r="AH6307" s="253"/>
    </row>
    <row r="6308" spans="34:34" ht="12.75" customHeight="1">
      <c r="AH6308" s="253"/>
    </row>
    <row r="6309" spans="34:34" ht="12.75" customHeight="1">
      <c r="AH6309" s="253"/>
    </row>
    <row r="6310" spans="34:34" ht="12.75" customHeight="1">
      <c r="AH6310" s="253"/>
    </row>
    <row r="6311" spans="34:34" ht="12.75" customHeight="1">
      <c r="AH6311" s="253"/>
    </row>
    <row r="6312" spans="34:34" ht="12.75" customHeight="1">
      <c r="AH6312" s="253"/>
    </row>
    <row r="6313" spans="34:34" ht="12.75" customHeight="1">
      <c r="AH6313" s="253"/>
    </row>
    <row r="6314" spans="34:34" ht="12.75" customHeight="1">
      <c r="AH6314" s="253"/>
    </row>
    <row r="6315" spans="34:34" ht="12.75" customHeight="1">
      <c r="AH6315" s="253"/>
    </row>
    <row r="6316" spans="34:34" ht="12.75" customHeight="1">
      <c r="AH6316" s="253"/>
    </row>
    <row r="6317" spans="34:34" ht="12.75" customHeight="1">
      <c r="AH6317" s="253"/>
    </row>
    <row r="6318" spans="34:34" ht="12.75" customHeight="1">
      <c r="AH6318" s="253"/>
    </row>
    <row r="6319" spans="34:34" ht="12.75" customHeight="1">
      <c r="AH6319" s="253"/>
    </row>
    <row r="6320" spans="34:34" ht="12.75" customHeight="1">
      <c r="AH6320" s="253"/>
    </row>
    <row r="6321" spans="34:34" ht="12.75" customHeight="1">
      <c r="AH6321" s="253"/>
    </row>
    <row r="6322" spans="34:34" ht="12.75" customHeight="1">
      <c r="AH6322" s="253"/>
    </row>
    <row r="6323" spans="34:34" ht="12.75" customHeight="1">
      <c r="AH6323" s="253"/>
    </row>
    <row r="6324" spans="34:34" ht="12.75" customHeight="1">
      <c r="AH6324" s="253"/>
    </row>
    <row r="6325" spans="34:34" ht="12.75" customHeight="1">
      <c r="AH6325" s="253"/>
    </row>
    <row r="6326" spans="34:34" ht="12.75" customHeight="1">
      <c r="AH6326" s="253"/>
    </row>
    <row r="6327" spans="34:34" ht="12.75" customHeight="1">
      <c r="AH6327" s="253"/>
    </row>
    <row r="6328" spans="34:34" ht="12.75" customHeight="1">
      <c r="AH6328" s="253"/>
    </row>
    <row r="6329" spans="34:34" ht="12.75" customHeight="1">
      <c r="AH6329" s="253"/>
    </row>
    <row r="6330" spans="34:34" ht="12.75" customHeight="1">
      <c r="AH6330" s="253"/>
    </row>
    <row r="6331" spans="34:34" ht="12.75" customHeight="1">
      <c r="AH6331" s="253"/>
    </row>
    <row r="6332" spans="34:34" ht="12.75" customHeight="1">
      <c r="AH6332" s="253"/>
    </row>
    <row r="6333" spans="34:34" ht="12.75" customHeight="1">
      <c r="AH6333" s="253"/>
    </row>
    <row r="6334" spans="34:34" ht="12.75" customHeight="1">
      <c r="AH6334" s="253"/>
    </row>
    <row r="6335" spans="34:34" ht="12.75" customHeight="1">
      <c r="AH6335" s="253"/>
    </row>
    <row r="6336" spans="34:34" ht="12.75" customHeight="1">
      <c r="AH6336" s="253"/>
    </row>
    <row r="6337" spans="34:34" ht="12.75" customHeight="1">
      <c r="AH6337" s="253"/>
    </row>
    <row r="6338" spans="34:34" ht="12.75" customHeight="1">
      <c r="AH6338" s="253"/>
    </row>
    <row r="6339" spans="34:34" ht="12.75" customHeight="1">
      <c r="AH6339" s="253"/>
    </row>
    <row r="6340" spans="34:34" ht="12.75" customHeight="1">
      <c r="AH6340" s="253"/>
    </row>
    <row r="6341" spans="34:34" ht="12.75" customHeight="1">
      <c r="AH6341" s="253"/>
    </row>
    <row r="6342" spans="34:34" ht="12.75" customHeight="1">
      <c r="AH6342" s="253"/>
    </row>
    <row r="6343" spans="34:34" ht="12.75" customHeight="1">
      <c r="AH6343" s="253"/>
    </row>
    <row r="6344" spans="34:34" ht="12.75" customHeight="1">
      <c r="AH6344" s="253"/>
    </row>
    <row r="6345" spans="34:34" ht="12.75" customHeight="1">
      <c r="AH6345" s="253"/>
    </row>
    <row r="6346" spans="34:34" ht="12.75" customHeight="1">
      <c r="AH6346" s="253"/>
    </row>
    <row r="6347" spans="34:34" ht="12.75" customHeight="1">
      <c r="AH6347" s="253"/>
    </row>
    <row r="6348" spans="34:34" ht="12.75" customHeight="1">
      <c r="AH6348" s="253"/>
    </row>
    <row r="6349" spans="34:34" ht="12.75" customHeight="1">
      <c r="AH6349" s="253"/>
    </row>
    <row r="6350" spans="34:34" ht="12.75" customHeight="1">
      <c r="AH6350" s="253"/>
    </row>
    <row r="6351" spans="34:34" ht="12.75" customHeight="1">
      <c r="AH6351" s="253"/>
    </row>
    <row r="6352" spans="34:34" ht="12.75" customHeight="1">
      <c r="AH6352" s="253"/>
    </row>
    <row r="6353" spans="34:34" ht="12.75" customHeight="1">
      <c r="AH6353" s="253"/>
    </row>
    <row r="6354" spans="34:34" ht="12.75" customHeight="1">
      <c r="AH6354" s="253"/>
    </row>
    <row r="6355" spans="34:34" ht="12.75" customHeight="1">
      <c r="AH6355" s="253"/>
    </row>
    <row r="6356" spans="34:34" ht="12.75" customHeight="1">
      <c r="AH6356" s="253"/>
    </row>
    <row r="6357" spans="34:34" ht="12.75" customHeight="1">
      <c r="AH6357" s="253"/>
    </row>
    <row r="6358" spans="34:34" ht="12.75" customHeight="1">
      <c r="AH6358" s="253"/>
    </row>
    <row r="6359" spans="34:34" ht="12.75" customHeight="1">
      <c r="AH6359" s="253"/>
    </row>
    <row r="6360" spans="34:34" ht="12.75" customHeight="1">
      <c r="AH6360" s="253"/>
    </row>
    <row r="6361" spans="34:34" ht="12.75" customHeight="1">
      <c r="AH6361" s="253"/>
    </row>
    <row r="6362" spans="34:34" ht="12.75" customHeight="1">
      <c r="AH6362" s="253"/>
    </row>
    <row r="6363" spans="34:34" ht="12.75" customHeight="1">
      <c r="AH6363" s="253"/>
    </row>
    <row r="6364" spans="34:34" ht="12.75" customHeight="1">
      <c r="AH6364" s="253"/>
    </row>
    <row r="6365" spans="34:34" ht="12.75" customHeight="1">
      <c r="AH6365" s="253"/>
    </row>
    <row r="6366" spans="34:34" ht="12.75" customHeight="1">
      <c r="AH6366" s="253"/>
    </row>
    <row r="6367" spans="34:34" ht="12.75" customHeight="1">
      <c r="AH6367" s="253"/>
    </row>
    <row r="6368" spans="34:34" ht="12.75" customHeight="1">
      <c r="AH6368" s="253"/>
    </row>
    <row r="6369" spans="34:34" ht="12.75" customHeight="1">
      <c r="AH6369" s="253"/>
    </row>
    <row r="6370" spans="34:34" ht="12.75" customHeight="1">
      <c r="AH6370" s="253"/>
    </row>
    <row r="6371" spans="34:34" ht="12.75" customHeight="1">
      <c r="AH6371" s="253"/>
    </row>
    <row r="6372" spans="34:34" ht="12.75" customHeight="1">
      <c r="AH6372" s="253"/>
    </row>
    <row r="6373" spans="34:34" ht="12.75" customHeight="1">
      <c r="AH6373" s="253"/>
    </row>
    <row r="6374" spans="34:34" ht="12.75" customHeight="1">
      <c r="AH6374" s="253"/>
    </row>
    <row r="6375" spans="34:34" ht="12.75" customHeight="1">
      <c r="AH6375" s="253"/>
    </row>
    <row r="6376" spans="34:34" ht="12.75" customHeight="1">
      <c r="AH6376" s="253"/>
    </row>
    <row r="6377" spans="34:34" ht="12.75" customHeight="1">
      <c r="AH6377" s="253"/>
    </row>
    <row r="6378" spans="34:34" ht="12.75" customHeight="1">
      <c r="AH6378" s="253"/>
    </row>
    <row r="6379" spans="34:34" ht="12.75" customHeight="1">
      <c r="AH6379" s="253"/>
    </row>
    <row r="6380" spans="34:34" ht="12.75" customHeight="1">
      <c r="AH6380" s="253"/>
    </row>
    <row r="6381" spans="34:34" ht="12.75" customHeight="1">
      <c r="AH6381" s="253"/>
    </row>
    <row r="6382" spans="34:34" ht="12.75" customHeight="1">
      <c r="AH6382" s="253"/>
    </row>
    <row r="6383" spans="34:34" ht="12.75" customHeight="1">
      <c r="AH6383" s="253"/>
    </row>
    <row r="6384" spans="34:34" ht="12.75" customHeight="1">
      <c r="AH6384" s="253"/>
    </row>
    <row r="6385" spans="34:34" ht="12.75" customHeight="1">
      <c r="AH6385" s="253"/>
    </row>
    <row r="6386" spans="34:34" ht="12.75" customHeight="1">
      <c r="AH6386" s="253"/>
    </row>
    <row r="6387" spans="34:34" ht="12.75" customHeight="1">
      <c r="AH6387" s="253"/>
    </row>
    <row r="6388" spans="34:34" ht="12.75" customHeight="1">
      <c r="AH6388" s="253"/>
    </row>
    <row r="6389" spans="34:34" ht="12.75" customHeight="1">
      <c r="AH6389" s="253"/>
    </row>
    <row r="6390" spans="34:34" ht="12.75" customHeight="1">
      <c r="AH6390" s="253"/>
    </row>
    <row r="6391" spans="34:34" ht="12.75" customHeight="1">
      <c r="AH6391" s="253"/>
    </row>
    <row r="6392" spans="34:34" ht="12.75" customHeight="1">
      <c r="AH6392" s="253"/>
    </row>
    <row r="6393" spans="34:34" ht="12.75" customHeight="1">
      <c r="AH6393" s="253"/>
    </row>
    <row r="6394" spans="34:34" ht="12.75" customHeight="1">
      <c r="AH6394" s="253"/>
    </row>
    <row r="6395" spans="34:34" ht="12.75" customHeight="1">
      <c r="AH6395" s="253"/>
    </row>
    <row r="6396" spans="34:34" ht="12.75" customHeight="1">
      <c r="AH6396" s="253"/>
    </row>
    <row r="6397" spans="34:34" ht="12.75" customHeight="1">
      <c r="AH6397" s="253"/>
    </row>
    <row r="6398" spans="34:34" ht="12.75" customHeight="1">
      <c r="AH6398" s="253"/>
    </row>
    <row r="6399" spans="34:34" ht="12.75" customHeight="1">
      <c r="AH6399" s="253"/>
    </row>
    <row r="6400" spans="34:34" ht="12.75" customHeight="1">
      <c r="AH6400" s="253"/>
    </row>
    <row r="6401" spans="34:34" ht="12.75" customHeight="1">
      <c r="AH6401" s="253"/>
    </row>
    <row r="6402" spans="34:34" ht="12.75" customHeight="1">
      <c r="AH6402" s="253"/>
    </row>
    <row r="6403" spans="34:34" ht="12.75" customHeight="1">
      <c r="AH6403" s="253"/>
    </row>
    <row r="6404" spans="34:34" ht="12.75" customHeight="1">
      <c r="AH6404" s="253"/>
    </row>
    <row r="6405" spans="34:34" ht="12.75" customHeight="1">
      <c r="AH6405" s="253"/>
    </row>
    <row r="6406" spans="34:34" ht="12.75" customHeight="1">
      <c r="AH6406" s="253"/>
    </row>
    <row r="6407" spans="34:34" ht="12.75" customHeight="1">
      <c r="AH6407" s="253"/>
    </row>
    <row r="6408" spans="34:34" ht="12.75" customHeight="1">
      <c r="AH6408" s="253"/>
    </row>
    <row r="6409" spans="34:34" ht="12.75" customHeight="1">
      <c r="AH6409" s="253"/>
    </row>
    <row r="6410" spans="34:34" ht="12.75" customHeight="1">
      <c r="AH6410" s="253"/>
    </row>
    <row r="6411" spans="34:34" ht="12.75" customHeight="1">
      <c r="AH6411" s="253"/>
    </row>
    <row r="6412" spans="34:34" ht="12.75" customHeight="1">
      <c r="AH6412" s="253"/>
    </row>
    <row r="6413" spans="34:34" ht="12.75" customHeight="1">
      <c r="AH6413" s="253"/>
    </row>
    <row r="6414" spans="34:34" ht="12.75" customHeight="1">
      <c r="AH6414" s="253"/>
    </row>
    <row r="6415" spans="34:34" ht="12.75" customHeight="1">
      <c r="AH6415" s="253"/>
    </row>
    <row r="6416" spans="34:34" ht="12.75" customHeight="1">
      <c r="AH6416" s="253"/>
    </row>
    <row r="6417" spans="34:34" ht="12.75" customHeight="1">
      <c r="AH6417" s="253"/>
    </row>
    <row r="6418" spans="34:34" ht="12.75" customHeight="1">
      <c r="AH6418" s="253"/>
    </row>
    <row r="6419" spans="34:34" ht="12.75" customHeight="1">
      <c r="AH6419" s="253"/>
    </row>
    <row r="6420" spans="34:34" ht="12.75" customHeight="1">
      <c r="AH6420" s="253"/>
    </row>
    <row r="6421" spans="34:34" ht="12.75" customHeight="1">
      <c r="AH6421" s="253"/>
    </row>
    <row r="6422" spans="34:34" ht="12.75" customHeight="1">
      <c r="AH6422" s="253"/>
    </row>
    <row r="6423" spans="34:34" ht="12.75" customHeight="1">
      <c r="AH6423" s="253"/>
    </row>
    <row r="6424" spans="34:34" ht="12.75" customHeight="1">
      <c r="AH6424" s="253"/>
    </row>
    <row r="6425" spans="34:34" ht="12.75" customHeight="1">
      <c r="AH6425" s="253"/>
    </row>
    <row r="6426" spans="34:34" ht="12.75" customHeight="1">
      <c r="AH6426" s="253"/>
    </row>
    <row r="6427" spans="34:34" ht="12.75" customHeight="1">
      <c r="AH6427" s="253"/>
    </row>
    <row r="6428" spans="34:34" ht="12.75" customHeight="1">
      <c r="AH6428" s="253"/>
    </row>
    <row r="6429" spans="34:34" ht="12.75" customHeight="1">
      <c r="AH6429" s="253"/>
    </row>
    <row r="6430" spans="34:34" ht="12.75" customHeight="1">
      <c r="AH6430" s="253"/>
    </row>
    <row r="6431" spans="34:34" ht="12.75" customHeight="1">
      <c r="AH6431" s="253"/>
    </row>
    <row r="6432" spans="34:34" ht="12.75" customHeight="1">
      <c r="AH6432" s="253"/>
    </row>
    <row r="6433" spans="34:34" ht="12.75" customHeight="1">
      <c r="AH6433" s="253"/>
    </row>
    <row r="6434" spans="34:34" ht="12.75" customHeight="1">
      <c r="AH6434" s="253"/>
    </row>
    <row r="6435" spans="34:34" ht="12.75" customHeight="1">
      <c r="AH6435" s="253"/>
    </row>
    <row r="6436" spans="34:34" ht="12.75" customHeight="1">
      <c r="AH6436" s="253"/>
    </row>
    <row r="6437" spans="34:34" ht="12.75" customHeight="1">
      <c r="AH6437" s="253"/>
    </row>
    <row r="6438" spans="34:34" ht="12.75" customHeight="1">
      <c r="AH6438" s="253"/>
    </row>
    <row r="6439" spans="34:34" ht="12.75" customHeight="1">
      <c r="AH6439" s="253"/>
    </row>
    <row r="6440" spans="34:34" ht="12.75" customHeight="1">
      <c r="AH6440" s="253"/>
    </row>
    <row r="6441" spans="34:34" ht="12.75" customHeight="1">
      <c r="AH6441" s="253"/>
    </row>
    <row r="6442" spans="34:34" ht="12.75" customHeight="1">
      <c r="AH6442" s="253"/>
    </row>
    <row r="6443" spans="34:34" ht="12.75" customHeight="1">
      <c r="AH6443" s="253"/>
    </row>
    <row r="6444" spans="34:34" ht="12.75" customHeight="1">
      <c r="AH6444" s="253"/>
    </row>
    <row r="6445" spans="34:34" ht="12.75" customHeight="1">
      <c r="AH6445" s="253"/>
    </row>
    <row r="6446" spans="34:34" ht="12.75" customHeight="1">
      <c r="AH6446" s="253"/>
    </row>
    <row r="6447" spans="34:34" ht="12.75" customHeight="1">
      <c r="AH6447" s="253"/>
    </row>
    <row r="6448" spans="34:34" ht="12.75" customHeight="1">
      <c r="AH6448" s="253"/>
    </row>
    <row r="6449" spans="34:34" ht="12.75" customHeight="1">
      <c r="AH6449" s="253"/>
    </row>
    <row r="6450" spans="34:34" ht="12.75" customHeight="1">
      <c r="AH6450" s="253"/>
    </row>
    <row r="6451" spans="34:34" ht="12.75" customHeight="1">
      <c r="AH6451" s="253"/>
    </row>
    <row r="6452" spans="34:34" ht="12.75" customHeight="1">
      <c r="AH6452" s="253"/>
    </row>
    <row r="6453" spans="34:34" ht="12.75" customHeight="1">
      <c r="AH6453" s="253"/>
    </row>
    <row r="6454" spans="34:34" ht="12.75" customHeight="1">
      <c r="AH6454" s="253"/>
    </row>
    <row r="6455" spans="34:34" ht="12.75" customHeight="1">
      <c r="AH6455" s="253"/>
    </row>
    <row r="6456" spans="34:34" ht="12.75" customHeight="1">
      <c r="AH6456" s="253"/>
    </row>
    <row r="6457" spans="34:34" ht="12.75" customHeight="1">
      <c r="AH6457" s="253"/>
    </row>
    <row r="6458" spans="34:34" ht="12.75" customHeight="1">
      <c r="AH6458" s="253"/>
    </row>
    <row r="6459" spans="34:34" ht="12.75" customHeight="1">
      <c r="AH6459" s="253"/>
    </row>
    <row r="6460" spans="34:34" ht="12.75" customHeight="1">
      <c r="AH6460" s="253"/>
    </row>
    <row r="6461" spans="34:34" ht="12.75" customHeight="1">
      <c r="AH6461" s="253"/>
    </row>
    <row r="6462" spans="34:34" ht="12.75" customHeight="1">
      <c r="AH6462" s="253"/>
    </row>
    <row r="6463" spans="34:34" ht="12.75" customHeight="1">
      <c r="AH6463" s="253"/>
    </row>
    <row r="6464" spans="34:34" ht="12.75" customHeight="1">
      <c r="AH6464" s="253"/>
    </row>
    <row r="6465" spans="34:34" ht="12.75" customHeight="1">
      <c r="AH6465" s="253"/>
    </row>
    <row r="6466" spans="34:34" ht="12.75" customHeight="1">
      <c r="AH6466" s="253"/>
    </row>
    <row r="6467" spans="34:34" ht="12.75" customHeight="1">
      <c r="AH6467" s="253"/>
    </row>
    <row r="6468" spans="34:34" ht="12.75" customHeight="1">
      <c r="AH6468" s="253"/>
    </row>
    <row r="6469" spans="34:34" ht="12.75" customHeight="1">
      <c r="AH6469" s="253"/>
    </row>
    <row r="6470" spans="34:34" ht="12.75" customHeight="1">
      <c r="AH6470" s="253"/>
    </row>
    <row r="6471" spans="34:34" ht="12.75" customHeight="1">
      <c r="AH6471" s="253"/>
    </row>
    <row r="6472" spans="34:34" ht="12.75" customHeight="1">
      <c r="AH6472" s="253"/>
    </row>
    <row r="6473" spans="34:34" ht="12.75" customHeight="1">
      <c r="AH6473" s="253"/>
    </row>
    <row r="6474" spans="34:34" ht="12.75" customHeight="1">
      <c r="AH6474" s="253"/>
    </row>
    <row r="6475" spans="34:34" ht="12.75" customHeight="1">
      <c r="AH6475" s="253"/>
    </row>
    <row r="6476" spans="34:34" ht="12.75" customHeight="1">
      <c r="AH6476" s="253"/>
    </row>
    <row r="6477" spans="34:34" ht="12.75" customHeight="1">
      <c r="AH6477" s="253"/>
    </row>
    <row r="6478" spans="34:34" ht="12.75" customHeight="1">
      <c r="AH6478" s="253"/>
    </row>
    <row r="6479" spans="34:34" ht="12.75" customHeight="1">
      <c r="AH6479" s="253"/>
    </row>
    <row r="6480" spans="34:34" ht="12.75" customHeight="1">
      <c r="AH6480" s="253"/>
    </row>
    <row r="6481" spans="34:34" ht="12.75" customHeight="1">
      <c r="AH6481" s="253"/>
    </row>
    <row r="6482" spans="34:34" ht="12.75" customHeight="1">
      <c r="AH6482" s="253"/>
    </row>
    <row r="6483" spans="34:34" ht="12.75" customHeight="1">
      <c r="AH6483" s="253"/>
    </row>
    <row r="6484" spans="34:34" ht="12.75" customHeight="1">
      <c r="AH6484" s="253"/>
    </row>
    <row r="6485" spans="34:34" ht="12.75" customHeight="1">
      <c r="AH6485" s="253"/>
    </row>
    <row r="6486" spans="34:34" ht="12.75" customHeight="1">
      <c r="AH6486" s="253"/>
    </row>
    <row r="6487" spans="34:34" ht="12.75" customHeight="1">
      <c r="AH6487" s="253"/>
    </row>
    <row r="6488" spans="34:34" ht="12.75" customHeight="1">
      <c r="AH6488" s="253"/>
    </row>
    <row r="6489" spans="34:34" ht="12.75" customHeight="1">
      <c r="AH6489" s="253"/>
    </row>
    <row r="6490" spans="34:34" ht="12.75" customHeight="1">
      <c r="AH6490" s="253"/>
    </row>
    <row r="6491" spans="34:34" ht="12.75" customHeight="1">
      <c r="AH6491" s="253"/>
    </row>
    <row r="6492" spans="34:34" ht="12.75" customHeight="1">
      <c r="AH6492" s="253"/>
    </row>
    <row r="6493" spans="34:34" ht="12.75" customHeight="1">
      <c r="AH6493" s="253"/>
    </row>
    <row r="6494" spans="34:34" ht="12.75" customHeight="1">
      <c r="AH6494" s="253"/>
    </row>
    <row r="6495" spans="34:34" ht="12.75" customHeight="1">
      <c r="AH6495" s="253"/>
    </row>
    <row r="6496" spans="34:34" ht="12.75" customHeight="1">
      <c r="AH6496" s="253"/>
    </row>
    <row r="6497" spans="34:34" ht="12.75" customHeight="1">
      <c r="AH6497" s="253"/>
    </row>
    <row r="6498" spans="34:34" ht="12.75" customHeight="1">
      <c r="AH6498" s="253"/>
    </row>
    <row r="6499" spans="34:34" ht="12.75" customHeight="1">
      <c r="AH6499" s="253"/>
    </row>
    <row r="6500" spans="34:34" ht="12.75" customHeight="1">
      <c r="AH6500" s="253"/>
    </row>
    <row r="6501" spans="34:34" ht="12.75" customHeight="1">
      <c r="AH6501" s="253"/>
    </row>
    <row r="6502" spans="34:34" ht="12.75" customHeight="1">
      <c r="AH6502" s="253"/>
    </row>
    <row r="6503" spans="34:34" ht="12.75" customHeight="1">
      <c r="AH6503" s="253"/>
    </row>
    <row r="6504" spans="34:34" ht="12.75" customHeight="1">
      <c r="AH6504" s="253"/>
    </row>
    <row r="6505" spans="34:34" ht="12.75" customHeight="1">
      <c r="AH6505" s="253"/>
    </row>
    <row r="6506" spans="34:34" ht="12.75" customHeight="1">
      <c r="AH6506" s="253"/>
    </row>
    <row r="6507" spans="34:34" ht="12.75" customHeight="1">
      <c r="AH6507" s="253"/>
    </row>
    <row r="6508" spans="34:34" ht="12.75" customHeight="1">
      <c r="AH6508" s="253"/>
    </row>
    <row r="6509" spans="34:34" ht="12.75" customHeight="1">
      <c r="AH6509" s="253"/>
    </row>
    <row r="6510" spans="34:34" ht="12.75" customHeight="1">
      <c r="AH6510" s="253"/>
    </row>
    <row r="6511" spans="34:34" ht="12.75" customHeight="1">
      <c r="AH6511" s="253"/>
    </row>
    <row r="6512" spans="34:34" ht="12.75" customHeight="1">
      <c r="AH6512" s="253"/>
    </row>
    <row r="6513" spans="34:34" ht="12.75" customHeight="1">
      <c r="AH6513" s="253"/>
    </row>
    <row r="6514" spans="34:34" ht="12.75" customHeight="1">
      <c r="AH6514" s="253"/>
    </row>
    <row r="6515" spans="34:34" ht="12.75" customHeight="1">
      <c r="AH6515" s="253"/>
    </row>
    <row r="6516" spans="34:34" ht="12.75" customHeight="1">
      <c r="AH6516" s="253"/>
    </row>
    <row r="6517" spans="34:34" ht="12.75" customHeight="1">
      <c r="AH6517" s="253"/>
    </row>
    <row r="6518" spans="34:34" ht="12.75" customHeight="1">
      <c r="AH6518" s="253"/>
    </row>
    <row r="6519" spans="34:34" ht="12.75" customHeight="1">
      <c r="AH6519" s="253"/>
    </row>
    <row r="6520" spans="34:34" ht="12.75" customHeight="1">
      <c r="AH6520" s="253"/>
    </row>
    <row r="6521" spans="34:34" ht="12.75" customHeight="1">
      <c r="AH6521" s="253"/>
    </row>
    <row r="6522" spans="34:34" ht="12.75" customHeight="1">
      <c r="AH6522" s="253"/>
    </row>
    <row r="6523" spans="34:34" ht="12.75" customHeight="1">
      <c r="AH6523" s="253"/>
    </row>
    <row r="6524" spans="34:34" ht="12.75" customHeight="1">
      <c r="AH6524" s="253"/>
    </row>
    <row r="6525" spans="34:34" ht="12.75" customHeight="1">
      <c r="AH6525" s="253"/>
    </row>
    <row r="6526" spans="34:34" ht="12.75" customHeight="1">
      <c r="AH6526" s="253"/>
    </row>
    <row r="6527" spans="34:34" ht="12.75" customHeight="1">
      <c r="AH6527" s="253"/>
    </row>
    <row r="6528" spans="34:34" ht="12.75" customHeight="1">
      <c r="AH6528" s="253"/>
    </row>
    <row r="6529" spans="34:34" ht="12.75" customHeight="1">
      <c r="AH6529" s="253"/>
    </row>
    <row r="6530" spans="34:34" ht="12.75" customHeight="1">
      <c r="AH6530" s="253"/>
    </row>
    <row r="6531" spans="34:34" ht="12.75" customHeight="1">
      <c r="AH6531" s="253"/>
    </row>
    <row r="6532" spans="34:34" ht="12.75" customHeight="1">
      <c r="AH6532" s="253"/>
    </row>
    <row r="6533" spans="34:34" ht="12.75" customHeight="1">
      <c r="AH6533" s="253"/>
    </row>
    <row r="6534" spans="34:34" ht="12.75" customHeight="1">
      <c r="AH6534" s="253"/>
    </row>
    <row r="6535" spans="34:34" ht="12.75" customHeight="1">
      <c r="AH6535" s="253"/>
    </row>
    <row r="6536" spans="34:34" ht="12.75" customHeight="1">
      <c r="AH6536" s="253"/>
    </row>
    <row r="6537" spans="34:34" ht="12.75" customHeight="1">
      <c r="AH6537" s="253"/>
    </row>
    <row r="6538" spans="34:34" ht="12.75" customHeight="1">
      <c r="AH6538" s="253"/>
    </row>
    <row r="6539" spans="34:34" ht="12.75" customHeight="1">
      <c r="AH6539" s="253"/>
    </row>
    <row r="6540" spans="34:34" ht="12.75" customHeight="1">
      <c r="AH6540" s="253"/>
    </row>
    <row r="6541" spans="34:34" ht="12.75" customHeight="1">
      <c r="AH6541" s="253"/>
    </row>
    <row r="6542" spans="34:34" ht="12.75" customHeight="1">
      <c r="AH6542" s="253"/>
    </row>
    <row r="6543" spans="34:34" ht="12.75" customHeight="1">
      <c r="AH6543" s="253"/>
    </row>
    <row r="6544" spans="34:34" ht="12.75" customHeight="1">
      <c r="AH6544" s="253"/>
    </row>
    <row r="6545" spans="34:34" ht="12.75" customHeight="1">
      <c r="AH6545" s="253"/>
    </row>
    <row r="6546" spans="34:34" ht="12.75" customHeight="1">
      <c r="AH6546" s="253"/>
    </row>
    <row r="6547" spans="34:34" ht="12.75" customHeight="1">
      <c r="AH6547" s="253"/>
    </row>
    <row r="6548" spans="34:34" ht="12.75" customHeight="1">
      <c r="AH6548" s="253"/>
    </row>
    <row r="6549" spans="34:34" ht="12.75" customHeight="1">
      <c r="AH6549" s="253"/>
    </row>
    <row r="6550" spans="34:34" ht="12.75" customHeight="1">
      <c r="AH6550" s="253"/>
    </row>
    <row r="6551" spans="34:34" ht="12.75" customHeight="1">
      <c r="AH6551" s="253"/>
    </row>
    <row r="6552" spans="34:34" ht="12.75" customHeight="1">
      <c r="AH6552" s="253"/>
    </row>
    <row r="6553" spans="34:34" ht="12.75" customHeight="1">
      <c r="AH6553" s="253"/>
    </row>
    <row r="6554" spans="34:34" ht="12.75" customHeight="1">
      <c r="AH6554" s="253"/>
    </row>
    <row r="6555" spans="34:34" ht="12.75" customHeight="1">
      <c r="AH6555" s="253"/>
    </row>
    <row r="6556" spans="34:34" ht="12.75" customHeight="1">
      <c r="AH6556" s="253"/>
    </row>
    <row r="6557" spans="34:34" ht="12.75" customHeight="1">
      <c r="AH6557" s="253"/>
    </row>
    <row r="6558" spans="34:34" ht="12.75" customHeight="1">
      <c r="AH6558" s="253"/>
    </row>
    <row r="6559" spans="34:34" ht="12.75" customHeight="1">
      <c r="AH6559" s="253"/>
    </row>
    <row r="6560" spans="34:34" ht="12.75" customHeight="1">
      <c r="AH6560" s="253"/>
    </row>
    <row r="6561" spans="34:34" ht="12.75" customHeight="1">
      <c r="AH6561" s="253"/>
    </row>
    <row r="6562" spans="34:34" ht="12.75" customHeight="1">
      <c r="AH6562" s="253"/>
    </row>
    <row r="6563" spans="34:34" ht="12.75" customHeight="1">
      <c r="AH6563" s="253"/>
    </row>
    <row r="6564" spans="34:34" ht="12.75" customHeight="1">
      <c r="AH6564" s="253"/>
    </row>
    <row r="6565" spans="34:34" ht="12.75" customHeight="1">
      <c r="AH6565" s="253"/>
    </row>
    <row r="6566" spans="34:34" ht="12.75" customHeight="1">
      <c r="AH6566" s="253"/>
    </row>
    <row r="6567" spans="34:34" ht="12.75" customHeight="1">
      <c r="AH6567" s="253"/>
    </row>
    <row r="6568" spans="34:34" ht="12.75" customHeight="1">
      <c r="AH6568" s="253"/>
    </row>
    <row r="6569" spans="34:34" ht="12.75" customHeight="1">
      <c r="AH6569" s="253"/>
    </row>
    <row r="6570" spans="34:34" ht="12.75" customHeight="1">
      <c r="AH6570" s="253"/>
    </row>
    <row r="6571" spans="34:34" ht="12.75" customHeight="1">
      <c r="AH6571" s="253"/>
    </row>
    <row r="6572" spans="34:34" ht="12.75" customHeight="1">
      <c r="AH6572" s="253"/>
    </row>
    <row r="6573" spans="34:34" ht="12.75" customHeight="1">
      <c r="AH6573" s="253"/>
    </row>
    <row r="6574" spans="34:34" ht="12.75" customHeight="1">
      <c r="AH6574" s="253"/>
    </row>
    <row r="6575" spans="34:34" ht="12.75" customHeight="1">
      <c r="AH6575" s="253"/>
    </row>
    <row r="6576" spans="34:34" ht="12.75" customHeight="1">
      <c r="AH6576" s="253"/>
    </row>
    <row r="6577" spans="34:34" ht="12.75" customHeight="1">
      <c r="AH6577" s="253"/>
    </row>
    <row r="6578" spans="34:34" ht="12.75" customHeight="1">
      <c r="AH6578" s="253"/>
    </row>
    <row r="6579" spans="34:34" ht="12.75" customHeight="1">
      <c r="AH6579" s="253"/>
    </row>
    <row r="6580" spans="34:34" ht="12.75" customHeight="1">
      <c r="AH6580" s="253"/>
    </row>
    <row r="6581" spans="34:34" ht="12.75" customHeight="1">
      <c r="AH6581" s="253"/>
    </row>
    <row r="6582" spans="34:34" ht="12.75" customHeight="1">
      <c r="AH6582" s="253"/>
    </row>
    <row r="6583" spans="34:34" ht="12.75" customHeight="1">
      <c r="AH6583" s="253"/>
    </row>
    <row r="6584" spans="34:34" ht="12.75" customHeight="1">
      <c r="AH6584" s="253"/>
    </row>
    <row r="6585" spans="34:34" ht="12.75" customHeight="1">
      <c r="AH6585" s="253"/>
    </row>
    <row r="6586" spans="34:34" ht="12.75" customHeight="1">
      <c r="AH6586" s="253"/>
    </row>
    <row r="6587" spans="34:34" ht="12.75" customHeight="1">
      <c r="AH6587" s="253"/>
    </row>
    <row r="6588" spans="34:34" ht="12.75" customHeight="1">
      <c r="AH6588" s="253"/>
    </row>
    <row r="6589" spans="34:34" ht="12.75" customHeight="1">
      <c r="AH6589" s="253"/>
    </row>
    <row r="6590" spans="34:34" ht="12.75" customHeight="1">
      <c r="AH6590" s="253"/>
    </row>
    <row r="6591" spans="34:34" ht="12.75" customHeight="1">
      <c r="AH6591" s="253"/>
    </row>
    <row r="6592" spans="34:34" ht="12.75" customHeight="1">
      <c r="AH6592" s="253"/>
    </row>
    <row r="6593" spans="34:34" ht="12.75" customHeight="1">
      <c r="AH6593" s="253"/>
    </row>
    <row r="6594" spans="34:34" ht="12.75" customHeight="1">
      <c r="AH6594" s="253"/>
    </row>
    <row r="6595" spans="34:34" ht="12.75" customHeight="1">
      <c r="AH6595" s="253"/>
    </row>
    <row r="6596" spans="34:34" ht="12.75" customHeight="1">
      <c r="AH6596" s="253"/>
    </row>
    <row r="6597" spans="34:34" ht="12.75" customHeight="1">
      <c r="AH6597" s="253"/>
    </row>
    <row r="6598" spans="34:34" ht="12.75" customHeight="1">
      <c r="AH6598" s="253"/>
    </row>
    <row r="6599" spans="34:34" ht="12.75" customHeight="1">
      <c r="AH6599" s="253"/>
    </row>
    <row r="6600" spans="34:34" ht="12.75" customHeight="1">
      <c r="AH6600" s="253"/>
    </row>
    <row r="6601" spans="34:34" ht="12.75" customHeight="1">
      <c r="AH6601" s="253"/>
    </row>
    <row r="6602" spans="34:34" ht="12.75" customHeight="1">
      <c r="AH6602" s="253"/>
    </row>
    <row r="6603" spans="34:34" ht="12.75" customHeight="1">
      <c r="AH6603" s="253"/>
    </row>
    <row r="6604" spans="34:34" ht="12.75" customHeight="1">
      <c r="AH6604" s="253"/>
    </row>
    <row r="6605" spans="34:34" ht="12.75" customHeight="1">
      <c r="AH6605" s="253"/>
    </row>
    <row r="6606" spans="34:34" ht="12.75" customHeight="1">
      <c r="AH6606" s="253"/>
    </row>
    <row r="6607" spans="34:34" ht="12.75" customHeight="1">
      <c r="AH6607" s="253"/>
    </row>
    <row r="6608" spans="34:34" ht="12.75" customHeight="1">
      <c r="AH6608" s="253"/>
    </row>
    <row r="6609" spans="34:34" ht="12.75" customHeight="1">
      <c r="AH6609" s="253"/>
    </row>
    <row r="6610" spans="34:34" ht="12.75" customHeight="1">
      <c r="AH6610" s="253"/>
    </row>
    <row r="6611" spans="34:34" ht="12.75" customHeight="1">
      <c r="AH6611" s="253"/>
    </row>
    <row r="6612" spans="34:34" ht="12.75" customHeight="1">
      <c r="AH6612" s="253"/>
    </row>
    <row r="6613" spans="34:34" ht="12.75" customHeight="1">
      <c r="AH6613" s="253"/>
    </row>
    <row r="6614" spans="34:34" ht="12.75" customHeight="1">
      <c r="AH6614" s="253"/>
    </row>
    <row r="6615" spans="34:34" ht="12.75" customHeight="1">
      <c r="AH6615" s="253"/>
    </row>
    <row r="6616" spans="34:34" ht="12.75" customHeight="1">
      <c r="AH6616" s="253"/>
    </row>
    <row r="6617" spans="34:34" ht="12.75" customHeight="1">
      <c r="AH6617" s="253"/>
    </row>
    <row r="6618" spans="34:34" ht="12.75" customHeight="1">
      <c r="AH6618" s="253"/>
    </row>
    <row r="6619" spans="34:34" ht="12.75" customHeight="1">
      <c r="AH6619" s="253"/>
    </row>
    <row r="6620" spans="34:34" ht="12.75" customHeight="1">
      <c r="AH6620" s="253"/>
    </row>
    <row r="6621" spans="34:34" ht="12.75" customHeight="1">
      <c r="AH6621" s="253"/>
    </row>
    <row r="6622" spans="34:34" ht="12.75" customHeight="1">
      <c r="AH6622" s="253"/>
    </row>
    <row r="6623" spans="34:34" ht="12.75" customHeight="1">
      <c r="AH6623" s="253"/>
    </row>
    <row r="6624" spans="34:34" ht="12.75" customHeight="1">
      <c r="AH6624" s="253"/>
    </row>
    <row r="6625" spans="34:34" ht="12.75" customHeight="1">
      <c r="AH6625" s="253"/>
    </row>
    <row r="6626" spans="34:34" ht="12.75" customHeight="1">
      <c r="AH6626" s="253"/>
    </row>
    <row r="6627" spans="34:34" ht="12.75" customHeight="1">
      <c r="AH6627" s="253"/>
    </row>
    <row r="6628" spans="34:34" ht="12.75" customHeight="1">
      <c r="AH6628" s="253"/>
    </row>
    <row r="6629" spans="34:34" ht="12.75" customHeight="1">
      <c r="AH6629" s="253"/>
    </row>
    <row r="6630" spans="34:34" ht="12.75" customHeight="1">
      <c r="AH6630" s="253"/>
    </row>
    <row r="6631" spans="34:34" ht="12.75" customHeight="1">
      <c r="AH6631" s="253"/>
    </row>
    <row r="6632" spans="34:34" ht="12.75" customHeight="1">
      <c r="AH6632" s="253"/>
    </row>
    <row r="6633" spans="34:34" ht="12.75" customHeight="1">
      <c r="AH6633" s="253"/>
    </row>
    <row r="6634" spans="34:34" ht="12.75" customHeight="1">
      <c r="AH6634" s="253"/>
    </row>
    <row r="6635" spans="34:34" ht="12.75" customHeight="1">
      <c r="AH6635" s="253"/>
    </row>
    <row r="6636" spans="34:34" ht="12.75" customHeight="1">
      <c r="AH6636" s="253"/>
    </row>
    <row r="6637" spans="34:34" ht="12.75" customHeight="1">
      <c r="AH6637" s="253"/>
    </row>
    <row r="6638" spans="34:34" ht="12.75" customHeight="1">
      <c r="AH6638" s="253"/>
    </row>
    <row r="6639" spans="34:34" ht="12.75" customHeight="1">
      <c r="AH6639" s="253"/>
    </row>
    <row r="6640" spans="34:34" ht="12.75" customHeight="1">
      <c r="AH6640" s="253"/>
    </row>
    <row r="6641" spans="34:34" ht="12.75" customHeight="1">
      <c r="AH6641" s="253"/>
    </row>
    <row r="6642" spans="34:34" ht="12.75" customHeight="1">
      <c r="AH6642" s="253"/>
    </row>
    <row r="6643" spans="34:34" ht="12.75" customHeight="1">
      <c r="AH6643" s="253"/>
    </row>
    <row r="6644" spans="34:34" ht="12.75" customHeight="1">
      <c r="AH6644" s="253"/>
    </row>
    <row r="6645" spans="34:34" ht="12.75" customHeight="1">
      <c r="AH6645" s="253"/>
    </row>
    <row r="6646" spans="34:34" ht="12.75" customHeight="1">
      <c r="AH6646" s="253"/>
    </row>
    <row r="6647" spans="34:34" ht="12.75" customHeight="1">
      <c r="AH6647" s="253"/>
    </row>
    <row r="6648" spans="34:34" ht="12.75" customHeight="1">
      <c r="AH6648" s="253"/>
    </row>
    <row r="6649" spans="34:34" ht="12.75" customHeight="1">
      <c r="AH6649" s="253"/>
    </row>
  </sheetData>
  <sortState xmlns:xlrd2="http://schemas.microsoft.com/office/spreadsheetml/2017/richdata2" ref="B58:S374">
    <sortCondition ref="B58:B374"/>
    <sortCondition ref="F58:F374"/>
  </sortState>
  <mergeCells count="11">
    <mergeCell ref="AE3:AG3"/>
    <mergeCell ref="Z3:AD3"/>
    <mergeCell ref="U3:Y3"/>
    <mergeCell ref="AJ2:BB2"/>
    <mergeCell ref="BE2:BW2"/>
    <mergeCell ref="AJ3:AQ3"/>
    <mergeCell ref="AR3:AY3"/>
    <mergeCell ref="AZ3:BB3"/>
    <mergeCell ref="BE3:BL3"/>
    <mergeCell ref="BM3:BT3"/>
    <mergeCell ref="BU3:BW3"/>
  </mergeCells>
  <phoneticPr fontId="9" type="noConversion"/>
  <pageMargins left="0.23622047244094491" right="0.23622047244094491" top="0.74803149606299213" bottom="0.74803149606299213" header="0.31496062992125984" footer="0.31496062992125984"/>
  <pageSetup paperSize="8" scale="84" fitToWidth="2" fitToHeight="0" orientation="landscape" r:id="rId1"/>
  <headerFooter alignWithMargins="0">
    <oddFooter>&amp;L&amp;P&amp;Cparaaf Inschrijver&amp;R&amp;D</oddFooter>
  </headerFooter>
  <colBreaks count="1" manualBreakCount="1">
    <brk id="15" max="234" man="1"/>
  </colBreaks>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I31"/>
  <sheetViews>
    <sheetView showGridLines="0" view="pageBreakPreview" zoomScaleNormal="100" zoomScaleSheetLayoutView="100" workbookViewId="0">
      <selection activeCell="D24" sqref="D24"/>
    </sheetView>
  </sheetViews>
  <sheetFormatPr defaultColWidth="9.140625" defaultRowHeight="15" customHeight="1"/>
  <cols>
    <col min="1" max="1" width="9.7109375" style="4" customWidth="1"/>
    <col min="2" max="2" width="56.28515625" style="4" customWidth="1"/>
    <col min="3" max="3" width="14.85546875" style="22" customWidth="1"/>
    <col min="4" max="4" width="59.85546875" style="4" bestFit="1" customWidth="1"/>
    <col min="5" max="5" width="15.7109375" style="4" bestFit="1" customWidth="1"/>
    <col min="6" max="6" width="13" style="163" bestFit="1" customWidth="1"/>
    <col min="7" max="7" width="17.7109375" style="4" bestFit="1" customWidth="1"/>
    <col min="8" max="8" width="18.42578125" style="4" customWidth="1"/>
    <col min="9" max="9" width="17.7109375" style="4" bestFit="1" customWidth="1"/>
    <col min="10" max="16384" width="9.140625" style="4"/>
  </cols>
  <sheetData>
    <row r="1" spans="1:9" s="9" customFormat="1" ht="26.25" customHeight="1">
      <c r="A1" s="387" t="s">
        <v>185</v>
      </c>
      <c r="B1" s="387"/>
      <c r="C1" s="387"/>
      <c r="D1" s="387"/>
      <c r="E1" s="387"/>
      <c r="F1" s="387"/>
      <c r="G1" s="387"/>
      <c r="H1" s="387"/>
    </row>
    <row r="2" spans="1:9" s="9" customFormat="1" ht="15" customHeight="1">
      <c r="A2" s="421" t="s">
        <v>1470</v>
      </c>
      <c r="B2" s="389"/>
      <c r="C2" s="389"/>
      <c r="D2" s="389"/>
      <c r="E2" s="389"/>
      <c r="F2" s="389"/>
      <c r="G2" s="389"/>
      <c r="H2" s="389"/>
    </row>
    <row r="3" spans="1:9" ht="15" customHeight="1">
      <c r="B3" s="22"/>
      <c r="C3" s="4"/>
    </row>
    <row r="4" spans="1:9" ht="15" customHeight="1">
      <c r="A4" s="4" t="s">
        <v>197</v>
      </c>
      <c r="B4" s="39"/>
      <c r="C4" s="39"/>
      <c r="D4" s="39"/>
      <c r="E4" s="39"/>
      <c r="F4" s="164"/>
      <c r="G4" s="40"/>
    </row>
    <row r="5" spans="1:9" ht="15" customHeight="1">
      <c r="A5" s="4" t="s">
        <v>267</v>
      </c>
      <c r="B5" s="39"/>
      <c r="C5" s="39"/>
      <c r="D5" s="39"/>
      <c r="E5" s="39"/>
      <c r="F5" s="164"/>
      <c r="G5" s="40"/>
    </row>
    <row r="6" spans="1:9" ht="15" customHeight="1">
      <c r="A6" s="4" t="s">
        <v>260</v>
      </c>
      <c r="B6" s="42"/>
      <c r="C6" s="43"/>
      <c r="D6" s="43"/>
      <c r="E6" s="43"/>
      <c r="F6" s="165"/>
    </row>
    <row r="7" spans="1:9" ht="15" customHeight="1">
      <c r="B7" s="42"/>
      <c r="C7" s="42"/>
      <c r="D7" s="38"/>
      <c r="E7" s="422" t="s">
        <v>1401</v>
      </c>
      <c r="F7" s="422"/>
      <c r="G7" s="422"/>
      <c r="H7" s="422"/>
      <c r="I7" s="422"/>
    </row>
    <row r="8" spans="1:9" s="8" customFormat="1" ht="26.25" customHeight="1">
      <c r="A8" s="53" t="s">
        <v>230</v>
      </c>
      <c r="B8" s="54" t="s">
        <v>176</v>
      </c>
      <c r="C8" s="55" t="s">
        <v>167</v>
      </c>
      <c r="D8" s="53" t="s">
        <v>232</v>
      </c>
      <c r="E8" s="53" t="s">
        <v>1407</v>
      </c>
      <c r="F8" s="53" t="s">
        <v>1408</v>
      </c>
      <c r="G8" s="53" t="s">
        <v>1409</v>
      </c>
      <c r="H8" s="53" t="s">
        <v>1410</v>
      </c>
      <c r="I8" s="53" t="s">
        <v>1471</v>
      </c>
    </row>
    <row r="9" spans="1:9" ht="15" customHeight="1">
      <c r="A9" s="56">
        <v>1</v>
      </c>
      <c r="B9" s="57" t="s">
        <v>181</v>
      </c>
      <c r="C9" s="58">
        <v>0</v>
      </c>
      <c r="D9" s="61" t="s">
        <v>177</v>
      </c>
      <c r="E9" s="294" t="e">
        <f>(InvulVloer[[#This Row],[Prijs]]*Tariefsopbouw!$I$37)+InvulVloer[[#This Row],[Prijs]]</f>
        <v>#DIV/0!</v>
      </c>
      <c r="F9" s="295" t="e">
        <f>(InvulVloer[[#This Row],[2022]]*Tariefsopbouw!$K$37)+InvulVloer[[#This Row],[2022]]</f>
        <v>#DIV/0!</v>
      </c>
      <c r="G9" s="294" t="e">
        <f>InvulVloer[[#This Row],[2023]]*Tariefsopbouw!$M$37+InvulVloer[[#This Row],[2023]]</f>
        <v>#DIV/0!</v>
      </c>
      <c r="H9" s="294" t="e">
        <f>(InvulVloer[[#This Row],[2024]]*Tariefsopbouw!$O$37)+InvulVloer[[#This Row],[2024]]</f>
        <v>#DIV/0!</v>
      </c>
      <c r="I9" s="294" t="e">
        <f>(InvulVloer[[#This Row],[2025]]*Tariefsopbouw!$Q$37)+InvulVloer[[#This Row],[2025]]</f>
        <v>#DIV/0!</v>
      </c>
    </row>
    <row r="10" spans="1:9" ht="15" customHeight="1">
      <c r="A10" s="59">
        <v>2</v>
      </c>
      <c r="B10" s="60" t="s">
        <v>272</v>
      </c>
      <c r="C10" s="58">
        <v>0</v>
      </c>
      <c r="D10" s="64" t="s">
        <v>177</v>
      </c>
      <c r="E10" s="294" t="e">
        <f>(InvulVloer[[#This Row],[Prijs]]*Tariefsopbouw!$I$37)+InvulVloer[[#This Row],[Prijs]]</f>
        <v>#DIV/0!</v>
      </c>
      <c r="F10" s="295" t="e">
        <f>(InvulVloer[[#This Row],[2022]]*Tariefsopbouw!$K$37)+InvulVloer[[#This Row],[2022]]</f>
        <v>#DIV/0!</v>
      </c>
      <c r="G10" s="294" t="e">
        <f>InvulVloer[[#This Row],[2023]]*Tariefsopbouw!$M$37+InvulVloer[[#This Row],[2023]]</f>
        <v>#DIV/0!</v>
      </c>
      <c r="H10" s="294" t="e">
        <f>(InvulVloer[[#This Row],[2024]]*Tariefsopbouw!$O$37)+InvulVloer[[#This Row],[2024]]</f>
        <v>#DIV/0!</v>
      </c>
      <c r="I10" s="294" t="e">
        <f>(InvulVloer[[#This Row],[2025]]*Tariefsopbouw!$Q$37)+InvulVloer[[#This Row],[2025]]</f>
        <v>#DIV/0!</v>
      </c>
    </row>
    <row r="11" spans="1:9" ht="15" customHeight="1">
      <c r="A11" s="338">
        <v>3</v>
      </c>
      <c r="B11" s="60" t="s">
        <v>1763</v>
      </c>
      <c r="C11" s="58"/>
      <c r="D11" s="64" t="s">
        <v>177</v>
      </c>
      <c r="E11" s="294" t="e">
        <f>(InvulVloer[[#This Row],[Prijs]]*Tariefsopbouw!$I$37)+InvulVloer[[#This Row],[Prijs]]</f>
        <v>#DIV/0!</v>
      </c>
      <c r="F11" s="295" t="e">
        <f>(InvulVloer[[#This Row],[2022]]*Tariefsopbouw!$K$37)+InvulVloer[[#This Row],[2022]]</f>
        <v>#DIV/0!</v>
      </c>
      <c r="G11" s="294" t="e">
        <f>InvulVloer[[#This Row],[2023]]*Tariefsopbouw!$M$37+InvulVloer[[#This Row],[2023]]</f>
        <v>#DIV/0!</v>
      </c>
      <c r="H11" s="294" t="e">
        <f>(InvulVloer[[#This Row],[2024]]*Tariefsopbouw!$O$37)+InvulVloer[[#This Row],[2024]]</f>
        <v>#DIV/0!</v>
      </c>
      <c r="I11" s="294" t="e">
        <f>(InvulVloer[[#This Row],[2025]]*Tariefsopbouw!$Q$37)+InvulVloer[[#This Row],[2025]]</f>
        <v>#DIV/0!</v>
      </c>
    </row>
    <row r="12" spans="1:9" ht="15" customHeight="1">
      <c r="A12" s="56">
        <v>4</v>
      </c>
      <c r="B12" s="57" t="s">
        <v>1479</v>
      </c>
      <c r="C12" s="58">
        <v>0</v>
      </c>
      <c r="D12" s="61" t="s">
        <v>178</v>
      </c>
      <c r="E12" s="294" t="e">
        <f>(InvulVloer[[#This Row],[Prijs]]*Tariefsopbouw!$I$37)+InvulVloer[[#This Row],[Prijs]]</f>
        <v>#DIV/0!</v>
      </c>
      <c r="F12" s="295" t="e">
        <f>(InvulVloer[[#This Row],[2022]]*Tariefsopbouw!$K$37)+InvulVloer[[#This Row],[2022]]</f>
        <v>#DIV/0!</v>
      </c>
      <c r="G12" s="294" t="e">
        <f>InvulVloer[[#This Row],[2023]]*Tariefsopbouw!$M$37+InvulVloer[[#This Row],[2023]]</f>
        <v>#DIV/0!</v>
      </c>
      <c r="H12" s="294" t="e">
        <f>(InvulVloer[[#This Row],[2024]]*Tariefsopbouw!$O$37)+InvulVloer[[#This Row],[2024]]</f>
        <v>#DIV/0!</v>
      </c>
      <c r="I12" s="294" t="e">
        <f>(InvulVloer[[#This Row],[2025]]*Tariefsopbouw!$Q$37)+InvulVloer[[#This Row],[2025]]</f>
        <v>#DIV/0!</v>
      </c>
    </row>
    <row r="13" spans="1:9" ht="15" customHeight="1">
      <c r="A13" s="59">
        <v>5</v>
      </c>
      <c r="B13" s="60" t="s">
        <v>274</v>
      </c>
      <c r="C13" s="58">
        <v>0</v>
      </c>
      <c r="D13" s="64" t="s">
        <v>177</v>
      </c>
      <c r="E13" s="294" t="e">
        <f>(InvulVloer[[#This Row],[Prijs]]*Tariefsopbouw!$I$37)+InvulVloer[[#This Row],[Prijs]]</f>
        <v>#DIV/0!</v>
      </c>
      <c r="F13" s="295" t="e">
        <f>(InvulVloer[[#This Row],[2022]]*Tariefsopbouw!$K$37)+InvulVloer[[#This Row],[2022]]</f>
        <v>#DIV/0!</v>
      </c>
      <c r="G13" s="294" t="e">
        <f>InvulVloer[[#This Row],[2023]]*Tariefsopbouw!$M$37+InvulVloer[[#This Row],[2023]]</f>
        <v>#DIV/0!</v>
      </c>
      <c r="H13" s="294" t="e">
        <f>(InvulVloer[[#This Row],[2024]]*Tariefsopbouw!$O$37)+InvulVloer[[#This Row],[2024]]</f>
        <v>#DIV/0!</v>
      </c>
      <c r="I13" s="294" t="e">
        <f>(InvulVloer[[#This Row],[2025]]*Tariefsopbouw!$Q$37)+InvulVloer[[#This Row],[2025]]</f>
        <v>#DIV/0!</v>
      </c>
    </row>
    <row r="14" spans="1:9" ht="15" customHeight="1">
      <c r="A14" s="56">
        <v>6</v>
      </c>
      <c r="B14" s="57" t="s">
        <v>275</v>
      </c>
      <c r="C14" s="58">
        <v>0</v>
      </c>
      <c r="D14" s="61" t="s">
        <v>177</v>
      </c>
      <c r="E14" s="294" t="e">
        <f>(InvulVloer[[#This Row],[Prijs]]*Tariefsopbouw!$I$37)+InvulVloer[[#This Row],[Prijs]]</f>
        <v>#DIV/0!</v>
      </c>
      <c r="F14" s="295" t="e">
        <f>(InvulVloer[[#This Row],[2022]]*Tariefsopbouw!$K$37)+InvulVloer[[#This Row],[2022]]</f>
        <v>#DIV/0!</v>
      </c>
      <c r="G14" s="294" t="e">
        <f>InvulVloer[[#This Row],[2023]]*Tariefsopbouw!$M$37+InvulVloer[[#This Row],[2023]]</f>
        <v>#DIV/0!</v>
      </c>
      <c r="H14" s="294" t="e">
        <f>(InvulVloer[[#This Row],[2024]]*Tariefsopbouw!$O$37)+InvulVloer[[#This Row],[2024]]</f>
        <v>#DIV/0!</v>
      </c>
      <c r="I14" s="294" t="e">
        <f>(InvulVloer[[#This Row],[2025]]*Tariefsopbouw!$Q$37)+InvulVloer[[#This Row],[2025]]</f>
        <v>#DIV/0!</v>
      </c>
    </row>
    <row r="15" spans="1:9" ht="15" customHeight="1">
      <c r="A15" s="59">
        <v>7</v>
      </c>
      <c r="B15" s="60" t="s">
        <v>182</v>
      </c>
      <c r="C15" s="58">
        <v>0</v>
      </c>
      <c r="D15" s="64" t="s">
        <v>177</v>
      </c>
      <c r="E15" s="294" t="e">
        <f>(InvulVloer[[#This Row],[Prijs]]*Tariefsopbouw!$I$37)+InvulVloer[[#This Row],[Prijs]]</f>
        <v>#DIV/0!</v>
      </c>
      <c r="F15" s="295" t="e">
        <f>(InvulVloer[[#This Row],[2022]]*Tariefsopbouw!$K$37)+InvulVloer[[#This Row],[2022]]</f>
        <v>#DIV/0!</v>
      </c>
      <c r="G15" s="294" t="e">
        <f>InvulVloer[[#This Row],[2023]]*Tariefsopbouw!$M$37+InvulVloer[[#This Row],[2023]]</f>
        <v>#DIV/0!</v>
      </c>
      <c r="H15" s="294" t="e">
        <f>(InvulVloer[[#This Row],[2024]]*Tariefsopbouw!$O$37)+InvulVloer[[#This Row],[2024]]</f>
        <v>#DIV/0!</v>
      </c>
      <c r="I15" s="294" t="e">
        <f>(InvulVloer[[#This Row],[2025]]*Tariefsopbouw!$Q$37)+InvulVloer[[#This Row],[2025]]</f>
        <v>#DIV/0!</v>
      </c>
    </row>
    <row r="16" spans="1:9" ht="15" customHeight="1">
      <c r="A16" s="56">
        <v>8</v>
      </c>
      <c r="B16" s="61" t="s">
        <v>184</v>
      </c>
      <c r="C16" s="58">
        <v>0</v>
      </c>
      <c r="D16" s="61" t="s">
        <v>177</v>
      </c>
      <c r="E16" s="294" t="e">
        <f>(InvulVloer[[#This Row],[Prijs]]*Tariefsopbouw!$I$37)+InvulVloer[[#This Row],[Prijs]]</f>
        <v>#DIV/0!</v>
      </c>
      <c r="F16" s="295" t="e">
        <f>(InvulVloer[[#This Row],[2022]]*Tariefsopbouw!$K$37)+InvulVloer[[#This Row],[2022]]</f>
        <v>#DIV/0!</v>
      </c>
      <c r="G16" s="294" t="e">
        <f>InvulVloer[[#This Row],[2023]]*Tariefsopbouw!$M$37+InvulVloer[[#This Row],[2023]]</f>
        <v>#DIV/0!</v>
      </c>
      <c r="H16" s="294" t="e">
        <f>(InvulVloer[[#This Row],[2024]]*Tariefsopbouw!$O$37)+InvulVloer[[#This Row],[2024]]</f>
        <v>#DIV/0!</v>
      </c>
      <c r="I16" s="294" t="e">
        <f>(InvulVloer[[#This Row],[2025]]*Tariefsopbouw!$Q$37)+InvulVloer[[#This Row],[2025]]</f>
        <v>#DIV/0!</v>
      </c>
    </row>
    <row r="17" spans="1:9" ht="15" customHeight="1">
      <c r="A17" s="59">
        <v>9</v>
      </c>
      <c r="B17" s="62" t="s">
        <v>217</v>
      </c>
      <c r="C17" s="58">
        <v>0</v>
      </c>
      <c r="D17" s="64" t="s">
        <v>177</v>
      </c>
      <c r="E17" s="294" t="e">
        <f>(InvulVloer[[#This Row],[Prijs]]*Tariefsopbouw!$I$37)+InvulVloer[[#This Row],[Prijs]]</f>
        <v>#DIV/0!</v>
      </c>
      <c r="F17" s="295" t="e">
        <f>(InvulVloer[[#This Row],[2022]]*Tariefsopbouw!$K$37)+InvulVloer[[#This Row],[2022]]</f>
        <v>#DIV/0!</v>
      </c>
      <c r="G17" s="294" t="e">
        <f>InvulVloer[[#This Row],[2023]]*Tariefsopbouw!$M$37+InvulVloer[[#This Row],[2023]]</f>
        <v>#DIV/0!</v>
      </c>
      <c r="H17" s="294" t="e">
        <f>(InvulVloer[[#This Row],[2024]]*Tariefsopbouw!$O$37)+InvulVloer[[#This Row],[2024]]</f>
        <v>#DIV/0!</v>
      </c>
      <c r="I17" s="294" t="e">
        <f>(InvulVloer[[#This Row],[2025]]*Tariefsopbouw!$Q$37)+InvulVloer[[#This Row],[2025]]</f>
        <v>#DIV/0!</v>
      </c>
    </row>
    <row r="18" spans="1:9" ht="15" customHeight="1">
      <c r="A18" s="56">
        <v>10</v>
      </c>
      <c r="B18" s="63" t="s">
        <v>218</v>
      </c>
      <c r="C18" s="58">
        <v>0</v>
      </c>
      <c r="D18" s="61" t="s">
        <v>177</v>
      </c>
      <c r="E18" s="294" t="e">
        <f>(InvulVloer[[#This Row],[Prijs]]*Tariefsopbouw!$I$37)+InvulVloer[[#This Row],[Prijs]]</f>
        <v>#DIV/0!</v>
      </c>
      <c r="F18" s="295" t="e">
        <f>(InvulVloer[[#This Row],[2022]]*Tariefsopbouw!$K$37)+InvulVloer[[#This Row],[2022]]</f>
        <v>#DIV/0!</v>
      </c>
      <c r="G18" s="294" t="e">
        <f>InvulVloer[[#This Row],[2023]]*Tariefsopbouw!$M$37+InvulVloer[[#This Row],[2023]]</f>
        <v>#DIV/0!</v>
      </c>
      <c r="H18" s="294" t="e">
        <f>(InvulVloer[[#This Row],[2024]]*Tariefsopbouw!$O$37)+InvulVloer[[#This Row],[2024]]</f>
        <v>#DIV/0!</v>
      </c>
      <c r="I18" s="294" t="e">
        <f>(InvulVloer[[#This Row],[2025]]*Tariefsopbouw!$Q$37)+InvulVloer[[#This Row],[2025]]</f>
        <v>#DIV/0!</v>
      </c>
    </row>
    <row r="19" spans="1:9" ht="15" customHeight="1">
      <c r="A19" s="59">
        <v>11</v>
      </c>
      <c r="B19" s="62" t="s">
        <v>1795</v>
      </c>
      <c r="C19" s="58">
        <v>0</v>
      </c>
      <c r="D19" s="64" t="s">
        <v>177</v>
      </c>
      <c r="E19" s="294" t="e">
        <f>(InvulVloer[[#This Row],[Prijs]]*Tariefsopbouw!$I$37)+InvulVloer[[#This Row],[Prijs]]</f>
        <v>#DIV/0!</v>
      </c>
      <c r="F19" s="295" t="e">
        <f>(InvulVloer[[#This Row],[2022]]*Tariefsopbouw!$K$37)+InvulVloer[[#This Row],[2022]]</f>
        <v>#DIV/0!</v>
      </c>
      <c r="G19" s="294" t="e">
        <f>InvulVloer[[#This Row],[2023]]*Tariefsopbouw!$M$37+InvulVloer[[#This Row],[2023]]</f>
        <v>#DIV/0!</v>
      </c>
      <c r="H19" s="294" t="e">
        <f>(InvulVloer[[#This Row],[2024]]*Tariefsopbouw!$O$37)+InvulVloer[[#This Row],[2024]]</f>
        <v>#DIV/0!</v>
      </c>
      <c r="I19" s="294" t="e">
        <f>(InvulVloer[[#This Row],[2025]]*Tariefsopbouw!$Q$37)+InvulVloer[[#This Row],[2025]]</f>
        <v>#DIV/0!</v>
      </c>
    </row>
    <row r="20" spans="1:9" ht="15" customHeight="1">
      <c r="B20" s="22"/>
      <c r="E20" s="44"/>
      <c r="F20" s="166"/>
      <c r="G20" s="44"/>
      <c r="H20" s="44"/>
    </row>
    <row r="21" spans="1:9" ht="15" customHeight="1">
      <c r="C21" s="39"/>
      <c r="D21" s="39"/>
    </row>
    <row r="22" spans="1:9" s="37" customFormat="1" ht="26.25" customHeight="1">
      <c r="A22" s="53" t="s">
        <v>229</v>
      </c>
      <c r="B22" s="54" t="s">
        <v>160</v>
      </c>
      <c r="C22" s="53" t="s">
        <v>230</v>
      </c>
      <c r="D22" s="65" t="s">
        <v>273</v>
      </c>
      <c r="E22" s="65" t="s">
        <v>179</v>
      </c>
      <c r="F22" s="167" t="s">
        <v>180</v>
      </c>
      <c r="G22" s="65" t="s">
        <v>183</v>
      </c>
      <c r="H22" s="66" t="s">
        <v>162</v>
      </c>
    </row>
    <row r="23" spans="1:9" ht="15" customHeight="1">
      <c r="A23" s="318">
        <v>1</v>
      </c>
      <c r="B23" s="319" t="str">
        <f>VLOOKUP(OverzichtVloer[[#This Row],[Code Locatie]],Locaties[],2,0)</f>
        <v>ESH Secondary School</v>
      </c>
      <c r="C23" s="318">
        <v>1</v>
      </c>
      <c r="D23" s="320" t="str">
        <f>IF(Vloeronderhoud!$C23&gt;0,VLOOKUP(Vloeronderhoud!$C23,$A$8:$B$19,2,FALSE),"")</f>
        <v>Sprayen/opblokken</v>
      </c>
      <c r="E23" s="321" t="s">
        <v>121</v>
      </c>
      <c r="F23" s="321">
        <f>SUMIFS('Ruimtestaat'!$N:$N,'Ruimtestaat'!L:L,Vloeronderhoud!E23,'Ruimtestaat'!A:A,Vloeronderhoud!A23)</f>
        <v>0</v>
      </c>
      <c r="G23" s="322">
        <v>2</v>
      </c>
      <c r="H23" s="323">
        <f>VLOOKUP(OverzichtVloer[[#This Row],[Code Taak]],InvulVloer[],3,3)*F23*G23</f>
        <v>0</v>
      </c>
    </row>
    <row r="24" spans="1:9" ht="15" customHeight="1">
      <c r="A24" s="318">
        <v>1</v>
      </c>
      <c r="B24" s="319" t="str">
        <f>VLOOKUP(OverzichtVloer[[#This Row],[Code Locatie]],Locaties[],2,0)</f>
        <v>ESH Secondary School</v>
      </c>
      <c r="C24" s="318">
        <v>4</v>
      </c>
      <c r="D24" s="320" t="str">
        <f>IF(Vloeronderhoud!$C24&gt;0,VLOOKUP(Vloeronderhoud!$C24,$A$8:$B$19,2,FALSE),"")</f>
        <v>Topstrippen, sealen en conserveren</v>
      </c>
      <c r="E24" s="321" t="s">
        <v>121</v>
      </c>
      <c r="F24" s="321">
        <f>SUMIFS('Ruimtestaat'!$N:$N,'Ruimtestaat'!L:L,Vloeronderhoud!E24,'Ruimtestaat'!A:A,Vloeronderhoud!A24)</f>
        <v>0</v>
      </c>
      <c r="G24" s="322">
        <v>1</v>
      </c>
      <c r="H24" s="323">
        <f>VLOOKUP(OverzichtVloer[[#This Row],[Code Taak]],InvulVloer[],3,3)*F24*G24</f>
        <v>0</v>
      </c>
    </row>
    <row r="25" spans="1:9" ht="15" customHeight="1">
      <c r="A25" s="318">
        <v>1</v>
      </c>
      <c r="B25" s="319" t="str">
        <f>VLOOKUP(OverzichtVloer[[#This Row],[Code Locatie]],Locaties[],2,0)</f>
        <v>ESH Secondary School</v>
      </c>
      <c r="C25" s="318">
        <v>5</v>
      </c>
      <c r="D25" s="320" t="str">
        <f>IF(Vloeronderhoud!$C25&gt;0,VLOOKUP(Vloeronderhoud!$C25,$A$8:$B$19,2,FALSE),"")</f>
        <v>Tapijtreinigen, sproei-extractie of poedermethode</v>
      </c>
      <c r="E25" s="321" t="s">
        <v>120</v>
      </c>
      <c r="F25" s="321">
        <f>SUMIFS('Ruimtestaat'!$N:$N,'Ruimtestaat'!L:L,Vloeronderhoud!E25,'Ruimtestaat'!A:A,Vloeronderhoud!A25)</f>
        <v>186</v>
      </c>
      <c r="G25" s="322">
        <v>1</v>
      </c>
      <c r="H25" s="323">
        <f>VLOOKUP(OverzichtVloer[[#This Row],[Code Taak]],InvulVloer[],3,3)*F25*G25</f>
        <v>0</v>
      </c>
    </row>
    <row r="26" spans="1:9" ht="15" customHeight="1">
      <c r="A26" s="318">
        <v>1</v>
      </c>
      <c r="B26" s="319" t="str">
        <f>VLOOKUP(OverzichtVloer[[#This Row],[Code Locatie]],Locaties[],2,0)</f>
        <v>ESH Secondary School</v>
      </c>
      <c r="C26" s="318">
        <v>8</v>
      </c>
      <c r="D26" s="320" t="str">
        <f>IF(Vloeronderhoud!$C26&gt;0,VLOOKUP(Vloeronderhoud!$C26,$A$8:$B$19,2,FALSE),"")</f>
        <v>Handmatig schrobben en droogzuigen</v>
      </c>
      <c r="E26" s="321" t="s">
        <v>121</v>
      </c>
      <c r="F26" s="321">
        <f>SUMIFS('Ruimtestaat'!$N:$N,'Ruimtestaat'!L:L,Vloeronderhoud!E26,'Ruimtestaat'!A:A,Vloeronderhoud!A26)</f>
        <v>0</v>
      </c>
      <c r="G26" s="322">
        <v>1</v>
      </c>
      <c r="H26" s="323">
        <f>VLOOKUP(OverzichtVloer[[#This Row],[Code Taak]],InvulVloer[],3,3)*F26*G26</f>
        <v>0</v>
      </c>
    </row>
    <row r="27" spans="1:9" ht="15" customHeight="1">
      <c r="A27" s="318">
        <v>1</v>
      </c>
      <c r="B27" s="319" t="str">
        <f>VLOOKUP(OverzichtVloer[[#This Row],[Code Locatie]],Locaties[],2,0)</f>
        <v>ESH Secondary School</v>
      </c>
      <c r="C27" s="318">
        <v>8</v>
      </c>
      <c r="D27" s="320" t="str">
        <f>IF(Vloeronderhoud!$C27&gt;0,VLOOKUP(Vloeronderhoud!$C27,$A$8:$B$19,2,FALSE),"")</f>
        <v>Handmatig schrobben en droogzuigen</v>
      </c>
      <c r="E27" s="321" t="s">
        <v>123</v>
      </c>
      <c r="F27" s="321">
        <f>SUMIFS('Ruimtestaat'!$N:$N,'Ruimtestaat'!L:L,Vloeronderhoud!E27,'Ruimtestaat'!A:A,Vloeronderhoud!A27)</f>
        <v>7347</v>
      </c>
      <c r="G27" s="322">
        <v>2</v>
      </c>
      <c r="H27" s="323">
        <f>VLOOKUP(OverzichtVloer[[#This Row],[Code Taak]],InvulVloer[],3,3)*F27*G27</f>
        <v>0</v>
      </c>
    </row>
    <row r="28" spans="1:9" ht="15" customHeight="1">
      <c r="A28" s="318">
        <v>1</v>
      </c>
      <c r="B28" s="319" t="str">
        <f>VLOOKUP(OverzichtVloer[[#This Row],[Code Locatie]],Locaties[],2,0)</f>
        <v>ESH Secondary School</v>
      </c>
      <c r="C28" s="318">
        <v>8</v>
      </c>
      <c r="D28" s="320" t="str">
        <f>IF(Vloeronderhoud!$C28&gt;0,VLOOKUP(Vloeronderhoud!$C28,$A$8:$B$19,2,FALSE),"")</f>
        <v>Handmatig schrobben en droogzuigen</v>
      </c>
      <c r="E28" s="321" t="s">
        <v>122</v>
      </c>
      <c r="F28" s="321">
        <f>SUMIFS('Ruimtestaat'!$N:$N,'Ruimtestaat'!L:L,Vloeronderhoud!E28,'Ruimtestaat'!A:A,Vloeronderhoud!A28)</f>
        <v>783</v>
      </c>
      <c r="G28" s="322">
        <v>4</v>
      </c>
      <c r="H28" s="323">
        <f>VLOOKUP(OverzichtVloer[[#This Row],[Code Taak]],InvulVloer[],3,3)*F28*G28</f>
        <v>0</v>
      </c>
    </row>
    <row r="29" spans="1:9" ht="15" customHeight="1">
      <c r="A29" s="318">
        <v>1</v>
      </c>
      <c r="B29" s="319" t="str">
        <f>VLOOKUP(OverzichtVloer[[#This Row],[Code Locatie]],Locaties[],2,0)</f>
        <v>ESH Secondary School</v>
      </c>
      <c r="C29" s="318">
        <v>7</v>
      </c>
      <c r="D29" s="320" t="str">
        <f>IF(Vloeronderhoud!$C29&gt;0,VLOOKUP(Vloeronderhoud!$C29,$A$8:$B$19,2,FALSE),"")</f>
        <v>Schuren en lakken houten vloer</v>
      </c>
      <c r="E29" s="321" t="s">
        <v>1793</v>
      </c>
      <c r="F29" s="321">
        <f>SUMIFS('Ruimtestaat'!$N:$N,'Ruimtestaat'!L:L,Vloeronderhoud!E29,'Ruimtestaat'!A:A,Vloeronderhoud!A29)</f>
        <v>689</v>
      </c>
      <c r="G29" s="322">
        <v>1</v>
      </c>
      <c r="H29" s="323">
        <f>VLOOKUP(OverzichtVloer[[#This Row],[Code Taak]],InvulVloer[],3,3)*F29*G29</f>
        <v>0</v>
      </c>
    </row>
    <row r="30" spans="1:9" ht="15" customHeight="1">
      <c r="A30" s="175"/>
      <c r="B30" s="176" t="s">
        <v>36</v>
      </c>
      <c r="C30" s="175"/>
      <c r="D30" s="177"/>
      <c r="E30" s="175"/>
      <c r="F30" s="178"/>
      <c r="G30" s="175"/>
      <c r="H30" s="179">
        <f>SUBTOTAL(109,OverzichtVloer[Kosten/jaar excl. BTW])</f>
        <v>0</v>
      </c>
    </row>
    <row r="31" spans="1:9" ht="15" customHeight="1">
      <c r="A31" s="41"/>
      <c r="C31" s="39"/>
      <c r="D31" s="39"/>
      <c r="E31" s="39"/>
      <c r="F31" s="166"/>
      <c r="G31" s="45"/>
      <c r="H31" s="40"/>
    </row>
  </sheetData>
  <mergeCells count="3">
    <mergeCell ref="A1:H1"/>
    <mergeCell ref="A2:H2"/>
    <mergeCell ref="E7:I7"/>
  </mergeCells>
  <pageMargins left="0.70866141732283472" right="0.70866141732283472" top="0.35433070866141736" bottom="0.47244094488188981" header="0.31496062992125984" footer="0.31496062992125984"/>
  <pageSetup paperSize="9" scale="59" fitToHeight="0" orientation="landscape" r:id="rId1"/>
  <headerFooter alignWithMargins="0">
    <oddFooter>&amp;L&amp;F&amp;C&amp;D&amp;R&amp;A</oddFooter>
  </headerFooter>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101"/>
  <sheetViews>
    <sheetView showGridLines="0" view="pageBreakPreview" zoomScale="115" zoomScaleNormal="100" zoomScaleSheetLayoutView="115" workbookViewId="0">
      <selection activeCell="B15" sqref="B15"/>
    </sheetView>
  </sheetViews>
  <sheetFormatPr defaultColWidth="9.140625" defaultRowHeight="15" customHeight="1"/>
  <cols>
    <col min="1" max="1" width="11.5703125" style="22" customWidth="1"/>
    <col min="2" max="2" width="73.140625" style="4" customWidth="1"/>
    <col min="3" max="3" width="12.5703125" style="4" customWidth="1"/>
    <col min="4" max="4" width="74.42578125" style="22" bestFit="1" customWidth="1"/>
    <col min="5" max="5" width="19" style="4" customWidth="1"/>
    <col min="6" max="6" width="16" style="4" bestFit="1" customWidth="1"/>
    <col min="7" max="7" width="19" style="4" customWidth="1"/>
    <col min="8" max="8" width="11.42578125" style="4" customWidth="1"/>
    <col min="9" max="16384" width="9.140625" style="4"/>
  </cols>
  <sheetData>
    <row r="1" spans="1:9" s="9" customFormat="1" ht="26.25" customHeight="1">
      <c r="A1" s="406" t="s">
        <v>51</v>
      </c>
      <c r="B1" s="406"/>
      <c r="C1" s="406"/>
      <c r="D1" s="406"/>
      <c r="E1" s="406"/>
      <c r="F1" s="406"/>
      <c r="G1" s="406"/>
      <c r="H1" s="82"/>
    </row>
    <row r="2" spans="1:9" s="9" customFormat="1" ht="15" customHeight="1">
      <c r="A2" s="421" t="s">
        <v>234</v>
      </c>
      <c r="B2" s="389"/>
      <c r="C2" s="389"/>
      <c r="D2" s="389"/>
      <c r="E2" s="389"/>
      <c r="F2" s="389"/>
      <c r="G2" s="389"/>
    </row>
    <row r="3" spans="1:9" ht="15" customHeight="1">
      <c r="B3" s="22"/>
      <c r="D3" s="4"/>
    </row>
    <row r="4" spans="1:9" ht="15" customHeight="1">
      <c r="A4" s="4" t="s">
        <v>197</v>
      </c>
      <c r="B4" s="22"/>
      <c r="D4" s="4"/>
    </row>
    <row r="5" spans="1:9" ht="15" customHeight="1">
      <c r="A5" s="4" t="s">
        <v>267</v>
      </c>
      <c r="B5" s="22"/>
      <c r="D5" s="4"/>
    </row>
    <row r="6" spans="1:9" ht="15" customHeight="1">
      <c r="A6" s="4" t="s">
        <v>216</v>
      </c>
      <c r="B6" s="42"/>
      <c r="C6" s="42"/>
      <c r="D6" s="38"/>
      <c r="E6" s="38"/>
      <c r="F6" s="43"/>
      <c r="G6" s="43"/>
    </row>
    <row r="7" spans="1:9" ht="15" customHeight="1">
      <c r="A7" s="4"/>
      <c r="B7" s="42"/>
      <c r="C7" s="42"/>
      <c r="D7" s="38"/>
      <c r="E7" s="422" t="s">
        <v>1401</v>
      </c>
      <c r="F7" s="422"/>
      <c r="G7" s="422"/>
      <c r="H7" s="422"/>
      <c r="I7" s="422"/>
    </row>
    <row r="8" spans="1:9" s="8" customFormat="1" ht="26.25" customHeight="1">
      <c r="A8" s="53" t="s">
        <v>231</v>
      </c>
      <c r="B8" s="54" t="s">
        <v>161</v>
      </c>
      <c r="C8" s="55" t="s">
        <v>196</v>
      </c>
      <c r="D8" s="53" t="s">
        <v>166</v>
      </c>
      <c r="E8" s="53" t="s">
        <v>1407</v>
      </c>
      <c r="F8" s="53" t="s">
        <v>1408</v>
      </c>
      <c r="G8" s="53" t="s">
        <v>1409</v>
      </c>
      <c r="H8" s="53" t="s">
        <v>1410</v>
      </c>
      <c r="I8" s="53" t="s">
        <v>1471</v>
      </c>
    </row>
    <row r="9" spans="1:9" ht="15" customHeight="1">
      <c r="A9" s="56">
        <v>1</v>
      </c>
      <c r="B9" s="57" t="s">
        <v>253</v>
      </c>
      <c r="C9" s="58">
        <v>0</v>
      </c>
      <c r="D9" s="61" t="s">
        <v>164</v>
      </c>
      <c r="E9" s="294" t="e">
        <f>(InvulGlas[[#This Row],[Prijs excl. BTW]]*Tariefsopbouw!$I$37)+InvulGlas[[#This Row],[Prijs excl. BTW]]</f>
        <v>#DIV/0!</v>
      </c>
      <c r="F9" s="294" t="e">
        <f>(InvulGlas[[#This Row],[2022]]*Tariefsopbouw!$K$37)+InvulGlas[[#This Row],[2022]]</f>
        <v>#DIV/0!</v>
      </c>
      <c r="G9" s="294" t="e">
        <f>(InvulGlas[[#This Row],[2023]]*Tariefsopbouw!$M$37)+InvulGlas[[#This Row],[2023]]</f>
        <v>#DIV/0!</v>
      </c>
      <c r="H9" s="294" t="e">
        <f>(InvulGlas[[#This Row],[2024]]*Tariefsopbouw!$O$37)+InvulGlas[[#This Row],[2024]]</f>
        <v>#DIV/0!</v>
      </c>
      <c r="I9" s="294" t="e">
        <f>(InvulGlas[[#This Row],[2025]]*Tariefsopbouw!$Q$37)+InvulGlas[[#This Row],[2025]]</f>
        <v>#DIV/0!</v>
      </c>
    </row>
    <row r="10" spans="1:9" ht="15" customHeight="1">
      <c r="A10" s="59">
        <v>2</v>
      </c>
      <c r="B10" s="60" t="s">
        <v>163</v>
      </c>
      <c r="C10" s="58">
        <v>0</v>
      </c>
      <c r="D10" s="64" t="s">
        <v>164</v>
      </c>
      <c r="E10" s="294" t="e">
        <f>(InvulGlas[[#This Row],[Prijs excl. BTW]]*Tariefsopbouw!$I$37)+InvulGlas[[#This Row],[Prijs excl. BTW]]</f>
        <v>#DIV/0!</v>
      </c>
      <c r="F10" s="294" t="e">
        <f>(InvulGlas[[#This Row],[2022]]*Tariefsopbouw!$K$37)+InvulGlas[[#This Row],[2022]]</f>
        <v>#DIV/0!</v>
      </c>
      <c r="G10" s="294" t="e">
        <f>(InvulGlas[[#This Row],[2023]]*Tariefsopbouw!$M$37)+InvulGlas[[#This Row],[2023]]</f>
        <v>#DIV/0!</v>
      </c>
      <c r="H10" s="294" t="e">
        <f>(InvulGlas[[#This Row],[2024]]*Tariefsopbouw!$O$37)+InvulGlas[[#This Row],[2024]]</f>
        <v>#DIV/0!</v>
      </c>
      <c r="I10" s="294" t="e">
        <f>(InvulGlas[[#This Row],[2025]]*Tariefsopbouw!$Q$37)+InvulGlas[[#This Row],[2025]]</f>
        <v>#DIV/0!</v>
      </c>
    </row>
    <row r="11" spans="1:9" ht="15" customHeight="1">
      <c r="A11" s="56">
        <v>3</v>
      </c>
      <c r="B11" s="57" t="s">
        <v>165</v>
      </c>
      <c r="C11" s="58">
        <v>0</v>
      </c>
      <c r="D11" s="61" t="s">
        <v>164</v>
      </c>
      <c r="E11" s="294" t="e">
        <f>(InvulGlas[[#This Row],[Prijs excl. BTW]]*Tariefsopbouw!$I$37)+InvulGlas[[#This Row],[Prijs excl. BTW]]</f>
        <v>#DIV/0!</v>
      </c>
      <c r="F11" s="294" t="e">
        <f>(InvulGlas[[#This Row],[2022]]*Tariefsopbouw!$K$37)+InvulGlas[[#This Row],[2022]]</f>
        <v>#DIV/0!</v>
      </c>
      <c r="G11" s="294" t="e">
        <f>(InvulGlas[[#This Row],[2023]]*Tariefsopbouw!$M$37)+InvulGlas[[#This Row],[2023]]</f>
        <v>#DIV/0!</v>
      </c>
      <c r="H11" s="294" t="e">
        <f>(InvulGlas[[#This Row],[2024]]*Tariefsopbouw!$O$37)+InvulGlas[[#This Row],[2024]]</f>
        <v>#DIV/0!</v>
      </c>
      <c r="I11" s="294" t="e">
        <f>(InvulGlas[[#This Row],[2025]]*Tariefsopbouw!$Q$37)+InvulGlas[[#This Row],[2025]]</f>
        <v>#DIV/0!</v>
      </c>
    </row>
    <row r="12" spans="1:9" ht="15" customHeight="1">
      <c r="A12" s="59">
        <v>4</v>
      </c>
      <c r="B12" s="60" t="s">
        <v>254</v>
      </c>
      <c r="C12" s="58">
        <v>0</v>
      </c>
      <c r="D12" s="64" t="s">
        <v>164</v>
      </c>
      <c r="E12" s="294" t="e">
        <f>(InvulGlas[[#This Row],[Prijs excl. BTW]]*Tariefsopbouw!$I$37)+InvulGlas[[#This Row],[Prijs excl. BTW]]</f>
        <v>#DIV/0!</v>
      </c>
      <c r="F12" s="294" t="e">
        <f>(InvulGlas[[#This Row],[2022]]*Tariefsopbouw!$K$37)+InvulGlas[[#This Row],[2022]]</f>
        <v>#DIV/0!</v>
      </c>
      <c r="G12" s="294" t="e">
        <f>(InvulGlas[[#This Row],[2023]]*Tariefsopbouw!$M$37)+InvulGlas[[#This Row],[2023]]</f>
        <v>#DIV/0!</v>
      </c>
      <c r="H12" s="294" t="e">
        <f>(InvulGlas[[#This Row],[2024]]*Tariefsopbouw!$O$37)+InvulGlas[[#This Row],[2024]]</f>
        <v>#DIV/0!</v>
      </c>
      <c r="I12" s="294" t="e">
        <f>(InvulGlas[[#This Row],[2025]]*Tariefsopbouw!$Q$37)+InvulGlas[[#This Row],[2025]]</f>
        <v>#DIV/0!</v>
      </c>
    </row>
    <row r="13" spans="1:9" ht="15" customHeight="1">
      <c r="A13" s="56">
        <v>5</v>
      </c>
      <c r="B13" s="57" t="s">
        <v>280</v>
      </c>
      <c r="C13" s="58">
        <v>0</v>
      </c>
      <c r="D13" s="61" t="s">
        <v>164</v>
      </c>
      <c r="E13" s="294" t="e">
        <f>(InvulGlas[[#This Row],[Prijs excl. BTW]]*Tariefsopbouw!$I$37)+InvulGlas[[#This Row],[Prijs excl. BTW]]</f>
        <v>#DIV/0!</v>
      </c>
      <c r="F13" s="294" t="e">
        <f>(InvulGlas[[#This Row],[2022]]*Tariefsopbouw!$K$37)+InvulGlas[[#This Row],[2022]]</f>
        <v>#DIV/0!</v>
      </c>
      <c r="G13" s="294" t="e">
        <f>(InvulGlas[[#This Row],[2023]]*Tariefsopbouw!$M$37)+InvulGlas[[#This Row],[2023]]</f>
        <v>#DIV/0!</v>
      </c>
      <c r="H13" s="294" t="e">
        <f>(InvulGlas[[#This Row],[2024]]*Tariefsopbouw!$O$37)+InvulGlas[[#This Row],[2024]]</f>
        <v>#DIV/0!</v>
      </c>
      <c r="I13" s="294" t="e">
        <f>(InvulGlas[[#This Row],[2025]]*Tariefsopbouw!$Q$37)+InvulGlas[[#This Row],[2025]]</f>
        <v>#DIV/0!</v>
      </c>
    </row>
    <row r="14" spans="1:9" ht="15" customHeight="1">
      <c r="A14" s="59">
        <v>6</v>
      </c>
      <c r="B14" s="60" t="s">
        <v>252</v>
      </c>
      <c r="C14" s="58">
        <v>0</v>
      </c>
      <c r="D14" s="64" t="s">
        <v>164</v>
      </c>
      <c r="E14" s="294" t="e">
        <f>(InvulGlas[[#This Row],[Prijs excl. BTW]]*Tariefsopbouw!$I$37)+InvulGlas[[#This Row],[Prijs excl. BTW]]</f>
        <v>#DIV/0!</v>
      </c>
      <c r="F14" s="294" t="e">
        <f>(InvulGlas[[#This Row],[2022]]*Tariefsopbouw!$K$37)+InvulGlas[[#This Row],[2022]]</f>
        <v>#DIV/0!</v>
      </c>
      <c r="G14" s="294" t="e">
        <f>(InvulGlas[[#This Row],[2023]]*Tariefsopbouw!$M$37)+InvulGlas[[#This Row],[2023]]</f>
        <v>#DIV/0!</v>
      </c>
      <c r="H14" s="294" t="e">
        <f>(InvulGlas[[#This Row],[2024]]*Tariefsopbouw!$O$37)+InvulGlas[[#This Row],[2024]]</f>
        <v>#DIV/0!</v>
      </c>
      <c r="I14" s="294" t="e">
        <f>(InvulGlas[[#This Row],[2025]]*Tariefsopbouw!$Q$37)+InvulGlas[[#This Row],[2025]]</f>
        <v>#DIV/0!</v>
      </c>
    </row>
    <row r="15" spans="1:9" ht="15" customHeight="1">
      <c r="A15" s="56">
        <v>7</v>
      </c>
      <c r="B15" s="57" t="s">
        <v>281</v>
      </c>
      <c r="C15" s="58">
        <v>0</v>
      </c>
      <c r="D15" s="61" t="s">
        <v>276</v>
      </c>
      <c r="E15" s="294" t="e">
        <f>(InvulGlas[[#This Row],[Prijs excl. BTW]]*Tariefsopbouw!$I$37)+InvulGlas[[#This Row],[Prijs excl. BTW]]</f>
        <v>#DIV/0!</v>
      </c>
      <c r="F15" s="294" t="e">
        <f>(InvulGlas[[#This Row],[2022]]*Tariefsopbouw!$K$37)+InvulGlas[[#This Row],[2022]]</f>
        <v>#DIV/0!</v>
      </c>
      <c r="G15" s="294" t="e">
        <f>(InvulGlas[[#This Row],[2023]]*Tariefsopbouw!$M$37)+InvulGlas[[#This Row],[2023]]</f>
        <v>#DIV/0!</v>
      </c>
      <c r="H15" s="294" t="e">
        <f>(InvulGlas[[#This Row],[2024]]*Tariefsopbouw!$O$37)+InvulGlas[[#This Row],[2024]]</f>
        <v>#DIV/0!</v>
      </c>
      <c r="I15" s="294" t="e">
        <f>(InvulGlas[[#This Row],[2025]]*Tariefsopbouw!$Q$37)+InvulGlas[[#This Row],[2025]]</f>
        <v>#DIV/0!</v>
      </c>
    </row>
    <row r="16" spans="1:9" ht="15" customHeight="1">
      <c r="A16" s="59">
        <v>8</v>
      </c>
      <c r="B16" s="60" t="s">
        <v>279</v>
      </c>
      <c r="C16" s="58">
        <v>0</v>
      </c>
      <c r="D16" s="64" t="s">
        <v>164</v>
      </c>
      <c r="E16" s="294" t="e">
        <f>(InvulGlas[[#This Row],[Prijs excl. BTW]]*Tariefsopbouw!$I$37)+InvulGlas[[#This Row],[Prijs excl. BTW]]</f>
        <v>#DIV/0!</v>
      </c>
      <c r="F16" s="294" t="e">
        <f>(InvulGlas[[#This Row],[2022]]*Tariefsopbouw!$K$37)+InvulGlas[[#This Row],[2022]]</f>
        <v>#DIV/0!</v>
      </c>
      <c r="G16" s="294" t="e">
        <f>(InvulGlas[[#This Row],[2023]]*Tariefsopbouw!$M$37)+InvulGlas[[#This Row],[2023]]</f>
        <v>#DIV/0!</v>
      </c>
      <c r="H16" s="294" t="e">
        <f>(InvulGlas[[#This Row],[2024]]*Tariefsopbouw!$O$37)+InvulGlas[[#This Row],[2024]]</f>
        <v>#DIV/0!</v>
      </c>
      <c r="I16" s="294" t="e">
        <f>(InvulGlas[[#This Row],[2025]]*Tariefsopbouw!$Q$37)+InvulGlas[[#This Row],[2025]]</f>
        <v>#DIV/0!</v>
      </c>
    </row>
    <row r="17" spans="1:9" ht="15" customHeight="1">
      <c r="A17" s="56">
        <v>9</v>
      </c>
      <c r="B17" s="57" t="s">
        <v>1231</v>
      </c>
      <c r="C17" s="58">
        <v>0</v>
      </c>
      <c r="D17" s="61" t="s">
        <v>164</v>
      </c>
      <c r="E17" s="294" t="e">
        <f>(InvulGlas[[#This Row],[Prijs excl. BTW]]*Tariefsopbouw!$I$37)+InvulGlas[[#This Row],[Prijs excl. BTW]]</f>
        <v>#DIV/0!</v>
      </c>
      <c r="F17" s="294" t="e">
        <f>(InvulGlas[[#This Row],[2022]]*Tariefsopbouw!$K$37)+InvulGlas[[#This Row],[2022]]</f>
        <v>#DIV/0!</v>
      </c>
      <c r="G17" s="294" t="e">
        <f>(InvulGlas[[#This Row],[2023]]*Tariefsopbouw!$M$37)+InvulGlas[[#This Row],[2023]]</f>
        <v>#DIV/0!</v>
      </c>
      <c r="H17" s="294" t="e">
        <f>(InvulGlas[[#This Row],[2024]]*Tariefsopbouw!$O$37)+InvulGlas[[#This Row],[2024]]</f>
        <v>#DIV/0!</v>
      </c>
      <c r="I17" s="294" t="e">
        <f>(InvulGlas[[#This Row],[2025]]*Tariefsopbouw!$Q$37)+InvulGlas[[#This Row],[2025]]</f>
        <v>#DIV/0!</v>
      </c>
    </row>
    <row r="18" spans="1:9" ht="15" customHeight="1">
      <c r="A18" s="59">
        <v>10</v>
      </c>
      <c r="B18" s="60" t="s">
        <v>1232</v>
      </c>
      <c r="C18" s="58">
        <v>0</v>
      </c>
      <c r="D18" s="64" t="s">
        <v>58</v>
      </c>
      <c r="E18" s="294" t="e">
        <f>(InvulGlas[[#This Row],[Prijs excl. BTW]]*Tariefsopbouw!$I$37)+InvulGlas[[#This Row],[Prijs excl. BTW]]</f>
        <v>#DIV/0!</v>
      </c>
      <c r="F18" s="294" t="e">
        <f>(InvulGlas[[#This Row],[2022]]*Tariefsopbouw!$K$37)+InvulGlas[[#This Row],[2022]]</f>
        <v>#DIV/0!</v>
      </c>
      <c r="G18" s="294" t="e">
        <f>(InvulGlas[[#This Row],[2023]]*Tariefsopbouw!$M$37)+InvulGlas[[#This Row],[2023]]</f>
        <v>#DIV/0!</v>
      </c>
      <c r="H18" s="294" t="e">
        <f>(InvulGlas[[#This Row],[2024]]*Tariefsopbouw!$O$37)+InvulGlas[[#This Row],[2024]]</f>
        <v>#DIV/0!</v>
      </c>
      <c r="I18" s="294" t="e">
        <f>(InvulGlas[[#This Row],[2025]]*Tariefsopbouw!$Q$37)+InvulGlas[[#This Row],[2025]]</f>
        <v>#DIV/0!</v>
      </c>
    </row>
    <row r="19" spans="1:9" ht="15" customHeight="1">
      <c r="A19" s="59" t="s">
        <v>173</v>
      </c>
      <c r="B19" s="60" t="s">
        <v>168</v>
      </c>
      <c r="C19" s="58">
        <v>0</v>
      </c>
      <c r="D19" s="64" t="s">
        <v>171</v>
      </c>
      <c r="E19" s="294" t="e">
        <f>(InvulGlas[[#This Row],[Prijs excl. BTW]]*Tariefsopbouw!$I$37)+InvulGlas[[#This Row],[Prijs excl. BTW]]</f>
        <v>#DIV/0!</v>
      </c>
      <c r="F19" s="294" t="e">
        <f>(InvulGlas[[#This Row],[2022]]*Tariefsopbouw!$K$37)+InvulGlas[[#This Row],[2022]]</f>
        <v>#DIV/0!</v>
      </c>
      <c r="G19" s="294" t="e">
        <f>(InvulGlas[[#This Row],[2023]]*Tariefsopbouw!$M$37)+InvulGlas[[#This Row],[2023]]</f>
        <v>#DIV/0!</v>
      </c>
      <c r="H19" s="294" t="e">
        <f>(InvulGlas[[#This Row],[2024]]*Tariefsopbouw!$O$37)+InvulGlas[[#This Row],[2024]]</f>
        <v>#DIV/0!</v>
      </c>
      <c r="I19" s="294" t="e">
        <f>(InvulGlas[[#This Row],[2025]]*Tariefsopbouw!$Q$37)+InvulGlas[[#This Row],[2025]]</f>
        <v>#DIV/0!</v>
      </c>
    </row>
    <row r="20" spans="1:9" ht="15" customHeight="1">
      <c r="A20" s="56" t="s">
        <v>174</v>
      </c>
      <c r="B20" s="57" t="s">
        <v>169</v>
      </c>
      <c r="C20" s="58">
        <v>0</v>
      </c>
      <c r="D20" s="61" t="s">
        <v>171</v>
      </c>
      <c r="E20" s="294" t="e">
        <f>(InvulGlas[[#This Row],[Prijs excl. BTW]]*Tariefsopbouw!$I$37)+InvulGlas[[#This Row],[Prijs excl. BTW]]</f>
        <v>#DIV/0!</v>
      </c>
      <c r="F20" s="294" t="e">
        <f>(InvulGlas[[#This Row],[2022]]*Tariefsopbouw!$K$37)+InvulGlas[[#This Row],[2022]]</f>
        <v>#DIV/0!</v>
      </c>
      <c r="G20" s="294" t="e">
        <f>(InvulGlas[[#This Row],[2023]]*Tariefsopbouw!$M$37)+InvulGlas[[#This Row],[2023]]</f>
        <v>#DIV/0!</v>
      </c>
      <c r="H20" s="294" t="e">
        <f>(InvulGlas[[#This Row],[2024]]*Tariefsopbouw!$O$37)+InvulGlas[[#This Row],[2024]]</f>
        <v>#DIV/0!</v>
      </c>
      <c r="I20" s="294" t="e">
        <f>(InvulGlas[[#This Row],[2025]]*Tariefsopbouw!$Q$37)+InvulGlas[[#This Row],[2025]]</f>
        <v>#DIV/0!</v>
      </c>
    </row>
    <row r="21" spans="1:9" ht="15" customHeight="1">
      <c r="A21" s="59" t="s">
        <v>175</v>
      </c>
      <c r="B21" s="60" t="s">
        <v>170</v>
      </c>
      <c r="C21" s="58">
        <v>0</v>
      </c>
      <c r="D21" s="64" t="s">
        <v>171</v>
      </c>
      <c r="E21" s="294" t="e">
        <f>(InvulGlas[[#This Row],[Prijs excl. BTW]]*Tariefsopbouw!$I$37)+InvulGlas[[#This Row],[Prijs excl. BTW]]</f>
        <v>#DIV/0!</v>
      </c>
      <c r="F21" s="294" t="e">
        <f>(InvulGlas[[#This Row],[2022]]*Tariefsopbouw!$K$37)+InvulGlas[[#This Row],[2022]]</f>
        <v>#DIV/0!</v>
      </c>
      <c r="G21" s="294" t="e">
        <f>(InvulGlas[[#This Row],[2023]]*Tariefsopbouw!$M$37)+InvulGlas[[#This Row],[2023]]</f>
        <v>#DIV/0!</v>
      </c>
      <c r="H21" s="294" t="e">
        <f>(InvulGlas[[#This Row],[2024]]*Tariefsopbouw!$O$37)+InvulGlas[[#This Row],[2024]]</f>
        <v>#DIV/0!</v>
      </c>
      <c r="I21" s="294" t="e">
        <f>(InvulGlas[[#This Row],[2025]]*Tariefsopbouw!$Q$37)+InvulGlas[[#This Row],[2025]]</f>
        <v>#DIV/0!</v>
      </c>
    </row>
    <row r="22" spans="1:9" ht="15" customHeight="1">
      <c r="A22" s="56" t="s">
        <v>277</v>
      </c>
      <c r="B22" s="57" t="s">
        <v>278</v>
      </c>
      <c r="C22" s="58">
        <v>0</v>
      </c>
      <c r="D22" s="61" t="s">
        <v>171</v>
      </c>
      <c r="E22" s="294" t="e">
        <f>(InvulGlas[[#This Row],[Prijs excl. BTW]]*Tariefsopbouw!$I$37)+InvulGlas[[#This Row],[Prijs excl. BTW]]</f>
        <v>#DIV/0!</v>
      </c>
      <c r="F22" s="294" t="e">
        <f>(InvulGlas[[#This Row],[2022]]*Tariefsopbouw!$K$37)+InvulGlas[[#This Row],[2022]]</f>
        <v>#DIV/0!</v>
      </c>
      <c r="G22" s="294" t="e">
        <f>(InvulGlas[[#This Row],[2023]]*Tariefsopbouw!$M$37)+InvulGlas[[#This Row],[2023]]</f>
        <v>#DIV/0!</v>
      </c>
      <c r="H22" s="294" t="e">
        <f>(InvulGlas[[#This Row],[2024]]*Tariefsopbouw!$O$37)+InvulGlas[[#This Row],[2024]]</f>
        <v>#DIV/0!</v>
      </c>
      <c r="I22" s="294" t="e">
        <f>(InvulGlas[[#This Row],[2025]]*Tariefsopbouw!$Q$37)+InvulGlas[[#This Row],[2025]]</f>
        <v>#DIV/0!</v>
      </c>
    </row>
    <row r="23" spans="1:9" ht="15" customHeight="1">
      <c r="C23" s="39"/>
      <c r="D23" s="39"/>
    </row>
    <row r="24" spans="1:9" s="76" customFormat="1" ht="26.25" customHeight="1">
      <c r="A24" s="77" t="s">
        <v>229</v>
      </c>
      <c r="B24" s="77" t="s">
        <v>160</v>
      </c>
      <c r="C24" s="77" t="s">
        <v>231</v>
      </c>
      <c r="D24" s="78" t="s">
        <v>161</v>
      </c>
      <c r="E24" s="78" t="s">
        <v>172</v>
      </c>
      <c r="F24" s="78" t="s">
        <v>140</v>
      </c>
      <c r="G24" s="79" t="s">
        <v>162</v>
      </c>
    </row>
    <row r="25" spans="1:9" ht="15" customHeight="1">
      <c r="A25" s="59">
        <v>1</v>
      </c>
      <c r="B25" s="64" t="str">
        <f>VLOOKUP(OverzichtGlas[[#This Row],[Code Locatie]],Locaties[],2,0)</f>
        <v>ESH Secondary School</v>
      </c>
      <c r="C25" s="59">
        <v>1</v>
      </c>
      <c r="D25" s="70" t="str">
        <f>IF(Glasbewassing!$C25&gt;0,VLOOKUP(Glasbewassing!$C25,$A$8:$B$22,2,FALSE),"Hier vult u de inzet van eventuele hoogwerkers in")</f>
        <v>Gevelglas binnenzijde</v>
      </c>
      <c r="E25" s="71">
        <v>1314.3</v>
      </c>
      <c r="F25" s="71">
        <v>2</v>
      </c>
      <c r="G25" s="72">
        <f>IF(C25&gt;0,VLOOKUP(OverzichtGlas[[#This Row],[Code taak]],InvulGlas[],3,0)*E25*F25,0)</f>
        <v>0</v>
      </c>
    </row>
    <row r="26" spans="1:9" ht="15" customHeight="1">
      <c r="A26" s="56">
        <v>1</v>
      </c>
      <c r="B26" s="61" t="str">
        <f>VLOOKUP(OverzichtGlas[[#This Row],[Code Locatie]],Locaties[],2,0)</f>
        <v>ESH Secondary School</v>
      </c>
      <c r="C26" s="56">
        <v>2</v>
      </c>
      <c r="D26" s="67" t="str">
        <f>IF(Glasbewassing!$C26&gt;0,VLOOKUP(Glasbewassing!$C26,$A$8:$B$22,2,FALSE),"Hier vult u de inzet van eventuele hoogwerkers in")</f>
        <v>Gevelglas buitenzijde</v>
      </c>
      <c r="E26" s="68">
        <v>1314.3</v>
      </c>
      <c r="F26" s="68">
        <v>2</v>
      </c>
      <c r="G26" s="69">
        <f>IF(C26&gt;0,VLOOKUP(OverzichtGlas[[#This Row],[Code taak]],InvulGlas[],3,0)*E26*F26,0)</f>
        <v>0</v>
      </c>
    </row>
    <row r="27" spans="1:9" ht="15" customHeight="1">
      <c r="A27" s="59">
        <v>1</v>
      </c>
      <c r="B27" s="64" t="str">
        <f>VLOOKUP(OverzichtGlas[[#This Row],[Code Locatie]],Locaties[],2,0)</f>
        <v>ESH Secondary School</v>
      </c>
      <c r="C27" s="59">
        <v>3</v>
      </c>
      <c r="D27" s="70" t="str">
        <f>IF(Glasbewassing!$C27&gt;0,VLOOKUP(Glasbewassing!$C27,$A$8:$B$22,2,FALSE),"Hier vult u de inzet van eventuele hoogwerkers in")</f>
        <v>Separatieglas (enkel gemeten, dubbel te wassen)</v>
      </c>
      <c r="E27" s="71">
        <v>470</v>
      </c>
      <c r="F27" s="71">
        <v>2</v>
      </c>
      <c r="G27" s="72">
        <f>IF(C27&gt;0,VLOOKUP(OverzichtGlas[[#This Row],[Code taak]],InvulGlas[],3,0)*E27*F27,0)</f>
        <v>0</v>
      </c>
    </row>
    <row r="28" spans="1:9" ht="15" customHeight="1">
      <c r="A28" s="56">
        <v>1</v>
      </c>
      <c r="B28" s="61" t="str">
        <f>VLOOKUP(OverzichtGlas[[#This Row],[Code Locatie]],Locaties[],2,0)</f>
        <v>ESH Secondary School</v>
      </c>
      <c r="C28" s="316"/>
      <c r="D28" s="67" t="str">
        <f>IF(Glasbewassing!$C28&gt;0,VLOOKUP(Glasbewassing!$C28,$A$8:$B$22,2,FALSE),"Hier vult u de inzet van eventuele hoogwerkers in")</f>
        <v>Hier vult u de inzet van eventuele hoogwerkers in</v>
      </c>
      <c r="E28" s="316"/>
      <c r="F28" s="68">
        <v>2</v>
      </c>
      <c r="G28" s="69">
        <f>IF(C28&gt;0,VLOOKUP(OverzichtGlas[[#This Row],[Code taak]],InvulGlas[],3,0)*E28*F28,0)</f>
        <v>0</v>
      </c>
    </row>
    <row r="29" spans="1:9" ht="15" customHeight="1">
      <c r="A29" s="59">
        <v>1</v>
      </c>
      <c r="B29" s="64" t="str">
        <f>VLOOKUP(OverzichtGlas[[#This Row],[Code Locatie]],Locaties[],2,0)</f>
        <v>ESH Secondary School</v>
      </c>
      <c r="C29" s="316"/>
      <c r="D29" s="70" t="str">
        <f>IF(Glasbewassing!$C29&gt;0,VLOOKUP(Glasbewassing!$C29,$A$8:$B$22,2,FALSE),"Hier vult u de inzet van eventuele hoogwerkers in")</f>
        <v>Hier vult u de inzet van eventuele hoogwerkers in</v>
      </c>
      <c r="E29" s="316"/>
      <c r="F29" s="71">
        <v>2</v>
      </c>
      <c r="G29" s="72">
        <f>IF(C29&gt;0,VLOOKUP(OverzichtGlas[[#This Row],[Code taak]],InvulGlas[],3,0)*E29*F29,0)</f>
        <v>0</v>
      </c>
    </row>
    <row r="30" spans="1:9" ht="15" customHeight="1">
      <c r="A30" s="168" t="s">
        <v>36</v>
      </c>
      <c r="B30" s="169"/>
      <c r="C30" s="168"/>
      <c r="D30" s="170"/>
      <c r="E30" s="168"/>
      <c r="F30" s="168"/>
      <c r="G30" s="171">
        <f>SUBTOTAL(109,OverzichtGlas[Kosten/jaar excl. BTW])</f>
        <v>0</v>
      </c>
    </row>
    <row r="31" spans="1:9" ht="15" customHeight="1">
      <c r="C31" s="39"/>
      <c r="D31" s="39"/>
      <c r="E31" s="39"/>
      <c r="F31" s="45"/>
      <c r="G31" s="40"/>
    </row>
    <row r="32" spans="1:9" ht="15" customHeight="1">
      <c r="C32" s="22"/>
      <c r="D32" s="4"/>
    </row>
    <row r="33" spans="3:4" ht="15" customHeight="1">
      <c r="C33" s="22"/>
      <c r="D33" s="4"/>
    </row>
    <row r="34" spans="3:4" ht="15" customHeight="1">
      <c r="C34" s="22"/>
      <c r="D34" s="4"/>
    </row>
    <row r="35" spans="3:4" ht="15" customHeight="1">
      <c r="C35" s="22"/>
      <c r="D35" s="4"/>
    </row>
    <row r="36" spans="3:4" ht="15" customHeight="1">
      <c r="C36" s="22"/>
      <c r="D36" s="4"/>
    </row>
    <row r="37" spans="3:4" ht="15" customHeight="1">
      <c r="C37" s="22"/>
      <c r="D37" s="4"/>
    </row>
    <row r="38" spans="3:4" ht="15" customHeight="1">
      <c r="C38" s="22"/>
      <c r="D38" s="4"/>
    </row>
    <row r="39" spans="3:4" ht="15" customHeight="1">
      <c r="C39" s="22"/>
      <c r="D39" s="4"/>
    </row>
    <row r="40" spans="3:4" ht="15" customHeight="1">
      <c r="C40" s="22"/>
      <c r="D40" s="4"/>
    </row>
    <row r="41" spans="3:4" ht="15" customHeight="1">
      <c r="C41" s="22"/>
      <c r="D41" s="4"/>
    </row>
    <row r="42" spans="3:4" ht="15" customHeight="1">
      <c r="C42" s="22"/>
      <c r="D42" s="4"/>
    </row>
    <row r="43" spans="3:4" ht="15" customHeight="1">
      <c r="C43" s="22"/>
      <c r="D43" s="4"/>
    </row>
    <row r="44" spans="3:4" ht="15" customHeight="1">
      <c r="C44" s="22"/>
      <c r="D44" s="4"/>
    </row>
    <row r="45" spans="3:4" ht="15" customHeight="1">
      <c r="C45" s="22"/>
      <c r="D45" s="4"/>
    </row>
    <row r="46" spans="3:4" ht="15" customHeight="1">
      <c r="C46" s="22"/>
      <c r="D46" s="4"/>
    </row>
    <row r="47" spans="3:4" ht="15" customHeight="1">
      <c r="C47" s="22"/>
      <c r="D47" s="4"/>
    </row>
    <row r="48" spans="3:4" ht="15" customHeight="1">
      <c r="C48" s="22"/>
      <c r="D48" s="4"/>
    </row>
    <row r="49" spans="3:4" ht="15" customHeight="1">
      <c r="C49" s="22"/>
      <c r="D49" s="4"/>
    </row>
    <row r="50" spans="3:4" ht="15" customHeight="1">
      <c r="C50" s="22"/>
      <c r="D50" s="4"/>
    </row>
    <row r="51" spans="3:4" ht="15" customHeight="1">
      <c r="C51" s="22"/>
      <c r="D51" s="4"/>
    </row>
    <row r="52" spans="3:4" ht="15" customHeight="1">
      <c r="C52" s="22"/>
      <c r="D52" s="4"/>
    </row>
    <row r="53" spans="3:4" ht="15" customHeight="1">
      <c r="C53" s="22"/>
      <c r="D53" s="4"/>
    </row>
    <row r="54" spans="3:4" ht="15" customHeight="1">
      <c r="C54" s="22"/>
      <c r="D54" s="4"/>
    </row>
    <row r="55" spans="3:4" ht="15" customHeight="1">
      <c r="C55" s="22"/>
      <c r="D55" s="4"/>
    </row>
    <row r="56" spans="3:4" ht="15" customHeight="1">
      <c r="C56" s="22"/>
      <c r="D56" s="4"/>
    </row>
    <row r="57" spans="3:4" ht="15" customHeight="1">
      <c r="C57" s="22"/>
      <c r="D57" s="4"/>
    </row>
    <row r="58" spans="3:4" ht="15" customHeight="1">
      <c r="C58" s="22"/>
      <c r="D58" s="4"/>
    </row>
    <row r="59" spans="3:4" ht="15" customHeight="1">
      <c r="C59" s="22"/>
      <c r="D59" s="4"/>
    </row>
    <row r="60" spans="3:4" ht="15" customHeight="1">
      <c r="C60" s="22"/>
      <c r="D60" s="4"/>
    </row>
    <row r="61" spans="3:4" ht="15" customHeight="1">
      <c r="C61" s="22"/>
      <c r="D61" s="4"/>
    </row>
    <row r="62" spans="3:4" ht="15" customHeight="1">
      <c r="C62" s="22"/>
      <c r="D62" s="4"/>
    </row>
    <row r="63" spans="3:4" ht="15" customHeight="1">
      <c r="C63" s="22"/>
      <c r="D63" s="4"/>
    </row>
    <row r="64" spans="3:4" ht="15" customHeight="1">
      <c r="C64" s="22"/>
      <c r="D64" s="4"/>
    </row>
    <row r="65" spans="3:4" ht="15" customHeight="1">
      <c r="C65" s="22"/>
      <c r="D65" s="4"/>
    </row>
    <row r="66" spans="3:4" ht="15" customHeight="1">
      <c r="C66" s="22"/>
      <c r="D66" s="4"/>
    </row>
    <row r="67" spans="3:4" ht="15" customHeight="1">
      <c r="C67" s="22"/>
      <c r="D67" s="4"/>
    </row>
    <row r="68" spans="3:4" ht="15" customHeight="1">
      <c r="C68" s="22"/>
      <c r="D68" s="4"/>
    </row>
    <row r="69" spans="3:4" ht="15" customHeight="1">
      <c r="C69" s="22"/>
      <c r="D69" s="4"/>
    </row>
    <row r="70" spans="3:4" ht="15" customHeight="1">
      <c r="C70" s="22"/>
      <c r="D70" s="4"/>
    </row>
    <row r="71" spans="3:4" ht="15" customHeight="1">
      <c r="C71" s="22"/>
      <c r="D71" s="4"/>
    </row>
    <row r="72" spans="3:4" ht="15" customHeight="1">
      <c r="C72" s="22"/>
      <c r="D72" s="4"/>
    </row>
    <row r="73" spans="3:4" ht="15" customHeight="1">
      <c r="C73" s="22"/>
      <c r="D73" s="4"/>
    </row>
    <row r="74" spans="3:4" ht="15" customHeight="1">
      <c r="C74" s="22"/>
      <c r="D74" s="4"/>
    </row>
    <row r="75" spans="3:4" ht="15" customHeight="1">
      <c r="C75" s="22"/>
      <c r="D75" s="4"/>
    </row>
    <row r="76" spans="3:4" ht="15" customHeight="1">
      <c r="C76" s="22"/>
      <c r="D76" s="4"/>
    </row>
    <row r="77" spans="3:4" ht="15" customHeight="1">
      <c r="C77" s="22"/>
      <c r="D77" s="4"/>
    </row>
    <row r="78" spans="3:4" ht="15" customHeight="1">
      <c r="C78" s="22"/>
      <c r="D78" s="4"/>
    </row>
    <row r="79" spans="3:4" ht="15" customHeight="1">
      <c r="C79" s="22"/>
      <c r="D79" s="4"/>
    </row>
    <row r="80" spans="3:4" ht="15" customHeight="1">
      <c r="C80" s="22"/>
      <c r="D80" s="4"/>
    </row>
    <row r="81" spans="3:4" ht="15" customHeight="1">
      <c r="C81" s="22"/>
      <c r="D81" s="4"/>
    </row>
    <row r="82" spans="3:4" ht="15" customHeight="1">
      <c r="C82" s="22"/>
      <c r="D82" s="4"/>
    </row>
    <row r="83" spans="3:4" ht="15" customHeight="1">
      <c r="C83" s="22"/>
      <c r="D83" s="4"/>
    </row>
    <row r="84" spans="3:4" ht="15" customHeight="1">
      <c r="C84" s="22"/>
      <c r="D84" s="4"/>
    </row>
    <row r="85" spans="3:4" ht="15" customHeight="1">
      <c r="C85" s="22"/>
      <c r="D85" s="4"/>
    </row>
    <row r="86" spans="3:4" ht="15" customHeight="1">
      <c r="C86" s="22"/>
      <c r="D86" s="4"/>
    </row>
    <row r="87" spans="3:4" ht="15" customHeight="1">
      <c r="C87" s="22"/>
      <c r="D87" s="4"/>
    </row>
    <row r="88" spans="3:4" ht="15" customHeight="1">
      <c r="C88" s="22"/>
      <c r="D88" s="4"/>
    </row>
    <row r="89" spans="3:4" ht="15" customHeight="1">
      <c r="C89" s="22"/>
      <c r="D89" s="4"/>
    </row>
    <row r="90" spans="3:4" ht="15" customHeight="1">
      <c r="C90" s="22"/>
      <c r="D90" s="4"/>
    </row>
    <row r="91" spans="3:4" ht="15" customHeight="1">
      <c r="C91" s="22"/>
      <c r="D91" s="4"/>
    </row>
    <row r="92" spans="3:4" ht="15" customHeight="1">
      <c r="C92" s="22"/>
      <c r="D92" s="4"/>
    </row>
    <row r="93" spans="3:4" ht="15" customHeight="1">
      <c r="C93" s="22"/>
      <c r="D93" s="4"/>
    </row>
    <row r="94" spans="3:4" ht="15" customHeight="1">
      <c r="C94" s="22"/>
      <c r="D94" s="4"/>
    </row>
    <row r="95" spans="3:4" ht="15" customHeight="1">
      <c r="C95" s="22"/>
      <c r="D95" s="4"/>
    </row>
    <row r="96" spans="3:4" ht="15" customHeight="1">
      <c r="C96" s="22"/>
      <c r="D96" s="4"/>
    </row>
    <row r="97" spans="3:4" ht="15" customHeight="1">
      <c r="C97" s="22"/>
      <c r="D97" s="4"/>
    </row>
    <row r="98" spans="3:4" ht="15" customHeight="1">
      <c r="C98" s="22"/>
      <c r="D98" s="4"/>
    </row>
    <row r="99" spans="3:4" ht="15" customHeight="1">
      <c r="C99" s="22"/>
      <c r="D99" s="4"/>
    </row>
    <row r="100" spans="3:4" ht="15" customHeight="1">
      <c r="C100" s="22"/>
      <c r="D100" s="4"/>
    </row>
    <row r="101" spans="3:4" ht="15" customHeight="1">
      <c r="C101" s="22"/>
      <c r="D101" s="4"/>
    </row>
  </sheetData>
  <mergeCells count="3">
    <mergeCell ref="A2:G2"/>
    <mergeCell ref="A1:G1"/>
    <mergeCell ref="E7:I7"/>
  </mergeCells>
  <phoneticPr fontId="19" type="noConversion"/>
  <pageMargins left="0.70866141732283472" right="0.70866141732283472" top="0.35433070866141736" bottom="0.47244094488188981" header="0.31496062992125984" footer="0.31496062992125984"/>
  <pageSetup paperSize="9" scale="54"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82C03-8FC8-4412-BC36-D63D5E5EEF5A}">
  <dimension ref="A1:G16"/>
  <sheetViews>
    <sheetView workbookViewId="0">
      <selection activeCell="B4" sqref="B4"/>
    </sheetView>
  </sheetViews>
  <sheetFormatPr defaultRowHeight="12.75"/>
  <cols>
    <col min="2" max="2" width="52.28515625" bestFit="1" customWidth="1"/>
    <col min="3" max="3" width="22.7109375" bestFit="1" customWidth="1"/>
    <col min="7" max="7" width="13.28515625" customWidth="1"/>
  </cols>
  <sheetData>
    <row r="1" spans="1:7">
      <c r="A1" s="404" t="s">
        <v>235</v>
      </c>
      <c r="B1" s="405"/>
      <c r="C1" s="405"/>
      <c r="D1" s="405"/>
      <c r="E1" s="405"/>
    </row>
    <row r="2" spans="1:7">
      <c r="A2" s="153"/>
      <c r="B2" s="153"/>
      <c r="C2" s="153"/>
      <c r="D2" s="153"/>
      <c r="E2" s="153" t="s">
        <v>1807</v>
      </c>
      <c r="G2" s="2"/>
    </row>
    <row r="3" spans="1:7" ht="24" thickBot="1">
      <c r="A3" s="359"/>
      <c r="B3" s="359" t="s">
        <v>1797</v>
      </c>
      <c r="C3" s="359"/>
      <c r="D3" s="359"/>
      <c r="E3" s="359"/>
      <c r="F3" s="370" t="s">
        <v>1808</v>
      </c>
      <c r="G3" s="359" t="s">
        <v>1798</v>
      </c>
    </row>
    <row r="4" spans="1:7" ht="13.5" thickBot="1">
      <c r="A4" s="200"/>
      <c r="B4" s="200" t="s">
        <v>1810</v>
      </c>
      <c r="C4" s="200" t="s">
        <v>1815</v>
      </c>
      <c r="D4" s="200" t="s">
        <v>1800</v>
      </c>
      <c r="E4" s="200"/>
      <c r="F4" s="360">
        <v>15</v>
      </c>
      <c r="G4" s="357"/>
    </row>
    <row r="5" spans="1:7">
      <c r="A5" s="200"/>
      <c r="B5" s="200" t="s">
        <v>1799</v>
      </c>
      <c r="C5" s="200"/>
      <c r="D5" s="200" t="s">
        <v>1800</v>
      </c>
      <c r="E5" s="200"/>
      <c r="F5" s="360">
        <v>400</v>
      </c>
      <c r="G5" s="357"/>
    </row>
    <row r="6" spans="1:7">
      <c r="A6" s="200"/>
      <c r="B6" s="200" t="s">
        <v>1801</v>
      </c>
      <c r="C6" s="200"/>
      <c r="D6" s="200" t="s">
        <v>1800</v>
      </c>
      <c r="E6" s="200"/>
      <c r="F6" s="361">
        <v>250</v>
      </c>
      <c r="G6" s="357"/>
    </row>
    <row r="7" spans="1:7">
      <c r="A7" s="200"/>
      <c r="B7" s="200" t="s">
        <v>1802</v>
      </c>
      <c r="C7" s="200"/>
      <c r="D7" s="362" t="s">
        <v>1800</v>
      </c>
      <c r="E7" s="200"/>
      <c r="F7" s="361">
        <v>10</v>
      </c>
      <c r="G7" s="357"/>
    </row>
    <row r="8" spans="1:7">
      <c r="A8" s="200"/>
      <c r="B8" s="200" t="s">
        <v>1803</v>
      </c>
      <c r="C8" s="200"/>
      <c r="D8" s="362" t="s">
        <v>1800</v>
      </c>
      <c r="E8" s="200"/>
      <c r="F8" s="361">
        <v>2</v>
      </c>
      <c r="G8" s="357"/>
    </row>
    <row r="9" spans="1:7">
      <c r="A9" s="200"/>
      <c r="B9" s="200" t="s">
        <v>1804</v>
      </c>
      <c r="C9" s="200"/>
      <c r="D9" s="362" t="s">
        <v>1800</v>
      </c>
      <c r="E9" s="200"/>
      <c r="F9" s="363">
        <v>2</v>
      </c>
      <c r="G9" s="357"/>
    </row>
    <row r="10" spans="1:7">
      <c r="A10" s="200"/>
      <c r="B10" s="200" t="s">
        <v>1805</v>
      </c>
      <c r="C10" s="200"/>
      <c r="D10" s="362" t="s">
        <v>1800</v>
      </c>
      <c r="E10" s="200"/>
      <c r="F10" s="363">
        <v>2</v>
      </c>
      <c r="G10" s="357"/>
    </row>
    <row r="11" spans="1:7" ht="13.5" thickBot="1">
      <c r="A11" s="200"/>
      <c r="B11" s="200" t="s">
        <v>1806</v>
      </c>
      <c r="C11" s="200"/>
      <c r="D11" s="364" t="s">
        <v>1800</v>
      </c>
      <c r="E11" s="364"/>
      <c r="F11" s="363">
        <v>100</v>
      </c>
      <c r="G11" s="357"/>
    </row>
    <row r="12" spans="1:7" ht="13.5" thickBot="1">
      <c r="A12" s="153" t="s">
        <v>1814</v>
      </c>
      <c r="B12" s="153"/>
      <c r="C12" s="153"/>
      <c r="D12" s="365" t="s">
        <v>1800</v>
      </c>
      <c r="E12" s="366"/>
      <c r="F12" s="367">
        <f>SUM(F5:F11)</f>
        <v>766</v>
      </c>
      <c r="G12" s="369">
        <f>SUM(G5:G11)</f>
        <v>0</v>
      </c>
    </row>
    <row r="13" spans="1:7">
      <c r="A13" s="2"/>
      <c r="B13" s="2" t="s">
        <v>1809</v>
      </c>
      <c r="C13" s="368"/>
      <c r="D13" s="2"/>
      <c r="E13" s="2"/>
      <c r="F13" s="2"/>
      <c r="G13" s="2"/>
    </row>
    <row r="14" spans="1:7">
      <c r="B14" s="371" t="s">
        <v>1811</v>
      </c>
    </row>
    <row r="15" spans="1:7">
      <c r="B15" s="371" t="s">
        <v>1812</v>
      </c>
    </row>
    <row r="16" spans="1:7">
      <c r="B16" s="371" t="s">
        <v>1813</v>
      </c>
    </row>
  </sheetData>
  <mergeCells count="1">
    <mergeCell ref="A1:E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2" ma:contentTypeDescription="Een nieuw document maken." ma:contentTypeScope="" ma:versionID="192334a1dffbd6b3bcaa0f1579ba8540">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93f98d314c795f322e3c6568e2c902ed"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D7BC9A8-F5C2-407C-A2C1-2FCEF0E784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3.xml><?xml version="1.0" encoding="utf-8"?>
<ds:datastoreItem xmlns:ds="http://schemas.openxmlformats.org/officeDocument/2006/customXml" ds:itemID="{8101D780-3B97-493C-9478-2802C9533A1F}">
  <ds:schemaRefs>
    <ds:schemaRef ds:uri="http://schemas.microsoft.com/office/infopath/2007/PartnerControls"/>
    <ds:schemaRef ds:uri="5d807127-6dfe-4777-9fc9-8a2ccfc388c3"/>
    <ds:schemaRef ds:uri="http://purl.org/dc/elements/1.1/"/>
    <ds:schemaRef ds:uri="http://schemas.microsoft.com/office/2006/metadata/properties"/>
    <ds:schemaRef ds:uri="46c995e6-7f53-48aa-a5ad-a9d38912b46a"/>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vt:i4>
      </vt:variant>
      <vt:variant>
        <vt:lpstr>Benoemde bereiken</vt:lpstr>
      </vt:variant>
      <vt:variant>
        <vt:i4>9</vt:i4>
      </vt:variant>
    </vt:vector>
  </HeadingPairs>
  <TitlesOfParts>
    <vt:vector size="20" baseType="lpstr">
      <vt:lpstr>Werkprogramma</vt:lpstr>
      <vt:lpstr>Tariefsopbouw</vt:lpstr>
      <vt:lpstr>Overnamegegevens</vt:lpstr>
      <vt:lpstr>Programma</vt:lpstr>
      <vt:lpstr>Prestatiefactoren</vt:lpstr>
      <vt:lpstr>Ruimtestaat</vt:lpstr>
      <vt:lpstr>Vloeronderhoud</vt:lpstr>
      <vt:lpstr>Glasbewassing</vt:lpstr>
      <vt:lpstr>sanitair</vt:lpstr>
      <vt:lpstr>Regie en afroep</vt:lpstr>
      <vt:lpstr>Totalisatie</vt:lpstr>
      <vt:lpstr>Glasbewassing!Afdrukbereik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Werkprogramma!Afdrukbereik</vt:lpstr>
      <vt:lpstr>'Ruimtestaat'!Afdruktitels</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Mark Reichenfeld</dc:creator>
  <cp:lastModifiedBy>Thijs van Duiven | Inkada Inkoop &amp; Advies</cp:lastModifiedBy>
  <cp:lastPrinted>2019-02-01T12:49:38Z</cp:lastPrinted>
  <dcterms:created xsi:type="dcterms:W3CDTF">1999-03-23T11:24:21Z</dcterms:created>
  <dcterms:modified xsi:type="dcterms:W3CDTF">2021-03-08T15:19:55Z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