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mc:AlternateContent xmlns:mc="http://schemas.openxmlformats.org/markup-compatibility/2006">
    <mc:Choice Requires="x15">
      <x15ac:absPath xmlns:x15ac="http://schemas.microsoft.com/office/spreadsheetml/2010/11/ac" url="https://impactverkoop.sharepoint.com/sites/Impact/Gedeelde documenten/Klanten/VGGM/Schoonmaak/augustus 2021/TenderNed/"/>
    </mc:Choice>
  </mc:AlternateContent>
  <xr:revisionPtr revIDLastSave="4" documentId="8_{14EBF0F8-4BF0-4B8D-99C2-7F46D20D3765}" xr6:coauthVersionLast="47" xr6:coauthVersionMax="47" xr10:uidLastSave="{2227EABA-285F-4F43-94F9-D6DED77984CC}"/>
  <bookViews>
    <workbookView xWindow="-28920" yWindow="-120" windowWidth="29040" windowHeight="15840" tabRatio="860" activeTab="5" xr2:uid="{00000000-000D-0000-FFFF-FFFF00000000}"/>
  </bookViews>
  <sheets>
    <sheet name="Toelichting calculatiemodel" sheetId="21" r:id="rId1"/>
    <sheet name="Info blad" sheetId="11" r:id="rId2"/>
    <sheet name="Kostenoverzicht" sheetId="23" r:id="rId3"/>
    <sheet name="Additioneel" sheetId="26" r:id="rId4"/>
    <sheet name="Ruimtestaat" sheetId="27" r:id="rId5"/>
    <sheet name="Glas" sheetId="24" r:id="rId6"/>
    <sheet name="Sanitair" sheetId="25" r:id="rId7"/>
    <sheet name="Afroepprijs" sheetId="5" r:id="rId8"/>
  </sheets>
  <externalReferences>
    <externalReference r:id="rId9"/>
  </externalReferences>
  <definedNames>
    <definedName name="_Fill" localSheetId="1" hidden="1">'[1]#REF'!#REF!</definedName>
    <definedName name="_Fill" hidden="1">'[1]#REF'!#REF!</definedName>
    <definedName name="_xlnm._FilterDatabase" localSheetId="5" hidden="1">Glas!$A$2:$G$77</definedName>
    <definedName name="_Key1" localSheetId="1" hidden="1">'[1]#REF'!#REF!</definedName>
    <definedName name="_Key1" hidden="1">'[1]#REF'!#REF!</definedName>
    <definedName name="_Order1" hidden="1">255</definedName>
    <definedName name="_xlnm.Print_Area" localSheetId="7">Afroepprijs!$A$3:$F$38</definedName>
    <definedName name="_xlnm.Print_Area" localSheetId="1">'Info blad'!$A$1:$F$7</definedName>
    <definedName name="_xlnm.Print_Area" localSheetId="2">Kostenoverzicht!$A$1:$M$46</definedName>
    <definedName name="_xlnm.Print_Area" localSheetId="0">'Toelichting calculatiemodel'!$A$1:$F$32</definedName>
    <definedName name="_xlnm.Print_Titles" localSheetId="7">Afroepprijs!#REF!</definedName>
    <definedName name="_xlnm.Print_Titles" localSheetId="2">Kostenoverzicht!$A:$B</definedName>
    <definedName name="gebouw">#REF!</definedName>
    <definedName name="han" hidden="1">'[1]#REF'!#REF!</definedName>
    <definedName name="Kengetal">#REF!</definedName>
    <definedName name="uren_mavr">#REF!</definedName>
    <definedName name="uren_naloop">#REF!</definedName>
    <definedName name="uren_zazof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24" l="1"/>
  <c r="G5" i="24"/>
  <c r="G6" i="24"/>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56" i="24"/>
  <c r="G57" i="24"/>
  <c r="G58" i="24"/>
  <c r="G59" i="24"/>
  <c r="G60" i="24"/>
  <c r="G61" i="24"/>
  <c r="G62" i="24"/>
  <c r="G63" i="24"/>
  <c r="G64" i="24"/>
  <c r="G65" i="24"/>
  <c r="G66" i="24"/>
  <c r="G67" i="24"/>
  <c r="G68" i="24"/>
  <c r="G69" i="24"/>
  <c r="G70" i="24"/>
  <c r="G71" i="24"/>
  <c r="G72" i="24"/>
  <c r="G73" i="24"/>
  <c r="G74" i="24"/>
  <c r="G75" i="24"/>
  <c r="G76" i="24"/>
  <c r="G77" i="24"/>
  <c r="G78" i="24"/>
  <c r="G79" i="24"/>
  <c r="G80" i="24"/>
  <c r="G81" i="24"/>
  <c r="G82" i="24"/>
  <c r="G83" i="24"/>
  <c r="G84" i="24"/>
  <c r="G85" i="24"/>
  <c r="G86" i="24"/>
  <c r="G87" i="24"/>
  <c r="G88" i="24"/>
  <c r="G89" i="24"/>
  <c r="G90" i="24"/>
  <c r="G91" i="24"/>
  <c r="G92" i="24"/>
  <c r="G93" i="24"/>
  <c r="G94" i="24"/>
  <c r="G95" i="24"/>
  <c r="G96" i="24"/>
  <c r="G97" i="24"/>
  <c r="G98" i="24"/>
  <c r="G99" i="24"/>
  <c r="G100" i="24"/>
  <c r="G101" i="24"/>
  <c r="G102" i="24"/>
  <c r="G103" i="24"/>
  <c r="G104" i="24"/>
  <c r="G105" i="24"/>
  <c r="G106" i="24"/>
  <c r="G107" i="24"/>
  <c r="G108" i="24"/>
  <c r="G109" i="24"/>
  <c r="G110" i="24"/>
  <c r="G111" i="24"/>
  <c r="G112" i="24"/>
  <c r="G113" i="24"/>
  <c r="G3" i="24"/>
  <c r="F30" i="25"/>
  <c r="F9" i="25"/>
  <c r="L7" i="23" l="1"/>
  <c r="L8" i="23"/>
  <c r="L9" i="23"/>
  <c r="L10" i="23"/>
  <c r="L11" i="23"/>
  <c r="L12" i="23"/>
  <c r="L13" i="23"/>
  <c r="L14" i="23"/>
  <c r="L15" i="23"/>
  <c r="L16" i="23"/>
  <c r="L17" i="23"/>
  <c r="L18" i="23"/>
  <c r="L19" i="23"/>
  <c r="L20" i="23"/>
  <c r="L21" i="23"/>
  <c r="L22" i="23"/>
  <c r="L23" i="23"/>
  <c r="L24" i="23"/>
  <c r="L25" i="23"/>
  <c r="L26" i="23"/>
  <c r="L27" i="23"/>
  <c r="L28" i="23"/>
  <c r="L29" i="23"/>
  <c r="L30" i="23"/>
  <c r="L31" i="23"/>
  <c r="L32" i="23"/>
  <c r="L33" i="23"/>
  <c r="L34" i="23"/>
  <c r="L35" i="23"/>
  <c r="L36" i="23"/>
  <c r="L37" i="23"/>
  <c r="L38" i="23"/>
  <c r="L39" i="23"/>
  <c r="L40" i="23"/>
  <c r="L41" i="23"/>
  <c r="L42" i="23"/>
  <c r="L43" i="23"/>
  <c r="L6" i="23"/>
  <c r="H7" i="23"/>
  <c r="H8" i="23"/>
  <c r="H9" i="23"/>
  <c r="H10" i="23"/>
  <c r="H11" i="23"/>
  <c r="H12" i="23"/>
  <c r="H13" i="23"/>
  <c r="H14" i="23"/>
  <c r="H15" i="23"/>
  <c r="H16" i="23"/>
  <c r="H17" i="23"/>
  <c r="H18" i="23"/>
  <c r="H19" i="23"/>
  <c r="H20" i="23"/>
  <c r="H21" i="23"/>
  <c r="H22" i="23"/>
  <c r="H23" i="23"/>
  <c r="H24" i="23"/>
  <c r="H25" i="23"/>
  <c r="H26" i="23"/>
  <c r="H27" i="23"/>
  <c r="H28" i="23"/>
  <c r="H29" i="23"/>
  <c r="H30" i="23"/>
  <c r="H31" i="23"/>
  <c r="H32" i="23"/>
  <c r="H33" i="23"/>
  <c r="H34" i="23"/>
  <c r="H35" i="23"/>
  <c r="H36" i="23"/>
  <c r="H37" i="23"/>
  <c r="H38" i="23"/>
  <c r="H39" i="23"/>
  <c r="H40" i="23"/>
  <c r="H41" i="23"/>
  <c r="H42" i="23"/>
  <c r="H43" i="23"/>
  <c r="H6" i="23"/>
  <c r="G7" i="23"/>
  <c r="G8" i="23"/>
  <c r="G9" i="23"/>
  <c r="G10" i="23"/>
  <c r="G11" i="23"/>
  <c r="G12" i="23"/>
  <c r="G13" i="23"/>
  <c r="G14" i="23"/>
  <c r="G15" i="23"/>
  <c r="G16" i="23"/>
  <c r="G17" i="23"/>
  <c r="G18" i="23"/>
  <c r="G19" i="23"/>
  <c r="G20" i="23"/>
  <c r="G21" i="23"/>
  <c r="G22" i="23"/>
  <c r="G23" i="23"/>
  <c r="G24" i="23"/>
  <c r="G25" i="23"/>
  <c r="G26" i="23"/>
  <c r="G27" i="23"/>
  <c r="G28" i="23"/>
  <c r="G29" i="23"/>
  <c r="G30" i="23"/>
  <c r="G31" i="23"/>
  <c r="G32" i="23"/>
  <c r="G33" i="23"/>
  <c r="G34" i="23"/>
  <c r="G35" i="23"/>
  <c r="G36" i="23"/>
  <c r="G37" i="23"/>
  <c r="G38" i="23"/>
  <c r="G39" i="23"/>
  <c r="G40" i="23"/>
  <c r="G41" i="23"/>
  <c r="G42" i="23"/>
  <c r="G43" i="23"/>
  <c r="G6" i="23"/>
  <c r="F923" i="27"/>
  <c r="F922" i="27"/>
  <c r="F921" i="27"/>
  <c r="F920" i="27"/>
  <c r="F919" i="27"/>
  <c r="F918" i="27"/>
  <c r="F917" i="27"/>
  <c r="F916" i="27"/>
  <c r="F915" i="27"/>
  <c r="F914" i="27"/>
  <c r="F913" i="27"/>
  <c r="F912" i="27"/>
  <c r="F911" i="27"/>
  <c r="F910" i="27"/>
  <c r="F908" i="27"/>
  <c r="F907" i="27"/>
  <c r="F906" i="27"/>
  <c r="F905" i="27"/>
  <c r="F904" i="27"/>
  <c r="F903" i="27"/>
  <c r="F902" i="27"/>
  <c r="F901" i="27"/>
  <c r="F900" i="27"/>
  <c r="F899" i="27"/>
  <c r="F898" i="27"/>
  <c r="F897" i="27"/>
  <c r="F896" i="27"/>
  <c r="F895" i="27"/>
  <c r="F894" i="27"/>
  <c r="F893" i="27"/>
  <c r="F892" i="27"/>
  <c r="F890" i="27"/>
  <c r="F889" i="27"/>
  <c r="F888" i="27"/>
  <c r="F887" i="27"/>
  <c r="F886" i="27"/>
  <c r="F885" i="27"/>
  <c r="F884" i="27"/>
  <c r="F883" i="27"/>
  <c r="F882" i="27"/>
  <c r="F881" i="27"/>
  <c r="F880" i="27"/>
  <c r="F867" i="27"/>
  <c r="F866" i="27"/>
  <c r="F865" i="27"/>
  <c r="F864" i="27"/>
  <c r="F863" i="27"/>
  <c r="F862" i="27"/>
  <c r="F861" i="27"/>
  <c r="F860" i="27"/>
  <c r="F859" i="27"/>
  <c r="F858" i="27"/>
  <c r="F857" i="27"/>
  <c r="F849" i="27"/>
  <c r="F848" i="27"/>
  <c r="F847" i="27"/>
  <c r="F846" i="27"/>
  <c r="F845" i="27"/>
  <c r="F844" i="27"/>
  <c r="F843" i="27"/>
  <c r="F841" i="27"/>
  <c r="F840" i="27"/>
  <c r="F839" i="27"/>
  <c r="F838" i="27"/>
  <c r="F837" i="27"/>
  <c r="F836" i="27"/>
  <c r="F835" i="27"/>
  <c r="F834" i="27"/>
  <c r="F833" i="27"/>
  <c r="F832" i="27"/>
  <c r="F831" i="27"/>
  <c r="F829" i="27"/>
  <c r="F828" i="27"/>
  <c r="F827" i="27"/>
  <c r="F826" i="27"/>
  <c r="F825" i="27"/>
  <c r="F824" i="27"/>
  <c r="F823" i="27"/>
  <c r="F822" i="27"/>
  <c r="F821" i="27"/>
  <c r="F820" i="27"/>
  <c r="F819" i="27"/>
  <c r="F818" i="27"/>
  <c r="F817" i="27"/>
  <c r="F816" i="27"/>
  <c r="F814" i="27"/>
  <c r="F812" i="27"/>
  <c r="F811" i="27"/>
  <c r="F810" i="27"/>
  <c r="F809" i="27"/>
  <c r="F808" i="27"/>
  <c r="F807" i="27"/>
  <c r="F806" i="27"/>
  <c r="F805" i="27"/>
  <c r="F595" i="27"/>
  <c r="F594" i="27"/>
  <c r="F593" i="27"/>
  <c r="F592" i="27"/>
  <c r="F591" i="27"/>
  <c r="F590" i="27"/>
  <c r="F589" i="27"/>
  <c r="F588" i="27" s="1"/>
  <c r="F587" i="27"/>
  <c r="F586" i="27"/>
  <c r="F585" i="27"/>
  <c r="F584" i="27"/>
  <c r="F583" i="27"/>
  <c r="F582" i="27"/>
  <c r="F581" i="27"/>
  <c r="F580" i="27"/>
  <c r="F579" i="27"/>
  <c r="F578" i="27"/>
  <c r="F517" i="27"/>
  <c r="F513" i="27"/>
  <c r="E27" i="25"/>
  <c r="F27" i="25" s="1"/>
  <c r="C106" i="24"/>
  <c r="C104" i="24"/>
  <c r="C105" i="24" s="1"/>
  <c r="C99" i="24"/>
  <c r="C98" i="24"/>
  <c r="C97" i="24"/>
  <c r="C90" i="24"/>
  <c r="L45" i="23" l="1"/>
  <c r="L46" i="23" s="1"/>
  <c r="E18" i="25"/>
  <c r="F18" i="25" s="1"/>
  <c r="E19" i="25"/>
  <c r="F19" i="25" s="1"/>
  <c r="E20" i="25"/>
  <c r="F20" i="25" s="1"/>
  <c r="E21" i="25"/>
  <c r="F21" i="25" s="1"/>
  <c r="E22" i="25"/>
  <c r="F22" i="25" s="1"/>
  <c r="E23" i="25"/>
  <c r="F23" i="25" s="1"/>
  <c r="E24" i="25"/>
  <c r="F24" i="25" s="1"/>
  <c r="E25" i="25"/>
  <c r="F25" i="25" s="1"/>
  <c r="E26" i="25"/>
  <c r="F26" i="25" s="1"/>
  <c r="E28" i="25"/>
  <c r="F28" i="25" s="1"/>
  <c r="F5" i="25" l="1"/>
  <c r="F6" i="25"/>
  <c r="F7" i="25"/>
  <c r="F8" i="25"/>
  <c r="F4" i="25"/>
  <c r="E14" i="25"/>
  <c r="F14" i="25" s="1"/>
  <c r="E15" i="25"/>
  <c r="F15" i="25" s="1"/>
  <c r="E16" i="25"/>
  <c r="F16" i="25" s="1"/>
  <c r="E17" i="25"/>
  <c r="F17" i="25" s="1"/>
  <c r="E13" i="25"/>
  <c r="F13" i="25" s="1"/>
  <c r="F29" i="25" l="1"/>
  <c r="L48" i="23" l="1"/>
</calcChain>
</file>

<file path=xl/sharedStrings.xml><?xml version="1.0" encoding="utf-8"?>
<sst xmlns="http://schemas.openxmlformats.org/spreadsheetml/2006/main" count="3948" uniqueCount="820">
  <si>
    <t>Vitrage wassen</t>
  </si>
  <si>
    <t>Opmerking:</t>
  </si>
  <si>
    <t>Aantal stuks 0-10</t>
  </si>
  <si>
    <t>Horizontale lammellen droog reinigen</t>
  </si>
  <si>
    <t>Tapijt sproeiextraheren</t>
  </si>
  <si>
    <t>Tapijt poederreiniging</t>
  </si>
  <si>
    <t xml:space="preserve">Stoelen stoffering koolzuurreiniging </t>
  </si>
  <si>
    <t>Tapijt koolzuureinging</t>
  </si>
  <si>
    <t>0-100m2</t>
  </si>
  <si>
    <t>101-500m2</t>
  </si>
  <si>
    <t>501-1000m2</t>
  </si>
  <si>
    <t>&gt; 1000m2</t>
  </si>
  <si>
    <t>Prijspeil</t>
  </si>
  <si>
    <t>Toelichting</t>
  </si>
  <si>
    <t>Alle prijzen exclusief btw</t>
  </si>
  <si>
    <t>Reiniging lamellen, vitrage en overgordijnen (inclusief afhalen en ophangen)</t>
  </si>
  <si>
    <t>Aantal stuks &gt; 100</t>
  </si>
  <si>
    <t>Methode en eindresultaat omschrijven.</t>
  </si>
  <si>
    <t>Instructies voor het invullen van het calculatie model</t>
  </si>
  <si>
    <t>Aantal stuks 51-100</t>
  </si>
  <si>
    <t>GEBOUW</t>
  </si>
  <si>
    <t>VSR CODE</t>
  </si>
  <si>
    <t>M2 VLOER</t>
  </si>
  <si>
    <t>Prijs p/m2  excl. btw</t>
  </si>
  <si>
    <t>Prijs p/stuk excl. btw</t>
  </si>
  <si>
    <t>(inclusief materialen en middelen)</t>
  </si>
  <si>
    <t>BIJZONDERHEDEN</t>
  </si>
  <si>
    <t>Invoervelden</t>
  </si>
  <si>
    <t>Prijs p/m2 boven 100m2 excl. btw</t>
  </si>
  <si>
    <t>Horizontale lammellen nat reinigen</t>
  </si>
  <si>
    <t>2 lagen</t>
  </si>
  <si>
    <t>geheel</t>
  </si>
  <si>
    <t>Prijs p/m1 boven 100m1 excl. btw</t>
  </si>
  <si>
    <t>Prijs p/m1 onder 100m1 excl. btw</t>
  </si>
  <si>
    <t>Alle prijzen inclusief materialen en middelen, voorrijkosten en overige bijkomende kosten.</t>
  </si>
  <si>
    <t>Prijs per jaar</t>
  </si>
  <si>
    <t>Stoelen stoffering poederreinging</t>
  </si>
  <si>
    <t>Eenheid</t>
  </si>
  <si>
    <t>Prijs p/m2 excl. btw</t>
  </si>
  <si>
    <t>Activiteit</t>
  </si>
  <si>
    <t>Info Blad</t>
  </si>
  <si>
    <t>Aantal stuks 11-50</t>
  </si>
  <si>
    <t>Naam leverancier</t>
  </si>
  <si>
    <t>Overgordijnen wassen</t>
  </si>
  <si>
    <t xml:space="preserve">Stoelen stoffering shamponeren </t>
  </si>
  <si>
    <t>Prijsvorming Extra Vloerenonderhoud  (inclusief uit-/inruimen van het meubilair)</t>
  </si>
  <si>
    <t>1 x per week</t>
  </si>
  <si>
    <t>Prijsvorming Stoelen/banken/fauteuils reiniging (uitvoering op afroep)</t>
  </si>
  <si>
    <t>Lino-/marmoleum conserveren</t>
  </si>
  <si>
    <t>Lino-/marmoleum sprayen</t>
  </si>
  <si>
    <t>Steen/PVC schrobben</t>
  </si>
  <si>
    <t>Verticale lammellen nat reinigen</t>
  </si>
  <si>
    <t>Prijs p/m2 onder 100m2 excl. btw</t>
  </si>
  <si>
    <t>Omschrijving</t>
  </si>
  <si>
    <t>Toelichting calculatiemodel</t>
  </si>
  <si>
    <t>De dienstverlener dient voor de calculatie uit te gaan van de in het calculatiemodel opgenomen ruimtegegevens. Indien nodig worden eventuele wijzigingen in de ruimtestaat na gunning in de calculatie doorgevoerd en verrekend met behulp van de door de dienstverlener opgegeven kengetallen.</t>
  </si>
  <si>
    <t>De ruimtestaat bevat de volgende gegevens:</t>
  </si>
  <si>
    <t>Ruimtegegevens</t>
  </si>
  <si>
    <t>GEB</t>
  </si>
  <si>
    <t>Gebouw</t>
  </si>
  <si>
    <t>VERD</t>
  </si>
  <si>
    <t>Verdieping</t>
  </si>
  <si>
    <t>RUIMTENR</t>
  </si>
  <si>
    <t>Ruimtenummer</t>
  </si>
  <si>
    <t>RUIMTE-CATEGORIE</t>
  </si>
  <si>
    <t>omschrijving/benaming van de ruimte</t>
  </si>
  <si>
    <r>
      <t>netto vloer oppervlakte in m</t>
    </r>
    <r>
      <rPr>
        <vertAlign val="superscript"/>
        <sz val="10"/>
        <rFont val="Tahoma"/>
        <family val="2"/>
      </rPr>
      <t>2</t>
    </r>
  </si>
  <si>
    <t>VLOERSOORT</t>
  </si>
  <si>
    <t>omschrijving van de vloersoort</t>
  </si>
  <si>
    <t>FREQ.</t>
  </si>
  <si>
    <t>uitvoeringsfrequentie per jaar</t>
  </si>
  <si>
    <t>PROGR.</t>
  </si>
  <si>
    <t>programma-code</t>
  </si>
  <si>
    <t>UREN MA-VRIJ</t>
  </si>
  <si>
    <t>schoonmaaktijd in uren per jaar voor de basisbeurt van maandag t/m vrijdag</t>
  </si>
  <si>
    <t>UREN NALOOP</t>
  </si>
  <si>
    <t>schoonmaaktijd in uren per jaar voor de naloopronde van maandag t/m vrijdag</t>
  </si>
  <si>
    <t>UREN ZA-ZO-FST</t>
  </si>
  <si>
    <t>schoonmaaktijd in uren per jaar voor zater-, zon- en feestdagen</t>
  </si>
  <si>
    <t>ruimtecode t.b.v. kwaliteitsmeting NEN 2075</t>
  </si>
  <si>
    <t>omschrijving van bijzonderheden</t>
  </si>
  <si>
    <r>
      <t>Uitvoeringsfrequentie</t>
    </r>
    <r>
      <rPr>
        <sz val="8"/>
        <rFont val="Tahoma"/>
        <family val="2"/>
      </rPr>
      <t>  </t>
    </r>
  </si>
  <si>
    <t>Frequentie per jaar</t>
  </si>
  <si>
    <t>2 x per week</t>
  </si>
  <si>
    <t>4 x per jaar</t>
  </si>
  <si>
    <t xml:space="preserve">dagelijks van maandag t/m vrijdag </t>
  </si>
  <si>
    <t>dagelijks van maandag t/m zondag</t>
  </si>
  <si>
    <t>3 x per week</t>
  </si>
  <si>
    <t>5 x per 2 weken oftewel om de dag</t>
  </si>
  <si>
    <t>1 x per maand</t>
  </si>
  <si>
    <t>Lobith, Industrieweg 1a</t>
  </si>
  <si>
    <t>Oosterhout, Dorpstraat 3a</t>
  </si>
  <si>
    <t>Giesbeek, Dorpsplein 7</t>
  </si>
  <si>
    <t>Locatie</t>
  </si>
  <si>
    <t xml:space="preserve">HOOGSTE FREQ. P/J </t>
  </si>
  <si>
    <t>PRIJS P/J PRODUCTIE</t>
  </si>
  <si>
    <t>PRIJS P/J TOEZICHT</t>
  </si>
  <si>
    <t>PRIJS P/J EXLC. BTW</t>
  </si>
  <si>
    <t>Schelmseweg 91, Arnhem</t>
  </si>
  <si>
    <t>Eikenlaan 13-20, Ede</t>
  </si>
  <si>
    <t>Brandweerkazerne Noord, Rietgrachtstraat 74, Arnhem</t>
  </si>
  <si>
    <t>Brandweerkazerne Renkum, Van der Molenallee 10, Doorwerth</t>
  </si>
  <si>
    <t>RAV Post Ijsseloord, Arnhem</t>
  </si>
  <si>
    <t>RAV Post Terschuur, Zelderseweg 63, Terschuur</t>
  </si>
  <si>
    <t>Post Renkum, Utrechtseweg 131</t>
  </si>
  <si>
    <t>Brandweer Post Doornenburg</t>
  </si>
  <si>
    <t>Brandweer Post Gendt</t>
  </si>
  <si>
    <t>Brandweer Post Huissen</t>
  </si>
  <si>
    <t>Brandweer Post Bemmel</t>
  </si>
  <si>
    <t>Brandweer Post Duiven</t>
  </si>
  <si>
    <t>Brandweer Post Rheden</t>
  </si>
  <si>
    <t>Brandweer Post Dieren</t>
  </si>
  <si>
    <t>Brandweer Post Velp</t>
  </si>
  <si>
    <t>Brandweer Post Lunteren</t>
  </si>
  <si>
    <t>Brandweer Post Zevenaar</t>
  </si>
  <si>
    <t>Brandweer Post Ede Stadspoort</t>
  </si>
  <si>
    <t>Brandweer Post Bennekom</t>
  </si>
  <si>
    <t>Brandweer Post Wageningen</t>
  </si>
  <si>
    <t>Brandweer Post Scherpenzeel</t>
  </si>
  <si>
    <t>Entree</t>
  </si>
  <si>
    <t>Kopieerruimte</t>
  </si>
  <si>
    <t>Slaapkamer</t>
  </si>
  <si>
    <t>Brandweerpost Zuid, Groningensingel 1249, Arnhem</t>
  </si>
  <si>
    <t>Wasserette</t>
  </si>
  <si>
    <t>Doucheruimten</t>
  </si>
  <si>
    <t>Fietsenstalling</t>
  </si>
  <si>
    <t>HANDELING</t>
  </si>
  <si>
    <r>
      <t>OPPER VLAKTE IN M</t>
    </r>
    <r>
      <rPr>
        <vertAlign val="superscript"/>
        <sz val="10"/>
        <rFont val="Tahoma"/>
        <family val="2"/>
      </rPr>
      <t>2</t>
    </r>
  </si>
  <si>
    <t xml:space="preserve"> FREQ.</t>
  </si>
  <si>
    <t>KOSTEN BEREIK BAARHEID PER BEURT</t>
  </si>
  <si>
    <t>TOTAAL KOSTEN PER JAAR</t>
  </si>
  <si>
    <t>Wassen van gevelglas buitenzijde</t>
  </si>
  <si>
    <t>Wassen van gevelglas binnenzijde</t>
  </si>
  <si>
    <t>Wassen van separatieglas (dubbelzijdig)</t>
  </si>
  <si>
    <t>Wassen van beplating (enkelzijdig)</t>
  </si>
  <si>
    <t>Wassen van garagedeuren (dubbelzijdig)</t>
  </si>
  <si>
    <t>TOTAAL</t>
  </si>
  <si>
    <t>VGGM gebouw, Eusebiusbuitensingel 43, Arnhem</t>
  </si>
  <si>
    <t xml:space="preserve">Consultatiebureau Breedestraat 40 Doesburg </t>
  </si>
  <si>
    <t>AANTAL</t>
  </si>
  <si>
    <t>PRIJS ADDITIONELE WERKZAAMHEDEN P/J</t>
  </si>
  <si>
    <t>PRIJS GLAS P/J</t>
  </si>
  <si>
    <t xml:space="preserve">DAGELIJKS AANZETTEN VAN VAATWASSER(S) </t>
  </si>
  <si>
    <t>Netto prijs per eenheid</t>
  </si>
  <si>
    <t>Nummer</t>
  </si>
  <si>
    <t>Artikel</t>
  </si>
  <si>
    <t xml:space="preserve">Tork Universal Toilet Paper Roll 400 </t>
  </si>
  <si>
    <t>Tork Premium Soap Liquid Extra Hygiene HD</t>
  </si>
  <si>
    <t>Tork Premium Hand Towel Interfold Extra Soft</t>
  </si>
  <si>
    <t>Tork Advanced Hand Towel Roll Soft</t>
  </si>
  <si>
    <t>Tork toiletpapier 2laags Wit Premium Jumbo dispenser.</t>
  </si>
  <si>
    <t>Specificatie</t>
  </si>
  <si>
    <t>LxB: 50mx10cm Inhoud doos: 30 rollen à 400 vellen 2-laags</t>
  </si>
  <si>
    <t>Antibacterieel S-Box S1 Inhoud doos: 6 flacons à 1000ml</t>
  </si>
  <si>
    <t>LxB: 0,34mx21cm Inhoud doos: 21x100 vellen 2 laags</t>
  </si>
  <si>
    <t>wit/grijs LxB: 150mx21cm Inhoud doos: 6rollen à 612 vellen</t>
  </si>
  <si>
    <t>Lengte: 544 mm Breedte: 281 mm Hoogte: 307 mm Inhoud doos: 6 rollen.</t>
  </si>
  <si>
    <t>Doos</t>
  </si>
  <si>
    <t>SANITAIRE DISPOSABLES</t>
  </si>
  <si>
    <t>SANITAIRE VOORZIENINGEN</t>
  </si>
  <si>
    <t>Huurprijs per stuk</t>
  </si>
  <si>
    <t>Prijs per week</t>
  </si>
  <si>
    <t>Aantal</t>
  </si>
  <si>
    <t>Zeepdispenser (schuimzeep), type First Line, 1 liter</t>
  </si>
  <si>
    <t>Industriedispenser (Zeep), 2 liter</t>
  </si>
  <si>
    <t>Toiletrolautomaat, type First line, 2 rollen van 2-laags á 720 vel</t>
  </si>
  <si>
    <t>Luchtverfrisser modular, type First line</t>
  </si>
  <si>
    <t>Vouwhanddoekdispenser, type First line</t>
  </si>
  <si>
    <t>Damesverbandcontainers, wisselfrequentie 4W</t>
  </si>
  <si>
    <t>PRIJS SANITAIRE VOORZIENINGEN P/J</t>
  </si>
  <si>
    <t>Indicatie verbruik</t>
  </si>
  <si>
    <t>Brandweer Ede, Breelaan 4 (incl. noodcommandopost)</t>
  </si>
  <si>
    <t>RAV Post Ijsseloord Meander 401-409, Arnhem</t>
  </si>
  <si>
    <t>KOELKAST REINIGEN 2 STUKS</t>
  </si>
  <si>
    <t xml:space="preserve">SCHOONMAAKONDERHOUD WEEKENDEN SANITAIR </t>
  </si>
  <si>
    <t>WVG Staete, Eusebiusbuitensingel 43, Arnhem</t>
  </si>
  <si>
    <t>Groningensingel 1249, Arnhem</t>
  </si>
  <si>
    <t>Damesverbandcontainers, wisselfrequentie 2W</t>
  </si>
  <si>
    <t>De  ruimtestaat zijn voorzien van uitvoeringsfrequenties.</t>
  </si>
  <si>
    <t>Handdoekautomaat (katoen) model Initial</t>
  </si>
  <si>
    <t>Brandweer Ede, Breelaan 4</t>
  </si>
  <si>
    <t>Consultatiebureau Huissen, Ot en Sienpad 5</t>
  </si>
  <si>
    <t>Gezondheidcentrum Ede, Eikenlaan 13-20</t>
  </si>
  <si>
    <t>Centrum voor Jeugd en Gezin Barneveld, Bouwheerstraat 50-52</t>
  </si>
  <si>
    <t>Valburg, De Vang 1</t>
  </si>
  <si>
    <t>Elst, Korte Helster 1</t>
  </si>
  <si>
    <t>Oosterbeek, Stijnweg 3</t>
  </si>
  <si>
    <t>Zetten, Stationsstraat 1</t>
  </si>
  <si>
    <t>Duiven, Eilandplein 302</t>
  </si>
  <si>
    <t>RAV Post Ede, Argonstraat 2</t>
  </si>
  <si>
    <t>Arnhem, Snelliusweg 1</t>
  </si>
  <si>
    <t>PRODUCTIE-UREN</t>
  </si>
  <si>
    <t>GEMIDDELD UURTARIEF PRODUCTIE-UREN</t>
  </si>
  <si>
    <t>UURTARIEF TOEZICHT</t>
  </si>
  <si>
    <t>TOEZICHT UREN</t>
  </si>
  <si>
    <t>PRIJSVAST PERIODE 01-02-2022 TOT 01-02-2024</t>
  </si>
  <si>
    <t>VERGELIJKINGSPRIJS</t>
  </si>
  <si>
    <t>DE VERGELIJKINGSPRIJS DIENT OVERGENOMEN TE WORDEN</t>
  </si>
  <si>
    <t xml:space="preserve">OP TENDERNED ALS KOSTEN </t>
  </si>
  <si>
    <t>DAGELIJKS VERZORGEN VAN KOFFIE- EN THEERONDES EN OPRUIMEN LUNCH</t>
  </si>
  <si>
    <t>DAGELIJKS SERVIESGOED OPRUIMEN EN IN- EN UITRUIMEN VAATWASSER EN BIJVULLEN KOFFIEMACHINES</t>
  </si>
  <si>
    <t>Breelaan Ede</t>
  </si>
  <si>
    <t>Wassen van gevelglas buitenzijde met hoogwerker</t>
  </si>
  <si>
    <t>Wassen van gevelglas buitenzijde (VERAG)</t>
  </si>
  <si>
    <t>Wassen van gevelglas binnenzijde (VERAG)</t>
  </si>
  <si>
    <t>Wassen van separatieglas (dubbelzijdig) (VERAG)</t>
  </si>
  <si>
    <t>RAV Post Elst, Nijverheidsweg 45, Elst</t>
  </si>
  <si>
    <t>Schoolstraat 14, Bennekom</t>
  </si>
  <si>
    <t xml:space="preserve">Wassen van gevelglas buitenzijde </t>
  </si>
  <si>
    <t>Consultatiebureau Ot en Sienpad 5 Huissen</t>
  </si>
  <si>
    <t>Gezondheidscentrum Ede, Eikenlaan 13-20 Ede</t>
  </si>
  <si>
    <t>Centrum voor Jeugd en Gezin, Bouwheerstraat 50-52 Barneveld</t>
  </si>
  <si>
    <t>De Vang 1, Valburg</t>
  </si>
  <si>
    <t>Korte Helster 1, Elst</t>
  </si>
  <si>
    <t>Dorpsplein 7, Giesbeek</t>
  </si>
  <si>
    <t>Industrieweg 1a, Lobith</t>
  </si>
  <si>
    <t>Stijnweg 3, Oosterbeek</t>
  </si>
  <si>
    <t>Stationsstraat 1, Zetten</t>
  </si>
  <si>
    <t>Dorpsstraat 3a, Oosterhout</t>
  </si>
  <si>
    <t>Snelliusweg 1, Arnhem</t>
  </si>
  <si>
    <t>RAV Post Elst, Nijverheidsweg 45</t>
  </si>
  <si>
    <t>1. Op het tabblad "Kostenoverzicht" dient u uw gegevens in de blauwe invoervelden in te voeren.</t>
  </si>
  <si>
    <t>3. Op het tabblad "Additioneel" dient u uw gegevens in de blauwe invoervelden in te voeren. En daarna over te nemen in het kostenoverzicht</t>
  </si>
  <si>
    <t>4. Op het tabblad "Glas" dient u uw gegevens in de blauwe invoervelden in te voeren. En daarna over te nemen in het kostenoverzicht</t>
  </si>
  <si>
    <t>SCHOONMAAKONDERHOUD WEEKENDEN SANITAIR</t>
  </si>
  <si>
    <t>2. Op het tabblad "Ruimtestaat" dient u uw gegevens in de blauwe invoervelden in te voeren.</t>
  </si>
  <si>
    <t>VERD.</t>
  </si>
  <si>
    <t xml:space="preserve">RUIMTE NR </t>
  </si>
  <si>
    <t>RUIMTE OMSCHRIJVING (OPDRACHTGEVER)</t>
  </si>
  <si>
    <t>VLOER SOORT</t>
  </si>
  <si>
    <t>OPLEVER FREQ. NOTATIE</t>
  </si>
  <si>
    <t>BG</t>
  </si>
  <si>
    <t>onderzoekskamer voorkeur SOA</t>
  </si>
  <si>
    <t>Pvc</t>
  </si>
  <si>
    <t>onderzoekskamer voorkeur TBC</t>
  </si>
  <si>
    <t>wachtruimte TBC</t>
  </si>
  <si>
    <t>onderzoeksruimte algemeen</t>
  </si>
  <si>
    <t>onderzoekskamer voorkeur reizigers</t>
  </si>
  <si>
    <t xml:space="preserve">spreekkamer voorkeur CB </t>
  </si>
  <si>
    <t xml:space="preserve">consultatiebureau boxenkamer </t>
  </si>
  <si>
    <t xml:space="preserve">vergaderruimte </t>
  </si>
  <si>
    <t>gang</t>
  </si>
  <si>
    <t xml:space="preserve">wachtruimte </t>
  </si>
  <si>
    <t>lift</t>
  </si>
  <si>
    <t>entree</t>
  </si>
  <si>
    <t>Inloopmat</t>
  </si>
  <si>
    <t>lunchruimte</t>
  </si>
  <si>
    <t>keuken</t>
  </si>
  <si>
    <t>trappenhuis</t>
  </si>
  <si>
    <t xml:space="preserve">1e </t>
  </si>
  <si>
    <t>werkkamer</t>
  </si>
  <si>
    <t>Tapijt</t>
  </si>
  <si>
    <t>gesloten vergaderruimte</t>
  </si>
  <si>
    <t>opslag reizigers</t>
  </si>
  <si>
    <t>werktafel 8 werkplekken</t>
  </si>
  <si>
    <t>overleg/wachten</t>
  </si>
  <si>
    <t>pantry</t>
  </si>
  <si>
    <t>repro</t>
  </si>
  <si>
    <t xml:space="preserve">opslag TBC </t>
  </si>
  <si>
    <t>12 x open werkplek</t>
  </si>
  <si>
    <t>opslag</t>
  </si>
  <si>
    <t>toilet</t>
  </si>
  <si>
    <t>Tegels</t>
  </si>
  <si>
    <t>miva toilet</t>
  </si>
  <si>
    <t>Garderobe</t>
  </si>
  <si>
    <t>voorruimte toilet</t>
  </si>
  <si>
    <t>22 x open werkplek</t>
  </si>
  <si>
    <t>werkkamer 2wp</t>
  </si>
  <si>
    <t>overlegruimte 4 p</t>
  </si>
  <si>
    <t>front office telefonie / werkkamer</t>
  </si>
  <si>
    <t>overlegruimte 2 p</t>
  </si>
  <si>
    <t>2e</t>
  </si>
  <si>
    <t>managementkamer</t>
  </si>
  <si>
    <t xml:space="preserve">directiesecretariaat </t>
  </si>
  <si>
    <t>werktafel 4 werkplekken</t>
  </si>
  <si>
    <t>pvc</t>
  </si>
  <si>
    <t>overlegruimte</t>
  </si>
  <si>
    <t>14 x open werkplek</t>
  </si>
  <si>
    <t>20 x open werkplek</t>
  </si>
  <si>
    <t>werkkamer 4 p</t>
  </si>
  <si>
    <t>werkkamer 2 p</t>
  </si>
  <si>
    <t xml:space="preserve">overlegruimte </t>
  </si>
  <si>
    <t>concentratie wp</t>
  </si>
  <si>
    <t>BHV</t>
  </si>
  <si>
    <t>hal</t>
  </si>
  <si>
    <t>3e</t>
  </si>
  <si>
    <t>garderobe</t>
  </si>
  <si>
    <t>bestaande patchruimte</t>
  </si>
  <si>
    <t>kleine postruimte</t>
  </si>
  <si>
    <t>24 x open werkplek</t>
  </si>
  <si>
    <t>Bordes</t>
  </si>
  <si>
    <t>Gang</t>
  </si>
  <si>
    <t>Hal</t>
  </si>
  <si>
    <t>Sluis</t>
  </si>
  <si>
    <t>Trappenhuis</t>
  </si>
  <si>
    <t>Hout</t>
  </si>
  <si>
    <t>Rubbernoppen</t>
  </si>
  <si>
    <t>Vergaderruimte</t>
  </si>
  <si>
    <t>Toiletruimte</t>
  </si>
  <si>
    <t>kantoor brandweer gedeelte</t>
  </si>
  <si>
    <t>bg</t>
  </si>
  <si>
    <t>V.001</t>
  </si>
  <si>
    <t>Portaal</t>
  </si>
  <si>
    <t>K.001</t>
  </si>
  <si>
    <t>Receptie</t>
  </si>
  <si>
    <t>V.002</t>
  </si>
  <si>
    <t>Entreehal</t>
  </si>
  <si>
    <t>F.001</t>
  </si>
  <si>
    <t>MIVA toilet</t>
  </si>
  <si>
    <t>V.004</t>
  </si>
  <si>
    <t>Lift</t>
  </si>
  <si>
    <t>V.003</t>
  </si>
  <si>
    <t>F.003</t>
  </si>
  <si>
    <t>Kleedruimte</t>
  </si>
  <si>
    <t>V.006</t>
  </si>
  <si>
    <t>V.007</t>
  </si>
  <si>
    <t>F.004</t>
  </si>
  <si>
    <t>F.005</t>
  </si>
  <si>
    <t>Toilet</t>
  </si>
  <si>
    <t>F.006</t>
  </si>
  <si>
    <t>F.007</t>
  </si>
  <si>
    <t>F.008</t>
  </si>
  <si>
    <t>F.010</t>
  </si>
  <si>
    <t>Opslag duikmateriaal</t>
  </si>
  <si>
    <t>F.011</t>
  </si>
  <si>
    <t>Kleedruimte duikers</t>
  </si>
  <si>
    <t>W.002</t>
  </si>
  <si>
    <t>Ademluchtruimte</t>
  </si>
  <si>
    <t>W.001</t>
  </si>
  <si>
    <t>Ademlucht voorraad</t>
  </si>
  <si>
    <t>W.003</t>
  </si>
  <si>
    <t>Ademlucht schoon</t>
  </si>
  <si>
    <t>W.004</t>
  </si>
  <si>
    <t>Ademlucht vuil</t>
  </si>
  <si>
    <t>W.005</t>
  </si>
  <si>
    <t>Opslag repressie</t>
  </si>
  <si>
    <t>W.006</t>
  </si>
  <si>
    <t>Slangenwerkplaats</t>
  </si>
  <si>
    <t>K.005</t>
  </si>
  <si>
    <t>Kantoor</t>
  </si>
  <si>
    <t>W.008</t>
  </si>
  <si>
    <t>Electra inventaris</t>
  </si>
  <si>
    <t>R.004</t>
  </si>
  <si>
    <t>Remise 1e en 2e</t>
  </si>
  <si>
    <t>Trap</t>
  </si>
  <si>
    <t>W.007</t>
  </si>
  <si>
    <t>Autowerkplaats</t>
  </si>
  <si>
    <t>W.009</t>
  </si>
  <si>
    <t>Magazijn groot</t>
  </si>
  <si>
    <t>A.009</t>
  </si>
  <si>
    <t>Compressor/noodstroom</t>
  </si>
  <si>
    <t>V.005</t>
  </si>
  <si>
    <t>Entree RAV</t>
  </si>
  <si>
    <t>F.002</t>
  </si>
  <si>
    <t>Toiletten</t>
  </si>
  <si>
    <t>K.003</t>
  </si>
  <si>
    <t>Wachtruimte RAV</t>
  </si>
  <si>
    <t>1e</t>
  </si>
  <si>
    <t>R.001</t>
  </si>
  <si>
    <t>Remise ambulance</t>
  </si>
  <si>
    <t>R.002</t>
  </si>
  <si>
    <t>Remise 2e</t>
  </si>
  <si>
    <t>V.101</t>
  </si>
  <si>
    <t>A.102</t>
  </si>
  <si>
    <t>Techniek</t>
  </si>
  <si>
    <t>V.103</t>
  </si>
  <si>
    <t>K.101</t>
  </si>
  <si>
    <t>Vrijwilligersruimte</t>
  </si>
  <si>
    <t>K.102</t>
  </si>
  <si>
    <t>K.103</t>
  </si>
  <si>
    <t>Leslokaal</t>
  </si>
  <si>
    <t>F.106</t>
  </si>
  <si>
    <t>Keuken</t>
  </si>
  <si>
    <t>V.105</t>
  </si>
  <si>
    <t>F.101</t>
  </si>
  <si>
    <t>F.102</t>
  </si>
  <si>
    <t>F.104</t>
  </si>
  <si>
    <t>Pantry</t>
  </si>
  <si>
    <t>S.101</t>
  </si>
  <si>
    <t>Fitness</t>
  </si>
  <si>
    <t>V.106</t>
  </si>
  <si>
    <t>Ontmoetingsruimte</t>
  </si>
  <si>
    <t>S.102</t>
  </si>
  <si>
    <t>Sportzaal</t>
  </si>
  <si>
    <t>V.201</t>
  </si>
  <si>
    <t>V.203</t>
  </si>
  <si>
    <t>F.201</t>
  </si>
  <si>
    <t>Opslag</t>
  </si>
  <si>
    <t>L.201</t>
  </si>
  <si>
    <t>Slaapvertrek</t>
  </si>
  <si>
    <t>L.202</t>
  </si>
  <si>
    <t>Sanitair</t>
  </si>
  <si>
    <t>L.203</t>
  </si>
  <si>
    <t>L.204</t>
  </si>
  <si>
    <t>L.205</t>
  </si>
  <si>
    <t>L.206</t>
  </si>
  <si>
    <t>L.207</t>
  </si>
  <si>
    <t>L.208</t>
  </si>
  <si>
    <t>L.209</t>
  </si>
  <si>
    <t>L.210</t>
  </si>
  <si>
    <t>L.211</t>
  </si>
  <si>
    <t>L.212</t>
  </si>
  <si>
    <t>L.213</t>
  </si>
  <si>
    <t>L.214</t>
  </si>
  <si>
    <t>L.215</t>
  </si>
  <si>
    <t>L.216</t>
  </si>
  <si>
    <t>L.217</t>
  </si>
  <si>
    <t>L.218</t>
  </si>
  <si>
    <t>L.219</t>
  </si>
  <si>
    <t>L.220</t>
  </si>
  <si>
    <t>L.221</t>
  </si>
  <si>
    <t>L.222</t>
  </si>
  <si>
    <t>L.223</t>
  </si>
  <si>
    <t>L.224</t>
  </si>
  <si>
    <t>L.225</t>
  </si>
  <si>
    <t>L.226</t>
  </si>
  <si>
    <t>L.227</t>
  </si>
  <si>
    <t>L.228</t>
  </si>
  <si>
    <t>L.229</t>
  </si>
  <si>
    <t>L.230</t>
  </si>
  <si>
    <t>L.231</t>
  </si>
  <si>
    <t>L.232</t>
  </si>
  <si>
    <t>F.202</t>
  </si>
  <si>
    <t>F.203</t>
  </si>
  <si>
    <t>K.207</t>
  </si>
  <si>
    <t>Nabespreekruimte</t>
  </si>
  <si>
    <t>K.206</t>
  </si>
  <si>
    <t>Lees/studieruimte</t>
  </si>
  <si>
    <t>K.205</t>
  </si>
  <si>
    <t>Computerruimte</t>
  </si>
  <si>
    <t>K.204</t>
  </si>
  <si>
    <t>Woonkamer</t>
  </si>
  <si>
    <t>K.201</t>
  </si>
  <si>
    <t>Kantine</t>
  </si>
  <si>
    <t>B.202</t>
  </si>
  <si>
    <t>Dakterras</t>
  </si>
  <si>
    <t>V.206</t>
  </si>
  <si>
    <t>K.202</t>
  </si>
  <si>
    <t>K.203</t>
  </si>
  <si>
    <t>TV kamer</t>
  </si>
  <si>
    <t>F.205</t>
  </si>
  <si>
    <t>A.204</t>
  </si>
  <si>
    <t>V.301</t>
  </si>
  <si>
    <t>K.301</t>
  </si>
  <si>
    <t>F.301</t>
  </si>
  <si>
    <t>K.302</t>
  </si>
  <si>
    <t>K.303</t>
  </si>
  <si>
    <t>K.304</t>
  </si>
  <si>
    <t>Open werkplek</t>
  </si>
  <si>
    <t>K.305</t>
  </si>
  <si>
    <t>Spreekkamer</t>
  </si>
  <si>
    <t>K.307</t>
  </si>
  <si>
    <t>Copy/opslag</t>
  </si>
  <si>
    <t>V.303</t>
  </si>
  <si>
    <t>K.306</t>
  </si>
  <si>
    <t>K.308</t>
  </si>
  <si>
    <t>K.309</t>
  </si>
  <si>
    <t>K.310</t>
  </si>
  <si>
    <t>F.308</t>
  </si>
  <si>
    <t>Copy</t>
  </si>
  <si>
    <t>K.311</t>
  </si>
  <si>
    <t>Cockpit</t>
  </si>
  <si>
    <t>K.312</t>
  </si>
  <si>
    <t>K.313</t>
  </si>
  <si>
    <t>K.314</t>
  </si>
  <si>
    <t>K.315</t>
  </si>
  <si>
    <t>Aanlandplek</t>
  </si>
  <si>
    <t>F.306</t>
  </si>
  <si>
    <t>V.304</t>
  </si>
  <si>
    <t>F.302</t>
  </si>
  <si>
    <t>Werkkamer</t>
  </si>
  <si>
    <t>A.302</t>
  </si>
  <si>
    <t>Patchruimte</t>
  </si>
  <si>
    <t>F.303</t>
  </si>
  <si>
    <t>F.304</t>
  </si>
  <si>
    <t>F.305</t>
  </si>
  <si>
    <t>K.316</t>
  </si>
  <si>
    <t>K.317</t>
  </si>
  <si>
    <t>K.318</t>
  </si>
  <si>
    <t>K.319</t>
  </si>
  <si>
    <t>Kantoor?</t>
  </si>
  <si>
    <t>Marmoleum</t>
  </si>
  <si>
    <t>Toilet/-doucheruimte</t>
  </si>
  <si>
    <t>Eetzaal</t>
  </si>
  <si>
    <t>tapijt</t>
  </si>
  <si>
    <t>kantoor</t>
  </si>
  <si>
    <t>marmoleum</t>
  </si>
  <si>
    <t>Strizo</t>
  </si>
  <si>
    <t>Wasplaats</t>
  </si>
  <si>
    <t>zachte vloer</t>
  </si>
  <si>
    <t>Verblijfsruimte</t>
  </si>
  <si>
    <t>Noodtrappenhuis</t>
  </si>
  <si>
    <t>0.35</t>
  </si>
  <si>
    <t>Spoelruimte</t>
  </si>
  <si>
    <t>Beton</t>
  </si>
  <si>
    <t>0.37</t>
  </si>
  <si>
    <t>Doucheruimte</t>
  </si>
  <si>
    <t>0.01</t>
  </si>
  <si>
    <t>Entree kantoor</t>
  </si>
  <si>
    <t>0.02</t>
  </si>
  <si>
    <t>Linoleum/hout</t>
  </si>
  <si>
    <t>0.03</t>
  </si>
  <si>
    <t>PVC</t>
  </si>
  <si>
    <t>0.04/0.11</t>
  </si>
  <si>
    <t>Linoleum</t>
  </si>
  <si>
    <t>0.06</t>
  </si>
  <si>
    <t>Goederen opstelplaats</t>
  </si>
  <si>
    <t>0.07</t>
  </si>
  <si>
    <t>Vuile was</t>
  </si>
  <si>
    <t>0.08</t>
  </si>
  <si>
    <t>Schone was</t>
  </si>
  <si>
    <t>0.10</t>
  </si>
  <si>
    <t>0.12</t>
  </si>
  <si>
    <t>Kleedruimte dames</t>
  </si>
  <si>
    <t>0.13</t>
  </si>
  <si>
    <t>Douche dames</t>
  </si>
  <si>
    <t xml:space="preserve"> ma t/m vrijdag 2 x daags</t>
  </si>
  <si>
    <t>0.14</t>
  </si>
  <si>
    <t>Toilet dames</t>
  </si>
  <si>
    <t>0.15</t>
  </si>
  <si>
    <t>Droogruimte</t>
  </si>
  <si>
    <t>0.16</t>
  </si>
  <si>
    <t>Opslag motoren</t>
  </si>
  <si>
    <t>0.17</t>
  </si>
  <si>
    <t>Kleedruimte heren</t>
  </si>
  <si>
    <t>0.18</t>
  </si>
  <si>
    <t>Toilet heren</t>
  </si>
  <si>
    <t>0.19</t>
  </si>
  <si>
    <t>Douche heren</t>
  </si>
  <si>
    <t>0.20</t>
  </si>
  <si>
    <t xml:space="preserve">Toilet dames </t>
  </si>
  <si>
    <t>0.21</t>
  </si>
  <si>
    <t>0.26</t>
  </si>
  <si>
    <t>0.27</t>
  </si>
  <si>
    <t>Opslagruimte</t>
  </si>
  <si>
    <t>0.28</t>
  </si>
  <si>
    <t>Verblijfsruimte/pantry</t>
  </si>
  <si>
    <t>0.29</t>
  </si>
  <si>
    <t>Invoer/e-learning</t>
  </si>
  <si>
    <t>0.32</t>
  </si>
  <si>
    <t>Opslag reservemat.</t>
  </si>
  <si>
    <t>0.33</t>
  </si>
  <si>
    <t>Opslag materiaal c.</t>
  </si>
  <si>
    <t>0.34</t>
  </si>
  <si>
    <t>Medisch magazijn</t>
  </si>
  <si>
    <t>1.05</t>
  </si>
  <si>
    <t>Traphal</t>
  </si>
  <si>
    <t>1.01</t>
  </si>
  <si>
    <t>1.07</t>
  </si>
  <si>
    <t>Toiletten dames</t>
  </si>
  <si>
    <t>1.10</t>
  </si>
  <si>
    <t>Toiletten heren</t>
  </si>
  <si>
    <t>1.13</t>
  </si>
  <si>
    <t>Lotus ruimte</t>
  </si>
  <si>
    <t>1.14</t>
  </si>
  <si>
    <t>Magazijn lesmateriaal</t>
  </si>
  <si>
    <t>1.15</t>
  </si>
  <si>
    <t>Skilstation</t>
  </si>
  <si>
    <t>1.16</t>
  </si>
  <si>
    <t>Regie en observatie</t>
  </si>
  <si>
    <t>1.17</t>
  </si>
  <si>
    <t>Scenario</t>
  </si>
  <si>
    <t>1.18</t>
  </si>
  <si>
    <t>Presentatieruimte</t>
  </si>
  <si>
    <t>1.19</t>
  </si>
  <si>
    <t>Overlegruimte</t>
  </si>
  <si>
    <t>1.20</t>
  </si>
  <si>
    <t>1.21</t>
  </si>
  <si>
    <t>1.22</t>
  </si>
  <si>
    <t>1.23</t>
  </si>
  <si>
    <t>1.24</t>
  </si>
  <si>
    <t>1.25</t>
  </si>
  <si>
    <t>Kantoren</t>
  </si>
  <si>
    <t>1.26</t>
  </si>
  <si>
    <t>1.27</t>
  </si>
  <si>
    <t>1.28</t>
  </si>
  <si>
    <t>1.29</t>
  </si>
  <si>
    <t>1.30</t>
  </si>
  <si>
    <t>Reproruimte</t>
  </si>
  <si>
    <t>1.31</t>
  </si>
  <si>
    <t xml:space="preserve">kantoor </t>
  </si>
  <si>
    <t>1.3</t>
  </si>
  <si>
    <t>1.4</t>
  </si>
  <si>
    <t>1.5</t>
  </si>
  <si>
    <t>Personeelsruimte incl. keuken</t>
  </si>
  <si>
    <t>1.6</t>
  </si>
  <si>
    <t>Archiefruimte</t>
  </si>
  <si>
    <t>1.7</t>
  </si>
  <si>
    <t>Voorraadruimte</t>
  </si>
  <si>
    <t>1.8</t>
  </si>
  <si>
    <t>Wasruimte</t>
  </si>
  <si>
    <t>1.9</t>
  </si>
  <si>
    <t>trap</t>
  </si>
  <si>
    <t>2.1</t>
  </si>
  <si>
    <t>Overloop</t>
  </si>
  <si>
    <t>2.2</t>
  </si>
  <si>
    <t>Technische ruimte</t>
  </si>
  <si>
    <t>2.3</t>
  </si>
  <si>
    <t>Spreekruimte</t>
  </si>
  <si>
    <t>2.4</t>
  </si>
  <si>
    <t>Toiletruime</t>
  </si>
  <si>
    <t>2.5</t>
  </si>
  <si>
    <t xml:space="preserve">Kleedruimte </t>
  </si>
  <si>
    <t>Douche</t>
  </si>
  <si>
    <t>2.6</t>
  </si>
  <si>
    <t>Kast</t>
  </si>
  <si>
    <t>Dagverblijf</t>
  </si>
  <si>
    <t xml:space="preserve">Tegels </t>
  </si>
  <si>
    <t>Onbekend</t>
  </si>
  <si>
    <t xml:space="preserve">Gang </t>
  </si>
  <si>
    <t>Toiletruimten</t>
  </si>
  <si>
    <t>Douche/toilet heren</t>
  </si>
  <si>
    <t>Dhgt</t>
  </si>
  <si>
    <t>7A</t>
  </si>
  <si>
    <t>7B</t>
  </si>
  <si>
    <t>Kantine/instructie</t>
  </si>
  <si>
    <t>Uitrukpakken garderobe</t>
  </si>
  <si>
    <t>Dames toilet</t>
  </si>
  <si>
    <t>Instructieruimte</t>
  </si>
  <si>
    <t>Aankleedruimte bluspakken</t>
  </si>
  <si>
    <t>4a</t>
  </si>
  <si>
    <t>4b</t>
  </si>
  <si>
    <t>Urinoir</t>
  </si>
  <si>
    <t>9a</t>
  </si>
  <si>
    <t>9b</t>
  </si>
  <si>
    <t>Kantoorruimte</t>
  </si>
  <si>
    <t>Kantoor postcommandant</t>
  </si>
  <si>
    <t>Vergaderkamer</t>
  </si>
  <si>
    <t>Uitrukkleding</t>
  </si>
  <si>
    <t>Natte ruimte heren</t>
  </si>
  <si>
    <t>Heren toiletten</t>
  </si>
  <si>
    <t>Natte ruimte dames</t>
  </si>
  <si>
    <t>?</t>
  </si>
  <si>
    <t>Aankleedplaatsen</t>
  </si>
  <si>
    <t>Verenigingsruimte</t>
  </si>
  <si>
    <t>Was- en kleedruimte heren</t>
  </si>
  <si>
    <t>Was- en kleedruimte dames</t>
  </si>
  <si>
    <t>Kledingmagazijn/wasruimte</t>
  </si>
  <si>
    <t>Bordes trappenhuis</t>
  </si>
  <si>
    <t>Kantoor instructeur</t>
  </si>
  <si>
    <t>Instructielokaal 2</t>
  </si>
  <si>
    <t>Instructielokaal 1</t>
  </si>
  <si>
    <t>2e, 2.01</t>
  </si>
  <si>
    <t>2e, 2.02</t>
  </si>
  <si>
    <t>2e, 2.03</t>
  </si>
  <si>
    <t>2e, 2.04</t>
  </si>
  <si>
    <t>Miva toilet</t>
  </si>
  <si>
    <t>2e, 2.07</t>
  </si>
  <si>
    <t>Gang/pantry</t>
  </si>
  <si>
    <t>2e, 2.08</t>
  </si>
  <si>
    <t>Werkruimte</t>
  </si>
  <si>
    <t>2e, 2.09</t>
  </si>
  <si>
    <t>Flexplekken</t>
  </si>
  <si>
    <t>2e, 2.10</t>
  </si>
  <si>
    <t>2e, 2.11</t>
  </si>
  <si>
    <t>2e, 2.12</t>
  </si>
  <si>
    <t>2e, 2.13</t>
  </si>
  <si>
    <t>2e, 2.14</t>
  </si>
  <si>
    <t>2e, 2.15</t>
  </si>
  <si>
    <t>0.1</t>
  </si>
  <si>
    <t>0.2</t>
  </si>
  <si>
    <t>0.3</t>
  </si>
  <si>
    <t>0.4</t>
  </si>
  <si>
    <t>0.5</t>
  </si>
  <si>
    <t>0.6</t>
  </si>
  <si>
    <t>0.7</t>
  </si>
  <si>
    <t>0.8</t>
  </si>
  <si>
    <t>0.9</t>
  </si>
  <si>
    <t>Coral</t>
  </si>
  <si>
    <t>0.11</t>
  </si>
  <si>
    <t>1.1</t>
  </si>
  <si>
    <t>Bar</t>
  </si>
  <si>
    <t>1.2</t>
  </si>
  <si>
    <t>0.04</t>
  </si>
  <si>
    <t>0.05</t>
  </si>
  <si>
    <t>Douches heren</t>
  </si>
  <si>
    <t>0.09</t>
  </si>
  <si>
    <t>1.02</t>
  </si>
  <si>
    <t>1.03</t>
  </si>
  <si>
    <t>1.04</t>
  </si>
  <si>
    <t>Kantine/instructieruimte</t>
  </si>
  <si>
    <t xml:space="preserve">Bar </t>
  </si>
  <si>
    <t>1.06</t>
  </si>
  <si>
    <t>Entree(hal)</t>
  </si>
  <si>
    <t>Lockerruimte</t>
  </si>
  <si>
    <t>Douches</t>
  </si>
  <si>
    <t>Berging/patchruimte</t>
  </si>
  <si>
    <t>Compressorruimte</t>
  </si>
  <si>
    <t>Toestelberging</t>
  </si>
  <si>
    <t>Tegel</t>
  </si>
  <si>
    <t>Rubbernop</t>
  </si>
  <si>
    <t>Ademluchtruimte/kantoor</t>
  </si>
  <si>
    <t>Toilet miva</t>
  </si>
  <si>
    <t>1.08</t>
  </si>
  <si>
    <t>1.09</t>
  </si>
  <si>
    <t>1.11</t>
  </si>
  <si>
    <t>1.12</t>
  </si>
  <si>
    <t>Instructieruimte/kantine</t>
  </si>
  <si>
    <t>Berging</t>
  </si>
  <si>
    <t>1.39</t>
  </si>
  <si>
    <t>Bar/keuken</t>
  </si>
  <si>
    <t>Gang incl. trap</t>
  </si>
  <si>
    <t>Natuursteen</t>
  </si>
  <si>
    <t>Doucheruimte dames</t>
  </si>
  <si>
    <t>Doucheruimte heren</t>
  </si>
  <si>
    <t>Toiletruimte dames</t>
  </si>
  <si>
    <t>Toiletruimte heren</t>
  </si>
  <si>
    <t>Toiletruimte mindervaliden</t>
  </si>
  <si>
    <t>Opstelplaats ademlucht</t>
  </si>
  <si>
    <t>Rookruimte</t>
  </si>
  <si>
    <t>Rubber</t>
  </si>
  <si>
    <t>Remisehal</t>
  </si>
  <si>
    <t>Revisiehoek</t>
  </si>
  <si>
    <t>Entreehal (+wasbak)</t>
  </si>
  <si>
    <t>Beton (gecoat)</t>
  </si>
  <si>
    <t xml:space="preserve">Toilet </t>
  </si>
  <si>
    <t xml:space="preserve">Hout </t>
  </si>
  <si>
    <t>Topshield2</t>
  </si>
  <si>
    <t>009a</t>
  </si>
  <si>
    <t>WC</t>
  </si>
  <si>
    <t>010a</t>
  </si>
  <si>
    <t>Werkkast</t>
  </si>
  <si>
    <t>Sanitair dames</t>
  </si>
  <si>
    <t>004a</t>
  </si>
  <si>
    <t>004b</t>
  </si>
  <si>
    <t>Sanitair heren</t>
  </si>
  <si>
    <t>003a</t>
  </si>
  <si>
    <t>003b</t>
  </si>
  <si>
    <t>003c</t>
  </si>
  <si>
    <t>Bluspakkenruimte</t>
  </si>
  <si>
    <t>gevlinderd  beton</t>
  </si>
  <si>
    <t>Controlepost</t>
  </si>
  <si>
    <t>leslokaal</t>
  </si>
  <si>
    <t>Berging duikuitrusting</t>
  </si>
  <si>
    <t>Garderobe uitrukkleding</t>
  </si>
  <si>
    <t>Remise</t>
  </si>
  <si>
    <t>Heren toilet</t>
  </si>
  <si>
    <t>Flexplek</t>
  </si>
  <si>
    <t xml:space="preserve">Kantine </t>
  </si>
  <si>
    <t>ruimtenj jeugdbrandweer</t>
  </si>
  <si>
    <t>tegels</t>
  </si>
  <si>
    <t>Kleed/wasruimte dames</t>
  </si>
  <si>
    <t>Noppen</t>
  </si>
  <si>
    <t>Horizontaal verkeersoppervlak 4,7</t>
  </si>
  <si>
    <t>Gietvloer kunstof</t>
  </si>
  <si>
    <t>Horizontaal verkeersoppervlak 125,6</t>
  </si>
  <si>
    <t>Kantoorruimten</t>
  </si>
  <si>
    <t>Bijeenkomstruimten 51,0</t>
  </si>
  <si>
    <t>Sanitaire ruimten 8,8</t>
  </si>
  <si>
    <t>Sanitaire ruimten 8,6</t>
  </si>
  <si>
    <t>Bijeenkomstruimten 14,4</t>
  </si>
  <si>
    <t xml:space="preserve">Bergruimten </t>
  </si>
  <si>
    <t>Divers</t>
  </si>
  <si>
    <t>Bijeenkomstruimten</t>
  </si>
  <si>
    <t>Algemene ruimten</t>
  </si>
  <si>
    <t>Horizontaal verkeersoppervlak</t>
  </si>
  <si>
    <t>Verticaal verkeersoppervlak</t>
  </si>
  <si>
    <t>Cement dekvloer</t>
  </si>
  <si>
    <t>Sanitaire ruimten</t>
  </si>
  <si>
    <t>Leslokalen</t>
  </si>
  <si>
    <t xml:space="preserve">Kantoorruimten </t>
  </si>
  <si>
    <t>horizontaal verkeersoppervlak</t>
  </si>
  <si>
    <t>Brandweer Ede, Breelaan 4, RAV</t>
  </si>
  <si>
    <t xml:space="preserve">Ruimte voor gebouw gebonden installaties </t>
  </si>
  <si>
    <t>Wachtkamer</t>
  </si>
  <si>
    <t>Kantoor assistentes</t>
  </si>
  <si>
    <t>Onderzoeksruimte</t>
  </si>
  <si>
    <t>Artsenkamer</t>
  </si>
  <si>
    <t>2.04</t>
  </si>
  <si>
    <t>Behandelkamer</t>
  </si>
  <si>
    <t>2.03</t>
  </si>
  <si>
    <t>2.02</t>
  </si>
  <si>
    <t>2.01</t>
  </si>
  <si>
    <t>2.05</t>
  </si>
  <si>
    <t>2.09</t>
  </si>
  <si>
    <t>Wachtruimte</t>
  </si>
  <si>
    <t>2.10</t>
  </si>
  <si>
    <t>2.11</t>
  </si>
  <si>
    <t>2.14</t>
  </si>
  <si>
    <t>2.13</t>
  </si>
  <si>
    <t>2.08</t>
  </si>
  <si>
    <t>2.16</t>
  </si>
  <si>
    <t>Koeling/magazijn</t>
  </si>
  <si>
    <t>2.07</t>
  </si>
  <si>
    <t>2.06</t>
  </si>
  <si>
    <t>Berging/magazijn</t>
  </si>
  <si>
    <t>Flexruimte</t>
  </si>
  <si>
    <t>Boxenkamer</t>
  </si>
  <si>
    <t>WV kamer</t>
  </si>
  <si>
    <t>WC unit</t>
  </si>
  <si>
    <t>Pantry, gang en entree</t>
  </si>
  <si>
    <t>Spreekkamer 1</t>
  </si>
  <si>
    <t>Spreekkamer 2</t>
  </si>
  <si>
    <t>Balieruimte</t>
  </si>
  <si>
    <t>Voorruimte toiletten</t>
  </si>
  <si>
    <t>Toilet (urinoirs)</t>
  </si>
  <si>
    <t>Kantine/leslokaal</t>
  </si>
  <si>
    <t>Metaal</t>
  </si>
  <si>
    <t>Kleedkamer</t>
  </si>
  <si>
    <t>Urinoirs</t>
  </si>
  <si>
    <t>Eilandplein 302, Duiven</t>
  </si>
  <si>
    <t>Behandelruimte</t>
  </si>
  <si>
    <t>Kantine/kantoor</t>
  </si>
  <si>
    <t>RAV Argonstraat2 Ede</t>
  </si>
  <si>
    <t>Kolfruimte</t>
  </si>
  <si>
    <t>Printerruimte</t>
  </si>
  <si>
    <t xml:space="preserve">PVC </t>
  </si>
  <si>
    <t>TARIEF PER JAAR</t>
  </si>
  <si>
    <t>SCHOONMAAKONDERHOUD WEEKENDEN SANITAIR FEESTDAGEN</t>
  </si>
  <si>
    <t>Schelmseweg 93, Arnhem</t>
  </si>
  <si>
    <t>PER JAAR</t>
  </si>
  <si>
    <t>Totaal tabblad sanitair</t>
  </si>
  <si>
    <t>6. Op het tabblad "Afroepprijzen" dient u uw gegevens in de blauwe invoervelden in te voeren. (deze wordt niet meegnomen in de prijsvergelijking)</t>
  </si>
  <si>
    <t>5. Op het tabblad "Sanitair" dient u uw gegevens in de blauwe invoervelden in te voeren. Daarna het eindtotaal overnemen in het kostenoverzicht</t>
  </si>
  <si>
    <t>SUBTOTAAL</t>
  </si>
  <si>
    <t>TOTAAL SANITAIR</t>
  </si>
  <si>
    <t>Cel met een berekening, niet in te vullen door Inschrijver</t>
  </si>
  <si>
    <t>Vergelijkingsprijs, niet in te vullen door inschrijver</t>
  </si>
  <si>
    <t>Invoerveld, verplicht om in te vullen door Inschrijver (fictieve bedragen zijn hier ingevuld)</t>
  </si>
  <si>
    <t>PRIJS PER BEURT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</si>
</sst>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quot;€&quot;\ * #,##0.00_ ;_ &quot;€&quot;\ * \-#,##0.00_ ;_ &quot;€&quot;\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 #,##0.00_-;\-* #,##0.00_-;_-* &quot;-&quot;??_-;_-@_-"/>
    <numFmt numFmtId="169" formatCode="_(&quot;Fl.&quot;* #,##0_);_(&quot;Fl.&quot;* \(#,##0\);_(&quot;Fl.&quot;* &quot;-&quot;_);_(@_)"/>
    <numFmt numFmtId="170" formatCode="_(&quot;Fl.&quot;* #,##0.00_);_(&quot;Fl.&quot;* \(#,##0.00\);_(&quot;Fl.&quot;* &quot;-&quot;??_);_(@_)"/>
    <numFmt numFmtId="171" formatCode="0_)"/>
    <numFmt numFmtId="172" formatCode="0.0"/>
    <numFmt numFmtId="173" formatCode="0.000%"/>
    <numFmt numFmtId="174" formatCode="_([$€-2]\ * #,##0.00_);_([$€-2]\ * \(#,##0.00\);_([$€-2]\ * &quot;-&quot;??_);_(@_)"/>
    <numFmt numFmtId="175" formatCode="_ [$€-413]\ * #,##0.00_ ;_ [$€-413]\ * \-#,##0.00_ ;_ [$€-413]\ * &quot;-&quot;??_ ;_ @_ "/>
    <numFmt numFmtId="176" formatCode="_ [$€-2]\ * #,##0.00_ ;_ [$€-2]\ * \-#,##0.00_ ;_ [$€-2]\ * &quot;-&quot;??_ ;_ @_ "/>
    <numFmt numFmtId="177" formatCode="000"/>
  </numFmts>
  <fonts count="38">
    <font>
      <sz val="10"/>
      <name val="MS Sans Serif"/>
    </font>
    <font>
      <sz val="10"/>
      <name val="MS Sans Serif"/>
      <family val="2"/>
    </font>
    <font>
      <sz val="10"/>
      <name val="Helv"/>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color indexed="8"/>
      <name val="Tahoma"/>
      <family val="2"/>
    </font>
    <font>
      <sz val="10"/>
      <color indexed="18"/>
      <name val="Tahoma"/>
      <family val="2"/>
    </font>
    <font>
      <b/>
      <sz val="10"/>
      <color indexed="18"/>
      <name val="Tahoma"/>
      <family val="2"/>
    </font>
    <font>
      <sz val="10"/>
      <color indexed="10"/>
      <name val="Tahoma"/>
      <family val="2"/>
    </font>
    <font>
      <sz val="10"/>
      <name val="Tahoma"/>
      <family val="2"/>
    </font>
    <font>
      <b/>
      <sz val="10"/>
      <color indexed="10"/>
      <name val="Tahoma"/>
      <family val="2"/>
    </font>
    <font>
      <b/>
      <sz val="10"/>
      <name val="Tahoma"/>
      <family val="2"/>
    </font>
    <font>
      <b/>
      <sz val="14"/>
      <color indexed="18"/>
      <name val="Tahoma"/>
      <family val="2"/>
    </font>
    <font>
      <sz val="12"/>
      <name val="Tahoma"/>
      <family val="2"/>
    </font>
    <font>
      <b/>
      <sz val="10"/>
      <color indexed="20"/>
      <name val="Tahoma"/>
      <family val="2"/>
    </font>
    <font>
      <b/>
      <sz val="12"/>
      <color indexed="18"/>
      <name val="Tahoma"/>
      <family val="2"/>
    </font>
    <font>
      <b/>
      <sz val="10"/>
      <color indexed="8"/>
      <name val="Tahoma"/>
      <family val="2"/>
    </font>
    <font>
      <sz val="12"/>
      <color indexed="18"/>
      <name val="Tahoma"/>
      <family val="2"/>
    </font>
    <font>
      <sz val="9"/>
      <name val="Tahoma"/>
      <family val="2"/>
    </font>
    <font>
      <b/>
      <sz val="9"/>
      <name val="Tahoma"/>
      <family val="2"/>
    </font>
    <font>
      <sz val="9"/>
      <color indexed="10"/>
      <name val="Tahoma"/>
      <family val="2"/>
    </font>
    <font>
      <sz val="8"/>
      <name val="Tahoma"/>
      <family val="2"/>
    </font>
    <font>
      <sz val="10"/>
      <name val="Verdana"/>
      <family val="2"/>
    </font>
    <font>
      <b/>
      <sz val="10"/>
      <color indexed="18"/>
      <name val="Verdana"/>
      <family val="2"/>
    </font>
    <font>
      <sz val="10"/>
      <color indexed="8"/>
      <name val="Verdana"/>
      <family val="2"/>
    </font>
    <font>
      <b/>
      <sz val="10"/>
      <name val="Verdana"/>
      <family val="2"/>
    </font>
    <font>
      <vertAlign val="superscript"/>
      <sz val="10"/>
      <name val="Tahoma"/>
      <family val="2"/>
    </font>
    <font>
      <b/>
      <sz val="10"/>
      <color indexed="10"/>
      <name val="Verdana"/>
      <family val="2"/>
    </font>
    <font>
      <sz val="10"/>
      <name val="Verdana"/>
    </font>
    <font>
      <sz val="10"/>
      <name val="MS Sans Serif"/>
    </font>
    <font>
      <sz val="11"/>
      <color theme="0"/>
      <name val="Calibri"/>
      <family val="2"/>
      <scheme val="minor"/>
    </font>
    <font>
      <sz val="10"/>
      <color theme="0"/>
      <name val="Tahoma"/>
      <family val="2"/>
    </font>
    <font>
      <sz val="11"/>
      <name val="Calibri"/>
      <family val="2"/>
      <scheme val="minor"/>
    </font>
  </fonts>
  <fills count="10">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4"/>
        <bgColor indexed="24"/>
      </patternFill>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s>
  <cellStyleXfs count="21">
    <xf numFmtId="0" fontId="0" fillId="0" borderId="0"/>
    <xf numFmtId="164"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0" fontId="9" fillId="0" borderId="0" applyNumberFormat="0" applyFill="0" applyBorder="0" applyAlignment="0" applyProtection="0">
      <alignment vertical="top"/>
      <protection locked="0"/>
    </xf>
    <xf numFmtId="167" fontId="1" fillId="0" borderId="0" applyFont="0" applyFill="0" applyBorder="0" applyAlignment="0" applyProtection="0"/>
    <xf numFmtId="0" fontId="4" fillId="0" borderId="0"/>
    <xf numFmtId="0" fontId="2" fillId="0" borderId="0"/>
    <xf numFmtId="0" fontId="7" fillId="0" borderId="0"/>
    <xf numFmtId="0" fontId="3" fillId="0" borderId="0"/>
    <xf numFmtId="0" fontId="2" fillId="0" borderId="0"/>
    <xf numFmtId="0" fontId="2" fillId="0" borderId="0"/>
    <xf numFmtId="0" fontId="5"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33" fillId="0" borderId="0"/>
    <xf numFmtId="0" fontId="34" fillId="0" borderId="0"/>
    <xf numFmtId="0" fontId="1" fillId="0" borderId="0" applyFont="0" applyFill="0" applyBorder="0" applyAlignment="0" applyProtection="0"/>
  </cellStyleXfs>
  <cellXfs count="242">
    <xf numFmtId="0" fontId="0" fillId="0" borderId="0" xfId="0"/>
    <xf numFmtId="168" fontId="10" fillId="4" borderId="1" xfId="3" applyFont="1" applyFill="1" applyBorder="1" applyAlignment="1" applyProtection="1">
      <protection locked="0"/>
    </xf>
    <xf numFmtId="0" fontId="14" fillId="0" borderId="0" xfId="0" applyFont="1" applyFill="1" applyBorder="1"/>
    <xf numFmtId="2" fontId="14" fillId="0" borderId="0" xfId="11" applyNumberFormat="1" applyFont="1" applyFill="1" applyBorder="1" applyProtection="1">
      <protection hidden="1"/>
    </xf>
    <xf numFmtId="2" fontId="17" fillId="0" borderId="0" xfId="0" applyNumberFormat="1" applyFont="1"/>
    <xf numFmtId="0" fontId="14" fillId="0" borderId="0" xfId="13" applyFont="1" applyFill="1" applyProtection="1">
      <protection hidden="1"/>
    </xf>
    <xf numFmtId="0" fontId="14" fillId="0" borderId="0" xfId="13" applyFont="1" applyFill="1" applyBorder="1" applyProtection="1">
      <protection hidden="1"/>
    </xf>
    <xf numFmtId="0" fontId="14" fillId="0" borderId="0" xfId="0" applyFont="1"/>
    <xf numFmtId="0" fontId="14" fillId="0" borderId="0" xfId="13" applyFont="1" applyFill="1" applyBorder="1" applyAlignment="1" applyProtection="1">
      <alignment vertical="center"/>
      <protection hidden="1"/>
    </xf>
    <xf numFmtId="0" fontId="19" fillId="0" borderId="0" xfId="13" applyFont="1" applyFill="1" applyBorder="1" applyAlignment="1" applyProtection="1">
      <alignment horizontal="center" vertical="center"/>
      <protection hidden="1"/>
    </xf>
    <xf numFmtId="0" fontId="19" fillId="0" borderId="0" xfId="13" applyFont="1" applyFill="1" applyBorder="1" applyAlignment="1" applyProtection="1">
      <alignment horizontal="right" vertical="center"/>
      <protection hidden="1"/>
    </xf>
    <xf numFmtId="0" fontId="18" fillId="0" borderId="0" xfId="0" applyFont="1" applyFill="1" applyBorder="1"/>
    <xf numFmtId="173" fontId="14" fillId="0" borderId="0" xfId="11" applyNumberFormat="1" applyFont="1" applyFill="1" applyBorder="1" applyAlignment="1" applyProtection="1">
      <alignment vertical="center"/>
      <protection hidden="1"/>
    </xf>
    <xf numFmtId="0" fontId="14" fillId="0" borderId="0" xfId="0" applyFont="1" applyFill="1" applyBorder="1" applyAlignment="1">
      <alignment vertical="center"/>
    </xf>
    <xf numFmtId="2" fontId="12" fillId="0" borderId="0" xfId="13" applyNumberFormat="1" applyFont="1" applyFill="1" applyBorder="1" applyAlignment="1" applyProtection="1">
      <alignment vertical="center"/>
      <protection hidden="1"/>
    </xf>
    <xf numFmtId="172" fontId="10" fillId="0" borderId="0" xfId="13" applyNumberFormat="1" applyFont="1" applyFill="1" applyBorder="1" applyAlignment="1" applyProtection="1">
      <alignment vertical="center"/>
      <protection hidden="1"/>
    </xf>
    <xf numFmtId="172" fontId="14" fillId="0" borderId="0" xfId="13" applyNumberFormat="1" applyFont="1" applyFill="1" applyBorder="1" applyAlignment="1" applyProtection="1">
      <alignment vertical="center"/>
      <protection hidden="1"/>
    </xf>
    <xf numFmtId="173" fontId="14" fillId="0" borderId="0" xfId="15" applyNumberFormat="1" applyFont="1" applyFill="1" applyBorder="1" applyAlignment="1" applyProtection="1">
      <alignment vertical="center"/>
      <protection locked="0"/>
    </xf>
    <xf numFmtId="2" fontId="14" fillId="0" borderId="0" xfId="0" applyNumberFormat="1" applyFont="1" applyFill="1" applyBorder="1" applyAlignment="1">
      <alignment vertical="center"/>
    </xf>
    <xf numFmtId="0" fontId="20" fillId="0" borderId="0" xfId="13" applyFont="1" applyFill="1" applyBorder="1" applyAlignment="1" applyProtection="1">
      <alignment vertical="center"/>
      <protection hidden="1"/>
    </xf>
    <xf numFmtId="0" fontId="21" fillId="0" borderId="0" xfId="13" applyFont="1" applyFill="1" applyBorder="1" applyAlignment="1" applyProtection="1">
      <alignment vertical="center"/>
      <protection hidden="1"/>
    </xf>
    <xf numFmtId="10" fontId="10" fillId="0" borderId="0" xfId="15" applyNumberFormat="1" applyFont="1" applyFill="1" applyBorder="1" applyAlignment="1" applyProtection="1">
      <alignment vertical="center"/>
      <protection hidden="1"/>
    </xf>
    <xf numFmtId="173" fontId="10" fillId="0" borderId="0" xfId="15" applyNumberFormat="1" applyFont="1" applyFill="1" applyBorder="1" applyAlignment="1" applyProtection="1">
      <alignment vertical="center"/>
      <protection hidden="1"/>
    </xf>
    <xf numFmtId="173" fontId="10" fillId="0" borderId="0" xfId="13" applyNumberFormat="1" applyFont="1" applyFill="1" applyBorder="1" applyAlignment="1" applyProtection="1">
      <alignment vertical="center"/>
      <protection hidden="1"/>
    </xf>
    <xf numFmtId="173" fontId="14" fillId="0" borderId="0" xfId="13" applyNumberFormat="1" applyFont="1" applyFill="1" applyBorder="1" applyAlignment="1" applyProtection="1">
      <alignment horizontal="right" vertical="center"/>
      <protection hidden="1"/>
    </xf>
    <xf numFmtId="0" fontId="12" fillId="0" borderId="0" xfId="13" applyFont="1" applyFill="1" applyBorder="1" applyAlignment="1" applyProtection="1">
      <alignment vertical="center"/>
      <protection hidden="1"/>
    </xf>
    <xf numFmtId="173" fontId="12" fillId="0" borderId="0" xfId="0" applyNumberFormat="1" applyFont="1" applyFill="1" applyBorder="1"/>
    <xf numFmtId="0" fontId="14" fillId="0" borderId="0" xfId="13" applyFont="1" applyFill="1" applyBorder="1" applyAlignment="1" applyProtection="1">
      <alignment horizontal="right" vertical="center"/>
      <protection hidden="1"/>
    </xf>
    <xf numFmtId="173" fontId="12" fillId="0" borderId="0" xfId="13" applyNumberFormat="1" applyFont="1" applyFill="1" applyBorder="1" applyAlignment="1" applyProtection="1">
      <alignment vertical="center"/>
      <protection hidden="1"/>
    </xf>
    <xf numFmtId="10" fontId="12" fillId="0" borderId="0" xfId="0" applyNumberFormat="1" applyFont="1" applyFill="1" applyBorder="1" applyAlignment="1"/>
    <xf numFmtId="0" fontId="15" fillId="0" borderId="0" xfId="13" applyFont="1" applyFill="1" applyBorder="1" applyAlignment="1" applyProtection="1">
      <protection hidden="1"/>
    </xf>
    <xf numFmtId="0" fontId="15" fillId="0" borderId="0" xfId="13" applyFont="1" applyFill="1" applyBorder="1" applyProtection="1">
      <protection hidden="1"/>
    </xf>
    <xf numFmtId="0" fontId="13" fillId="0" borderId="0" xfId="13" applyFont="1" applyFill="1" applyBorder="1" applyAlignment="1" applyProtection="1">
      <protection hidden="1"/>
    </xf>
    <xf numFmtId="0" fontId="14" fillId="0" borderId="0" xfId="13" applyFont="1" applyFill="1" applyBorder="1" applyAlignment="1" applyProtection="1">
      <protection hidden="1"/>
    </xf>
    <xf numFmtId="0" fontId="14" fillId="0" borderId="0" xfId="0" applyFont="1" applyAlignment="1"/>
    <xf numFmtId="0" fontId="14" fillId="0" borderId="0" xfId="0" applyFont="1" applyFill="1" applyAlignment="1"/>
    <xf numFmtId="0" fontId="14" fillId="0" borderId="0" xfId="13" applyFont="1" applyFill="1" applyAlignment="1" applyProtection="1">
      <protection hidden="1"/>
    </xf>
    <xf numFmtId="0" fontId="14" fillId="0" borderId="0" xfId="0" applyFont="1" applyFill="1"/>
    <xf numFmtId="0" fontId="20" fillId="2" borderId="4" xfId="9" applyNumberFormat="1" applyFont="1" applyFill="1" applyBorder="1" applyAlignment="1" applyProtection="1">
      <alignment horizontal="left" vertical="center"/>
      <protection hidden="1"/>
    </xf>
    <xf numFmtId="0" fontId="14" fillId="2" borderId="5" xfId="10" applyFont="1" applyFill="1" applyBorder="1"/>
    <xf numFmtId="0" fontId="23" fillId="2" borderId="5" xfId="10" applyFont="1" applyFill="1" applyBorder="1"/>
    <xf numFmtId="0" fontId="23" fillId="2" borderId="6" xfId="10" applyFont="1" applyFill="1" applyBorder="1"/>
    <xf numFmtId="0" fontId="11" fillId="0" borderId="4" xfId="9" applyFont="1" applyFill="1" applyBorder="1" applyAlignment="1" applyProtection="1">
      <alignment horizontal="left"/>
      <protection hidden="1"/>
    </xf>
    <xf numFmtId="0" fontId="11" fillId="0" borderId="6" xfId="9" applyFont="1" applyFill="1" applyBorder="1" applyAlignment="1" applyProtection="1">
      <alignment horizontal="left"/>
      <protection hidden="1"/>
    </xf>
    <xf numFmtId="0" fontId="11" fillId="0" borderId="1" xfId="9" applyFont="1" applyFill="1" applyBorder="1" applyAlignment="1" applyProtection="1">
      <alignment horizontal="left"/>
      <protection hidden="1"/>
    </xf>
    <xf numFmtId="0" fontId="11" fillId="0" borderId="1" xfId="9" applyFont="1" applyFill="1" applyBorder="1" applyAlignment="1" applyProtection="1">
      <alignment horizontal="center"/>
      <protection hidden="1"/>
    </xf>
    <xf numFmtId="0" fontId="11" fillId="0" borderId="1" xfId="0" applyFont="1" applyBorder="1" applyAlignment="1">
      <alignment horizontal="center"/>
    </xf>
    <xf numFmtId="0" fontId="14" fillId="0" borderId="1" xfId="10" applyFont="1" applyFill="1" applyBorder="1"/>
    <xf numFmtId="0" fontId="14" fillId="3" borderId="1" xfId="10" applyFont="1" applyFill="1" applyBorder="1"/>
    <xf numFmtId="174" fontId="23" fillId="3" borderId="1" xfId="10" applyNumberFormat="1" applyFont="1" applyFill="1" applyBorder="1"/>
    <xf numFmtId="0" fontId="10" fillId="0" borderId="1" xfId="9" applyNumberFormat="1" applyFont="1" applyFill="1" applyBorder="1" applyAlignment="1" applyProtection="1">
      <alignment horizontal="left"/>
      <protection hidden="1"/>
    </xf>
    <xf numFmtId="0" fontId="14" fillId="0" borderId="1" xfId="10" applyFont="1" applyFill="1" applyBorder="1" applyAlignment="1"/>
    <xf numFmtId="0" fontId="14" fillId="0" borderId="0" xfId="10" applyFont="1" applyFill="1" applyBorder="1" applyAlignment="1"/>
    <xf numFmtId="0" fontId="23" fillId="0" borderId="0" xfId="10" applyFont="1" applyFill="1" applyBorder="1" applyAlignment="1"/>
    <xf numFmtId="0" fontId="20" fillId="2" borderId="9" xfId="9" applyNumberFormat="1" applyFont="1" applyFill="1" applyBorder="1" applyAlignment="1" applyProtection="1">
      <alignment horizontal="left" vertical="center"/>
      <protection hidden="1"/>
    </xf>
    <xf numFmtId="0" fontId="21" fillId="2" borderId="7" xfId="9" applyFont="1" applyFill="1" applyBorder="1" applyAlignment="1" applyProtection="1">
      <alignment horizontal="left"/>
      <protection hidden="1"/>
    </xf>
    <xf numFmtId="0" fontId="24" fillId="2" borderId="7" xfId="10" applyFont="1" applyFill="1" applyBorder="1"/>
    <xf numFmtId="0" fontId="24" fillId="2" borderId="8" xfId="10" applyFont="1" applyFill="1" applyBorder="1"/>
    <xf numFmtId="0" fontId="12" fillId="2" borderId="12" xfId="9" applyFont="1" applyFill="1" applyBorder="1" applyAlignment="1" applyProtection="1">
      <alignment horizontal="left"/>
      <protection hidden="1"/>
    </xf>
    <xf numFmtId="0" fontId="12" fillId="2" borderId="2" xfId="9" applyFont="1" applyFill="1" applyBorder="1" applyAlignment="1" applyProtection="1">
      <alignment horizontal="left"/>
      <protection hidden="1"/>
    </xf>
    <xf numFmtId="0" fontId="24" fillId="2" borderId="2" xfId="10" applyFont="1" applyFill="1" applyBorder="1"/>
    <xf numFmtId="0" fontId="24" fillId="2" borderId="11" xfId="10" applyFont="1" applyFill="1" applyBorder="1"/>
    <xf numFmtId="0" fontId="12" fillId="0" borderId="0" xfId="9" applyFont="1" applyFill="1" applyBorder="1" applyAlignment="1" applyProtection="1">
      <alignment horizontal="left"/>
      <protection hidden="1"/>
    </xf>
    <xf numFmtId="0" fontId="16" fillId="0" borderId="0" xfId="0" applyFont="1"/>
    <xf numFmtId="0" fontId="12" fillId="0" borderId="4" xfId="9" applyFont="1" applyFill="1" applyBorder="1" applyAlignment="1" applyProtection="1">
      <alignment horizontal="left"/>
      <protection hidden="1"/>
    </xf>
    <xf numFmtId="0" fontId="12" fillId="0" borderId="6" xfId="9" applyFont="1" applyFill="1" applyBorder="1" applyAlignment="1" applyProtection="1">
      <alignment horizontal="left"/>
      <protection hidden="1"/>
    </xf>
    <xf numFmtId="0" fontId="11" fillId="0" borderId="0" xfId="0" applyFont="1"/>
    <xf numFmtId="0" fontId="10" fillId="0" borderId="1" xfId="9" applyNumberFormat="1" applyFont="1" applyFill="1" applyBorder="1" applyAlignment="1" applyProtection="1">
      <protection hidden="1"/>
    </xf>
    <xf numFmtId="0" fontId="10" fillId="3" borderId="1" xfId="9" applyFont="1" applyFill="1" applyBorder="1" applyAlignment="1" applyProtection="1">
      <alignment horizontal="left"/>
      <protection hidden="1"/>
    </xf>
    <xf numFmtId="17" fontId="10" fillId="3" borderId="1" xfId="9" quotePrefix="1" applyNumberFormat="1" applyFont="1" applyFill="1" applyBorder="1" applyAlignment="1" applyProtection="1">
      <alignment horizontal="left"/>
      <protection hidden="1"/>
    </xf>
    <xf numFmtId="0" fontId="10" fillId="0" borderId="0" xfId="9" applyNumberFormat="1" applyFont="1" applyFill="1" applyBorder="1" applyAlignment="1" applyProtection="1">
      <alignment horizontal="center"/>
      <protection hidden="1"/>
    </xf>
    <xf numFmtId="0" fontId="10" fillId="0" borderId="0" xfId="9" applyFont="1" applyFill="1" applyBorder="1" applyAlignment="1" applyProtection="1">
      <alignment horizontal="left"/>
      <protection hidden="1"/>
    </xf>
    <xf numFmtId="0" fontId="10" fillId="0" borderId="0" xfId="9" applyFont="1" applyFill="1" applyBorder="1" applyAlignment="1" applyProtection="1">
      <alignment horizontal="center"/>
      <protection hidden="1"/>
    </xf>
    <xf numFmtId="0" fontId="14" fillId="2" borderId="5" xfId="10" applyFont="1" applyFill="1" applyBorder="1" applyAlignment="1"/>
    <xf numFmtId="0" fontId="14" fillId="2" borderId="6" xfId="10" applyFont="1" applyFill="1" applyBorder="1" applyAlignment="1"/>
    <xf numFmtId="0" fontId="12" fillId="0" borderId="0" xfId="9" applyNumberFormat="1" applyFont="1" applyFill="1" applyBorder="1" applyAlignment="1" applyProtection="1">
      <alignment horizontal="left" vertical="center"/>
      <protection hidden="1"/>
    </xf>
    <xf numFmtId="0" fontId="12" fillId="0" borderId="1" xfId="9" applyFont="1" applyFill="1" applyBorder="1" applyAlignment="1" applyProtection="1">
      <alignment horizontal="left"/>
      <protection hidden="1"/>
    </xf>
    <xf numFmtId="0" fontId="14" fillId="0" borderId="5" xfId="10" applyFont="1" applyFill="1" applyBorder="1" applyAlignment="1"/>
    <xf numFmtId="0" fontId="11" fillId="0" borderId="1" xfId="9" applyFont="1" applyFill="1" applyBorder="1" applyAlignment="1" applyProtection="1">
      <alignment horizontal="right"/>
      <protection hidden="1"/>
    </xf>
    <xf numFmtId="0" fontId="14" fillId="3" borderId="2" xfId="10" applyFont="1" applyFill="1" applyBorder="1" applyAlignment="1"/>
    <xf numFmtId="174" fontId="23" fillId="3" borderId="1" xfId="10" applyNumberFormat="1" applyFont="1" applyFill="1" applyBorder="1" applyAlignment="1"/>
    <xf numFmtId="0" fontId="14" fillId="3" borderId="5" xfId="10" applyFont="1" applyFill="1" applyBorder="1" applyAlignment="1"/>
    <xf numFmtId="0" fontId="14" fillId="0" borderId="0" xfId="0" applyFont="1" applyBorder="1"/>
    <xf numFmtId="0" fontId="11" fillId="0" borderId="4" xfId="9" applyFont="1" applyFill="1" applyBorder="1" applyAlignment="1" applyProtection="1">
      <alignment horizontal="left" vertical="top"/>
      <protection hidden="1"/>
    </xf>
    <xf numFmtId="0" fontId="10" fillId="0" borderId="5" xfId="9" applyFont="1" applyFill="1" applyBorder="1" applyAlignment="1" applyProtection="1">
      <alignment horizontal="left" vertical="top"/>
      <protection hidden="1"/>
    </xf>
    <xf numFmtId="0" fontId="10" fillId="0" borderId="6" xfId="9" applyFont="1" applyFill="1" applyBorder="1" applyAlignment="1" applyProtection="1">
      <alignment horizontal="center" vertical="top"/>
      <protection hidden="1"/>
    </xf>
    <xf numFmtId="0" fontId="11" fillId="0" borderId="1" xfId="9" applyFont="1" applyFill="1" applyBorder="1" applyAlignment="1" applyProtection="1">
      <alignment horizontal="left" wrapText="1"/>
      <protection hidden="1"/>
    </xf>
    <xf numFmtId="0" fontId="11" fillId="0" borderId="6" xfId="9" applyFont="1" applyFill="1" applyBorder="1" applyAlignment="1" applyProtection="1">
      <alignment horizontal="left" wrapText="1"/>
      <protection hidden="1"/>
    </xf>
    <xf numFmtId="0" fontId="14" fillId="3" borderId="1" xfId="10" applyFont="1" applyFill="1" applyBorder="1" applyAlignment="1"/>
    <xf numFmtId="0" fontId="14" fillId="3" borderId="4" xfId="10" applyFont="1" applyFill="1" applyBorder="1" applyAlignment="1"/>
    <xf numFmtId="0" fontId="20" fillId="0" borderId="0" xfId="9" applyNumberFormat="1" applyFont="1" applyFill="1" applyBorder="1" applyAlignment="1" applyProtection="1">
      <alignment horizontal="left" vertical="center"/>
      <protection hidden="1"/>
    </xf>
    <xf numFmtId="0" fontId="25" fillId="3" borderId="1" xfId="10" applyFont="1" applyFill="1" applyBorder="1"/>
    <xf numFmtId="0" fontId="23" fillId="0" borderId="0" xfId="10" applyFont="1" applyBorder="1" applyAlignment="1"/>
    <xf numFmtId="0" fontId="23" fillId="0" borderId="0" xfId="10" applyFont="1" applyFill="1" applyBorder="1"/>
    <xf numFmtId="174" fontId="23" fillId="0" borderId="0" xfId="10" applyNumberFormat="1" applyFont="1" applyFill="1" applyBorder="1"/>
    <xf numFmtId="0" fontId="14" fillId="0" borderId="1" xfId="0" applyFont="1" applyFill="1" applyBorder="1"/>
    <xf numFmtId="0" fontId="14" fillId="0" borderId="1" xfId="0" applyFont="1" applyBorder="1"/>
    <xf numFmtId="2" fontId="22" fillId="0" borderId="0" xfId="12" applyNumberFormat="1" applyFont="1" applyFill="1" applyAlignment="1"/>
    <xf numFmtId="2" fontId="14" fillId="0" borderId="1" xfId="0" applyNumberFormat="1" applyFont="1" applyBorder="1"/>
    <xf numFmtId="0" fontId="14" fillId="0" borderId="1" xfId="0" applyFont="1" applyFill="1" applyBorder="1" applyAlignment="1">
      <alignment horizontal="left"/>
    </xf>
    <xf numFmtId="49" fontId="20" fillId="0" borderId="0" xfId="12" applyNumberFormat="1" applyFont="1" applyFill="1" applyBorder="1" applyAlignment="1"/>
    <xf numFmtId="0" fontId="27" fillId="0" borderId="0" xfId="13" applyFont="1" applyFill="1" applyProtection="1">
      <protection hidden="1"/>
    </xf>
    <xf numFmtId="0" fontId="27" fillId="0" borderId="0" xfId="13" applyFont="1" applyFill="1" applyBorder="1" applyProtection="1">
      <protection hidden="1"/>
    </xf>
    <xf numFmtId="0" fontId="27" fillId="0" borderId="0" xfId="0" applyFont="1" applyFill="1" applyBorder="1" applyAlignment="1">
      <alignment vertical="center"/>
    </xf>
    <xf numFmtId="172" fontId="29" fillId="0" borderId="0" xfId="13" applyNumberFormat="1" applyFont="1" applyFill="1" applyBorder="1" applyAlignment="1" applyProtection="1">
      <alignment vertical="center"/>
      <protection hidden="1"/>
    </xf>
    <xf numFmtId="172" fontId="27" fillId="0" borderId="0" xfId="13" applyNumberFormat="1" applyFont="1" applyFill="1" applyBorder="1" applyAlignment="1" applyProtection="1">
      <alignment vertical="center"/>
      <protection hidden="1"/>
    </xf>
    <xf numFmtId="0" fontId="27" fillId="0" borderId="0" xfId="0" applyFont="1" applyFill="1" applyBorder="1" applyAlignment="1">
      <alignment vertical="center" wrapText="1"/>
    </xf>
    <xf numFmtId="172" fontId="29" fillId="0" borderId="0" xfId="13" applyNumberFormat="1" applyFont="1" applyFill="1" applyBorder="1" applyAlignment="1" applyProtection="1">
      <alignment vertical="center" wrapText="1"/>
      <protection hidden="1"/>
    </xf>
    <xf numFmtId="172" fontId="27" fillId="0" borderId="0" xfId="13" applyNumberFormat="1" applyFont="1" applyFill="1" applyBorder="1" applyAlignment="1" applyProtection="1">
      <alignment vertical="center" wrapText="1"/>
      <protection hidden="1"/>
    </xf>
    <xf numFmtId="0" fontId="0" fillId="0" borderId="0" xfId="0" applyAlignment="1">
      <alignment wrapText="1"/>
    </xf>
    <xf numFmtId="10" fontId="29" fillId="0" borderId="0" xfId="15" applyNumberFormat="1" applyFont="1" applyFill="1" applyBorder="1" applyAlignment="1" applyProtection="1">
      <alignment vertical="center" wrapText="1"/>
      <protection hidden="1"/>
    </xf>
    <xf numFmtId="10" fontId="29" fillId="0" borderId="0" xfId="15" applyNumberFormat="1" applyFont="1" applyFill="1" applyBorder="1" applyAlignment="1" applyProtection="1">
      <alignment vertical="center"/>
      <protection hidden="1"/>
    </xf>
    <xf numFmtId="173" fontId="29" fillId="0" borderId="0" xfId="15" applyNumberFormat="1" applyFont="1" applyFill="1" applyBorder="1" applyAlignment="1" applyProtection="1">
      <alignment vertical="center"/>
      <protection hidden="1"/>
    </xf>
    <xf numFmtId="173" fontId="29" fillId="0" borderId="0" xfId="13" applyNumberFormat="1" applyFont="1" applyFill="1" applyBorder="1" applyAlignment="1" applyProtection="1">
      <alignment vertical="center"/>
      <protection hidden="1"/>
    </xf>
    <xf numFmtId="173" fontId="27" fillId="0" borderId="0" xfId="15" applyNumberFormat="1" applyFont="1" applyFill="1" applyBorder="1" applyAlignment="1" applyProtection="1">
      <alignment vertical="center"/>
      <protection hidden="1"/>
    </xf>
    <xf numFmtId="0" fontId="14" fillId="0" borderId="16" xfId="0" applyFont="1" applyBorder="1" applyAlignment="1">
      <alignment vertical="top" wrapText="1"/>
    </xf>
    <xf numFmtId="173" fontId="27" fillId="0" borderId="0" xfId="13" applyNumberFormat="1" applyFont="1" applyFill="1" applyBorder="1" applyAlignment="1" applyProtection="1">
      <alignment horizontal="right" vertical="center"/>
      <protection hidden="1"/>
    </xf>
    <xf numFmtId="10" fontId="28" fillId="0" borderId="0" xfId="15" applyNumberFormat="1" applyFont="1" applyFill="1" applyBorder="1" applyAlignment="1" applyProtection="1">
      <alignment vertical="center"/>
      <protection hidden="1"/>
    </xf>
    <xf numFmtId="173" fontId="28" fillId="0" borderId="0" xfId="0" applyNumberFormat="1" applyFont="1" applyFill="1" applyBorder="1"/>
    <xf numFmtId="0" fontId="27" fillId="0" borderId="0" xfId="13" applyFont="1" applyFill="1" applyBorder="1" applyAlignment="1" applyProtection="1">
      <alignment horizontal="right" vertical="center"/>
      <protection hidden="1"/>
    </xf>
    <xf numFmtId="0" fontId="30" fillId="0" borderId="0" xfId="13" applyFont="1" applyFill="1" applyBorder="1" applyAlignment="1" applyProtection="1">
      <alignment vertical="center"/>
      <protection hidden="1"/>
    </xf>
    <xf numFmtId="173" fontId="28" fillId="0" borderId="0" xfId="13" applyNumberFormat="1" applyFont="1" applyFill="1" applyBorder="1" applyAlignment="1" applyProtection="1">
      <alignment vertical="center"/>
      <protection hidden="1"/>
    </xf>
    <xf numFmtId="10" fontId="28" fillId="0" borderId="0" xfId="0" applyNumberFormat="1" applyFont="1" applyFill="1" applyBorder="1" applyAlignment="1"/>
    <xf numFmtId="0" fontId="32" fillId="0" borderId="0" xfId="13" applyFont="1" applyFill="1" applyBorder="1" applyAlignment="1" applyProtection="1">
      <protection hidden="1"/>
    </xf>
    <xf numFmtId="0" fontId="32" fillId="0" borderId="0" xfId="13" applyFont="1" applyFill="1" applyBorder="1" applyProtection="1">
      <protection hidden="1"/>
    </xf>
    <xf numFmtId="0" fontId="27" fillId="0" borderId="0" xfId="13" applyFont="1" applyFill="1" applyBorder="1" applyAlignment="1" applyProtection="1">
      <protection hidden="1"/>
    </xf>
    <xf numFmtId="0" fontId="27" fillId="0" borderId="0" xfId="0" applyFont="1" applyFill="1" applyAlignment="1"/>
    <xf numFmtId="0" fontId="27" fillId="0" borderId="0" xfId="13" applyFont="1" applyFill="1" applyAlignment="1" applyProtection="1">
      <protection hidden="1"/>
    </xf>
    <xf numFmtId="0" fontId="14" fillId="0" borderId="0" xfId="0" applyFont="1" applyAlignment="1">
      <alignment vertical="top" wrapText="1"/>
    </xf>
    <xf numFmtId="0" fontId="14" fillId="0" borderId="0" xfId="0" applyFont="1" applyBorder="1" applyAlignment="1">
      <alignment vertical="top" wrapText="1"/>
    </xf>
    <xf numFmtId="0" fontId="4" fillId="0" borderId="0" xfId="0" applyFont="1" applyAlignment="1">
      <alignment vertical="top" wrapText="1"/>
    </xf>
    <xf numFmtId="0" fontId="0" fillId="0" borderId="0" xfId="0" applyAlignment="1">
      <alignment vertical="top" wrapText="1"/>
    </xf>
    <xf numFmtId="0" fontId="14" fillId="0" borderId="21" xfId="0" applyFont="1" applyBorder="1" applyAlignment="1">
      <alignment vertical="top" wrapText="1"/>
    </xf>
    <xf numFmtId="0" fontId="14" fillId="0" borderId="14" xfId="0" applyFont="1" applyBorder="1" applyAlignment="1">
      <alignment vertical="top" wrapText="1"/>
    </xf>
    <xf numFmtId="0" fontId="14" fillId="0" borderId="19" xfId="0" applyFont="1" applyBorder="1" applyAlignment="1">
      <alignment vertical="top" wrapText="1"/>
    </xf>
    <xf numFmtId="0" fontId="0" fillId="0" borderId="0" xfId="0" applyBorder="1" applyAlignment="1">
      <alignment horizontal="left"/>
    </xf>
    <xf numFmtId="0" fontId="0" fillId="0" borderId="25" xfId="0" applyBorder="1" applyAlignment="1">
      <alignment horizontal="left"/>
    </xf>
    <xf numFmtId="0" fontId="14" fillId="0" borderId="18" xfId="0" applyFont="1" applyBorder="1" applyAlignment="1">
      <alignment horizontal="left" vertical="top"/>
    </xf>
    <xf numFmtId="174" fontId="14" fillId="2" borderId="1" xfId="0" applyNumberFormat="1" applyFont="1" applyFill="1" applyBorder="1" applyAlignment="1" applyProtection="1">
      <alignment horizontal="center" vertical="top" wrapText="1"/>
    </xf>
    <xf numFmtId="171" fontId="14" fillId="2" borderId="1" xfId="17" applyNumberFormat="1" applyFont="1" applyFill="1" applyBorder="1" applyAlignment="1" applyProtection="1">
      <alignment vertical="top" wrapText="1"/>
    </xf>
    <xf numFmtId="176" fontId="14" fillId="3" borderId="1" xfId="0" applyNumberFormat="1" applyFont="1" applyFill="1" applyBorder="1" applyAlignment="1">
      <alignment horizontal="center"/>
    </xf>
    <xf numFmtId="176" fontId="14" fillId="0" borderId="1" xfId="0" applyNumberFormat="1" applyFont="1" applyBorder="1"/>
    <xf numFmtId="176" fontId="16" fillId="0" borderId="0" xfId="0" applyNumberFormat="1" applyFont="1"/>
    <xf numFmtId="2" fontId="14" fillId="2" borderId="1" xfId="17" applyNumberFormat="1" applyFont="1" applyFill="1" applyBorder="1" applyAlignment="1">
      <alignment horizontal="center" vertical="top" wrapText="1"/>
    </xf>
    <xf numFmtId="3" fontId="14" fillId="2" borderId="1" xfId="17" applyNumberFormat="1" applyFont="1" applyFill="1" applyBorder="1" applyAlignment="1" applyProtection="1">
      <alignment horizontal="center" vertical="top" wrapText="1"/>
    </xf>
    <xf numFmtId="0" fontId="14" fillId="0" borderId="0" xfId="17" applyFont="1" applyAlignment="1">
      <alignment horizontal="center" vertical="top"/>
    </xf>
    <xf numFmtId="0" fontId="16" fillId="0" borderId="1" xfId="0" applyFont="1" applyBorder="1"/>
    <xf numFmtId="167" fontId="16" fillId="0" borderId="1" xfId="0" applyNumberFormat="1" applyFont="1" applyBorder="1"/>
    <xf numFmtId="176" fontId="16" fillId="0" borderId="1" xfId="0" applyNumberFormat="1" applyFont="1" applyBorder="1"/>
    <xf numFmtId="0" fontId="14" fillId="5" borderId="0" xfId="0" applyFont="1" applyFill="1"/>
    <xf numFmtId="176" fontId="10" fillId="4" borderId="1" xfId="3" applyNumberFormat="1" applyFont="1" applyFill="1" applyBorder="1" applyAlignment="1" applyProtection="1">
      <protection locked="0"/>
    </xf>
    <xf numFmtId="0" fontId="16" fillId="0" borderId="13" xfId="0" applyFont="1" applyFill="1" applyBorder="1"/>
    <xf numFmtId="0" fontId="14" fillId="6" borderId="1" xfId="0" applyFont="1" applyFill="1" applyBorder="1"/>
    <xf numFmtId="166" fontId="14" fillId="0" borderId="0" xfId="16" applyFont="1"/>
    <xf numFmtId="0" fontId="14" fillId="0" borderId="1" xfId="0" applyFont="1" applyBorder="1" applyAlignment="1">
      <alignment horizontal="left"/>
    </xf>
    <xf numFmtId="0" fontId="16" fillId="5" borderId="14" xfId="0" applyFont="1" applyFill="1" applyBorder="1" applyAlignment="1">
      <alignment vertical="top" wrapText="1"/>
    </xf>
    <xf numFmtId="2" fontId="14" fillId="6" borderId="1" xfId="0" applyNumberFormat="1" applyFont="1" applyFill="1" applyBorder="1"/>
    <xf numFmtId="0" fontId="14" fillId="0" borderId="1" xfId="19" applyFont="1" applyBorder="1"/>
    <xf numFmtId="2" fontId="14" fillId="0" borderId="1" xfId="19" applyNumberFormat="1" applyFont="1" applyBorder="1"/>
    <xf numFmtId="0" fontId="16" fillId="8" borderId="14" xfId="0" applyFont="1" applyFill="1" applyBorder="1" applyAlignment="1">
      <alignment vertical="top" wrapText="1"/>
    </xf>
    <xf numFmtId="0" fontId="14" fillId="0" borderId="0" xfId="13" applyFont="1" applyFill="1" applyBorder="1" applyAlignment="1" applyProtection="1">
      <alignment horizontal="center" vertical="center"/>
      <protection hidden="1"/>
    </xf>
    <xf numFmtId="173" fontId="14" fillId="0" borderId="0" xfId="15" applyNumberFormat="1" applyFont="1" applyFill="1" applyBorder="1" applyAlignment="1" applyProtection="1">
      <alignment vertical="center"/>
      <protection hidden="1"/>
    </xf>
    <xf numFmtId="2" fontId="10" fillId="0" borderId="0" xfId="13" applyNumberFormat="1" applyFont="1" applyFill="1" applyBorder="1" applyAlignment="1" applyProtection="1">
      <alignment horizontal="right" vertical="center"/>
      <protection hidden="1"/>
    </xf>
    <xf numFmtId="173" fontId="14" fillId="0" borderId="0" xfId="0" applyNumberFormat="1" applyFont="1" applyFill="1" applyBorder="1"/>
    <xf numFmtId="173" fontId="14" fillId="0" borderId="0" xfId="13" applyNumberFormat="1" applyFont="1" applyFill="1" applyBorder="1" applyAlignment="1" applyProtection="1">
      <alignment vertical="center"/>
      <protection hidden="1"/>
    </xf>
    <xf numFmtId="2" fontId="14" fillId="2" borderId="3" xfId="0" applyNumberFormat="1" applyFont="1" applyFill="1" applyBorder="1" applyAlignment="1">
      <alignment vertical="top" wrapText="1"/>
    </xf>
    <xf numFmtId="2" fontId="14" fillId="2" borderId="3" xfId="0" applyNumberFormat="1" applyFont="1" applyFill="1" applyBorder="1" applyAlignment="1">
      <alignment horizontal="center" vertical="top" wrapText="1"/>
    </xf>
    <xf numFmtId="0" fontId="14" fillId="2" borderId="3" xfId="0" applyFont="1" applyFill="1" applyBorder="1" applyAlignment="1">
      <alignment vertical="top" wrapText="1"/>
    </xf>
    <xf numFmtId="167" fontId="14" fillId="2" borderId="3" xfId="7" applyFont="1" applyFill="1" applyBorder="1" applyAlignment="1">
      <alignment horizontal="left" vertical="top" wrapText="1"/>
    </xf>
    <xf numFmtId="167" fontId="14" fillId="2" borderId="9" xfId="7" applyFont="1" applyFill="1" applyBorder="1" applyAlignment="1">
      <alignment horizontal="center" vertical="top" wrapText="1"/>
    </xf>
    <xf numFmtId="0" fontId="0" fillId="0" borderId="1" xfId="0" applyBorder="1"/>
    <xf numFmtId="0" fontId="35" fillId="6" borderId="1" xfId="0" applyFont="1" applyFill="1" applyBorder="1"/>
    <xf numFmtId="0" fontId="0" fillId="6" borderId="1" xfId="0" applyFill="1" applyBorder="1"/>
    <xf numFmtId="0" fontId="37" fillId="6" borderId="1" xfId="0" applyFont="1" applyFill="1" applyBorder="1"/>
    <xf numFmtId="167" fontId="14" fillId="0" borderId="1" xfId="7" applyFont="1" applyFill="1" applyBorder="1" applyAlignment="1">
      <alignment horizontal="right"/>
    </xf>
    <xf numFmtId="167" fontId="14" fillId="0" borderId="1" xfId="7" applyFont="1" applyFill="1" applyBorder="1"/>
    <xf numFmtId="167" fontId="14" fillId="2" borderId="1" xfId="7" applyFont="1" applyFill="1" applyBorder="1" applyAlignment="1">
      <alignment vertical="top" wrapText="1"/>
    </xf>
    <xf numFmtId="1" fontId="14" fillId="0" borderId="1" xfId="19" applyNumberFormat="1" applyFont="1" applyFill="1" applyBorder="1" applyAlignment="1">
      <alignment horizontal="center"/>
    </xf>
    <xf numFmtId="177" fontId="14" fillId="0" borderId="1" xfId="19" applyNumberFormat="1" applyFont="1" applyFill="1" applyBorder="1" applyAlignment="1">
      <alignment horizontal="left"/>
    </xf>
    <xf numFmtId="0" fontId="14" fillId="0" borderId="1" xfId="19" applyFont="1" applyFill="1" applyBorder="1"/>
    <xf numFmtId="0" fontId="14" fillId="0" borderId="1" xfId="20" applyFont="1" applyFill="1" applyBorder="1" applyAlignment="1">
      <alignment horizontal="right"/>
    </xf>
    <xf numFmtId="1" fontId="13" fillId="0" borderId="4" xfId="19" applyNumberFormat="1" applyFont="1" applyFill="1" applyBorder="1" applyAlignment="1">
      <alignment horizontal="center"/>
    </xf>
    <xf numFmtId="0" fontId="36" fillId="0" borderId="1" xfId="0" applyFont="1" applyFill="1" applyBorder="1"/>
    <xf numFmtId="1" fontId="36" fillId="0" borderId="1" xfId="19" applyNumberFormat="1" applyFont="1" applyFill="1" applyBorder="1" applyAlignment="1">
      <alignment horizontal="center"/>
    </xf>
    <xf numFmtId="177" fontId="36" fillId="0" borderId="1" xfId="19" applyNumberFormat="1" applyFont="1" applyFill="1" applyBorder="1" applyAlignment="1">
      <alignment horizontal="left"/>
    </xf>
    <xf numFmtId="0" fontId="36" fillId="0" borderId="1" xfId="19" applyFont="1" applyFill="1" applyBorder="1"/>
    <xf numFmtId="0" fontId="36" fillId="0" borderId="1" xfId="20" applyFont="1" applyFill="1" applyBorder="1" applyAlignment="1">
      <alignment horizontal="right"/>
    </xf>
    <xf numFmtId="1" fontId="36" fillId="0" borderId="4" xfId="19" applyNumberFormat="1" applyFont="1" applyFill="1" applyBorder="1" applyAlignment="1">
      <alignment horizontal="center"/>
    </xf>
    <xf numFmtId="1" fontId="14" fillId="0" borderId="1" xfId="0" applyNumberFormat="1" applyFont="1" applyFill="1" applyBorder="1" applyAlignment="1">
      <alignment horizontal="center"/>
    </xf>
    <xf numFmtId="177" fontId="14" fillId="0" borderId="1" xfId="0" applyNumberFormat="1" applyFont="1" applyFill="1" applyBorder="1" applyAlignment="1">
      <alignment horizontal="left"/>
    </xf>
    <xf numFmtId="1" fontId="13" fillId="0" borderId="4" xfId="0" applyNumberFormat="1" applyFont="1" applyFill="1" applyBorder="1" applyAlignment="1">
      <alignment horizontal="center"/>
    </xf>
    <xf numFmtId="1" fontId="14" fillId="0" borderId="4" xfId="0" applyNumberFormat="1" applyFont="1" applyFill="1" applyBorder="1" applyAlignment="1">
      <alignment horizontal="center"/>
    </xf>
    <xf numFmtId="177" fontId="14" fillId="0" borderId="1" xfId="0" applyNumberFormat="1" applyFont="1" applyFill="1" applyBorder="1"/>
    <xf numFmtId="177" fontId="14" fillId="0" borderId="3" xfId="0" applyNumberFormat="1" applyFont="1" applyFill="1" applyBorder="1" applyAlignment="1">
      <alignment horizontal="left"/>
    </xf>
    <xf numFmtId="0" fontId="14" fillId="0" borderId="3" xfId="0" applyFont="1" applyFill="1" applyBorder="1"/>
    <xf numFmtId="167" fontId="14" fillId="0" borderId="3" xfId="7" applyFont="1" applyFill="1" applyBorder="1" applyAlignment="1">
      <alignment horizontal="right"/>
    </xf>
    <xf numFmtId="0" fontId="14" fillId="0" borderId="1" xfId="0" applyFont="1" applyFill="1" applyBorder="1" applyAlignment="1">
      <alignment horizontal="center"/>
    </xf>
    <xf numFmtId="0" fontId="0" fillId="0" borderId="0" xfId="0" applyFill="1"/>
    <xf numFmtId="2" fontId="14" fillId="0" borderId="1" xfId="0" applyNumberFormat="1" applyFont="1" applyFill="1" applyBorder="1"/>
    <xf numFmtId="167" fontId="14" fillId="0" borderId="0" xfId="7" applyFont="1" applyFill="1"/>
    <xf numFmtId="0" fontId="0" fillId="0" borderId="1" xfId="0" applyFill="1" applyBorder="1" applyAlignment="1">
      <alignment horizontal="center"/>
    </xf>
    <xf numFmtId="176" fontId="14" fillId="9" borderId="1" xfId="0" applyNumberFormat="1" applyFont="1" applyFill="1" applyBorder="1"/>
    <xf numFmtId="44" fontId="10" fillId="4" borderId="1" xfId="3" applyNumberFormat="1" applyFont="1" applyFill="1" applyBorder="1" applyAlignment="1" applyProtection="1">
      <protection locked="0"/>
    </xf>
    <xf numFmtId="175" fontId="16" fillId="9" borderId="1" xfId="0" applyNumberFormat="1" applyFont="1" applyFill="1" applyBorder="1"/>
    <xf numFmtId="175" fontId="16" fillId="5" borderId="1" xfId="0" applyNumberFormat="1" applyFont="1" applyFill="1" applyBorder="1"/>
    <xf numFmtId="0" fontId="16" fillId="0" borderId="0" xfId="0" applyFont="1" applyBorder="1" applyAlignment="1">
      <alignment horizontal="left"/>
    </xf>
    <xf numFmtId="176" fontId="16" fillId="0" borderId="0" xfId="0" applyNumberFormat="1" applyFont="1" applyFill="1" applyBorder="1"/>
    <xf numFmtId="0" fontId="12" fillId="9" borderId="0" xfId="13" applyFont="1" applyFill="1" applyBorder="1" applyAlignment="1" applyProtection="1">
      <alignment vertical="center"/>
      <protection hidden="1"/>
    </xf>
    <xf numFmtId="0" fontId="16" fillId="5" borderId="0" xfId="0" applyFont="1" applyFill="1"/>
    <xf numFmtId="0" fontId="16" fillId="3" borderId="0" xfId="10" applyFont="1" applyFill="1" applyBorder="1" applyAlignment="1"/>
    <xf numFmtId="0" fontId="14" fillId="0" borderId="18" xfId="0" applyFont="1" applyBorder="1" applyAlignment="1">
      <alignment horizontal="left" vertical="top" wrapText="1"/>
    </xf>
    <xf numFmtId="0" fontId="14" fillId="0" borderId="0" xfId="0" applyFont="1" applyBorder="1" applyAlignment="1">
      <alignment horizontal="left" vertical="top" wrapText="1"/>
    </xf>
    <xf numFmtId="0" fontId="14" fillId="0" borderId="25" xfId="0" applyFont="1" applyBorder="1" applyAlignment="1">
      <alignment horizontal="left" vertical="top" wrapText="1"/>
    </xf>
    <xf numFmtId="0" fontId="14" fillId="0" borderId="19" xfId="0" applyFont="1" applyBorder="1" applyAlignment="1">
      <alignment horizontal="left" vertical="top" wrapText="1"/>
    </xf>
    <xf numFmtId="0" fontId="14" fillId="0" borderId="20" xfId="0" applyFont="1" applyBorder="1" applyAlignment="1">
      <alignment horizontal="left" vertical="top" wrapText="1"/>
    </xf>
    <xf numFmtId="0" fontId="14" fillId="0" borderId="15" xfId="0" applyFont="1" applyBorder="1" applyAlignment="1">
      <alignment horizontal="left" vertical="top" wrapText="1"/>
    </xf>
    <xf numFmtId="0" fontId="14" fillId="0" borderId="19" xfId="0" applyFont="1" applyBorder="1" applyAlignment="1">
      <alignment horizontal="center" vertical="top"/>
    </xf>
    <xf numFmtId="0" fontId="14" fillId="0" borderId="20" xfId="0" applyFont="1" applyBorder="1" applyAlignment="1">
      <alignment horizontal="center" vertical="top"/>
    </xf>
    <xf numFmtId="0" fontId="14" fillId="0" borderId="15" xfId="0" applyFont="1" applyBorder="1" applyAlignment="1">
      <alignment horizontal="center" vertical="top"/>
    </xf>
    <xf numFmtId="0" fontId="14" fillId="0" borderId="0" xfId="0" applyFont="1" applyAlignment="1">
      <alignment vertical="top" wrapText="1"/>
    </xf>
    <xf numFmtId="0" fontId="14" fillId="0" borderId="0" xfId="0" applyFont="1" applyAlignment="1">
      <alignment horizontal="left" vertical="top" wrapText="1"/>
    </xf>
    <xf numFmtId="0" fontId="0" fillId="0" borderId="0" xfId="0" applyBorder="1" applyAlignment="1">
      <alignment horizontal="left"/>
    </xf>
    <xf numFmtId="0" fontId="0" fillId="0" borderId="25" xfId="0" applyBorder="1" applyAlignment="1">
      <alignment horizontal="left"/>
    </xf>
    <xf numFmtId="0" fontId="16" fillId="5" borderId="22" xfId="0" applyFont="1" applyFill="1" applyBorder="1" applyAlignment="1">
      <alignment horizontal="left" vertical="top" wrapText="1"/>
    </xf>
    <xf numFmtId="0" fontId="16" fillId="5" borderId="23" xfId="0" applyFont="1" applyFill="1" applyBorder="1" applyAlignment="1">
      <alignment horizontal="left" vertical="top" wrapText="1"/>
    </xf>
    <xf numFmtId="0" fontId="16" fillId="5" borderId="24" xfId="0" applyFont="1" applyFill="1" applyBorder="1" applyAlignment="1">
      <alignment horizontal="left" vertical="top" wrapText="1"/>
    </xf>
    <xf numFmtId="0" fontId="14" fillId="0" borderId="21" xfId="0" applyFont="1" applyBorder="1" applyAlignment="1">
      <alignment horizontal="left" vertical="top" wrapText="1"/>
    </xf>
    <xf numFmtId="0" fontId="14" fillId="0" borderId="26" xfId="0" applyFont="1" applyBorder="1" applyAlignment="1">
      <alignment horizontal="left" vertical="top" wrapText="1"/>
    </xf>
    <xf numFmtId="0" fontId="14" fillId="0" borderId="17" xfId="0" applyFont="1" applyBorder="1" applyAlignment="1">
      <alignment horizontal="left" vertical="top" wrapText="1"/>
    </xf>
    <xf numFmtId="0" fontId="16" fillId="8" borderId="19" xfId="0" applyFont="1" applyFill="1" applyBorder="1" applyAlignment="1">
      <alignment horizontal="left" vertical="top"/>
    </xf>
    <xf numFmtId="0" fontId="16" fillId="8" borderId="20" xfId="0" applyFont="1" applyFill="1" applyBorder="1" applyAlignment="1">
      <alignment horizontal="left" vertical="top"/>
    </xf>
    <xf numFmtId="0" fontId="16" fillId="8" borderId="15" xfId="0" applyFont="1" applyFill="1" applyBorder="1" applyAlignment="1">
      <alignment horizontal="left" vertical="top"/>
    </xf>
    <xf numFmtId="0" fontId="14" fillId="7" borderId="0" xfId="0" applyFont="1" applyFill="1" applyAlignment="1">
      <alignment horizontal="center"/>
    </xf>
    <xf numFmtId="0" fontId="14" fillId="5" borderId="0" xfId="0" applyFont="1" applyFill="1" applyAlignment="1">
      <alignment horizontal="center"/>
    </xf>
    <xf numFmtId="0" fontId="14" fillId="5" borderId="10" xfId="0" applyFont="1" applyFill="1" applyBorder="1" applyAlignment="1">
      <alignment horizontal="center"/>
    </xf>
    <xf numFmtId="0" fontId="20" fillId="2" borderId="4" xfId="9" applyNumberFormat="1" applyFont="1" applyFill="1" applyBorder="1" applyAlignment="1" applyProtection="1">
      <alignment horizontal="left" vertical="center"/>
      <protection hidden="1"/>
    </xf>
    <xf numFmtId="0" fontId="14" fillId="0" borderId="5" xfId="0" applyFont="1" applyBorder="1" applyAlignment="1"/>
    <xf numFmtId="0" fontId="14" fillId="0" borderId="6" xfId="0" applyFont="1" applyBorder="1" applyAlignment="1"/>
    <xf numFmtId="171" fontId="14" fillId="2" borderId="4" xfId="17" applyNumberFormat="1" applyFont="1" applyFill="1" applyBorder="1" applyAlignment="1" applyProtection="1">
      <alignment vertical="top" wrapText="1"/>
    </xf>
    <xf numFmtId="0" fontId="11" fillId="0" borderId="4" xfId="9" applyFont="1" applyFill="1" applyBorder="1" applyAlignment="1" applyProtection="1">
      <alignment horizontal="center"/>
      <protection hidden="1"/>
    </xf>
    <xf numFmtId="0" fontId="11" fillId="0" borderId="5" xfId="9" applyFont="1" applyFill="1" applyBorder="1" applyAlignment="1" applyProtection="1">
      <alignment horizontal="center"/>
      <protection hidden="1"/>
    </xf>
    <xf numFmtId="0" fontId="11" fillId="0" borderId="6" xfId="9" applyFont="1" applyFill="1" applyBorder="1" applyAlignment="1" applyProtection="1">
      <alignment horizontal="center"/>
      <protection hidden="1"/>
    </xf>
  </cellXfs>
  <cellStyles count="21">
    <cellStyle name="Comma [0]_AA BCR/ Basis ruimtestaat 13.0" xfId="1" xr:uid="{00000000-0005-0000-0000-000000000000}"/>
    <cellStyle name="Comma_AA BCR/ Basis ruimtestaat 13.0" xfId="2" xr:uid="{00000000-0005-0000-0000-000002000000}"/>
    <cellStyle name="Comma_Uurtarieven 2000 LEVERANCIER" xfId="3" xr:uid="{00000000-0005-0000-0000-000004000000}"/>
    <cellStyle name="Currency [0]_AA BCR/ Basis ruimtestaat 13.0" xfId="4" xr:uid="{00000000-0005-0000-0000-000005000000}"/>
    <cellStyle name="Currency_AA BCR/ Basis ruimtestaat 13.0" xfId="5" xr:uid="{00000000-0005-0000-0000-000006000000}"/>
    <cellStyle name="Followed Hyperlink_Aantal groepen per school.xls" xfId="6" xr:uid="{00000000-0005-0000-0000-000009000000}"/>
    <cellStyle name="Komma" xfId="7" builtinId="3"/>
    <cellStyle name="Komma 4" xfId="20" xr:uid="{AEE370E5-062E-4751-82B0-6FD208625354}"/>
    <cellStyle name="Normaal_GLAS gegevens.xls" xfId="8" xr:uid="{00000000-0005-0000-0000-00000C000000}"/>
    <cellStyle name="Normal_ KLM-CTR(STA)-Recap.xls" xfId="9" xr:uid="{00000000-0005-0000-0000-00000D000000}"/>
    <cellStyle name="Normal_AFRPPRIJS.xls" xfId="10" xr:uid="{00000000-0005-0000-0000-00000E000000}"/>
    <cellStyle name="Normal_ATIR-Calc-Uurtarief 2001" xfId="11" xr:uid="{00000000-0005-0000-0000-00000F000000}"/>
    <cellStyle name="Normal_CALCULATIEBLAD.XLS" xfId="12" xr:uid="{00000000-0005-0000-0000-000010000000}"/>
    <cellStyle name="Normal_Uurtarieven 2000 LEVERANCIER" xfId="13" xr:uid="{00000000-0005-0000-0000-000012000000}"/>
    <cellStyle name="Ongedefinieerd" xfId="14" xr:uid="{00000000-0005-0000-0000-000014000000}"/>
    <cellStyle name="Procent" xfId="15" builtinId="5"/>
    <cellStyle name="Standaard" xfId="0" builtinId="0"/>
    <cellStyle name="Standaard 2" xfId="17" xr:uid="{00000000-0005-0000-0000-000017000000}"/>
    <cellStyle name="Standaard 3" xfId="18" xr:uid="{00000000-0005-0000-0000-000018000000}"/>
    <cellStyle name="Standaard 4" xfId="19" xr:uid="{93C6E020-445D-4AD1-A1DA-6209012CA624}"/>
    <cellStyle name="Valuta" xfId="16" builtinId="4"/>
  </cellStyles>
  <dxfs count="1">
    <dxf>
      <fill>
        <patternFill>
          <bgColor indexed="2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5"/>
  <sheetViews>
    <sheetView showGridLines="0" workbookViewId="0">
      <selection activeCell="B12" sqref="B12:E12"/>
    </sheetView>
  </sheetViews>
  <sheetFormatPr defaultColWidth="9.28515625" defaultRowHeight="12.75"/>
  <cols>
    <col min="1" max="2" width="18.5703125" customWidth="1"/>
    <col min="5" max="5" width="29.140625" customWidth="1"/>
    <col min="6" max="6" width="39.85546875" customWidth="1"/>
    <col min="7" max="7" width="65.140625" customWidth="1"/>
    <col min="8" max="10" width="15.7109375" customWidth="1"/>
    <col min="11" max="11" width="12.85546875" bestFit="1" customWidth="1"/>
    <col min="12" max="12" width="2.140625" customWidth="1"/>
    <col min="13" max="13" width="7.85546875" customWidth="1"/>
    <col min="14" max="14" width="27" bestFit="1" customWidth="1"/>
  </cols>
  <sheetData>
    <row r="1" spans="1:13" ht="18">
      <c r="A1" s="4" t="s">
        <v>54</v>
      </c>
      <c r="B1" s="101"/>
      <c r="H1" s="101"/>
      <c r="I1" s="101"/>
      <c r="J1" s="101"/>
      <c r="K1" s="102"/>
      <c r="L1" s="102"/>
      <c r="M1" s="102"/>
    </row>
    <row r="2" spans="1:13" s="109" customFormat="1" ht="41.25" customHeight="1">
      <c r="A2" s="220" t="s">
        <v>55</v>
      </c>
      <c r="B2" s="220"/>
      <c r="C2" s="220"/>
      <c r="D2" s="220"/>
      <c r="E2" s="220"/>
      <c r="F2" s="220"/>
      <c r="H2" s="106"/>
      <c r="I2" s="110"/>
      <c r="J2" s="106"/>
      <c r="K2" s="107"/>
      <c r="L2" s="107"/>
      <c r="M2" s="108"/>
    </row>
    <row r="3" spans="1:13" ht="13.5" thickBot="1">
      <c r="A3" s="7" t="s">
        <v>56</v>
      </c>
      <c r="H3" s="103"/>
      <c r="I3" s="111"/>
      <c r="J3" s="103"/>
      <c r="K3" s="104"/>
      <c r="L3" s="104"/>
      <c r="M3" s="105"/>
    </row>
    <row r="4" spans="1:13" ht="13.5" thickBot="1">
      <c r="A4" s="155" t="s">
        <v>57</v>
      </c>
      <c r="B4" s="223" t="s">
        <v>53</v>
      </c>
      <c r="C4" s="224"/>
      <c r="D4" s="224"/>
      <c r="E4" s="225"/>
      <c r="H4" s="103"/>
      <c r="I4" s="111"/>
      <c r="J4" s="103"/>
      <c r="K4" s="112"/>
      <c r="L4" s="113"/>
      <c r="M4" s="114"/>
    </row>
    <row r="5" spans="1:13" ht="13.5" customHeight="1" thickBot="1">
      <c r="A5" s="134" t="s">
        <v>58</v>
      </c>
      <c r="B5" s="213" t="s">
        <v>59</v>
      </c>
      <c r="C5" s="214"/>
      <c r="D5" s="214"/>
      <c r="E5" s="215"/>
      <c r="H5" s="103"/>
      <c r="I5" s="111"/>
      <c r="J5" s="103"/>
      <c r="K5" s="112"/>
      <c r="L5" s="113"/>
      <c r="M5" s="116"/>
    </row>
    <row r="6" spans="1:13" ht="13.5" customHeight="1" thickBot="1">
      <c r="A6" s="132" t="s">
        <v>60</v>
      </c>
      <c r="B6" s="210" t="s">
        <v>61</v>
      </c>
      <c r="C6" s="211"/>
      <c r="D6" s="211"/>
      <c r="E6" s="212"/>
      <c r="H6" s="117"/>
      <c r="I6" s="103"/>
      <c r="J6" s="117"/>
      <c r="K6" s="118"/>
      <c r="L6" s="113"/>
      <c r="M6" s="119"/>
    </row>
    <row r="7" spans="1:13" ht="13.5" customHeight="1" thickBot="1">
      <c r="A7" s="132" t="s">
        <v>62</v>
      </c>
      <c r="B7" s="213" t="s">
        <v>63</v>
      </c>
      <c r="C7" s="214"/>
      <c r="D7" s="214"/>
      <c r="E7" s="215"/>
      <c r="H7" s="120"/>
      <c r="I7" s="103"/>
      <c r="J7" s="120"/>
      <c r="K7" s="121"/>
      <c r="L7" s="113"/>
      <c r="M7" s="119"/>
    </row>
    <row r="8" spans="1:13" ht="13.5" customHeight="1" thickBot="1">
      <c r="A8" s="132" t="s">
        <v>64</v>
      </c>
      <c r="B8" s="210" t="s">
        <v>65</v>
      </c>
      <c r="C8" s="211"/>
      <c r="D8" s="211"/>
      <c r="E8" s="212"/>
      <c r="H8" s="122"/>
      <c r="I8" s="103"/>
      <c r="J8" s="122"/>
      <c r="K8" s="118"/>
      <c r="L8" s="113"/>
      <c r="M8" s="119"/>
    </row>
    <row r="9" spans="1:13" ht="13.5" customHeight="1" thickBot="1">
      <c r="A9" s="132" t="s">
        <v>22</v>
      </c>
      <c r="B9" s="213" t="s">
        <v>66</v>
      </c>
      <c r="C9" s="214"/>
      <c r="D9" s="214"/>
      <c r="E9" s="215"/>
      <c r="H9" s="122"/>
      <c r="I9" s="103"/>
      <c r="J9" s="122"/>
      <c r="K9" s="118"/>
      <c r="L9" s="113"/>
      <c r="M9" s="119"/>
    </row>
    <row r="10" spans="1:13" ht="13.5" customHeight="1" thickBot="1">
      <c r="A10" s="132" t="s">
        <v>67</v>
      </c>
      <c r="B10" s="210" t="s">
        <v>68</v>
      </c>
      <c r="C10" s="211"/>
      <c r="D10" s="211"/>
      <c r="E10" s="212"/>
      <c r="H10" s="123"/>
      <c r="I10" s="123"/>
      <c r="J10" s="123"/>
      <c r="K10" s="124"/>
      <c r="L10" s="102"/>
      <c r="M10" s="102"/>
    </row>
    <row r="11" spans="1:13" ht="13.5" customHeight="1" thickBot="1">
      <c r="A11" s="132" t="s">
        <v>69</v>
      </c>
      <c r="B11" s="213" t="s">
        <v>70</v>
      </c>
      <c r="C11" s="214"/>
      <c r="D11" s="214"/>
      <c r="E11" s="215"/>
      <c r="H11" s="125"/>
      <c r="I11" s="125"/>
      <c r="J11" s="125"/>
      <c r="K11" s="102"/>
      <c r="L11" s="102"/>
      <c r="M11" s="102"/>
    </row>
    <row r="12" spans="1:13" ht="13.5" customHeight="1" thickBot="1">
      <c r="A12" s="132" t="s">
        <v>71</v>
      </c>
      <c r="B12" s="210" t="s">
        <v>72</v>
      </c>
      <c r="C12" s="211"/>
      <c r="D12" s="211"/>
      <c r="E12" s="212"/>
      <c r="H12" s="126"/>
      <c r="I12" s="127"/>
      <c r="J12" s="127"/>
      <c r="K12" s="102"/>
      <c r="L12" s="102"/>
      <c r="M12" s="102"/>
    </row>
    <row r="13" spans="1:13" ht="13.5" customHeight="1" thickBot="1">
      <c r="A13" s="132" t="s">
        <v>73</v>
      </c>
      <c r="B13" s="137" t="s">
        <v>74</v>
      </c>
      <c r="C13" s="135"/>
      <c r="D13" s="135"/>
      <c r="E13" s="136"/>
    </row>
    <row r="14" spans="1:13" ht="13.5" customHeight="1" thickBot="1">
      <c r="A14" s="132" t="s">
        <v>75</v>
      </c>
      <c r="B14" s="216" t="s">
        <v>76</v>
      </c>
      <c r="C14" s="217"/>
      <c r="D14" s="217"/>
      <c r="E14" s="218"/>
    </row>
    <row r="15" spans="1:13" ht="13.5" customHeight="1" thickBot="1">
      <c r="A15" s="132" t="s">
        <v>77</v>
      </c>
      <c r="B15" s="210" t="s">
        <v>78</v>
      </c>
      <c r="C15" s="221"/>
      <c r="D15" s="221"/>
      <c r="E15" s="222"/>
    </row>
    <row r="16" spans="1:13" ht="13.5" customHeight="1" thickBot="1">
      <c r="A16" s="132" t="s">
        <v>21</v>
      </c>
      <c r="B16" s="213" t="s">
        <v>79</v>
      </c>
      <c r="C16" s="214"/>
      <c r="D16" s="214"/>
      <c r="E16" s="215"/>
    </row>
    <row r="17" spans="1:5" ht="13.5" customHeight="1" thickBot="1">
      <c r="A17" s="132" t="s">
        <v>26</v>
      </c>
      <c r="B17" s="226" t="s">
        <v>80</v>
      </c>
      <c r="C17" s="227"/>
      <c r="D17" s="227"/>
      <c r="E17" s="228"/>
    </row>
    <row r="18" spans="1:5">
      <c r="A18" s="7"/>
    </row>
    <row r="19" spans="1:5">
      <c r="A19" s="128"/>
    </row>
    <row r="20" spans="1:5" ht="18">
      <c r="A20" s="4" t="s">
        <v>81</v>
      </c>
    </row>
    <row r="21" spans="1:5">
      <c r="A21" s="7" t="s">
        <v>178</v>
      </c>
    </row>
    <row r="22" spans="1:5" ht="13.5" thickBot="1">
      <c r="A22" s="7"/>
    </row>
    <row r="23" spans="1:5" ht="26.25" thickBot="1">
      <c r="A23" s="159" t="s">
        <v>82</v>
      </c>
      <c r="B23" s="229" t="s">
        <v>53</v>
      </c>
      <c r="C23" s="230"/>
      <c r="D23" s="231"/>
    </row>
    <row r="24" spans="1:5" ht="13.5" customHeight="1" thickBot="1">
      <c r="A24" s="133">
        <v>365</v>
      </c>
      <c r="B24" s="213" t="s">
        <v>86</v>
      </c>
      <c r="C24" s="214"/>
      <c r="D24" s="215"/>
    </row>
    <row r="25" spans="1:5" ht="13.5" customHeight="1" thickBot="1">
      <c r="A25" s="115">
        <v>255</v>
      </c>
      <c r="B25" s="213" t="s">
        <v>85</v>
      </c>
      <c r="C25" s="214"/>
      <c r="D25" s="215"/>
    </row>
    <row r="26" spans="1:5" ht="13.5" customHeight="1" thickBot="1">
      <c r="A26" s="115">
        <v>156</v>
      </c>
      <c r="B26" s="213" t="s">
        <v>87</v>
      </c>
      <c r="C26" s="214"/>
      <c r="D26" s="215"/>
    </row>
    <row r="27" spans="1:5" ht="13.5" customHeight="1" thickBot="1">
      <c r="A27" s="115">
        <v>130</v>
      </c>
      <c r="B27" s="213" t="s">
        <v>88</v>
      </c>
      <c r="C27" s="214"/>
      <c r="D27" s="215"/>
    </row>
    <row r="28" spans="1:5" ht="13.5" customHeight="1" thickBot="1">
      <c r="A28" s="115">
        <v>104</v>
      </c>
      <c r="B28" s="213" t="s">
        <v>83</v>
      </c>
      <c r="C28" s="214"/>
      <c r="D28" s="215"/>
    </row>
    <row r="29" spans="1:5" ht="13.5" customHeight="1" thickBot="1">
      <c r="A29" s="115">
        <v>52</v>
      </c>
      <c r="B29" s="213" t="s">
        <v>46</v>
      </c>
      <c r="C29" s="214"/>
      <c r="D29" s="215"/>
    </row>
    <row r="30" spans="1:5" ht="13.5" customHeight="1" thickBot="1">
      <c r="A30" s="115">
        <v>12</v>
      </c>
      <c r="B30" s="213" t="s">
        <v>89</v>
      </c>
      <c r="C30" s="214"/>
      <c r="D30" s="215"/>
    </row>
    <row r="31" spans="1:5" ht="13.5" customHeight="1" thickBot="1">
      <c r="A31" s="115">
        <v>4</v>
      </c>
      <c r="B31" s="213" t="s">
        <v>84</v>
      </c>
      <c r="C31" s="214"/>
      <c r="D31" s="215"/>
    </row>
    <row r="32" spans="1:5">
      <c r="A32" s="129"/>
      <c r="B32" s="129"/>
    </row>
    <row r="33" spans="6:7">
      <c r="F33" s="128"/>
      <c r="G33" s="128"/>
    </row>
    <row r="35" spans="6:7">
      <c r="F35" s="219"/>
      <c r="G35" s="219"/>
    </row>
    <row r="36" spans="6:7">
      <c r="F36" s="219"/>
      <c r="G36" s="219"/>
    </row>
    <row r="37" spans="6:7">
      <c r="F37" s="219"/>
      <c r="G37" s="219"/>
    </row>
    <row r="38" spans="6:7">
      <c r="F38" s="219"/>
      <c r="G38" s="219"/>
    </row>
    <row r="39" spans="6:7">
      <c r="F39" s="219"/>
      <c r="G39" s="219"/>
    </row>
    <row r="45" spans="6:7">
      <c r="F45" s="130"/>
      <c r="G45" s="131"/>
    </row>
  </sheetData>
  <mergeCells count="24">
    <mergeCell ref="B31:D31"/>
    <mergeCell ref="F35:G39"/>
    <mergeCell ref="A2:F2"/>
    <mergeCell ref="B15:E15"/>
    <mergeCell ref="B4:E4"/>
    <mergeCell ref="B16:E16"/>
    <mergeCell ref="B17:E17"/>
    <mergeCell ref="B12:E12"/>
    <mergeCell ref="B11:E11"/>
    <mergeCell ref="B10:E10"/>
    <mergeCell ref="B9:E9"/>
    <mergeCell ref="B8:E8"/>
    <mergeCell ref="B7:E7"/>
    <mergeCell ref="B23:D23"/>
    <mergeCell ref="B28:D28"/>
    <mergeCell ref="B25:D25"/>
    <mergeCell ref="B6:E6"/>
    <mergeCell ref="B5:E5"/>
    <mergeCell ref="B14:E14"/>
    <mergeCell ref="B29:D29"/>
    <mergeCell ref="B30:D30"/>
    <mergeCell ref="B24:D24"/>
    <mergeCell ref="B26:D26"/>
    <mergeCell ref="B27:D27"/>
  </mergeCells>
  <pageMargins left="0.70866141732283472" right="0.70866141732283472" top="0.74803149606299213" bottom="0.74803149606299213"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1"/>
  <sheetViews>
    <sheetView showGridLines="0" showZeros="0" showOutlineSymbols="0" workbookViewId="0">
      <selection activeCell="A23" sqref="A23"/>
    </sheetView>
  </sheetViews>
  <sheetFormatPr defaultColWidth="9.28515625" defaultRowHeight="12.75"/>
  <cols>
    <col min="1" max="1" width="110.5703125" style="7" customWidth="1"/>
    <col min="2" max="5" width="15.7109375" style="7" customWidth="1"/>
    <col min="6" max="6" width="12.85546875" style="7" bestFit="1" customWidth="1"/>
    <col min="7" max="7" width="2.140625" style="7" customWidth="1"/>
    <col min="8" max="8" width="7.85546875" style="7" customWidth="1"/>
    <col min="9" max="9" width="27" style="7" bestFit="1" customWidth="1"/>
    <col min="10" max="16384" width="9.28515625" style="7"/>
  </cols>
  <sheetData>
    <row r="1" spans="1:11" ht="18">
      <c r="A1" s="4" t="s">
        <v>40</v>
      </c>
      <c r="B1" s="5"/>
      <c r="C1" s="5"/>
      <c r="D1" s="5"/>
      <c r="E1" s="5"/>
      <c r="F1" s="6"/>
      <c r="G1" s="6"/>
      <c r="H1" s="6"/>
    </row>
    <row r="2" spans="1:11" ht="26.1" customHeight="1">
      <c r="A2" s="4" t="s">
        <v>18</v>
      </c>
      <c r="B2" s="3"/>
      <c r="C2" s="3"/>
      <c r="D2" s="3"/>
      <c r="E2" s="3"/>
      <c r="F2" s="8"/>
      <c r="G2" s="8"/>
      <c r="H2" s="8"/>
    </row>
    <row r="3" spans="1:11" ht="15">
      <c r="A3" s="11"/>
      <c r="B3" s="17"/>
      <c r="C3" s="17"/>
      <c r="D3" s="17"/>
      <c r="E3" s="17"/>
      <c r="F3" s="9"/>
      <c r="G3" s="10"/>
      <c r="H3" s="8"/>
    </row>
    <row r="4" spans="1:11" ht="15">
      <c r="A4" s="11" t="s">
        <v>221</v>
      </c>
      <c r="B4" s="17"/>
      <c r="C4" s="17"/>
      <c r="D4" s="17"/>
      <c r="E4" s="17"/>
      <c r="F4" s="9"/>
      <c r="G4" s="10"/>
      <c r="H4" s="8"/>
    </row>
    <row r="5" spans="1:11" ht="15">
      <c r="A5" s="11"/>
      <c r="B5" s="17"/>
      <c r="C5" s="17"/>
      <c r="D5" s="17"/>
      <c r="E5" s="17"/>
      <c r="F5" s="9"/>
      <c r="G5" s="10"/>
      <c r="H5" s="8"/>
    </row>
    <row r="6" spans="1:11" ht="15">
      <c r="A6" s="11" t="s">
        <v>225</v>
      </c>
      <c r="B6" s="12"/>
      <c r="C6" s="12"/>
      <c r="D6" s="12"/>
      <c r="E6" s="12"/>
      <c r="F6" s="160"/>
      <c r="G6" s="10"/>
      <c r="H6" s="8"/>
      <c r="I6" s="37"/>
    </row>
    <row r="7" spans="1:11" ht="15">
      <c r="A7" s="11"/>
      <c r="B7" s="12"/>
      <c r="C7" s="12"/>
      <c r="D7" s="12"/>
      <c r="E7" s="12"/>
      <c r="F7" s="9"/>
      <c r="G7" s="10"/>
      <c r="H7" s="8"/>
    </row>
    <row r="8" spans="1:11" ht="15">
      <c r="A8" s="11" t="s">
        <v>222</v>
      </c>
      <c r="B8" s="13"/>
      <c r="C8" s="20"/>
      <c r="D8" s="13"/>
      <c r="E8" s="20"/>
      <c r="F8" s="15"/>
      <c r="G8" s="15"/>
      <c r="H8" s="16"/>
    </row>
    <row r="9" spans="1:11">
      <c r="A9" s="8"/>
      <c r="B9" s="21"/>
      <c r="C9" s="13"/>
      <c r="D9" s="21"/>
      <c r="E9" s="13"/>
      <c r="F9" s="15"/>
      <c r="G9" s="15"/>
      <c r="H9" s="16"/>
    </row>
    <row r="10" spans="1:11" ht="15">
      <c r="A10" s="11" t="s">
        <v>223</v>
      </c>
      <c r="B10" s="21"/>
      <c r="C10" s="13"/>
      <c r="D10" s="21"/>
      <c r="E10" s="13"/>
      <c r="F10" s="15"/>
      <c r="G10" s="15"/>
      <c r="H10" s="16"/>
    </row>
    <row r="11" spans="1:11">
      <c r="A11" s="8"/>
      <c r="B11" s="21"/>
      <c r="C11" s="13"/>
      <c r="D11" s="21"/>
      <c r="E11" s="13"/>
      <c r="F11" s="15"/>
      <c r="G11" s="15"/>
      <c r="H11" s="16"/>
    </row>
    <row r="12" spans="1:11" ht="15">
      <c r="A12" s="11" t="s">
        <v>813</v>
      </c>
      <c r="B12" s="21"/>
      <c r="C12" s="13"/>
      <c r="D12" s="21"/>
      <c r="E12" s="13"/>
      <c r="F12" s="22"/>
      <c r="G12" s="23"/>
      <c r="H12" s="161"/>
      <c r="I12" s="37"/>
      <c r="J12" s="37"/>
      <c r="K12" s="37"/>
    </row>
    <row r="13" spans="1:11">
      <c r="A13" s="8"/>
      <c r="B13" s="21"/>
      <c r="C13" s="13"/>
      <c r="D13" s="21"/>
      <c r="E13" s="13"/>
      <c r="F13" s="22"/>
      <c r="G13" s="23"/>
      <c r="H13" s="24"/>
      <c r="I13" s="37"/>
      <c r="J13" s="37"/>
      <c r="K13" s="37"/>
    </row>
    <row r="14" spans="1:11" ht="15">
      <c r="A14" s="11" t="s">
        <v>812</v>
      </c>
      <c r="B14" s="162"/>
      <c r="C14" s="18"/>
      <c r="D14" s="162"/>
      <c r="E14" s="18"/>
      <c r="F14" s="163"/>
      <c r="G14" s="164"/>
      <c r="H14" s="27"/>
      <c r="I14" s="37"/>
      <c r="J14" s="37"/>
      <c r="K14" s="37"/>
    </row>
    <row r="15" spans="1:11" ht="15">
      <c r="A15" s="19"/>
      <c r="B15" s="18"/>
      <c r="C15" s="14"/>
      <c r="D15" s="18"/>
      <c r="E15" s="14"/>
      <c r="F15" s="28"/>
      <c r="G15" s="23"/>
      <c r="H15" s="27"/>
    </row>
    <row r="16" spans="1:11">
      <c r="A16" s="25"/>
      <c r="B16" s="21"/>
      <c r="C16" s="29"/>
      <c r="D16" s="13"/>
      <c r="E16" s="29"/>
      <c r="F16" s="26"/>
      <c r="G16" s="23"/>
      <c r="H16" s="27"/>
    </row>
    <row r="17" spans="1:8">
      <c r="A17" s="207" t="s">
        <v>816</v>
      </c>
      <c r="B17" s="21"/>
      <c r="C17" s="29"/>
      <c r="D17" s="13"/>
      <c r="E17" s="29"/>
      <c r="F17" s="26"/>
      <c r="G17" s="23"/>
      <c r="H17" s="27"/>
    </row>
    <row r="18" spans="1:8">
      <c r="A18" s="30"/>
      <c r="B18" s="30"/>
      <c r="C18" s="30"/>
      <c r="D18" s="30"/>
      <c r="E18" s="30"/>
      <c r="F18" s="31"/>
      <c r="G18" s="6"/>
      <c r="H18" s="6"/>
    </row>
    <row r="19" spans="1:8">
      <c r="A19" s="209" t="s">
        <v>818</v>
      </c>
      <c r="B19" s="32"/>
      <c r="C19" s="33"/>
      <c r="D19" s="33"/>
      <c r="E19" s="33"/>
      <c r="F19" s="6"/>
      <c r="G19" s="6"/>
      <c r="H19" s="6"/>
    </row>
    <row r="20" spans="1:8">
      <c r="A20" s="34"/>
      <c r="B20" s="35"/>
      <c r="C20" s="35"/>
      <c r="D20" s="36"/>
      <c r="E20" s="36"/>
      <c r="F20" s="6"/>
      <c r="G20" s="6"/>
      <c r="H20" s="6"/>
    </row>
    <row r="21" spans="1:8">
      <c r="A21" s="208" t="s">
        <v>817</v>
      </c>
      <c r="C21" s="37"/>
      <c r="D21" s="37"/>
      <c r="E21" s="37"/>
      <c r="F21" s="2"/>
      <c r="G21" s="2"/>
      <c r="H21" s="2"/>
    </row>
  </sheetData>
  <dataConsolidate/>
  <phoneticPr fontId="6"/>
  <pageMargins left="0.59055118110236227" right="0.59055118110236227" top="0.59055118110236227" bottom="0.78740157480314965" header="0.39370078740157483" footer="0.19685039370078741"/>
  <pageSetup paperSize="9" orientation="portrait" r:id="rId1"/>
  <headerFooter alignWithMargins="0">
    <oddFooter>&amp;L&amp;"Verdana,Regular"&amp;F-&amp;A
Atir b.v. ©&amp;C&amp;R&amp;"Verdana,Regular"printversie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1"/>
  <sheetViews>
    <sheetView showGridLines="0" zoomScale="90" zoomScaleNormal="90" workbookViewId="0">
      <selection activeCell="K15" sqref="K15"/>
    </sheetView>
  </sheetViews>
  <sheetFormatPr defaultColWidth="9.140625" defaultRowHeight="12.75"/>
  <cols>
    <col min="1" max="1" width="57.28515625" style="7" customWidth="1"/>
    <col min="2" max="2" width="9.140625" style="7"/>
    <col min="3" max="3" width="14.42578125" style="7" bestFit="1" customWidth="1"/>
    <col min="4" max="4" width="14.42578125" style="7" customWidth="1"/>
    <col min="5" max="6" width="15.140625" style="7" customWidth="1"/>
    <col min="7" max="7" width="18.85546875" style="7" customWidth="1"/>
    <col min="8" max="8" width="17.42578125" style="7" customWidth="1"/>
    <col min="9" max="9" width="17.7109375" style="7" customWidth="1"/>
    <col min="10" max="10" width="16.28515625" style="7" bestFit="1" customWidth="1"/>
    <col min="11" max="11" width="15.85546875" style="7" customWidth="1"/>
    <col min="12" max="12" width="21.5703125" style="7" bestFit="1" customWidth="1"/>
    <col min="13" max="13" width="9.140625" style="7" customWidth="1"/>
    <col min="14" max="16384" width="9.140625" style="7"/>
  </cols>
  <sheetData>
    <row r="1" spans="1:13" ht="15">
      <c r="A1" s="100" t="s">
        <v>42</v>
      </c>
      <c r="B1" s="232"/>
      <c r="C1" s="232"/>
      <c r="D1" s="232"/>
      <c r="E1" s="232"/>
    </row>
    <row r="2" spans="1:13" ht="15">
      <c r="A2" s="100" t="s">
        <v>12</v>
      </c>
      <c r="B2" s="97" t="s">
        <v>195</v>
      </c>
    </row>
    <row r="5" spans="1:13" ht="51">
      <c r="A5" s="139" t="s">
        <v>93</v>
      </c>
      <c r="B5" s="143" t="s">
        <v>94</v>
      </c>
      <c r="C5" s="143" t="s">
        <v>191</v>
      </c>
      <c r="D5" s="143" t="s">
        <v>192</v>
      </c>
      <c r="E5" s="143" t="s">
        <v>194</v>
      </c>
      <c r="F5" s="143" t="s">
        <v>193</v>
      </c>
      <c r="G5" s="138" t="s">
        <v>95</v>
      </c>
      <c r="H5" s="138" t="s">
        <v>96</v>
      </c>
      <c r="I5" s="138" t="s">
        <v>140</v>
      </c>
      <c r="J5" s="138" t="s">
        <v>141</v>
      </c>
      <c r="K5" s="138" t="s">
        <v>169</v>
      </c>
      <c r="L5" s="144" t="s">
        <v>97</v>
      </c>
      <c r="M5" s="145"/>
    </row>
    <row r="6" spans="1:13">
      <c r="A6" s="95" t="s">
        <v>137</v>
      </c>
      <c r="B6" s="96">
        <v>255</v>
      </c>
      <c r="C6" s="1">
        <v>1</v>
      </c>
      <c r="D6" s="202">
        <v>5</v>
      </c>
      <c r="E6" s="1">
        <v>0.5</v>
      </c>
      <c r="F6" s="202">
        <v>6</v>
      </c>
      <c r="G6" s="201">
        <f>C6*D6</f>
        <v>5</v>
      </c>
      <c r="H6" s="201">
        <f>E6*F6</f>
        <v>3</v>
      </c>
      <c r="I6" s="202">
        <v>10</v>
      </c>
      <c r="J6" s="202">
        <v>5</v>
      </c>
      <c r="K6" s="141"/>
      <c r="L6" s="201">
        <f>SUM(G6:J6)</f>
        <v>23</v>
      </c>
    </row>
    <row r="7" spans="1:13">
      <c r="A7" s="95" t="s">
        <v>809</v>
      </c>
      <c r="B7" s="96">
        <v>255</v>
      </c>
      <c r="C7" s="1">
        <v>1</v>
      </c>
      <c r="D7" s="202">
        <v>5</v>
      </c>
      <c r="E7" s="1">
        <v>0.5</v>
      </c>
      <c r="F7" s="202">
        <v>6</v>
      </c>
      <c r="G7" s="201">
        <f t="shared" ref="G7:G43" si="0">C7*D7</f>
        <v>5</v>
      </c>
      <c r="H7" s="201">
        <f t="shared" ref="H7:H43" si="1">E7*F7</f>
        <v>3</v>
      </c>
      <c r="I7" s="202">
        <v>10</v>
      </c>
      <c r="J7" s="202">
        <v>5</v>
      </c>
      <c r="K7" s="141"/>
      <c r="L7" s="201">
        <f t="shared" ref="L7:L43" si="2">SUM(G7:J7)</f>
        <v>23</v>
      </c>
    </row>
    <row r="8" spans="1:13">
      <c r="A8" s="95" t="s">
        <v>100</v>
      </c>
      <c r="B8" s="96">
        <v>255</v>
      </c>
      <c r="C8" s="1">
        <v>1</v>
      </c>
      <c r="D8" s="202">
        <v>5</v>
      </c>
      <c r="E8" s="1">
        <v>0.5</v>
      </c>
      <c r="F8" s="202">
        <v>6</v>
      </c>
      <c r="G8" s="201">
        <f t="shared" si="0"/>
        <v>5</v>
      </c>
      <c r="H8" s="201">
        <f t="shared" si="1"/>
        <v>3</v>
      </c>
      <c r="I8" s="202">
        <v>10</v>
      </c>
      <c r="J8" s="202">
        <v>5</v>
      </c>
      <c r="K8" s="141"/>
      <c r="L8" s="201">
        <f t="shared" si="2"/>
        <v>23</v>
      </c>
    </row>
    <row r="9" spans="1:13">
      <c r="A9" s="95" t="s">
        <v>122</v>
      </c>
      <c r="B9" s="96">
        <v>255</v>
      </c>
      <c r="C9" s="1">
        <v>1</v>
      </c>
      <c r="D9" s="202">
        <v>5</v>
      </c>
      <c r="E9" s="1">
        <v>0.5</v>
      </c>
      <c r="F9" s="202">
        <v>6</v>
      </c>
      <c r="G9" s="201">
        <f t="shared" si="0"/>
        <v>5</v>
      </c>
      <c r="H9" s="201">
        <f t="shared" si="1"/>
        <v>3</v>
      </c>
      <c r="I9" s="141"/>
      <c r="J9" s="202">
        <v>5</v>
      </c>
      <c r="K9" s="141"/>
      <c r="L9" s="201">
        <f t="shared" si="2"/>
        <v>13</v>
      </c>
    </row>
    <row r="10" spans="1:13">
      <c r="A10" s="95" t="s">
        <v>101</v>
      </c>
      <c r="B10" s="96">
        <v>255</v>
      </c>
      <c r="C10" s="1">
        <v>1</v>
      </c>
      <c r="D10" s="202">
        <v>5</v>
      </c>
      <c r="E10" s="1">
        <v>0.5</v>
      </c>
      <c r="F10" s="202">
        <v>6</v>
      </c>
      <c r="G10" s="201">
        <f t="shared" si="0"/>
        <v>5</v>
      </c>
      <c r="H10" s="201">
        <f t="shared" si="1"/>
        <v>3</v>
      </c>
      <c r="I10" s="141"/>
      <c r="J10" s="202">
        <v>5</v>
      </c>
      <c r="K10" s="141"/>
      <c r="L10" s="201">
        <f t="shared" si="2"/>
        <v>13</v>
      </c>
    </row>
    <row r="11" spans="1:13">
      <c r="A11" s="95" t="s">
        <v>172</v>
      </c>
      <c r="B11" s="96">
        <v>255</v>
      </c>
      <c r="C11" s="1">
        <v>1</v>
      </c>
      <c r="D11" s="202">
        <v>5</v>
      </c>
      <c r="E11" s="1">
        <v>0.5</v>
      </c>
      <c r="F11" s="202">
        <v>6</v>
      </c>
      <c r="G11" s="201">
        <f t="shared" si="0"/>
        <v>5</v>
      </c>
      <c r="H11" s="201">
        <f t="shared" si="1"/>
        <v>3</v>
      </c>
      <c r="I11" s="202">
        <v>10</v>
      </c>
      <c r="J11" s="202">
        <v>5</v>
      </c>
      <c r="K11" s="141"/>
      <c r="L11" s="201">
        <f t="shared" si="2"/>
        <v>23</v>
      </c>
    </row>
    <row r="12" spans="1:13">
      <c r="A12" s="95" t="s">
        <v>103</v>
      </c>
      <c r="B12" s="96">
        <v>255</v>
      </c>
      <c r="C12" s="1">
        <v>1</v>
      </c>
      <c r="D12" s="202">
        <v>5</v>
      </c>
      <c r="E12" s="1">
        <v>0.5</v>
      </c>
      <c r="F12" s="202">
        <v>6</v>
      </c>
      <c r="G12" s="201">
        <f t="shared" si="0"/>
        <v>5</v>
      </c>
      <c r="H12" s="201">
        <f t="shared" si="1"/>
        <v>3</v>
      </c>
      <c r="I12" s="141"/>
      <c r="J12" s="202">
        <v>5</v>
      </c>
      <c r="K12" s="141"/>
      <c r="L12" s="201">
        <f t="shared" si="2"/>
        <v>13</v>
      </c>
    </row>
    <row r="13" spans="1:13">
      <c r="A13" s="95" t="s">
        <v>104</v>
      </c>
      <c r="B13" s="96">
        <v>255</v>
      </c>
      <c r="C13" s="1">
        <v>1</v>
      </c>
      <c r="D13" s="202">
        <v>5</v>
      </c>
      <c r="E13" s="1">
        <v>0.5</v>
      </c>
      <c r="F13" s="202">
        <v>6</v>
      </c>
      <c r="G13" s="201">
        <f t="shared" si="0"/>
        <v>5</v>
      </c>
      <c r="H13" s="201">
        <f t="shared" si="1"/>
        <v>3</v>
      </c>
      <c r="I13" s="141"/>
      <c r="J13" s="141"/>
      <c r="K13" s="141"/>
      <c r="L13" s="201">
        <f t="shared" si="2"/>
        <v>8</v>
      </c>
    </row>
    <row r="14" spans="1:13">
      <c r="A14" s="95" t="s">
        <v>105</v>
      </c>
      <c r="B14" s="96">
        <v>52</v>
      </c>
      <c r="C14" s="1">
        <v>1</v>
      </c>
      <c r="D14" s="202">
        <v>5</v>
      </c>
      <c r="E14" s="1">
        <v>0.5</v>
      </c>
      <c r="F14" s="202">
        <v>6</v>
      </c>
      <c r="G14" s="201">
        <f t="shared" si="0"/>
        <v>5</v>
      </c>
      <c r="H14" s="201">
        <f t="shared" si="1"/>
        <v>3</v>
      </c>
      <c r="I14" s="141"/>
      <c r="J14" s="202">
        <v>5</v>
      </c>
      <c r="K14" s="141"/>
      <c r="L14" s="201">
        <f t="shared" si="2"/>
        <v>13</v>
      </c>
    </row>
    <row r="15" spans="1:13">
      <c r="A15" s="95" t="s">
        <v>106</v>
      </c>
      <c r="B15" s="96">
        <v>52</v>
      </c>
      <c r="C15" s="1">
        <v>1</v>
      </c>
      <c r="D15" s="202">
        <v>5</v>
      </c>
      <c r="E15" s="1">
        <v>0.5</v>
      </c>
      <c r="F15" s="202">
        <v>6</v>
      </c>
      <c r="G15" s="201">
        <f t="shared" si="0"/>
        <v>5</v>
      </c>
      <c r="H15" s="201">
        <f t="shared" si="1"/>
        <v>3</v>
      </c>
      <c r="I15" s="141"/>
      <c r="J15" s="202">
        <v>5</v>
      </c>
      <c r="K15" s="141"/>
      <c r="L15" s="201">
        <f t="shared" si="2"/>
        <v>13</v>
      </c>
    </row>
    <row r="16" spans="1:13">
      <c r="A16" s="95" t="s">
        <v>107</v>
      </c>
      <c r="B16" s="96">
        <v>52</v>
      </c>
      <c r="C16" s="1">
        <v>1</v>
      </c>
      <c r="D16" s="202">
        <v>5</v>
      </c>
      <c r="E16" s="1">
        <v>0.5</v>
      </c>
      <c r="F16" s="202">
        <v>6</v>
      </c>
      <c r="G16" s="201">
        <f t="shared" si="0"/>
        <v>5</v>
      </c>
      <c r="H16" s="201">
        <f t="shared" si="1"/>
        <v>3</v>
      </c>
      <c r="I16" s="141"/>
      <c r="J16" s="202">
        <v>5</v>
      </c>
      <c r="K16" s="141"/>
      <c r="L16" s="201">
        <f t="shared" si="2"/>
        <v>13</v>
      </c>
    </row>
    <row r="17" spans="1:12">
      <c r="A17" s="95" t="s">
        <v>108</v>
      </c>
      <c r="B17" s="96">
        <v>156</v>
      </c>
      <c r="C17" s="1">
        <v>1</v>
      </c>
      <c r="D17" s="202">
        <v>5</v>
      </c>
      <c r="E17" s="1">
        <v>0.5</v>
      </c>
      <c r="F17" s="202">
        <v>6</v>
      </c>
      <c r="G17" s="201">
        <f t="shared" si="0"/>
        <v>5</v>
      </c>
      <c r="H17" s="201">
        <f t="shared" si="1"/>
        <v>3</v>
      </c>
      <c r="I17" s="141"/>
      <c r="J17" s="202">
        <v>5</v>
      </c>
      <c r="K17" s="141"/>
      <c r="L17" s="201">
        <f t="shared" si="2"/>
        <v>13</v>
      </c>
    </row>
    <row r="18" spans="1:12">
      <c r="A18" s="95" t="s">
        <v>109</v>
      </c>
      <c r="B18" s="96">
        <v>52</v>
      </c>
      <c r="C18" s="1">
        <v>1</v>
      </c>
      <c r="D18" s="202">
        <v>5</v>
      </c>
      <c r="E18" s="1">
        <v>0.5</v>
      </c>
      <c r="F18" s="202">
        <v>6</v>
      </c>
      <c r="G18" s="201">
        <f t="shared" si="0"/>
        <v>5</v>
      </c>
      <c r="H18" s="201">
        <f t="shared" si="1"/>
        <v>3</v>
      </c>
      <c r="I18" s="141"/>
      <c r="J18" s="202">
        <v>5</v>
      </c>
      <c r="K18" s="141"/>
      <c r="L18" s="201">
        <f t="shared" si="2"/>
        <v>13</v>
      </c>
    </row>
    <row r="19" spans="1:12">
      <c r="A19" s="95" t="s">
        <v>110</v>
      </c>
      <c r="B19" s="96">
        <v>52</v>
      </c>
      <c r="C19" s="1">
        <v>1</v>
      </c>
      <c r="D19" s="202">
        <v>5</v>
      </c>
      <c r="E19" s="1">
        <v>0.5</v>
      </c>
      <c r="F19" s="202">
        <v>6</v>
      </c>
      <c r="G19" s="201">
        <f t="shared" si="0"/>
        <v>5</v>
      </c>
      <c r="H19" s="201">
        <f t="shared" si="1"/>
        <v>3</v>
      </c>
      <c r="I19" s="141"/>
      <c r="J19" s="202">
        <v>5</v>
      </c>
      <c r="K19" s="141"/>
      <c r="L19" s="201">
        <f t="shared" si="2"/>
        <v>13</v>
      </c>
    </row>
    <row r="20" spans="1:12">
      <c r="A20" s="95" t="s">
        <v>111</v>
      </c>
      <c r="B20" s="96">
        <v>52</v>
      </c>
      <c r="C20" s="1">
        <v>1</v>
      </c>
      <c r="D20" s="202">
        <v>5</v>
      </c>
      <c r="E20" s="1">
        <v>0.5</v>
      </c>
      <c r="F20" s="202">
        <v>6</v>
      </c>
      <c r="G20" s="201">
        <f t="shared" si="0"/>
        <v>5</v>
      </c>
      <c r="H20" s="201">
        <f t="shared" si="1"/>
        <v>3</v>
      </c>
      <c r="I20" s="141"/>
      <c r="J20" s="202">
        <v>5</v>
      </c>
      <c r="K20" s="141"/>
      <c r="L20" s="201">
        <f t="shared" si="2"/>
        <v>13</v>
      </c>
    </row>
    <row r="21" spans="1:12">
      <c r="A21" s="95" t="s">
        <v>112</v>
      </c>
      <c r="B21" s="96">
        <v>255</v>
      </c>
      <c r="C21" s="1">
        <v>1</v>
      </c>
      <c r="D21" s="202">
        <v>5</v>
      </c>
      <c r="E21" s="1">
        <v>0.5</v>
      </c>
      <c r="F21" s="202">
        <v>6</v>
      </c>
      <c r="G21" s="201">
        <f t="shared" si="0"/>
        <v>5</v>
      </c>
      <c r="H21" s="201">
        <f t="shared" si="1"/>
        <v>3</v>
      </c>
      <c r="I21" s="141"/>
      <c r="J21" s="202">
        <v>5</v>
      </c>
      <c r="K21" s="141"/>
      <c r="L21" s="201">
        <f t="shared" si="2"/>
        <v>13</v>
      </c>
    </row>
    <row r="22" spans="1:12">
      <c r="A22" s="95" t="s">
        <v>113</v>
      </c>
      <c r="B22" s="96">
        <v>52</v>
      </c>
      <c r="C22" s="1">
        <v>1</v>
      </c>
      <c r="D22" s="202">
        <v>5</v>
      </c>
      <c r="E22" s="1">
        <v>0.5</v>
      </c>
      <c r="F22" s="202">
        <v>6</v>
      </c>
      <c r="G22" s="201">
        <f t="shared" si="0"/>
        <v>5</v>
      </c>
      <c r="H22" s="201">
        <f t="shared" si="1"/>
        <v>3</v>
      </c>
      <c r="I22" s="141"/>
      <c r="J22" s="202">
        <v>5</v>
      </c>
      <c r="K22" s="141"/>
      <c r="L22" s="201">
        <f t="shared" si="2"/>
        <v>13</v>
      </c>
    </row>
    <row r="23" spans="1:12">
      <c r="A23" s="95" t="s">
        <v>114</v>
      </c>
      <c r="B23" s="96">
        <v>12</v>
      </c>
      <c r="C23" s="1">
        <v>1</v>
      </c>
      <c r="D23" s="202">
        <v>5</v>
      </c>
      <c r="E23" s="1">
        <v>0.5</v>
      </c>
      <c r="F23" s="202">
        <v>6</v>
      </c>
      <c r="G23" s="201">
        <f t="shared" si="0"/>
        <v>5</v>
      </c>
      <c r="H23" s="201">
        <f t="shared" si="1"/>
        <v>3</v>
      </c>
      <c r="I23" s="141"/>
      <c r="J23" s="202">
        <v>5</v>
      </c>
      <c r="K23" s="141"/>
      <c r="L23" s="201">
        <f t="shared" si="2"/>
        <v>13</v>
      </c>
    </row>
    <row r="24" spans="1:12">
      <c r="A24" s="95" t="s">
        <v>115</v>
      </c>
      <c r="B24" s="96">
        <v>52</v>
      </c>
      <c r="C24" s="1">
        <v>1</v>
      </c>
      <c r="D24" s="202">
        <v>5</v>
      </c>
      <c r="E24" s="1">
        <v>0.5</v>
      </c>
      <c r="F24" s="202">
        <v>6</v>
      </c>
      <c r="G24" s="201">
        <f t="shared" si="0"/>
        <v>5</v>
      </c>
      <c r="H24" s="201">
        <f t="shared" si="1"/>
        <v>3</v>
      </c>
      <c r="I24" s="141"/>
      <c r="J24" s="202">
        <v>5</v>
      </c>
      <c r="K24" s="141"/>
      <c r="L24" s="201">
        <f t="shared" si="2"/>
        <v>13</v>
      </c>
    </row>
    <row r="25" spans="1:12">
      <c r="A25" s="95" t="s">
        <v>116</v>
      </c>
      <c r="B25" s="96">
        <v>52</v>
      </c>
      <c r="C25" s="1">
        <v>1</v>
      </c>
      <c r="D25" s="202">
        <v>5</v>
      </c>
      <c r="E25" s="1">
        <v>0.5</v>
      </c>
      <c r="F25" s="202">
        <v>6</v>
      </c>
      <c r="G25" s="201">
        <f t="shared" si="0"/>
        <v>5</v>
      </c>
      <c r="H25" s="201">
        <f t="shared" si="1"/>
        <v>3</v>
      </c>
      <c r="I25" s="141"/>
      <c r="J25" s="202">
        <v>5</v>
      </c>
      <c r="K25" s="141"/>
      <c r="L25" s="201">
        <f t="shared" si="2"/>
        <v>13</v>
      </c>
    </row>
    <row r="26" spans="1:12">
      <c r="A26" s="95" t="s">
        <v>117</v>
      </c>
      <c r="B26" s="96">
        <v>156</v>
      </c>
      <c r="C26" s="1">
        <v>1</v>
      </c>
      <c r="D26" s="202">
        <v>5</v>
      </c>
      <c r="E26" s="1">
        <v>0.5</v>
      </c>
      <c r="F26" s="202">
        <v>6</v>
      </c>
      <c r="G26" s="201">
        <f t="shared" si="0"/>
        <v>5</v>
      </c>
      <c r="H26" s="201">
        <f t="shared" si="1"/>
        <v>3</v>
      </c>
      <c r="I26" s="141"/>
      <c r="J26" s="202">
        <v>5</v>
      </c>
      <c r="K26" s="141"/>
      <c r="L26" s="201">
        <f t="shared" si="2"/>
        <v>13</v>
      </c>
    </row>
    <row r="27" spans="1:12">
      <c r="A27" s="95" t="s">
        <v>118</v>
      </c>
      <c r="B27" s="96">
        <v>52</v>
      </c>
      <c r="C27" s="1">
        <v>1</v>
      </c>
      <c r="D27" s="202">
        <v>5</v>
      </c>
      <c r="E27" s="1">
        <v>0.5</v>
      </c>
      <c r="F27" s="202">
        <v>6</v>
      </c>
      <c r="G27" s="201">
        <f t="shared" si="0"/>
        <v>5</v>
      </c>
      <c r="H27" s="201">
        <f t="shared" si="1"/>
        <v>3</v>
      </c>
      <c r="I27" s="141"/>
      <c r="J27" s="202">
        <v>5</v>
      </c>
      <c r="K27" s="141"/>
      <c r="L27" s="201">
        <f t="shared" si="2"/>
        <v>13</v>
      </c>
    </row>
    <row r="28" spans="1:12">
      <c r="A28" s="95" t="s">
        <v>182</v>
      </c>
      <c r="B28" s="96">
        <v>255</v>
      </c>
      <c r="C28" s="1">
        <v>1</v>
      </c>
      <c r="D28" s="202">
        <v>5</v>
      </c>
      <c r="E28" s="1">
        <v>0.5</v>
      </c>
      <c r="F28" s="202">
        <v>6</v>
      </c>
      <c r="G28" s="201">
        <f t="shared" si="0"/>
        <v>5</v>
      </c>
      <c r="H28" s="201">
        <f t="shared" si="1"/>
        <v>3</v>
      </c>
      <c r="I28" s="141"/>
      <c r="J28" s="202">
        <v>5</v>
      </c>
      <c r="K28" s="141"/>
      <c r="L28" s="201">
        <f t="shared" si="2"/>
        <v>13</v>
      </c>
    </row>
    <row r="29" spans="1:12">
      <c r="A29" s="95" t="s">
        <v>183</v>
      </c>
      <c r="B29" s="96">
        <v>255</v>
      </c>
      <c r="C29" s="1">
        <v>1</v>
      </c>
      <c r="D29" s="202">
        <v>5</v>
      </c>
      <c r="E29" s="1">
        <v>0.5</v>
      </c>
      <c r="F29" s="202">
        <v>6</v>
      </c>
      <c r="G29" s="201">
        <f t="shared" si="0"/>
        <v>5</v>
      </c>
      <c r="H29" s="201">
        <f t="shared" si="1"/>
        <v>3</v>
      </c>
      <c r="I29" s="141"/>
      <c r="J29" s="202">
        <v>5</v>
      </c>
      <c r="K29" s="141"/>
      <c r="L29" s="201">
        <f t="shared" si="2"/>
        <v>13</v>
      </c>
    </row>
    <row r="30" spans="1:12">
      <c r="A30" s="95" t="s">
        <v>185</v>
      </c>
      <c r="B30" s="96">
        <v>52</v>
      </c>
      <c r="C30" s="1">
        <v>1</v>
      </c>
      <c r="D30" s="202">
        <v>5</v>
      </c>
      <c r="E30" s="1">
        <v>0.5</v>
      </c>
      <c r="F30" s="202">
        <v>6</v>
      </c>
      <c r="G30" s="201">
        <f t="shared" si="0"/>
        <v>5</v>
      </c>
      <c r="H30" s="201">
        <f t="shared" si="1"/>
        <v>3</v>
      </c>
      <c r="I30" s="141"/>
      <c r="J30" s="202">
        <v>5</v>
      </c>
      <c r="K30" s="141"/>
      <c r="L30" s="201">
        <f t="shared" si="2"/>
        <v>13</v>
      </c>
    </row>
    <row r="31" spans="1:12">
      <c r="A31" s="95" t="s">
        <v>92</v>
      </c>
      <c r="B31" s="96">
        <v>26</v>
      </c>
      <c r="C31" s="1">
        <v>1</v>
      </c>
      <c r="D31" s="202">
        <v>5</v>
      </c>
      <c r="E31" s="1">
        <v>0.5</v>
      </c>
      <c r="F31" s="202">
        <v>6</v>
      </c>
      <c r="G31" s="201">
        <f t="shared" si="0"/>
        <v>5</v>
      </c>
      <c r="H31" s="201">
        <f t="shared" si="1"/>
        <v>3</v>
      </c>
      <c r="I31" s="141"/>
      <c r="J31" s="202">
        <v>5</v>
      </c>
      <c r="K31" s="141"/>
      <c r="L31" s="201">
        <f t="shared" si="2"/>
        <v>13</v>
      </c>
    </row>
    <row r="32" spans="1:12">
      <c r="A32" s="95" t="s">
        <v>186</v>
      </c>
      <c r="B32" s="96">
        <v>52</v>
      </c>
      <c r="C32" s="1">
        <v>1</v>
      </c>
      <c r="D32" s="202">
        <v>5</v>
      </c>
      <c r="E32" s="1">
        <v>0.5</v>
      </c>
      <c r="F32" s="202">
        <v>6</v>
      </c>
      <c r="G32" s="201">
        <f t="shared" si="0"/>
        <v>5</v>
      </c>
      <c r="H32" s="201">
        <f t="shared" si="1"/>
        <v>3</v>
      </c>
      <c r="I32" s="141"/>
      <c r="J32" s="202">
        <v>5</v>
      </c>
      <c r="K32" s="141"/>
      <c r="L32" s="201">
        <f t="shared" si="2"/>
        <v>13</v>
      </c>
    </row>
    <row r="33" spans="1:12">
      <c r="A33" s="95" t="s">
        <v>189</v>
      </c>
      <c r="B33" s="96">
        <v>255</v>
      </c>
      <c r="C33" s="1">
        <v>1</v>
      </c>
      <c r="D33" s="202">
        <v>5</v>
      </c>
      <c r="E33" s="1">
        <v>0.5</v>
      </c>
      <c r="F33" s="202">
        <v>6</v>
      </c>
      <c r="G33" s="201">
        <f t="shared" si="0"/>
        <v>5</v>
      </c>
      <c r="H33" s="201">
        <f t="shared" si="1"/>
        <v>3</v>
      </c>
      <c r="I33" s="141"/>
      <c r="J33" s="141"/>
      <c r="K33" s="141"/>
      <c r="L33" s="201">
        <f t="shared" si="2"/>
        <v>8</v>
      </c>
    </row>
    <row r="34" spans="1:12">
      <c r="A34" s="95" t="s">
        <v>220</v>
      </c>
      <c r="B34" s="96">
        <v>255</v>
      </c>
      <c r="C34" s="1">
        <v>1</v>
      </c>
      <c r="D34" s="202">
        <v>5</v>
      </c>
      <c r="E34" s="1">
        <v>0.5</v>
      </c>
      <c r="F34" s="202">
        <v>6</v>
      </c>
      <c r="G34" s="201">
        <f t="shared" si="0"/>
        <v>5</v>
      </c>
      <c r="H34" s="201">
        <f t="shared" si="1"/>
        <v>3</v>
      </c>
      <c r="I34" s="141"/>
      <c r="J34" s="202">
        <v>5</v>
      </c>
      <c r="K34" s="141"/>
      <c r="L34" s="201">
        <f t="shared" si="2"/>
        <v>13</v>
      </c>
    </row>
    <row r="35" spans="1:12">
      <c r="A35" s="95" t="s">
        <v>91</v>
      </c>
      <c r="B35" s="96">
        <v>52</v>
      </c>
      <c r="C35" s="1">
        <v>1</v>
      </c>
      <c r="D35" s="202">
        <v>5</v>
      </c>
      <c r="E35" s="1">
        <v>0.5</v>
      </c>
      <c r="F35" s="202">
        <v>6</v>
      </c>
      <c r="G35" s="201">
        <f t="shared" si="0"/>
        <v>5</v>
      </c>
      <c r="H35" s="201">
        <f t="shared" si="1"/>
        <v>3</v>
      </c>
      <c r="I35" s="141"/>
      <c r="J35" s="202">
        <v>5</v>
      </c>
      <c r="K35" s="141"/>
      <c r="L35" s="201">
        <f t="shared" si="2"/>
        <v>13</v>
      </c>
    </row>
    <row r="36" spans="1:12">
      <c r="A36" s="95" t="s">
        <v>190</v>
      </c>
      <c r="B36" s="96">
        <v>255</v>
      </c>
      <c r="C36" s="1">
        <v>1</v>
      </c>
      <c r="D36" s="202">
        <v>5</v>
      </c>
      <c r="E36" s="1">
        <v>0.5</v>
      </c>
      <c r="F36" s="202">
        <v>6</v>
      </c>
      <c r="G36" s="201">
        <f t="shared" si="0"/>
        <v>5</v>
      </c>
      <c r="H36" s="201">
        <f t="shared" si="1"/>
        <v>3</v>
      </c>
      <c r="I36" s="141"/>
      <c r="J36" s="202">
        <v>5</v>
      </c>
      <c r="K36" s="141"/>
      <c r="L36" s="201">
        <f t="shared" si="2"/>
        <v>13</v>
      </c>
    </row>
    <row r="37" spans="1:12">
      <c r="A37" s="95" t="s">
        <v>187</v>
      </c>
      <c r="B37" s="96">
        <v>104</v>
      </c>
      <c r="C37" s="1">
        <v>1</v>
      </c>
      <c r="D37" s="202">
        <v>5</v>
      </c>
      <c r="E37" s="1">
        <v>0.5</v>
      </c>
      <c r="F37" s="202">
        <v>6</v>
      </c>
      <c r="G37" s="201">
        <f t="shared" si="0"/>
        <v>5</v>
      </c>
      <c r="H37" s="201">
        <f t="shared" si="1"/>
        <v>3</v>
      </c>
      <c r="I37" s="141"/>
      <c r="J37" s="202">
        <v>5</v>
      </c>
      <c r="K37" s="141"/>
      <c r="L37" s="201">
        <f t="shared" si="2"/>
        <v>13</v>
      </c>
    </row>
    <row r="38" spans="1:12">
      <c r="A38" s="95" t="s">
        <v>188</v>
      </c>
      <c r="B38" s="96">
        <v>208</v>
      </c>
      <c r="C38" s="1">
        <v>1</v>
      </c>
      <c r="D38" s="202">
        <v>5</v>
      </c>
      <c r="E38" s="1">
        <v>0.5</v>
      </c>
      <c r="F38" s="202">
        <v>6</v>
      </c>
      <c r="G38" s="201">
        <f t="shared" si="0"/>
        <v>5</v>
      </c>
      <c r="H38" s="201">
        <f t="shared" si="1"/>
        <v>3</v>
      </c>
      <c r="I38" s="141"/>
      <c r="J38" s="141"/>
      <c r="K38" s="141"/>
      <c r="L38" s="201">
        <f t="shared" si="2"/>
        <v>8</v>
      </c>
    </row>
    <row r="39" spans="1:12">
      <c r="A39" s="95" t="s">
        <v>90</v>
      </c>
      <c r="B39" s="96">
        <v>52</v>
      </c>
      <c r="C39" s="1">
        <v>1</v>
      </c>
      <c r="D39" s="202">
        <v>5</v>
      </c>
      <c r="E39" s="1">
        <v>0.5</v>
      </c>
      <c r="F39" s="202">
        <v>6</v>
      </c>
      <c r="G39" s="201">
        <f t="shared" si="0"/>
        <v>5</v>
      </c>
      <c r="H39" s="201">
        <f t="shared" si="1"/>
        <v>3</v>
      </c>
      <c r="I39" s="141"/>
      <c r="J39" s="202">
        <v>5</v>
      </c>
      <c r="K39" s="141"/>
      <c r="L39" s="201">
        <f t="shared" si="2"/>
        <v>13</v>
      </c>
    </row>
    <row r="40" spans="1:12">
      <c r="A40" s="95" t="s">
        <v>184</v>
      </c>
      <c r="B40" s="96">
        <v>52</v>
      </c>
      <c r="C40" s="1">
        <v>1</v>
      </c>
      <c r="D40" s="202">
        <v>5</v>
      </c>
      <c r="E40" s="1">
        <v>0.5</v>
      </c>
      <c r="F40" s="202">
        <v>6</v>
      </c>
      <c r="G40" s="201">
        <f t="shared" si="0"/>
        <v>5</v>
      </c>
      <c r="H40" s="201">
        <f t="shared" si="1"/>
        <v>3</v>
      </c>
      <c r="I40" s="141"/>
      <c r="J40" s="202">
        <v>5</v>
      </c>
      <c r="K40" s="141"/>
      <c r="L40" s="201">
        <f t="shared" si="2"/>
        <v>13</v>
      </c>
    </row>
    <row r="41" spans="1:12">
      <c r="A41" s="95" t="s">
        <v>181</v>
      </c>
      <c r="B41" s="96">
        <v>104</v>
      </c>
      <c r="C41" s="1">
        <v>1</v>
      </c>
      <c r="D41" s="202">
        <v>5</v>
      </c>
      <c r="E41" s="1">
        <v>0.5</v>
      </c>
      <c r="F41" s="202">
        <v>6</v>
      </c>
      <c r="G41" s="201">
        <f t="shared" si="0"/>
        <v>5</v>
      </c>
      <c r="H41" s="201">
        <f t="shared" si="1"/>
        <v>3</v>
      </c>
      <c r="I41" s="141"/>
      <c r="J41" s="202">
        <v>5</v>
      </c>
      <c r="K41" s="141"/>
      <c r="L41" s="201">
        <f t="shared" si="2"/>
        <v>13</v>
      </c>
    </row>
    <row r="42" spans="1:12">
      <c r="A42" s="95" t="s">
        <v>138</v>
      </c>
      <c r="B42" s="96">
        <v>104</v>
      </c>
      <c r="C42" s="1">
        <v>1</v>
      </c>
      <c r="D42" s="202">
        <v>5</v>
      </c>
      <c r="E42" s="1">
        <v>0.5</v>
      </c>
      <c r="F42" s="202">
        <v>6</v>
      </c>
      <c r="G42" s="201">
        <f t="shared" si="0"/>
        <v>5</v>
      </c>
      <c r="H42" s="201">
        <f t="shared" si="1"/>
        <v>3</v>
      </c>
      <c r="I42" s="141"/>
      <c r="J42" s="202">
        <v>5</v>
      </c>
      <c r="K42" s="141"/>
      <c r="L42" s="201">
        <f t="shared" si="2"/>
        <v>13</v>
      </c>
    </row>
    <row r="43" spans="1:12">
      <c r="A43" s="95" t="s">
        <v>180</v>
      </c>
      <c r="B43" s="96">
        <v>255</v>
      </c>
      <c r="C43" s="1">
        <v>1</v>
      </c>
      <c r="D43" s="202">
        <v>5</v>
      </c>
      <c r="E43" s="1">
        <v>0.5</v>
      </c>
      <c r="F43" s="202">
        <v>6</v>
      </c>
      <c r="G43" s="201">
        <f t="shared" si="0"/>
        <v>5</v>
      </c>
      <c r="H43" s="201">
        <f t="shared" si="1"/>
        <v>3</v>
      </c>
      <c r="I43" s="202">
        <v>10</v>
      </c>
      <c r="J43" s="202">
        <v>5</v>
      </c>
      <c r="K43" s="141"/>
      <c r="L43" s="201">
        <f t="shared" si="2"/>
        <v>23</v>
      </c>
    </row>
    <row r="44" spans="1:12">
      <c r="A44" s="95"/>
      <c r="B44" s="96"/>
      <c r="C44" s="141"/>
      <c r="D44" s="141"/>
      <c r="E44" s="141"/>
      <c r="F44" s="141"/>
      <c r="G44" s="141"/>
      <c r="H44" s="141"/>
      <c r="I44" s="141"/>
      <c r="J44" s="141"/>
      <c r="K44" s="141"/>
      <c r="L44" s="141"/>
    </row>
    <row r="45" spans="1:12">
      <c r="A45" s="95" t="s">
        <v>811</v>
      </c>
      <c r="B45" s="96"/>
      <c r="C45" s="141"/>
      <c r="D45" s="141"/>
      <c r="E45" s="141"/>
      <c r="F45" s="141"/>
      <c r="G45" s="141"/>
      <c r="H45" s="141"/>
      <c r="I45" s="141"/>
      <c r="J45" s="141"/>
      <c r="K45" s="202">
        <v>10</v>
      </c>
      <c r="L45" s="201">
        <f>SUM(L6:L43)</f>
        <v>529</v>
      </c>
    </row>
    <row r="46" spans="1:12" s="63" customFormat="1">
      <c r="A46" s="146" t="s">
        <v>136</v>
      </c>
      <c r="B46" s="146"/>
      <c r="C46" s="147"/>
      <c r="D46" s="147"/>
      <c r="E46" s="147"/>
      <c r="F46" s="147"/>
      <c r="G46" s="148"/>
      <c r="H46" s="148"/>
      <c r="I46" s="148"/>
      <c r="J46" s="148"/>
      <c r="K46" s="148"/>
      <c r="L46" s="203">
        <f>L45+K45</f>
        <v>539</v>
      </c>
    </row>
    <row r="47" spans="1:12">
      <c r="L47" s="153"/>
    </row>
    <row r="48" spans="1:12">
      <c r="J48" s="233" t="s">
        <v>196</v>
      </c>
      <c r="K48" s="234"/>
      <c r="L48" s="204">
        <f>L46</f>
        <v>539</v>
      </c>
    </row>
    <row r="50" spans="10:12">
      <c r="J50" s="149" t="s">
        <v>197</v>
      </c>
      <c r="K50" s="149"/>
      <c r="L50" s="149"/>
    </row>
    <row r="51" spans="10:12">
      <c r="J51" s="149" t="s">
        <v>198</v>
      </c>
      <c r="K51" s="149"/>
      <c r="L51" s="149"/>
    </row>
  </sheetData>
  <mergeCells count="2">
    <mergeCell ref="B1:E1"/>
    <mergeCell ref="J48:K48"/>
  </mergeCells>
  <pageMargins left="0.98425196850393704" right="0.98425196850393704" top="0.98425196850393704" bottom="0.98425196850393704" header="0.51181102362204722" footer="0.51181102362204722"/>
  <pageSetup paperSize="9" scale="68" orientation="landscape" horizontalDpi="4294967293" verticalDpi="4294967293"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1"/>
  <sheetViews>
    <sheetView showGridLines="0" zoomScaleNormal="100" workbookViewId="0">
      <selection activeCell="F7" sqref="F7"/>
    </sheetView>
  </sheetViews>
  <sheetFormatPr defaultColWidth="9.140625" defaultRowHeight="12.75"/>
  <cols>
    <col min="1" max="1" width="54" style="7" bestFit="1" customWidth="1"/>
    <col min="2" max="2" width="104" style="7" bestFit="1" customWidth="1"/>
    <col min="3" max="4" width="9.140625" style="7"/>
    <col min="5" max="5" width="12" style="7" customWidth="1"/>
    <col min="6" max="16384" width="9.140625" style="7"/>
  </cols>
  <sheetData>
    <row r="1" spans="1:5">
      <c r="A1" s="91" t="s">
        <v>27</v>
      </c>
    </row>
    <row r="3" spans="1:5">
      <c r="A3" s="139" t="s">
        <v>20</v>
      </c>
      <c r="B3" s="139" t="s">
        <v>126</v>
      </c>
      <c r="C3" s="139" t="s">
        <v>139</v>
      </c>
      <c r="D3" s="139" t="s">
        <v>69</v>
      </c>
      <c r="E3" s="139" t="s">
        <v>810</v>
      </c>
    </row>
    <row r="4" spans="1:5">
      <c r="A4" s="95" t="s">
        <v>137</v>
      </c>
      <c r="B4" s="96" t="s">
        <v>142</v>
      </c>
      <c r="C4" s="95">
        <v>3</v>
      </c>
      <c r="D4" s="95">
        <v>255</v>
      </c>
      <c r="E4" s="202">
        <v>1</v>
      </c>
    </row>
    <row r="5" spans="1:5">
      <c r="A5" s="95" t="s">
        <v>172</v>
      </c>
      <c r="B5" s="96" t="s">
        <v>174</v>
      </c>
      <c r="C5" s="95">
        <v>1</v>
      </c>
      <c r="D5" s="95">
        <v>102</v>
      </c>
      <c r="E5" s="202">
        <v>1</v>
      </c>
    </row>
    <row r="6" spans="1:5">
      <c r="A6" s="95" t="s">
        <v>172</v>
      </c>
      <c r="B6" s="96" t="s">
        <v>808</v>
      </c>
      <c r="C6" s="95">
        <v>1</v>
      </c>
      <c r="D6" s="95">
        <v>7</v>
      </c>
      <c r="E6" s="202">
        <v>1</v>
      </c>
    </row>
    <row r="7" spans="1:5">
      <c r="A7" s="95" t="s">
        <v>172</v>
      </c>
      <c r="B7" s="96" t="s">
        <v>173</v>
      </c>
      <c r="C7" s="95">
        <v>2</v>
      </c>
      <c r="D7" s="95">
        <v>12</v>
      </c>
      <c r="E7" s="202">
        <v>1</v>
      </c>
    </row>
    <row r="8" spans="1:5">
      <c r="A8" s="95" t="s">
        <v>100</v>
      </c>
      <c r="B8" s="96" t="s">
        <v>199</v>
      </c>
      <c r="C8" s="96">
        <v>1</v>
      </c>
      <c r="D8" s="96">
        <v>255</v>
      </c>
      <c r="E8" s="202">
        <v>1</v>
      </c>
    </row>
    <row r="9" spans="1:5">
      <c r="A9" s="95" t="s">
        <v>809</v>
      </c>
      <c r="B9" s="96" t="s">
        <v>200</v>
      </c>
      <c r="C9" s="96">
        <v>1</v>
      </c>
      <c r="D9" s="96">
        <v>255</v>
      </c>
      <c r="E9" s="202">
        <v>1</v>
      </c>
    </row>
    <row r="10" spans="1:5">
      <c r="A10" s="95" t="s">
        <v>201</v>
      </c>
      <c r="B10" s="96" t="s">
        <v>224</v>
      </c>
      <c r="C10" s="96">
        <v>1</v>
      </c>
      <c r="D10" s="96">
        <v>102</v>
      </c>
      <c r="E10" s="202">
        <v>1</v>
      </c>
    </row>
    <row r="11" spans="1:5" s="63" customFormat="1">
      <c r="A11" s="63" t="s">
        <v>136</v>
      </c>
    </row>
  </sheetData>
  <pageMargins left="0.7" right="0.7" top="0.75" bottom="0.75" header="0.3" footer="0.3"/>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61942-B963-4CA1-A08F-505E247FEE19}">
  <dimension ref="A1:I923"/>
  <sheetViews>
    <sheetView topLeftCell="A562" workbookViewId="0">
      <selection activeCell="D700" sqref="D700"/>
    </sheetView>
  </sheetViews>
  <sheetFormatPr defaultRowHeight="12.75"/>
  <cols>
    <col min="1" max="1" width="54.28515625" bestFit="1" customWidth="1"/>
    <col min="2" max="2" width="6" bestFit="1" customWidth="1"/>
    <col min="4" max="4" width="37" bestFit="1" customWidth="1"/>
    <col min="7" max="7" width="9" bestFit="1" customWidth="1"/>
    <col min="8" max="8" width="9" customWidth="1"/>
    <col min="9" max="9" width="22.5703125" bestFit="1" customWidth="1"/>
  </cols>
  <sheetData>
    <row r="1" spans="1:9" ht="38.25">
      <c r="A1" s="165" t="s">
        <v>20</v>
      </c>
      <c r="B1" s="166" t="s">
        <v>226</v>
      </c>
      <c r="C1" s="165" t="s">
        <v>227</v>
      </c>
      <c r="D1" s="165" t="s">
        <v>228</v>
      </c>
      <c r="E1" s="167" t="s">
        <v>229</v>
      </c>
      <c r="F1" s="168" t="s">
        <v>22</v>
      </c>
      <c r="G1" s="169" t="s">
        <v>230</v>
      </c>
      <c r="H1" s="169" t="s">
        <v>807</v>
      </c>
      <c r="I1" s="176" t="s">
        <v>26</v>
      </c>
    </row>
    <row r="2" spans="1:9">
      <c r="A2" s="95" t="s">
        <v>137</v>
      </c>
      <c r="B2" s="177" t="s">
        <v>231</v>
      </c>
      <c r="C2" s="178"/>
      <c r="D2" s="178" t="s">
        <v>232</v>
      </c>
      <c r="E2" s="179" t="s">
        <v>233</v>
      </c>
      <c r="F2" s="180">
        <v>20</v>
      </c>
      <c r="G2" s="181">
        <v>255</v>
      </c>
      <c r="H2" s="140">
        <v>1</v>
      </c>
      <c r="I2" s="170"/>
    </row>
    <row r="3" spans="1:9">
      <c r="A3" s="95" t="s">
        <v>137</v>
      </c>
      <c r="B3" s="177" t="s">
        <v>231</v>
      </c>
      <c r="C3" s="178"/>
      <c r="D3" s="178" t="s">
        <v>234</v>
      </c>
      <c r="E3" s="179" t="s">
        <v>233</v>
      </c>
      <c r="F3" s="180">
        <v>23</v>
      </c>
      <c r="G3" s="181">
        <v>255</v>
      </c>
      <c r="H3" s="140">
        <v>1</v>
      </c>
      <c r="I3" s="170"/>
    </row>
    <row r="4" spans="1:9">
      <c r="A4" s="95" t="s">
        <v>137</v>
      </c>
      <c r="B4" s="177" t="s">
        <v>231</v>
      </c>
      <c r="C4" s="178"/>
      <c r="D4" s="178" t="s">
        <v>235</v>
      </c>
      <c r="E4" s="179" t="s">
        <v>233</v>
      </c>
      <c r="F4" s="180">
        <v>16</v>
      </c>
      <c r="G4" s="181">
        <v>255</v>
      </c>
      <c r="H4" s="140">
        <v>1</v>
      </c>
      <c r="I4" s="170"/>
    </row>
    <row r="5" spans="1:9">
      <c r="A5" s="95" t="s">
        <v>137</v>
      </c>
      <c r="B5" s="177" t="s">
        <v>231</v>
      </c>
      <c r="C5" s="178"/>
      <c r="D5" s="178" t="s">
        <v>236</v>
      </c>
      <c r="E5" s="179" t="s">
        <v>233</v>
      </c>
      <c r="F5" s="180">
        <v>24</v>
      </c>
      <c r="G5" s="181">
        <v>255</v>
      </c>
      <c r="H5" s="140">
        <v>1</v>
      </c>
      <c r="I5" s="170"/>
    </row>
    <row r="6" spans="1:9">
      <c r="A6" s="95" t="s">
        <v>137</v>
      </c>
      <c r="B6" s="177" t="s">
        <v>231</v>
      </c>
      <c r="C6" s="178"/>
      <c r="D6" s="178" t="s">
        <v>237</v>
      </c>
      <c r="E6" s="179" t="s">
        <v>233</v>
      </c>
      <c r="F6" s="180">
        <v>22</v>
      </c>
      <c r="G6" s="181">
        <v>255</v>
      </c>
      <c r="H6" s="140">
        <v>1</v>
      </c>
      <c r="I6" s="170"/>
    </row>
    <row r="7" spans="1:9">
      <c r="A7" s="95" t="s">
        <v>137</v>
      </c>
      <c r="B7" s="177" t="s">
        <v>231</v>
      </c>
      <c r="C7" s="178"/>
      <c r="D7" s="178" t="s">
        <v>238</v>
      </c>
      <c r="E7" s="179" t="s">
        <v>233</v>
      </c>
      <c r="F7" s="180">
        <v>22</v>
      </c>
      <c r="G7" s="181">
        <v>255</v>
      </c>
      <c r="H7" s="140">
        <v>1</v>
      </c>
      <c r="I7" s="170"/>
    </row>
    <row r="8" spans="1:9">
      <c r="A8" s="95" t="s">
        <v>137</v>
      </c>
      <c r="B8" s="177" t="s">
        <v>231</v>
      </c>
      <c r="C8" s="178"/>
      <c r="D8" s="178" t="s">
        <v>239</v>
      </c>
      <c r="E8" s="179" t="s">
        <v>233</v>
      </c>
      <c r="F8" s="180">
        <v>50</v>
      </c>
      <c r="G8" s="181">
        <v>255</v>
      </c>
      <c r="H8" s="140">
        <v>1</v>
      </c>
      <c r="I8" s="170"/>
    </row>
    <row r="9" spans="1:9">
      <c r="A9" s="95" t="s">
        <v>137</v>
      </c>
      <c r="B9" s="177" t="s">
        <v>231</v>
      </c>
      <c r="C9" s="178"/>
      <c r="D9" s="178" t="s">
        <v>238</v>
      </c>
      <c r="E9" s="179" t="s">
        <v>233</v>
      </c>
      <c r="F9" s="180">
        <v>22</v>
      </c>
      <c r="G9" s="181">
        <v>255</v>
      </c>
      <c r="H9" s="140">
        <v>1</v>
      </c>
      <c r="I9" s="170"/>
    </row>
    <row r="10" spans="1:9">
      <c r="A10" s="95" t="s">
        <v>137</v>
      </c>
      <c r="B10" s="177" t="s">
        <v>231</v>
      </c>
      <c r="C10" s="178"/>
      <c r="D10" s="178" t="s">
        <v>240</v>
      </c>
      <c r="E10" s="179" t="s">
        <v>233</v>
      </c>
      <c r="F10" s="180">
        <v>30</v>
      </c>
      <c r="G10" s="181">
        <v>255</v>
      </c>
      <c r="H10" s="140">
        <v>1</v>
      </c>
      <c r="I10" s="170"/>
    </row>
    <row r="11" spans="1:9">
      <c r="A11" s="95" t="s">
        <v>137</v>
      </c>
      <c r="B11" s="177" t="s">
        <v>231</v>
      </c>
      <c r="C11" s="178"/>
      <c r="D11" s="178" t="s">
        <v>241</v>
      </c>
      <c r="E11" s="179" t="s">
        <v>233</v>
      </c>
      <c r="F11" s="180">
        <v>95.96</v>
      </c>
      <c r="G11" s="181">
        <v>255</v>
      </c>
      <c r="H11" s="140">
        <v>1</v>
      </c>
      <c r="I11" s="170"/>
    </row>
    <row r="12" spans="1:9">
      <c r="A12" s="95" t="s">
        <v>137</v>
      </c>
      <c r="B12" s="177" t="s">
        <v>231</v>
      </c>
      <c r="C12" s="178"/>
      <c r="D12" s="178" t="s">
        <v>242</v>
      </c>
      <c r="E12" s="179" t="s">
        <v>233</v>
      </c>
      <c r="F12" s="180">
        <v>31.95</v>
      </c>
      <c r="G12" s="181">
        <v>255</v>
      </c>
      <c r="H12" s="140">
        <v>1</v>
      </c>
      <c r="I12" s="170"/>
    </row>
    <row r="13" spans="1:9">
      <c r="A13" s="95" t="s">
        <v>137</v>
      </c>
      <c r="B13" s="177" t="s">
        <v>231</v>
      </c>
      <c r="C13" s="178"/>
      <c r="D13" s="178" t="s">
        <v>243</v>
      </c>
      <c r="E13" s="179" t="s">
        <v>233</v>
      </c>
      <c r="F13" s="180">
        <v>2.91</v>
      </c>
      <c r="G13" s="181">
        <v>255</v>
      </c>
      <c r="H13" s="140">
        <v>1</v>
      </c>
      <c r="I13" s="170"/>
    </row>
    <row r="14" spans="1:9">
      <c r="A14" s="95" t="s">
        <v>137</v>
      </c>
      <c r="B14" s="177" t="s">
        <v>231</v>
      </c>
      <c r="C14" s="178"/>
      <c r="D14" s="178" t="s">
        <v>244</v>
      </c>
      <c r="E14" s="179" t="s">
        <v>245</v>
      </c>
      <c r="F14" s="180">
        <v>16.53</v>
      </c>
      <c r="G14" s="181">
        <v>255</v>
      </c>
      <c r="H14" s="140">
        <v>1</v>
      </c>
      <c r="I14" s="170"/>
    </row>
    <row r="15" spans="1:9">
      <c r="A15" s="95" t="s">
        <v>137</v>
      </c>
      <c r="B15" s="177" t="s">
        <v>231</v>
      </c>
      <c r="C15" s="178"/>
      <c r="D15" s="178" t="s">
        <v>246</v>
      </c>
      <c r="E15" s="179" t="s">
        <v>233</v>
      </c>
      <c r="F15" s="180">
        <v>107</v>
      </c>
      <c r="G15" s="181">
        <v>255</v>
      </c>
      <c r="H15" s="140">
        <v>1</v>
      </c>
      <c r="I15" s="170"/>
    </row>
    <row r="16" spans="1:9">
      <c r="A16" s="95" t="s">
        <v>137</v>
      </c>
      <c r="B16" s="177" t="s">
        <v>231</v>
      </c>
      <c r="C16" s="178"/>
      <c r="D16" s="178" t="s">
        <v>247</v>
      </c>
      <c r="E16" s="179" t="s">
        <v>233</v>
      </c>
      <c r="F16" s="180">
        <v>25</v>
      </c>
      <c r="G16" s="181">
        <v>255</v>
      </c>
      <c r="H16" s="140">
        <v>1</v>
      </c>
      <c r="I16" s="170"/>
    </row>
    <row r="17" spans="1:9">
      <c r="A17" s="95" t="s">
        <v>137</v>
      </c>
      <c r="B17" s="177" t="s">
        <v>231</v>
      </c>
      <c r="C17" s="178"/>
      <c r="D17" s="178" t="s">
        <v>248</v>
      </c>
      <c r="E17" s="179" t="s">
        <v>233</v>
      </c>
      <c r="F17" s="180">
        <v>17.86</v>
      </c>
      <c r="G17" s="181">
        <v>255</v>
      </c>
      <c r="H17" s="140">
        <v>1</v>
      </c>
      <c r="I17" s="170"/>
    </row>
    <row r="18" spans="1:9">
      <c r="A18" s="95" t="s">
        <v>137</v>
      </c>
      <c r="B18" s="177" t="s">
        <v>249</v>
      </c>
      <c r="C18" s="178"/>
      <c r="D18" s="178" t="s">
        <v>250</v>
      </c>
      <c r="E18" s="179" t="s">
        <v>251</v>
      </c>
      <c r="F18" s="180">
        <v>20</v>
      </c>
      <c r="G18" s="181">
        <v>255</v>
      </c>
      <c r="H18" s="140">
        <v>1</v>
      </c>
      <c r="I18" s="170"/>
    </row>
    <row r="19" spans="1:9">
      <c r="A19" s="95" t="s">
        <v>137</v>
      </c>
      <c r="B19" s="177" t="s">
        <v>249</v>
      </c>
      <c r="C19" s="178"/>
      <c r="D19" s="178" t="s">
        <v>252</v>
      </c>
      <c r="E19" s="179" t="s">
        <v>251</v>
      </c>
      <c r="F19" s="180">
        <v>18</v>
      </c>
      <c r="G19" s="181">
        <v>255</v>
      </c>
      <c r="H19" s="140">
        <v>1</v>
      </c>
      <c r="I19" s="170"/>
    </row>
    <row r="20" spans="1:9">
      <c r="A20" s="95" t="s">
        <v>137</v>
      </c>
      <c r="B20" s="177" t="s">
        <v>249</v>
      </c>
      <c r="C20" s="178"/>
      <c r="D20" s="178" t="s">
        <v>253</v>
      </c>
      <c r="E20" s="179" t="s">
        <v>233</v>
      </c>
      <c r="F20" s="180">
        <v>7</v>
      </c>
      <c r="G20" s="181">
        <v>52</v>
      </c>
      <c r="H20" s="140">
        <v>1</v>
      </c>
      <c r="I20" s="170"/>
    </row>
    <row r="21" spans="1:9">
      <c r="A21" s="95" t="s">
        <v>137</v>
      </c>
      <c r="B21" s="177" t="s">
        <v>249</v>
      </c>
      <c r="C21" s="178"/>
      <c r="D21" s="178" t="s">
        <v>254</v>
      </c>
      <c r="E21" s="179" t="s">
        <v>251</v>
      </c>
      <c r="F21" s="180">
        <v>36</v>
      </c>
      <c r="G21" s="181">
        <v>255</v>
      </c>
      <c r="H21" s="140">
        <v>1</v>
      </c>
      <c r="I21" s="170"/>
    </row>
    <row r="22" spans="1:9">
      <c r="A22" s="95" t="s">
        <v>137</v>
      </c>
      <c r="B22" s="177" t="s">
        <v>249</v>
      </c>
      <c r="C22" s="178"/>
      <c r="D22" s="178" t="s">
        <v>255</v>
      </c>
      <c r="E22" s="179" t="s">
        <v>233</v>
      </c>
      <c r="F22" s="180">
        <v>71.44</v>
      </c>
      <c r="G22" s="181">
        <v>255</v>
      </c>
      <c r="H22" s="140">
        <v>1</v>
      </c>
      <c r="I22" s="170"/>
    </row>
    <row r="23" spans="1:9">
      <c r="A23" s="95" t="s">
        <v>137</v>
      </c>
      <c r="B23" s="177" t="s">
        <v>249</v>
      </c>
      <c r="C23" s="178"/>
      <c r="D23" s="178" t="s">
        <v>248</v>
      </c>
      <c r="E23" s="179" t="s">
        <v>233</v>
      </c>
      <c r="F23" s="180">
        <v>17.86</v>
      </c>
      <c r="G23" s="181">
        <v>255</v>
      </c>
      <c r="H23" s="140">
        <v>1</v>
      </c>
      <c r="I23" s="170"/>
    </row>
    <row r="24" spans="1:9">
      <c r="A24" s="95" t="s">
        <v>137</v>
      </c>
      <c r="B24" s="177" t="s">
        <v>249</v>
      </c>
      <c r="C24" s="178"/>
      <c r="D24" s="178" t="s">
        <v>256</v>
      </c>
      <c r="E24" s="179" t="s">
        <v>233</v>
      </c>
      <c r="F24" s="180">
        <v>11.28</v>
      </c>
      <c r="G24" s="181">
        <v>255</v>
      </c>
      <c r="H24" s="140">
        <v>1</v>
      </c>
      <c r="I24" s="170"/>
    </row>
    <row r="25" spans="1:9">
      <c r="A25" s="95" t="s">
        <v>137</v>
      </c>
      <c r="B25" s="177" t="s">
        <v>249</v>
      </c>
      <c r="C25" s="178"/>
      <c r="D25" s="178" t="s">
        <v>257</v>
      </c>
      <c r="E25" s="179" t="s">
        <v>233</v>
      </c>
      <c r="F25" s="180">
        <v>11</v>
      </c>
      <c r="G25" s="181">
        <v>255</v>
      </c>
      <c r="H25" s="140">
        <v>1</v>
      </c>
      <c r="I25" s="170"/>
    </row>
    <row r="26" spans="1:9">
      <c r="A26" s="95" t="s">
        <v>137</v>
      </c>
      <c r="B26" s="177" t="s">
        <v>249</v>
      </c>
      <c r="C26" s="178"/>
      <c r="D26" s="178" t="s">
        <v>258</v>
      </c>
      <c r="E26" s="179" t="s">
        <v>233</v>
      </c>
      <c r="F26" s="180">
        <v>8</v>
      </c>
      <c r="G26" s="181">
        <v>52</v>
      </c>
      <c r="H26" s="140">
        <v>1</v>
      </c>
      <c r="I26" s="170"/>
    </row>
    <row r="27" spans="1:9">
      <c r="A27" s="95" t="s">
        <v>137</v>
      </c>
      <c r="B27" s="177" t="s">
        <v>249</v>
      </c>
      <c r="C27" s="178"/>
      <c r="D27" s="178" t="s">
        <v>259</v>
      </c>
      <c r="E27" s="179" t="s">
        <v>251</v>
      </c>
      <c r="F27" s="180">
        <v>104</v>
      </c>
      <c r="G27" s="181">
        <v>255</v>
      </c>
      <c r="H27" s="140">
        <v>1</v>
      </c>
      <c r="I27" s="170"/>
    </row>
    <row r="28" spans="1:9">
      <c r="A28" s="95" t="s">
        <v>137</v>
      </c>
      <c r="B28" s="177" t="s">
        <v>249</v>
      </c>
      <c r="C28" s="178"/>
      <c r="D28" s="178" t="s">
        <v>260</v>
      </c>
      <c r="E28" s="179" t="s">
        <v>233</v>
      </c>
      <c r="F28" s="180">
        <v>6</v>
      </c>
      <c r="G28" s="181">
        <v>52</v>
      </c>
      <c r="H28" s="140">
        <v>1</v>
      </c>
      <c r="I28" s="170"/>
    </row>
    <row r="29" spans="1:9">
      <c r="A29" s="95" t="s">
        <v>137</v>
      </c>
      <c r="B29" s="177" t="s">
        <v>249</v>
      </c>
      <c r="C29" s="178"/>
      <c r="D29" s="178" t="s">
        <v>261</v>
      </c>
      <c r="E29" s="179" t="s">
        <v>262</v>
      </c>
      <c r="F29" s="180">
        <v>8.82</v>
      </c>
      <c r="G29" s="181">
        <v>255</v>
      </c>
      <c r="H29" s="140">
        <v>1</v>
      </c>
      <c r="I29" s="170"/>
    </row>
    <row r="30" spans="1:9">
      <c r="A30" s="95" t="s">
        <v>137</v>
      </c>
      <c r="B30" s="177" t="s">
        <v>249</v>
      </c>
      <c r="C30" s="178"/>
      <c r="D30" s="178" t="s">
        <v>261</v>
      </c>
      <c r="E30" s="179" t="s">
        <v>262</v>
      </c>
      <c r="F30" s="180">
        <v>8.82</v>
      </c>
      <c r="G30" s="181">
        <v>255</v>
      </c>
      <c r="H30" s="140">
        <v>1</v>
      </c>
      <c r="I30" s="170"/>
    </row>
    <row r="31" spans="1:9">
      <c r="A31" s="95" t="s">
        <v>137</v>
      </c>
      <c r="B31" s="177" t="s">
        <v>249</v>
      </c>
      <c r="C31" s="178"/>
      <c r="D31" s="178" t="s">
        <v>263</v>
      </c>
      <c r="E31" s="179" t="s">
        <v>262</v>
      </c>
      <c r="F31" s="180">
        <v>4.18</v>
      </c>
      <c r="G31" s="181">
        <v>255</v>
      </c>
      <c r="H31" s="140">
        <v>1</v>
      </c>
      <c r="I31" s="170"/>
    </row>
    <row r="32" spans="1:9">
      <c r="A32" s="95" t="s">
        <v>137</v>
      </c>
      <c r="B32" s="177" t="s">
        <v>249</v>
      </c>
      <c r="C32" s="178"/>
      <c r="D32" s="178" t="s">
        <v>264</v>
      </c>
      <c r="E32" s="179" t="s">
        <v>233</v>
      </c>
      <c r="F32" s="180">
        <v>9.52</v>
      </c>
      <c r="G32" s="181">
        <v>255</v>
      </c>
      <c r="H32" s="140">
        <v>1</v>
      </c>
      <c r="I32" s="170"/>
    </row>
    <row r="33" spans="1:9">
      <c r="A33" s="95" t="s">
        <v>137</v>
      </c>
      <c r="B33" s="177" t="s">
        <v>249</v>
      </c>
      <c r="C33" s="178"/>
      <c r="D33" s="178" t="s">
        <v>265</v>
      </c>
      <c r="E33" s="179" t="s">
        <v>262</v>
      </c>
      <c r="F33" s="180">
        <v>6.48</v>
      </c>
      <c r="G33" s="181">
        <v>255</v>
      </c>
      <c r="H33" s="140">
        <v>1</v>
      </c>
      <c r="I33" s="170"/>
    </row>
    <row r="34" spans="1:9">
      <c r="A34" s="95" t="s">
        <v>137</v>
      </c>
      <c r="B34" s="177" t="s">
        <v>249</v>
      </c>
      <c r="C34" s="178"/>
      <c r="D34" s="178" t="s">
        <v>266</v>
      </c>
      <c r="E34" s="179" t="s">
        <v>251</v>
      </c>
      <c r="F34" s="180">
        <v>167</v>
      </c>
      <c r="G34" s="181">
        <v>255</v>
      </c>
      <c r="H34" s="140">
        <v>1</v>
      </c>
      <c r="I34" s="170"/>
    </row>
    <row r="35" spans="1:9">
      <c r="A35" s="95" t="s">
        <v>137</v>
      </c>
      <c r="B35" s="177" t="s">
        <v>249</v>
      </c>
      <c r="C35" s="178"/>
      <c r="D35" s="178" t="s">
        <v>267</v>
      </c>
      <c r="E35" s="179" t="s">
        <v>251</v>
      </c>
      <c r="F35" s="180">
        <v>13</v>
      </c>
      <c r="G35" s="181">
        <v>255</v>
      </c>
      <c r="H35" s="140">
        <v>1</v>
      </c>
      <c r="I35" s="170"/>
    </row>
    <row r="36" spans="1:9">
      <c r="A36" s="95" t="s">
        <v>137</v>
      </c>
      <c r="B36" s="177" t="s">
        <v>249</v>
      </c>
      <c r="C36" s="178"/>
      <c r="D36" s="178" t="s">
        <v>268</v>
      </c>
      <c r="E36" s="179" t="s">
        <v>251</v>
      </c>
      <c r="F36" s="180">
        <v>8</v>
      </c>
      <c r="G36" s="181">
        <v>255</v>
      </c>
      <c r="H36" s="140">
        <v>1</v>
      </c>
      <c r="I36" s="170"/>
    </row>
    <row r="37" spans="1:9">
      <c r="A37" s="95" t="s">
        <v>137</v>
      </c>
      <c r="B37" s="177" t="s">
        <v>249</v>
      </c>
      <c r="C37" s="178"/>
      <c r="D37" s="178" t="s">
        <v>269</v>
      </c>
      <c r="E37" s="179" t="s">
        <v>251</v>
      </c>
      <c r="F37" s="180">
        <v>54</v>
      </c>
      <c r="G37" s="181">
        <v>255</v>
      </c>
      <c r="H37" s="140">
        <v>1</v>
      </c>
      <c r="I37" s="170"/>
    </row>
    <row r="38" spans="1:9">
      <c r="A38" s="95" t="s">
        <v>137</v>
      </c>
      <c r="B38" s="177" t="s">
        <v>249</v>
      </c>
      <c r="C38" s="178"/>
      <c r="D38" s="178" t="s">
        <v>268</v>
      </c>
      <c r="E38" s="179" t="s">
        <v>251</v>
      </c>
      <c r="F38" s="180">
        <v>10</v>
      </c>
      <c r="G38" s="181">
        <v>255</v>
      </c>
      <c r="H38" s="140">
        <v>1</v>
      </c>
      <c r="I38" s="170"/>
    </row>
    <row r="39" spans="1:9">
      <c r="A39" s="95" t="s">
        <v>137</v>
      </c>
      <c r="B39" s="177" t="s">
        <v>249</v>
      </c>
      <c r="C39" s="178"/>
      <c r="D39" s="178" t="s">
        <v>250</v>
      </c>
      <c r="E39" s="179" t="s">
        <v>251</v>
      </c>
      <c r="F39" s="180">
        <v>16</v>
      </c>
      <c r="G39" s="181">
        <v>255</v>
      </c>
      <c r="H39" s="140">
        <v>1</v>
      </c>
      <c r="I39" s="170"/>
    </row>
    <row r="40" spans="1:9">
      <c r="A40" s="95" t="s">
        <v>137</v>
      </c>
      <c r="B40" s="177" t="s">
        <v>249</v>
      </c>
      <c r="C40" s="178"/>
      <c r="D40" s="178" t="s">
        <v>268</v>
      </c>
      <c r="E40" s="179" t="s">
        <v>251</v>
      </c>
      <c r="F40" s="180">
        <v>10</v>
      </c>
      <c r="G40" s="181">
        <v>255</v>
      </c>
      <c r="H40" s="140">
        <v>1</v>
      </c>
      <c r="I40" s="170"/>
    </row>
    <row r="41" spans="1:9">
      <c r="A41" s="95" t="s">
        <v>137</v>
      </c>
      <c r="B41" s="177" t="s">
        <v>249</v>
      </c>
      <c r="C41" s="178"/>
      <c r="D41" s="178" t="s">
        <v>250</v>
      </c>
      <c r="E41" s="179" t="s">
        <v>251</v>
      </c>
      <c r="F41" s="180">
        <v>18</v>
      </c>
      <c r="G41" s="181">
        <v>255</v>
      </c>
      <c r="H41" s="140">
        <v>1</v>
      </c>
      <c r="I41" s="170"/>
    </row>
    <row r="42" spans="1:9">
      <c r="A42" s="95" t="s">
        <v>137</v>
      </c>
      <c r="B42" s="177" t="s">
        <v>249</v>
      </c>
      <c r="C42" s="178"/>
      <c r="D42" s="178" t="s">
        <v>270</v>
      </c>
      <c r="E42" s="179" t="s">
        <v>251</v>
      </c>
      <c r="F42" s="180">
        <v>5</v>
      </c>
      <c r="G42" s="181">
        <v>255</v>
      </c>
      <c r="H42" s="140">
        <v>1</v>
      </c>
      <c r="I42" s="170"/>
    </row>
    <row r="43" spans="1:9">
      <c r="A43" s="95" t="s">
        <v>137</v>
      </c>
      <c r="B43" s="177" t="s">
        <v>249</v>
      </c>
      <c r="C43" s="178"/>
      <c r="D43" s="178" t="s">
        <v>270</v>
      </c>
      <c r="E43" s="179" t="s">
        <v>251</v>
      </c>
      <c r="F43" s="180">
        <v>5</v>
      </c>
      <c r="G43" s="181">
        <v>255</v>
      </c>
      <c r="H43" s="140">
        <v>1</v>
      </c>
      <c r="I43" s="170"/>
    </row>
    <row r="44" spans="1:9">
      <c r="A44" s="95" t="s">
        <v>137</v>
      </c>
      <c r="B44" s="177" t="s">
        <v>249</v>
      </c>
      <c r="C44" s="178"/>
      <c r="D44" s="178" t="s">
        <v>250</v>
      </c>
      <c r="E44" s="179" t="s">
        <v>251</v>
      </c>
      <c r="F44" s="180">
        <v>18</v>
      </c>
      <c r="G44" s="181">
        <v>255</v>
      </c>
      <c r="H44" s="140">
        <v>1</v>
      </c>
      <c r="I44" s="170"/>
    </row>
    <row r="45" spans="1:9">
      <c r="A45" s="95" t="s">
        <v>137</v>
      </c>
      <c r="B45" s="177" t="s">
        <v>271</v>
      </c>
      <c r="C45" s="178"/>
      <c r="D45" s="178" t="s">
        <v>272</v>
      </c>
      <c r="E45" s="179" t="s">
        <v>251</v>
      </c>
      <c r="F45" s="180">
        <v>32</v>
      </c>
      <c r="G45" s="181">
        <v>255</v>
      </c>
      <c r="H45" s="140">
        <v>1</v>
      </c>
      <c r="I45" s="170"/>
    </row>
    <row r="46" spans="1:9">
      <c r="A46" s="95" t="s">
        <v>137</v>
      </c>
      <c r="B46" s="177" t="s">
        <v>271</v>
      </c>
      <c r="C46" s="178"/>
      <c r="D46" s="178" t="s">
        <v>252</v>
      </c>
      <c r="E46" s="179" t="s">
        <v>251</v>
      </c>
      <c r="F46" s="180">
        <v>32</v>
      </c>
      <c r="G46" s="181">
        <v>255</v>
      </c>
      <c r="H46" s="140">
        <v>1</v>
      </c>
      <c r="I46" s="170"/>
    </row>
    <row r="47" spans="1:9">
      <c r="A47" s="95" t="s">
        <v>137</v>
      </c>
      <c r="B47" s="177" t="s">
        <v>271</v>
      </c>
      <c r="C47" s="178"/>
      <c r="D47" s="178" t="s">
        <v>273</v>
      </c>
      <c r="E47" s="179" t="s">
        <v>251</v>
      </c>
      <c r="F47" s="180">
        <v>18</v>
      </c>
      <c r="G47" s="181">
        <v>255</v>
      </c>
      <c r="H47" s="140">
        <v>1</v>
      </c>
      <c r="I47" s="170"/>
    </row>
    <row r="48" spans="1:9">
      <c r="A48" s="95" t="s">
        <v>137</v>
      </c>
      <c r="B48" s="177" t="s">
        <v>271</v>
      </c>
      <c r="C48" s="178"/>
      <c r="D48" s="178" t="s">
        <v>274</v>
      </c>
      <c r="E48" s="179" t="s">
        <v>251</v>
      </c>
      <c r="F48" s="180">
        <v>36</v>
      </c>
      <c r="G48" s="181">
        <v>255</v>
      </c>
      <c r="H48" s="140">
        <v>1</v>
      </c>
      <c r="I48" s="170"/>
    </row>
    <row r="49" spans="1:9">
      <c r="A49" s="95" t="s">
        <v>137</v>
      </c>
      <c r="B49" s="177" t="s">
        <v>271</v>
      </c>
      <c r="C49" s="178"/>
      <c r="D49" s="178" t="s">
        <v>248</v>
      </c>
      <c r="E49" s="179" t="s">
        <v>275</v>
      </c>
      <c r="F49" s="180">
        <v>17.86</v>
      </c>
      <c r="G49" s="181">
        <v>255</v>
      </c>
      <c r="H49" s="140">
        <v>1</v>
      </c>
      <c r="I49" s="170"/>
    </row>
    <row r="50" spans="1:9">
      <c r="A50" s="95" t="s">
        <v>137</v>
      </c>
      <c r="B50" s="177" t="s">
        <v>271</v>
      </c>
      <c r="C50" s="178"/>
      <c r="D50" s="178" t="s">
        <v>255</v>
      </c>
      <c r="E50" s="179" t="s">
        <v>275</v>
      </c>
      <c r="F50" s="180">
        <v>71.44</v>
      </c>
      <c r="G50" s="181">
        <v>255</v>
      </c>
      <c r="H50" s="140">
        <v>1</v>
      </c>
      <c r="I50" s="170"/>
    </row>
    <row r="51" spans="1:9">
      <c r="A51" s="95" t="s">
        <v>137</v>
      </c>
      <c r="B51" s="177" t="s">
        <v>271</v>
      </c>
      <c r="C51" s="178"/>
      <c r="D51" s="178" t="s">
        <v>257</v>
      </c>
      <c r="E51" s="179" t="s">
        <v>275</v>
      </c>
      <c r="F51" s="180">
        <v>9</v>
      </c>
      <c r="G51" s="181">
        <v>255</v>
      </c>
      <c r="H51" s="140">
        <v>1</v>
      </c>
      <c r="I51" s="170"/>
    </row>
    <row r="52" spans="1:9">
      <c r="A52" s="95" t="s">
        <v>137</v>
      </c>
      <c r="B52" s="177" t="s">
        <v>271</v>
      </c>
      <c r="C52" s="178"/>
      <c r="D52" s="178" t="s">
        <v>276</v>
      </c>
      <c r="E52" s="179" t="s">
        <v>251</v>
      </c>
      <c r="F52" s="180">
        <v>14</v>
      </c>
      <c r="G52" s="181">
        <v>255</v>
      </c>
      <c r="H52" s="140">
        <v>1</v>
      </c>
      <c r="I52" s="170"/>
    </row>
    <row r="53" spans="1:9">
      <c r="A53" s="95" t="s">
        <v>137</v>
      </c>
      <c r="B53" s="177" t="s">
        <v>271</v>
      </c>
      <c r="C53" s="178"/>
      <c r="D53" s="178" t="s">
        <v>277</v>
      </c>
      <c r="E53" s="179" t="s">
        <v>251</v>
      </c>
      <c r="F53" s="180">
        <v>115</v>
      </c>
      <c r="G53" s="181">
        <v>255</v>
      </c>
      <c r="H53" s="140">
        <v>1</v>
      </c>
      <c r="I53" s="170"/>
    </row>
    <row r="54" spans="1:9">
      <c r="A54" s="95" t="s">
        <v>137</v>
      </c>
      <c r="B54" s="177" t="s">
        <v>271</v>
      </c>
      <c r="C54" s="178"/>
      <c r="D54" s="178" t="s">
        <v>278</v>
      </c>
      <c r="E54" s="179" t="s">
        <v>251</v>
      </c>
      <c r="F54" s="180">
        <v>175</v>
      </c>
      <c r="G54" s="181">
        <v>255</v>
      </c>
      <c r="H54" s="140">
        <v>1</v>
      </c>
      <c r="I54" s="170"/>
    </row>
    <row r="55" spans="1:9">
      <c r="A55" s="95" t="s">
        <v>137</v>
      </c>
      <c r="B55" s="177" t="s">
        <v>271</v>
      </c>
      <c r="C55" s="178"/>
      <c r="D55" s="178" t="s">
        <v>279</v>
      </c>
      <c r="E55" s="179" t="s">
        <v>251</v>
      </c>
      <c r="F55" s="180">
        <v>25</v>
      </c>
      <c r="G55" s="181">
        <v>255</v>
      </c>
      <c r="H55" s="140">
        <v>1</v>
      </c>
      <c r="I55" s="170"/>
    </row>
    <row r="56" spans="1:9">
      <c r="A56" s="95" t="s">
        <v>137</v>
      </c>
      <c r="B56" s="177" t="s">
        <v>271</v>
      </c>
      <c r="C56" s="178"/>
      <c r="D56" s="178" t="s">
        <v>280</v>
      </c>
      <c r="E56" s="179" t="s">
        <v>251</v>
      </c>
      <c r="F56" s="180">
        <v>15</v>
      </c>
      <c r="G56" s="181">
        <v>255</v>
      </c>
      <c r="H56" s="140">
        <v>1</v>
      </c>
      <c r="I56" s="170"/>
    </row>
    <row r="57" spans="1:9">
      <c r="A57" s="95" t="s">
        <v>137</v>
      </c>
      <c r="B57" s="177" t="s">
        <v>271</v>
      </c>
      <c r="C57" s="178"/>
      <c r="D57" s="178" t="s">
        <v>276</v>
      </c>
      <c r="E57" s="179" t="s">
        <v>251</v>
      </c>
      <c r="F57" s="180">
        <v>9</v>
      </c>
      <c r="G57" s="181">
        <v>255</v>
      </c>
      <c r="H57" s="140">
        <v>1</v>
      </c>
      <c r="I57" s="170"/>
    </row>
    <row r="58" spans="1:9">
      <c r="A58" s="95" t="s">
        <v>137</v>
      </c>
      <c r="B58" s="177" t="s">
        <v>271</v>
      </c>
      <c r="C58" s="178"/>
      <c r="D58" s="178" t="s">
        <v>279</v>
      </c>
      <c r="E58" s="179" t="s">
        <v>251</v>
      </c>
      <c r="F58" s="180">
        <v>27</v>
      </c>
      <c r="G58" s="181">
        <v>255</v>
      </c>
      <c r="H58" s="140">
        <v>1</v>
      </c>
      <c r="I58" s="170"/>
    </row>
    <row r="59" spans="1:9">
      <c r="A59" s="95" t="s">
        <v>137</v>
      </c>
      <c r="B59" s="177" t="s">
        <v>271</v>
      </c>
      <c r="C59" s="178"/>
      <c r="D59" s="178" t="s">
        <v>276</v>
      </c>
      <c r="E59" s="179" t="s">
        <v>251</v>
      </c>
      <c r="F59" s="180">
        <v>8</v>
      </c>
      <c r="G59" s="181">
        <v>255</v>
      </c>
      <c r="H59" s="140">
        <v>1</v>
      </c>
      <c r="I59" s="170"/>
    </row>
    <row r="60" spans="1:9">
      <c r="A60" s="95" t="s">
        <v>137</v>
      </c>
      <c r="B60" s="177" t="s">
        <v>271</v>
      </c>
      <c r="C60" s="178"/>
      <c r="D60" s="178" t="s">
        <v>281</v>
      </c>
      <c r="E60" s="179" t="s">
        <v>251</v>
      </c>
      <c r="F60" s="180">
        <v>13</v>
      </c>
      <c r="G60" s="181">
        <v>255</v>
      </c>
      <c r="H60" s="140">
        <v>1</v>
      </c>
      <c r="I60" s="170"/>
    </row>
    <row r="61" spans="1:9">
      <c r="A61" s="95" t="s">
        <v>137</v>
      </c>
      <c r="B61" s="177" t="s">
        <v>271</v>
      </c>
      <c r="C61" s="178"/>
      <c r="D61" s="178" t="s">
        <v>281</v>
      </c>
      <c r="E61" s="179" t="s">
        <v>251</v>
      </c>
      <c r="F61" s="180">
        <v>8</v>
      </c>
      <c r="G61" s="181">
        <v>255</v>
      </c>
      <c r="H61" s="140">
        <v>1</v>
      </c>
      <c r="I61" s="170"/>
    </row>
    <row r="62" spans="1:9">
      <c r="A62" s="95" t="s">
        <v>137</v>
      </c>
      <c r="B62" s="177" t="s">
        <v>271</v>
      </c>
      <c r="C62" s="178"/>
      <c r="D62" s="178" t="s">
        <v>281</v>
      </c>
      <c r="E62" s="179" t="s">
        <v>251</v>
      </c>
      <c r="F62" s="180">
        <v>13</v>
      </c>
      <c r="G62" s="181">
        <v>255</v>
      </c>
      <c r="H62" s="140">
        <v>1</v>
      </c>
      <c r="I62" s="170"/>
    </row>
    <row r="63" spans="1:9">
      <c r="A63" s="95" t="s">
        <v>137</v>
      </c>
      <c r="B63" s="177" t="s">
        <v>271</v>
      </c>
      <c r="C63" s="178"/>
      <c r="D63" s="178" t="s">
        <v>276</v>
      </c>
      <c r="E63" s="179" t="s">
        <v>251</v>
      </c>
      <c r="F63" s="180">
        <v>5</v>
      </c>
      <c r="G63" s="181">
        <v>255</v>
      </c>
      <c r="H63" s="140">
        <v>1</v>
      </c>
      <c r="I63" s="170"/>
    </row>
    <row r="64" spans="1:9">
      <c r="A64" s="95" t="s">
        <v>137</v>
      </c>
      <c r="B64" s="177" t="s">
        <v>271</v>
      </c>
      <c r="C64" s="178"/>
      <c r="D64" s="178" t="s">
        <v>282</v>
      </c>
      <c r="E64" s="179" t="s">
        <v>251</v>
      </c>
      <c r="F64" s="180">
        <v>5</v>
      </c>
      <c r="G64" s="181">
        <v>255</v>
      </c>
      <c r="H64" s="140">
        <v>1</v>
      </c>
      <c r="I64" s="170"/>
    </row>
    <row r="65" spans="1:9">
      <c r="A65" s="95" t="s">
        <v>137</v>
      </c>
      <c r="B65" s="177" t="s">
        <v>271</v>
      </c>
      <c r="C65" s="178"/>
      <c r="D65" s="178" t="s">
        <v>250</v>
      </c>
      <c r="E65" s="179" t="s">
        <v>275</v>
      </c>
      <c r="F65" s="180">
        <v>8</v>
      </c>
      <c r="G65" s="181">
        <v>255</v>
      </c>
      <c r="H65" s="140">
        <v>1</v>
      </c>
      <c r="I65" s="170"/>
    </row>
    <row r="66" spans="1:9">
      <c r="A66" s="95" t="s">
        <v>137</v>
      </c>
      <c r="B66" s="177" t="s">
        <v>271</v>
      </c>
      <c r="C66" s="178"/>
      <c r="D66" s="178" t="s">
        <v>250</v>
      </c>
      <c r="E66" s="179" t="s">
        <v>251</v>
      </c>
      <c r="F66" s="180">
        <v>8</v>
      </c>
      <c r="G66" s="181">
        <v>255</v>
      </c>
      <c r="H66" s="140">
        <v>1</v>
      </c>
      <c r="I66" s="170"/>
    </row>
    <row r="67" spans="1:9">
      <c r="A67" s="95" t="s">
        <v>137</v>
      </c>
      <c r="B67" s="177" t="s">
        <v>271</v>
      </c>
      <c r="C67" s="178"/>
      <c r="D67" s="178" t="s">
        <v>261</v>
      </c>
      <c r="E67" s="179" t="s">
        <v>251</v>
      </c>
      <c r="F67" s="180">
        <v>9.27</v>
      </c>
      <c r="G67" s="181">
        <v>255</v>
      </c>
      <c r="H67" s="140">
        <v>1</v>
      </c>
      <c r="I67" s="170"/>
    </row>
    <row r="68" spans="1:9">
      <c r="A68" s="95" t="s">
        <v>137</v>
      </c>
      <c r="B68" s="177" t="s">
        <v>271</v>
      </c>
      <c r="C68" s="178"/>
      <c r="D68" s="178" t="s">
        <v>261</v>
      </c>
      <c r="E68" s="179" t="s">
        <v>262</v>
      </c>
      <c r="F68" s="180">
        <v>9.27</v>
      </c>
      <c r="G68" s="181">
        <v>255</v>
      </c>
      <c r="H68" s="140">
        <v>1</v>
      </c>
      <c r="I68" s="170"/>
    </row>
    <row r="69" spans="1:9">
      <c r="A69" s="95" t="s">
        <v>137</v>
      </c>
      <c r="B69" s="177" t="s">
        <v>271</v>
      </c>
      <c r="C69" s="178"/>
      <c r="D69" s="178" t="s">
        <v>283</v>
      </c>
      <c r="E69" s="179" t="s">
        <v>262</v>
      </c>
      <c r="F69" s="180">
        <v>4.18</v>
      </c>
      <c r="G69" s="181">
        <v>255</v>
      </c>
      <c r="H69" s="140">
        <v>1</v>
      </c>
      <c r="I69" s="170"/>
    </row>
    <row r="70" spans="1:9">
      <c r="A70" s="95" t="s">
        <v>137</v>
      </c>
      <c r="B70" s="177" t="s">
        <v>271</v>
      </c>
      <c r="C70" s="178"/>
      <c r="D70" s="178" t="s">
        <v>284</v>
      </c>
      <c r="E70" s="179" t="s">
        <v>275</v>
      </c>
      <c r="F70" s="180">
        <v>6.79</v>
      </c>
      <c r="G70" s="181">
        <v>255</v>
      </c>
      <c r="H70" s="140">
        <v>1</v>
      </c>
      <c r="I70" s="170"/>
    </row>
    <row r="71" spans="1:9">
      <c r="A71" s="95" t="s">
        <v>137</v>
      </c>
      <c r="B71" s="177" t="s">
        <v>285</v>
      </c>
      <c r="C71" s="178"/>
      <c r="D71" s="178" t="s">
        <v>252</v>
      </c>
      <c r="E71" s="179" t="s">
        <v>251</v>
      </c>
      <c r="F71" s="180">
        <v>14</v>
      </c>
      <c r="G71" s="181">
        <v>255</v>
      </c>
      <c r="H71" s="140">
        <v>1</v>
      </c>
      <c r="I71" s="170"/>
    </row>
    <row r="72" spans="1:9">
      <c r="A72" s="95" t="s">
        <v>137</v>
      </c>
      <c r="B72" s="177" t="s">
        <v>285</v>
      </c>
      <c r="C72" s="178"/>
      <c r="D72" s="178" t="s">
        <v>252</v>
      </c>
      <c r="E72" s="179" t="s">
        <v>251</v>
      </c>
      <c r="F72" s="180">
        <v>13</v>
      </c>
      <c r="G72" s="181">
        <v>255</v>
      </c>
      <c r="H72" s="140">
        <v>1</v>
      </c>
      <c r="I72" s="170"/>
    </row>
    <row r="73" spans="1:9">
      <c r="A73" s="95" t="s">
        <v>137</v>
      </c>
      <c r="B73" s="177" t="s">
        <v>285</v>
      </c>
      <c r="C73" s="178"/>
      <c r="D73" s="178" t="s">
        <v>252</v>
      </c>
      <c r="E73" s="179" t="s">
        <v>251</v>
      </c>
      <c r="F73" s="180">
        <v>25</v>
      </c>
      <c r="G73" s="181">
        <v>255</v>
      </c>
      <c r="H73" s="140">
        <v>1</v>
      </c>
      <c r="I73" s="170"/>
    </row>
    <row r="74" spans="1:9">
      <c r="A74" s="95" t="s">
        <v>137</v>
      </c>
      <c r="B74" s="177" t="s">
        <v>285</v>
      </c>
      <c r="C74" s="178"/>
      <c r="D74" s="178" t="s">
        <v>254</v>
      </c>
      <c r="E74" s="179" t="s">
        <v>251</v>
      </c>
      <c r="F74" s="180">
        <v>36</v>
      </c>
      <c r="G74" s="181">
        <v>255</v>
      </c>
      <c r="H74" s="140">
        <v>1</v>
      </c>
      <c r="I74" s="170"/>
    </row>
    <row r="75" spans="1:9">
      <c r="A75" s="95" t="s">
        <v>137</v>
      </c>
      <c r="B75" s="177" t="s">
        <v>285</v>
      </c>
      <c r="C75" s="178"/>
      <c r="D75" s="178" t="s">
        <v>255</v>
      </c>
      <c r="E75" s="179" t="s">
        <v>275</v>
      </c>
      <c r="F75" s="180">
        <v>71.44</v>
      </c>
      <c r="G75" s="181">
        <v>255</v>
      </c>
      <c r="H75" s="140">
        <v>1</v>
      </c>
      <c r="I75" s="170"/>
    </row>
    <row r="76" spans="1:9">
      <c r="A76" s="95" t="s">
        <v>137</v>
      </c>
      <c r="B76" s="177" t="s">
        <v>285</v>
      </c>
      <c r="C76" s="178"/>
      <c r="D76" s="178" t="s">
        <v>248</v>
      </c>
      <c r="E76" s="179" t="s">
        <v>275</v>
      </c>
      <c r="F76" s="180">
        <v>17.86</v>
      </c>
      <c r="G76" s="181">
        <v>255</v>
      </c>
      <c r="H76" s="140">
        <v>1</v>
      </c>
      <c r="I76" s="170"/>
    </row>
    <row r="77" spans="1:9">
      <c r="A77" s="95" t="s">
        <v>137</v>
      </c>
      <c r="B77" s="177" t="s">
        <v>285</v>
      </c>
      <c r="C77" s="178"/>
      <c r="D77" s="178" t="s">
        <v>261</v>
      </c>
      <c r="E77" s="179" t="s">
        <v>262</v>
      </c>
      <c r="F77" s="180">
        <v>9.27</v>
      </c>
      <c r="G77" s="181">
        <v>255</v>
      </c>
      <c r="H77" s="140">
        <v>1</v>
      </c>
      <c r="I77" s="170"/>
    </row>
    <row r="78" spans="1:9">
      <c r="A78" s="95" t="s">
        <v>137</v>
      </c>
      <c r="B78" s="177" t="s">
        <v>285</v>
      </c>
      <c r="C78" s="178"/>
      <c r="D78" s="178" t="s">
        <v>261</v>
      </c>
      <c r="E78" s="179" t="s">
        <v>262</v>
      </c>
      <c r="F78" s="180">
        <v>9.27</v>
      </c>
      <c r="G78" s="181">
        <v>255</v>
      </c>
      <c r="H78" s="140">
        <v>1</v>
      </c>
      <c r="I78" s="170"/>
    </row>
    <row r="79" spans="1:9">
      <c r="A79" s="95" t="s">
        <v>137</v>
      </c>
      <c r="B79" s="177" t="s">
        <v>285</v>
      </c>
      <c r="C79" s="178"/>
      <c r="D79" s="178" t="s">
        <v>284</v>
      </c>
      <c r="E79" s="179" t="s">
        <v>275</v>
      </c>
      <c r="F79" s="180">
        <v>6.79</v>
      </c>
      <c r="G79" s="181">
        <v>255</v>
      </c>
      <c r="H79" s="140">
        <v>1</v>
      </c>
      <c r="I79" s="170"/>
    </row>
    <row r="80" spans="1:9">
      <c r="A80" s="95" t="s">
        <v>137</v>
      </c>
      <c r="B80" s="177" t="s">
        <v>285</v>
      </c>
      <c r="C80" s="178"/>
      <c r="D80" s="178" t="s">
        <v>286</v>
      </c>
      <c r="E80" s="179" t="s">
        <v>275</v>
      </c>
      <c r="F80" s="180">
        <v>4.18</v>
      </c>
      <c r="G80" s="181">
        <v>255</v>
      </c>
      <c r="H80" s="140">
        <v>1</v>
      </c>
      <c r="I80" s="170"/>
    </row>
    <row r="81" spans="1:9">
      <c r="A81" s="95" t="s">
        <v>137</v>
      </c>
      <c r="B81" s="177" t="s">
        <v>285</v>
      </c>
      <c r="C81" s="178"/>
      <c r="D81" s="178" t="s">
        <v>277</v>
      </c>
      <c r="E81" s="179" t="s">
        <v>251</v>
      </c>
      <c r="F81" s="180">
        <v>120</v>
      </c>
      <c r="G81" s="181">
        <v>255</v>
      </c>
      <c r="H81" s="140">
        <v>1</v>
      </c>
      <c r="I81" s="170"/>
    </row>
    <row r="82" spans="1:9">
      <c r="A82" s="95" t="s">
        <v>137</v>
      </c>
      <c r="B82" s="177" t="s">
        <v>285</v>
      </c>
      <c r="C82" s="178"/>
      <c r="D82" s="178" t="s">
        <v>287</v>
      </c>
      <c r="E82" s="179" t="s">
        <v>275</v>
      </c>
      <c r="F82" s="180">
        <v>10</v>
      </c>
      <c r="G82" s="181">
        <v>0</v>
      </c>
      <c r="H82" s="140">
        <v>1</v>
      </c>
      <c r="I82" s="170"/>
    </row>
    <row r="83" spans="1:9">
      <c r="A83" s="95" t="s">
        <v>137</v>
      </c>
      <c r="B83" s="177" t="s">
        <v>285</v>
      </c>
      <c r="C83" s="178"/>
      <c r="D83" s="178" t="s">
        <v>288</v>
      </c>
      <c r="E83" s="179" t="s">
        <v>275</v>
      </c>
      <c r="F83" s="180">
        <v>7</v>
      </c>
      <c r="G83" s="181">
        <v>255</v>
      </c>
      <c r="H83" s="140">
        <v>1</v>
      </c>
      <c r="I83" s="170"/>
    </row>
    <row r="84" spans="1:9">
      <c r="A84" s="95" t="s">
        <v>137</v>
      </c>
      <c r="B84" s="177" t="s">
        <v>285</v>
      </c>
      <c r="C84" s="178"/>
      <c r="D84" s="178" t="s">
        <v>276</v>
      </c>
      <c r="E84" s="179" t="s">
        <v>251</v>
      </c>
      <c r="F84" s="180">
        <v>6</v>
      </c>
      <c r="G84" s="181">
        <v>255</v>
      </c>
      <c r="H84" s="140">
        <v>1</v>
      </c>
      <c r="I84" s="170"/>
    </row>
    <row r="85" spans="1:9">
      <c r="A85" s="95" t="s">
        <v>137</v>
      </c>
      <c r="B85" s="177" t="s">
        <v>285</v>
      </c>
      <c r="C85" s="178"/>
      <c r="D85" s="178" t="s">
        <v>250</v>
      </c>
      <c r="E85" s="179" t="s">
        <v>251</v>
      </c>
      <c r="F85" s="180">
        <v>41</v>
      </c>
      <c r="G85" s="181">
        <v>255</v>
      </c>
      <c r="H85" s="140">
        <v>1</v>
      </c>
      <c r="I85" s="170"/>
    </row>
    <row r="86" spans="1:9">
      <c r="A86" s="95" t="s">
        <v>137</v>
      </c>
      <c r="B86" s="177" t="s">
        <v>285</v>
      </c>
      <c r="C86" s="178"/>
      <c r="D86" s="178" t="s">
        <v>257</v>
      </c>
      <c r="E86" s="179" t="s">
        <v>275</v>
      </c>
      <c r="F86" s="180">
        <v>9</v>
      </c>
      <c r="G86" s="181">
        <v>255</v>
      </c>
      <c r="H86" s="140">
        <v>1</v>
      </c>
      <c r="I86" s="170"/>
    </row>
    <row r="87" spans="1:9">
      <c r="A87" s="95" t="s">
        <v>137</v>
      </c>
      <c r="B87" s="177" t="s">
        <v>285</v>
      </c>
      <c r="C87" s="178"/>
      <c r="D87" s="178" t="s">
        <v>250</v>
      </c>
      <c r="E87" s="179" t="s">
        <v>251</v>
      </c>
      <c r="F87" s="180">
        <v>13</v>
      </c>
      <c r="G87" s="181">
        <v>255</v>
      </c>
      <c r="H87" s="140">
        <v>1</v>
      </c>
      <c r="I87" s="170"/>
    </row>
    <row r="88" spans="1:9">
      <c r="A88" s="95" t="s">
        <v>137</v>
      </c>
      <c r="B88" s="177" t="s">
        <v>285</v>
      </c>
      <c r="C88" s="178"/>
      <c r="D88" s="178" t="s">
        <v>276</v>
      </c>
      <c r="E88" s="179" t="s">
        <v>251</v>
      </c>
      <c r="F88" s="180">
        <v>8</v>
      </c>
      <c r="G88" s="181">
        <v>255</v>
      </c>
      <c r="H88" s="140">
        <v>1</v>
      </c>
      <c r="I88" s="170"/>
    </row>
    <row r="89" spans="1:9">
      <c r="A89" s="95" t="s">
        <v>137</v>
      </c>
      <c r="B89" s="177" t="s">
        <v>285</v>
      </c>
      <c r="C89" s="178"/>
      <c r="D89" s="178" t="s">
        <v>289</v>
      </c>
      <c r="E89" s="179" t="s">
        <v>251</v>
      </c>
      <c r="F89" s="180">
        <v>163</v>
      </c>
      <c r="G89" s="181">
        <v>255</v>
      </c>
      <c r="H89" s="140">
        <v>1</v>
      </c>
      <c r="I89" s="170"/>
    </row>
    <row r="90" spans="1:9">
      <c r="A90" s="95" t="s">
        <v>137</v>
      </c>
      <c r="B90" s="177" t="s">
        <v>285</v>
      </c>
      <c r="C90" s="178"/>
      <c r="D90" s="178" t="s">
        <v>250</v>
      </c>
      <c r="E90" s="179" t="s">
        <v>251</v>
      </c>
      <c r="F90" s="180">
        <v>22</v>
      </c>
      <c r="G90" s="181">
        <v>255</v>
      </c>
      <c r="H90" s="140">
        <v>1</v>
      </c>
      <c r="I90" s="170"/>
    </row>
    <row r="91" spans="1:9">
      <c r="A91" s="95" t="s">
        <v>137</v>
      </c>
      <c r="B91" s="177" t="s">
        <v>285</v>
      </c>
      <c r="C91" s="178"/>
      <c r="D91" s="178" t="s">
        <v>276</v>
      </c>
      <c r="E91" s="179" t="s">
        <v>251</v>
      </c>
      <c r="F91" s="180">
        <v>8</v>
      </c>
      <c r="G91" s="181">
        <v>255</v>
      </c>
      <c r="H91" s="140">
        <v>1</v>
      </c>
      <c r="I91" s="170"/>
    </row>
    <row r="92" spans="1:9">
      <c r="A92" s="95" t="s">
        <v>137</v>
      </c>
      <c r="B92" s="177" t="s">
        <v>285</v>
      </c>
      <c r="C92" s="178"/>
      <c r="D92" s="178" t="s">
        <v>276</v>
      </c>
      <c r="E92" s="179" t="s">
        <v>251</v>
      </c>
      <c r="F92" s="180">
        <v>5</v>
      </c>
      <c r="G92" s="181">
        <v>255</v>
      </c>
      <c r="H92" s="140">
        <v>1</v>
      </c>
      <c r="I92" s="170"/>
    </row>
    <row r="93" spans="1:9">
      <c r="A93" s="95" t="s">
        <v>137</v>
      </c>
      <c r="B93" s="177" t="s">
        <v>285</v>
      </c>
      <c r="C93" s="178"/>
      <c r="D93" s="178" t="s">
        <v>250</v>
      </c>
      <c r="E93" s="179" t="s">
        <v>251</v>
      </c>
      <c r="F93" s="180">
        <v>26</v>
      </c>
      <c r="G93" s="181">
        <v>255</v>
      </c>
      <c r="H93" s="140">
        <v>1</v>
      </c>
      <c r="I93" s="170"/>
    </row>
    <row r="94" spans="1:9">
      <c r="A94" s="95" t="s">
        <v>137</v>
      </c>
      <c r="B94" s="177" t="s">
        <v>285</v>
      </c>
      <c r="C94" s="178"/>
      <c r="D94" s="178" t="s">
        <v>250</v>
      </c>
      <c r="E94" s="179" t="s">
        <v>251</v>
      </c>
      <c r="F94" s="180">
        <v>22</v>
      </c>
      <c r="G94" s="181">
        <v>255</v>
      </c>
      <c r="H94" s="140">
        <v>1</v>
      </c>
      <c r="I94" s="170"/>
    </row>
    <row r="95" spans="1:9" ht="15">
      <c r="A95" s="182"/>
      <c r="B95" s="183"/>
      <c r="C95" s="184"/>
      <c r="D95" s="184"/>
      <c r="E95" s="185"/>
      <c r="F95" s="186"/>
      <c r="G95" s="187"/>
      <c r="H95" s="187"/>
      <c r="I95" s="171"/>
    </row>
    <row r="96" spans="1:9">
      <c r="A96" s="95" t="s">
        <v>98</v>
      </c>
      <c r="B96" s="188"/>
      <c r="C96" s="189"/>
      <c r="D96" s="95" t="s">
        <v>290</v>
      </c>
      <c r="E96" s="95" t="s">
        <v>251</v>
      </c>
      <c r="F96" s="174">
        <v>2.0999999046325684</v>
      </c>
      <c r="G96" s="190">
        <v>255</v>
      </c>
      <c r="H96" s="140">
        <v>1</v>
      </c>
      <c r="I96" s="170"/>
    </row>
    <row r="97" spans="1:9">
      <c r="A97" s="95" t="s">
        <v>98</v>
      </c>
      <c r="B97" s="188"/>
      <c r="C97" s="189"/>
      <c r="D97" s="95" t="s">
        <v>119</v>
      </c>
      <c r="E97" s="95" t="s">
        <v>251</v>
      </c>
      <c r="F97" s="174">
        <v>4.5500001907348633</v>
      </c>
      <c r="G97" s="190">
        <v>255</v>
      </c>
      <c r="H97" s="140">
        <v>1</v>
      </c>
      <c r="I97" s="170"/>
    </row>
    <row r="98" spans="1:9">
      <c r="A98" s="95" t="s">
        <v>98</v>
      </c>
      <c r="B98" s="188"/>
      <c r="C98" s="189"/>
      <c r="D98" s="95" t="s">
        <v>291</v>
      </c>
      <c r="E98" s="95" t="s">
        <v>262</v>
      </c>
      <c r="F98" s="174">
        <v>17.950000762939453</v>
      </c>
      <c r="G98" s="190">
        <v>255</v>
      </c>
      <c r="H98" s="140">
        <v>1</v>
      </c>
      <c r="I98" s="170"/>
    </row>
    <row r="99" spans="1:9">
      <c r="A99" s="95" t="s">
        <v>98</v>
      </c>
      <c r="B99" s="188"/>
      <c r="C99" s="189"/>
      <c r="D99" s="95" t="s">
        <v>292</v>
      </c>
      <c r="E99" s="95" t="s">
        <v>251</v>
      </c>
      <c r="F99" s="174">
        <v>32.25</v>
      </c>
      <c r="G99" s="190">
        <v>255</v>
      </c>
      <c r="H99" s="140">
        <v>1</v>
      </c>
      <c r="I99" s="170"/>
    </row>
    <row r="100" spans="1:9">
      <c r="A100" s="95" t="s">
        <v>98</v>
      </c>
      <c r="B100" s="188"/>
      <c r="C100" s="189"/>
      <c r="D100" s="95" t="s">
        <v>293</v>
      </c>
      <c r="E100" s="95" t="s">
        <v>251</v>
      </c>
      <c r="F100" s="174">
        <v>2.4500000476837158</v>
      </c>
      <c r="G100" s="190">
        <v>255</v>
      </c>
      <c r="H100" s="140">
        <v>1</v>
      </c>
      <c r="I100" s="170"/>
    </row>
    <row r="101" spans="1:9">
      <c r="A101" s="95" t="s">
        <v>98</v>
      </c>
      <c r="B101" s="188"/>
      <c r="C101" s="189"/>
      <c r="D101" s="95" t="s">
        <v>294</v>
      </c>
      <c r="E101" s="95" t="s">
        <v>295</v>
      </c>
      <c r="F101" s="174">
        <v>4.0500001907348633</v>
      </c>
      <c r="G101" s="190">
        <v>255</v>
      </c>
      <c r="H101" s="140">
        <v>1</v>
      </c>
      <c r="I101" s="170"/>
    </row>
    <row r="102" spans="1:9">
      <c r="A102" s="95" t="s">
        <v>98</v>
      </c>
      <c r="B102" s="188"/>
      <c r="C102" s="189"/>
      <c r="D102" s="95" t="s">
        <v>294</v>
      </c>
      <c r="E102" s="95" t="s">
        <v>296</v>
      </c>
      <c r="F102" s="174">
        <v>7.3000001907348633</v>
      </c>
      <c r="G102" s="190">
        <v>255</v>
      </c>
      <c r="H102" s="140">
        <v>1</v>
      </c>
      <c r="I102" s="170"/>
    </row>
    <row r="103" spans="1:9">
      <c r="A103" s="95" t="s">
        <v>98</v>
      </c>
      <c r="B103" s="188"/>
      <c r="C103" s="189"/>
      <c r="D103" s="95" t="s">
        <v>294</v>
      </c>
      <c r="E103" s="95" t="s">
        <v>251</v>
      </c>
      <c r="F103" s="174">
        <v>8.8999996185302734</v>
      </c>
      <c r="G103" s="190">
        <v>255</v>
      </c>
      <c r="H103" s="140">
        <v>1</v>
      </c>
      <c r="I103" s="170"/>
    </row>
    <row r="104" spans="1:9">
      <c r="A104" s="95" t="s">
        <v>98</v>
      </c>
      <c r="B104" s="188"/>
      <c r="C104" s="189"/>
      <c r="D104" s="95" t="s">
        <v>297</v>
      </c>
      <c r="E104" s="95" t="s">
        <v>251</v>
      </c>
      <c r="F104" s="174">
        <v>421.60000228881836</v>
      </c>
      <c r="G104" s="190">
        <v>255</v>
      </c>
      <c r="H104" s="140">
        <v>1</v>
      </c>
      <c r="I104" s="170"/>
    </row>
    <row r="105" spans="1:9">
      <c r="A105" s="95" t="s">
        <v>98</v>
      </c>
      <c r="B105" s="189"/>
      <c r="C105" s="189"/>
      <c r="D105" s="95" t="s">
        <v>298</v>
      </c>
      <c r="E105" s="95" t="s">
        <v>262</v>
      </c>
      <c r="F105" s="174">
        <v>19.599999904632568</v>
      </c>
      <c r="G105" s="190">
        <v>255</v>
      </c>
      <c r="H105" s="140">
        <v>1</v>
      </c>
      <c r="I105" s="170"/>
    </row>
    <row r="106" spans="1:9">
      <c r="A106" s="95" t="s">
        <v>98</v>
      </c>
      <c r="B106" s="188"/>
      <c r="C106" s="189"/>
      <c r="D106" s="95" t="s">
        <v>299</v>
      </c>
      <c r="E106" s="95" t="s">
        <v>251</v>
      </c>
      <c r="F106" s="174">
        <v>63.200000762939453</v>
      </c>
      <c r="G106" s="190">
        <v>255</v>
      </c>
      <c r="H106" s="140">
        <v>1</v>
      </c>
      <c r="I106" s="172"/>
    </row>
    <row r="107" spans="1:9">
      <c r="A107" s="95"/>
      <c r="B107" s="188"/>
      <c r="C107" s="189"/>
      <c r="D107" s="95"/>
      <c r="E107" s="95"/>
      <c r="F107" s="174"/>
      <c r="G107" s="190"/>
      <c r="H107" s="190"/>
      <c r="I107" s="172"/>
    </row>
    <row r="108" spans="1:9">
      <c r="A108" s="95" t="s">
        <v>100</v>
      </c>
      <c r="B108" s="188" t="s">
        <v>300</v>
      </c>
      <c r="C108" s="189" t="s">
        <v>301</v>
      </c>
      <c r="D108" s="95" t="s">
        <v>302</v>
      </c>
      <c r="E108" s="95"/>
      <c r="F108" s="174">
        <v>8</v>
      </c>
      <c r="G108" s="190">
        <v>255</v>
      </c>
      <c r="H108" s="140">
        <v>1</v>
      </c>
      <c r="I108" s="172"/>
    </row>
    <row r="109" spans="1:9">
      <c r="A109" s="95" t="s">
        <v>100</v>
      </c>
      <c r="B109" s="188" t="s">
        <v>300</v>
      </c>
      <c r="C109" s="189" t="s">
        <v>303</v>
      </c>
      <c r="D109" s="95" t="s">
        <v>304</v>
      </c>
      <c r="E109" s="95"/>
      <c r="F109" s="174">
        <v>25</v>
      </c>
      <c r="G109" s="190">
        <v>255</v>
      </c>
      <c r="H109" s="140">
        <v>1</v>
      </c>
      <c r="I109" s="170"/>
    </row>
    <row r="110" spans="1:9">
      <c r="A110" s="95" t="s">
        <v>100</v>
      </c>
      <c r="B110" s="188" t="s">
        <v>300</v>
      </c>
      <c r="C110" s="189" t="s">
        <v>305</v>
      </c>
      <c r="D110" s="95" t="s">
        <v>306</v>
      </c>
      <c r="E110" s="95"/>
      <c r="F110" s="174">
        <v>53.5</v>
      </c>
      <c r="G110" s="190">
        <v>255</v>
      </c>
      <c r="H110" s="140">
        <v>1</v>
      </c>
      <c r="I110" s="170"/>
    </row>
    <row r="111" spans="1:9">
      <c r="A111" s="95" t="s">
        <v>100</v>
      </c>
      <c r="B111" s="188" t="s">
        <v>300</v>
      </c>
      <c r="C111" s="189" t="s">
        <v>307</v>
      </c>
      <c r="D111" s="95" t="s">
        <v>308</v>
      </c>
      <c r="E111" s="95"/>
      <c r="F111" s="174">
        <v>5</v>
      </c>
      <c r="G111" s="190">
        <v>255</v>
      </c>
      <c r="H111" s="140">
        <v>1</v>
      </c>
      <c r="I111" s="170"/>
    </row>
    <row r="112" spans="1:9">
      <c r="A112" s="95" t="s">
        <v>100</v>
      </c>
      <c r="B112" s="188" t="s">
        <v>300</v>
      </c>
      <c r="C112" s="189" t="s">
        <v>309</v>
      </c>
      <c r="D112" s="95" t="s">
        <v>310</v>
      </c>
      <c r="E112" s="95"/>
      <c r="F112" s="174">
        <v>3</v>
      </c>
      <c r="G112" s="190">
        <v>255</v>
      </c>
      <c r="H112" s="140">
        <v>1</v>
      </c>
      <c r="I112" s="170"/>
    </row>
    <row r="113" spans="1:9">
      <c r="A113" s="95" t="s">
        <v>100</v>
      </c>
      <c r="B113" s="188" t="s">
        <v>300</v>
      </c>
      <c r="C113" s="189" t="s">
        <v>311</v>
      </c>
      <c r="D113" s="95" t="s">
        <v>294</v>
      </c>
      <c r="E113" s="95"/>
      <c r="F113" s="174">
        <v>14</v>
      </c>
      <c r="G113" s="190">
        <v>255</v>
      </c>
      <c r="H113" s="140">
        <v>1</v>
      </c>
      <c r="I113" s="170"/>
    </row>
    <row r="114" spans="1:9">
      <c r="A114" s="95" t="s">
        <v>100</v>
      </c>
      <c r="B114" s="188" t="s">
        <v>300</v>
      </c>
      <c r="C114" s="189" t="s">
        <v>312</v>
      </c>
      <c r="D114" s="95" t="s">
        <v>313</v>
      </c>
      <c r="E114" s="95"/>
      <c r="F114" s="174">
        <v>139</v>
      </c>
      <c r="G114" s="190">
        <v>255</v>
      </c>
      <c r="H114" s="140">
        <v>1</v>
      </c>
      <c r="I114" s="170"/>
    </row>
    <row r="115" spans="1:9">
      <c r="A115" s="95" t="s">
        <v>100</v>
      </c>
      <c r="B115" s="188" t="s">
        <v>300</v>
      </c>
      <c r="C115" s="189" t="s">
        <v>314</v>
      </c>
      <c r="D115" s="95" t="s">
        <v>310</v>
      </c>
      <c r="E115" s="95"/>
      <c r="F115" s="174">
        <v>3</v>
      </c>
      <c r="G115" s="190">
        <v>255</v>
      </c>
      <c r="H115" s="140">
        <v>1</v>
      </c>
      <c r="I115" s="170"/>
    </row>
    <row r="116" spans="1:9">
      <c r="A116" s="95" t="s">
        <v>100</v>
      </c>
      <c r="B116" s="188" t="s">
        <v>300</v>
      </c>
      <c r="C116" s="189" t="s">
        <v>315</v>
      </c>
      <c r="D116" s="95" t="s">
        <v>294</v>
      </c>
      <c r="E116" s="95"/>
      <c r="F116" s="174">
        <v>34.5</v>
      </c>
      <c r="G116" s="190">
        <v>255</v>
      </c>
      <c r="H116" s="140">
        <v>1</v>
      </c>
      <c r="I116" s="170"/>
    </row>
    <row r="117" spans="1:9">
      <c r="A117" s="95" t="s">
        <v>100</v>
      </c>
      <c r="B117" s="188" t="s">
        <v>300</v>
      </c>
      <c r="C117" s="189" t="s">
        <v>316</v>
      </c>
      <c r="D117" s="95" t="s">
        <v>294</v>
      </c>
      <c r="E117" s="95"/>
      <c r="F117" s="174">
        <v>6.5</v>
      </c>
      <c r="G117" s="190">
        <v>255</v>
      </c>
      <c r="H117" s="140">
        <v>1</v>
      </c>
      <c r="I117" s="170"/>
    </row>
    <row r="118" spans="1:9">
      <c r="A118" s="95" t="s">
        <v>100</v>
      </c>
      <c r="B118" s="188" t="s">
        <v>300</v>
      </c>
      <c r="C118" s="189" t="s">
        <v>317</v>
      </c>
      <c r="D118" s="95" t="s">
        <v>318</v>
      </c>
      <c r="E118" s="95"/>
      <c r="F118" s="174">
        <v>8.5</v>
      </c>
      <c r="G118" s="190">
        <v>255</v>
      </c>
      <c r="H118" s="140">
        <v>1</v>
      </c>
      <c r="I118" s="170"/>
    </row>
    <row r="119" spans="1:9">
      <c r="A119" s="95" t="s">
        <v>100</v>
      </c>
      <c r="B119" s="188" t="s">
        <v>300</v>
      </c>
      <c r="C119" s="189" t="s">
        <v>319</v>
      </c>
      <c r="D119" s="95" t="s">
        <v>318</v>
      </c>
      <c r="E119" s="95"/>
      <c r="F119" s="174">
        <v>5.5</v>
      </c>
      <c r="G119" s="190">
        <v>255</v>
      </c>
      <c r="H119" s="140">
        <v>1</v>
      </c>
      <c r="I119" s="170"/>
    </row>
    <row r="120" spans="1:9">
      <c r="A120" s="95" t="s">
        <v>100</v>
      </c>
      <c r="B120" s="188" t="s">
        <v>300</v>
      </c>
      <c r="C120" s="189" t="s">
        <v>320</v>
      </c>
      <c r="D120" s="95" t="s">
        <v>313</v>
      </c>
      <c r="E120" s="95"/>
      <c r="F120" s="174">
        <v>27</v>
      </c>
      <c r="G120" s="190">
        <v>255</v>
      </c>
      <c r="H120" s="140">
        <v>1</v>
      </c>
      <c r="I120" s="170"/>
    </row>
    <row r="121" spans="1:9">
      <c r="A121" s="95" t="s">
        <v>100</v>
      </c>
      <c r="B121" s="188" t="s">
        <v>300</v>
      </c>
      <c r="C121" s="189" t="s">
        <v>321</v>
      </c>
      <c r="D121" s="95" t="s">
        <v>313</v>
      </c>
      <c r="E121" s="95"/>
      <c r="F121" s="174">
        <v>13</v>
      </c>
      <c r="G121" s="190">
        <v>255</v>
      </c>
      <c r="H121" s="140">
        <v>1</v>
      </c>
      <c r="I121" s="170"/>
    </row>
    <row r="122" spans="1:9">
      <c r="A122" s="95" t="s">
        <v>100</v>
      </c>
      <c r="B122" s="188" t="s">
        <v>300</v>
      </c>
      <c r="C122" s="189" t="s">
        <v>322</v>
      </c>
      <c r="D122" s="95" t="s">
        <v>323</v>
      </c>
      <c r="E122" s="95"/>
      <c r="F122" s="174">
        <v>10</v>
      </c>
      <c r="G122" s="190">
        <v>0</v>
      </c>
      <c r="H122" s="140">
        <v>1</v>
      </c>
      <c r="I122" s="170"/>
    </row>
    <row r="123" spans="1:9">
      <c r="A123" s="95" t="s">
        <v>100</v>
      </c>
      <c r="B123" s="188" t="s">
        <v>300</v>
      </c>
      <c r="C123" s="189" t="s">
        <v>324</v>
      </c>
      <c r="D123" s="95" t="s">
        <v>325</v>
      </c>
      <c r="E123" s="95"/>
      <c r="F123" s="174">
        <v>27</v>
      </c>
      <c r="G123" s="190">
        <v>0</v>
      </c>
      <c r="H123" s="140">
        <v>1</v>
      </c>
      <c r="I123" s="170"/>
    </row>
    <row r="124" spans="1:9">
      <c r="A124" s="95" t="s">
        <v>100</v>
      </c>
      <c r="B124" s="188" t="s">
        <v>300</v>
      </c>
      <c r="C124" s="189" t="s">
        <v>326</v>
      </c>
      <c r="D124" s="95" t="s">
        <v>327</v>
      </c>
      <c r="E124" s="95"/>
      <c r="F124" s="174">
        <v>5.5</v>
      </c>
      <c r="G124" s="190">
        <v>0</v>
      </c>
      <c r="H124" s="140">
        <v>1</v>
      </c>
      <c r="I124" s="170"/>
    </row>
    <row r="125" spans="1:9">
      <c r="A125" s="95" t="s">
        <v>100</v>
      </c>
      <c r="B125" s="188" t="s">
        <v>300</v>
      </c>
      <c r="C125" s="189" t="s">
        <v>328</v>
      </c>
      <c r="D125" s="95" t="s">
        <v>329</v>
      </c>
      <c r="E125" s="95"/>
      <c r="F125" s="174">
        <v>52.5</v>
      </c>
      <c r="G125" s="190">
        <v>0</v>
      </c>
      <c r="H125" s="140">
        <v>1</v>
      </c>
      <c r="I125" s="170"/>
    </row>
    <row r="126" spans="1:9">
      <c r="A126" s="95" t="s">
        <v>100</v>
      </c>
      <c r="B126" s="188" t="s">
        <v>300</v>
      </c>
      <c r="C126" s="189" t="s">
        <v>330</v>
      </c>
      <c r="D126" s="95" t="s">
        <v>331</v>
      </c>
      <c r="E126" s="95"/>
      <c r="F126" s="174">
        <v>31</v>
      </c>
      <c r="G126" s="190">
        <v>0</v>
      </c>
      <c r="H126" s="140">
        <v>1</v>
      </c>
      <c r="I126" s="170"/>
    </row>
    <row r="127" spans="1:9">
      <c r="A127" s="95" t="s">
        <v>100</v>
      </c>
      <c r="B127" s="188" t="s">
        <v>300</v>
      </c>
      <c r="C127" s="189" t="s">
        <v>332</v>
      </c>
      <c r="D127" s="95" t="s">
        <v>333</v>
      </c>
      <c r="E127" s="95"/>
      <c r="F127" s="174">
        <v>32</v>
      </c>
      <c r="G127" s="190">
        <v>0</v>
      </c>
      <c r="H127" s="140">
        <v>1</v>
      </c>
      <c r="I127" s="170"/>
    </row>
    <row r="128" spans="1:9">
      <c r="A128" s="95" t="s">
        <v>100</v>
      </c>
      <c r="B128" s="188" t="s">
        <v>300</v>
      </c>
      <c r="C128" s="189" t="s">
        <v>334</v>
      </c>
      <c r="D128" s="95" t="s">
        <v>335</v>
      </c>
      <c r="E128" s="95"/>
      <c r="F128" s="174">
        <v>88.5</v>
      </c>
      <c r="G128" s="190">
        <v>0</v>
      </c>
      <c r="H128" s="140">
        <v>1</v>
      </c>
      <c r="I128" s="170"/>
    </row>
    <row r="129" spans="1:9">
      <c r="A129" s="95" t="s">
        <v>100</v>
      </c>
      <c r="B129" s="188" t="s">
        <v>300</v>
      </c>
      <c r="C129" s="189" t="s">
        <v>336</v>
      </c>
      <c r="D129" s="95" t="s">
        <v>337</v>
      </c>
      <c r="E129" s="95"/>
      <c r="F129" s="174">
        <v>67.5</v>
      </c>
      <c r="G129" s="190">
        <v>0</v>
      </c>
      <c r="H129" s="140">
        <v>1</v>
      </c>
      <c r="I129" s="170"/>
    </row>
    <row r="130" spans="1:9">
      <c r="A130" s="95" t="s">
        <v>100</v>
      </c>
      <c r="B130" s="188" t="s">
        <v>300</v>
      </c>
      <c r="C130" s="189" t="s">
        <v>338</v>
      </c>
      <c r="D130" s="95" t="s">
        <v>339</v>
      </c>
      <c r="E130" s="95"/>
      <c r="F130" s="174">
        <v>30</v>
      </c>
      <c r="G130" s="190">
        <v>104</v>
      </c>
      <c r="H130" s="140">
        <v>1</v>
      </c>
      <c r="I130" s="170"/>
    </row>
    <row r="131" spans="1:9">
      <c r="A131" s="95" t="s">
        <v>100</v>
      </c>
      <c r="B131" s="188" t="s">
        <v>300</v>
      </c>
      <c r="C131" s="189" t="s">
        <v>340</v>
      </c>
      <c r="D131" s="95" t="s">
        <v>341</v>
      </c>
      <c r="E131" s="95"/>
      <c r="F131" s="174">
        <v>14</v>
      </c>
      <c r="G131" s="190">
        <v>52</v>
      </c>
      <c r="H131" s="140">
        <v>1</v>
      </c>
      <c r="I131" s="170"/>
    </row>
    <row r="132" spans="1:9">
      <c r="A132" s="95" t="s">
        <v>100</v>
      </c>
      <c r="B132" s="188" t="s">
        <v>300</v>
      </c>
      <c r="C132" s="189" t="s">
        <v>342</v>
      </c>
      <c r="D132" s="95" t="s">
        <v>343</v>
      </c>
      <c r="E132" s="95"/>
      <c r="F132" s="174">
        <v>344</v>
      </c>
      <c r="G132" s="190">
        <v>0</v>
      </c>
      <c r="H132" s="140">
        <v>1</v>
      </c>
      <c r="I132" s="170"/>
    </row>
    <row r="133" spans="1:9">
      <c r="A133" s="95" t="s">
        <v>100</v>
      </c>
      <c r="B133" s="188" t="s">
        <v>300</v>
      </c>
      <c r="C133" s="189" t="s">
        <v>314</v>
      </c>
      <c r="D133" s="95" t="s">
        <v>344</v>
      </c>
      <c r="E133" s="95"/>
      <c r="F133" s="174">
        <v>14.5</v>
      </c>
      <c r="G133" s="190">
        <v>255</v>
      </c>
      <c r="H133" s="140">
        <v>1</v>
      </c>
      <c r="I133" s="170"/>
    </row>
    <row r="134" spans="1:9">
      <c r="A134" s="95" t="s">
        <v>100</v>
      </c>
      <c r="B134" s="188" t="s">
        <v>300</v>
      </c>
      <c r="C134" s="189" t="s">
        <v>345</v>
      </c>
      <c r="D134" s="95" t="s">
        <v>346</v>
      </c>
      <c r="E134" s="95"/>
      <c r="F134" s="174">
        <v>82</v>
      </c>
      <c r="G134" s="190">
        <v>0</v>
      </c>
      <c r="H134" s="140">
        <v>1</v>
      </c>
      <c r="I134" s="170"/>
    </row>
    <row r="135" spans="1:9" ht="15">
      <c r="A135" s="95" t="s">
        <v>100</v>
      </c>
      <c r="B135" s="188" t="s">
        <v>300</v>
      </c>
      <c r="C135" s="189" t="s">
        <v>347</v>
      </c>
      <c r="D135" s="95" t="s">
        <v>348</v>
      </c>
      <c r="E135" s="95"/>
      <c r="F135" s="174">
        <v>87</v>
      </c>
      <c r="G135" s="191">
        <v>0</v>
      </c>
      <c r="H135" s="140">
        <v>1</v>
      </c>
      <c r="I135" s="173"/>
    </row>
    <row r="136" spans="1:9">
      <c r="A136" s="95" t="s">
        <v>100</v>
      </c>
      <c r="B136" s="188" t="s">
        <v>300</v>
      </c>
      <c r="C136" s="189" t="s">
        <v>349</v>
      </c>
      <c r="D136" s="95" t="s">
        <v>350</v>
      </c>
      <c r="E136" s="95"/>
      <c r="F136" s="174">
        <v>24.5</v>
      </c>
      <c r="G136" s="190">
        <v>0</v>
      </c>
      <c r="H136" s="140">
        <v>1</v>
      </c>
      <c r="I136" s="170"/>
    </row>
    <row r="137" spans="1:9">
      <c r="A137" s="95" t="s">
        <v>100</v>
      </c>
      <c r="B137" s="188" t="s">
        <v>300</v>
      </c>
      <c r="C137" s="189" t="s">
        <v>351</v>
      </c>
      <c r="D137" s="95" t="s">
        <v>352</v>
      </c>
      <c r="E137" s="95"/>
      <c r="F137" s="174">
        <v>6.5</v>
      </c>
      <c r="G137" s="190">
        <v>104</v>
      </c>
      <c r="H137" s="140">
        <v>1</v>
      </c>
      <c r="I137" s="170"/>
    </row>
    <row r="138" spans="1:9">
      <c r="A138" s="95" t="s">
        <v>100</v>
      </c>
      <c r="B138" s="188" t="s">
        <v>300</v>
      </c>
      <c r="C138" s="189" t="s">
        <v>353</v>
      </c>
      <c r="D138" s="95" t="s">
        <v>354</v>
      </c>
      <c r="E138" s="95"/>
      <c r="F138" s="174">
        <v>3.5</v>
      </c>
      <c r="G138" s="190">
        <v>104</v>
      </c>
      <c r="H138" s="140">
        <v>1</v>
      </c>
      <c r="I138" s="170"/>
    </row>
    <row r="139" spans="1:9">
      <c r="A139" s="95" t="s">
        <v>100</v>
      </c>
      <c r="B139" s="188" t="s">
        <v>300</v>
      </c>
      <c r="C139" s="189" t="s">
        <v>355</v>
      </c>
      <c r="D139" s="95" t="s">
        <v>356</v>
      </c>
      <c r="E139" s="95"/>
      <c r="F139" s="174">
        <v>39</v>
      </c>
      <c r="G139" s="190">
        <v>104</v>
      </c>
      <c r="H139" s="140">
        <v>1</v>
      </c>
      <c r="I139" s="170"/>
    </row>
    <row r="140" spans="1:9">
      <c r="A140" s="95" t="s">
        <v>100</v>
      </c>
      <c r="B140" s="188" t="s">
        <v>357</v>
      </c>
      <c r="C140" s="189" t="s">
        <v>358</v>
      </c>
      <c r="D140" s="95" t="s">
        <v>359</v>
      </c>
      <c r="E140" s="95"/>
      <c r="F140" s="174">
        <v>91.5</v>
      </c>
      <c r="G140" s="190">
        <v>0</v>
      </c>
      <c r="H140" s="140">
        <v>1</v>
      </c>
      <c r="I140" s="170"/>
    </row>
    <row r="141" spans="1:9">
      <c r="A141" s="95" t="s">
        <v>100</v>
      </c>
      <c r="B141" s="188" t="s">
        <v>357</v>
      </c>
      <c r="C141" s="189" t="s">
        <v>360</v>
      </c>
      <c r="D141" s="95" t="s">
        <v>361</v>
      </c>
      <c r="E141" s="95"/>
      <c r="F141" s="174">
        <v>324</v>
      </c>
      <c r="G141" s="190">
        <v>0</v>
      </c>
      <c r="H141" s="140">
        <v>1</v>
      </c>
      <c r="I141" s="170"/>
    </row>
    <row r="142" spans="1:9">
      <c r="A142" s="95" t="s">
        <v>100</v>
      </c>
      <c r="B142" s="188" t="s">
        <v>357</v>
      </c>
      <c r="C142" s="189" t="s">
        <v>362</v>
      </c>
      <c r="D142" s="95" t="s">
        <v>294</v>
      </c>
      <c r="E142" s="95"/>
      <c r="F142" s="174">
        <v>18.5</v>
      </c>
      <c r="G142" s="190">
        <v>255</v>
      </c>
      <c r="H142" s="140">
        <v>1</v>
      </c>
      <c r="I142" s="170"/>
    </row>
    <row r="143" spans="1:9">
      <c r="A143" s="95" t="s">
        <v>100</v>
      </c>
      <c r="B143" s="188" t="s">
        <v>357</v>
      </c>
      <c r="C143" s="189" t="s">
        <v>363</v>
      </c>
      <c r="D143" s="95" t="s">
        <v>364</v>
      </c>
      <c r="E143" s="95"/>
      <c r="F143" s="174">
        <v>95</v>
      </c>
      <c r="G143" s="190">
        <v>0</v>
      </c>
      <c r="H143" s="140">
        <v>1</v>
      </c>
      <c r="I143" s="170"/>
    </row>
    <row r="144" spans="1:9">
      <c r="A144" s="95" t="s">
        <v>100</v>
      </c>
      <c r="B144" s="188" t="s">
        <v>357</v>
      </c>
      <c r="C144" s="189" t="s">
        <v>365</v>
      </c>
      <c r="D144" s="95" t="s">
        <v>294</v>
      </c>
      <c r="E144" s="95"/>
      <c r="F144" s="174">
        <v>18</v>
      </c>
      <c r="G144" s="190">
        <v>255</v>
      </c>
      <c r="H144" s="140">
        <v>1</v>
      </c>
      <c r="I144" s="170"/>
    </row>
    <row r="145" spans="1:9">
      <c r="A145" s="95" t="s">
        <v>100</v>
      </c>
      <c r="B145" s="188" t="s">
        <v>357</v>
      </c>
      <c r="C145" s="189" t="s">
        <v>366</v>
      </c>
      <c r="D145" s="95" t="s">
        <v>367</v>
      </c>
      <c r="E145" s="95"/>
      <c r="F145" s="174">
        <v>58</v>
      </c>
      <c r="G145" s="190">
        <v>52</v>
      </c>
      <c r="H145" s="140">
        <v>1</v>
      </c>
      <c r="I145" s="170"/>
    </row>
    <row r="146" spans="1:9">
      <c r="A146" s="95" t="s">
        <v>100</v>
      </c>
      <c r="B146" s="188" t="s">
        <v>357</v>
      </c>
      <c r="C146" s="189" t="s">
        <v>368</v>
      </c>
      <c r="D146" s="95" t="s">
        <v>297</v>
      </c>
      <c r="E146" s="95"/>
      <c r="F146" s="174">
        <v>52.5</v>
      </c>
      <c r="G146" s="190">
        <v>255</v>
      </c>
      <c r="H146" s="140">
        <v>1</v>
      </c>
      <c r="I146" s="172"/>
    </row>
    <row r="147" spans="1:9">
      <c r="A147" s="95" t="s">
        <v>100</v>
      </c>
      <c r="B147" s="188" t="s">
        <v>357</v>
      </c>
      <c r="C147" s="189" t="s">
        <v>369</v>
      </c>
      <c r="D147" s="95" t="s">
        <v>370</v>
      </c>
      <c r="E147" s="95"/>
      <c r="F147" s="174">
        <v>74.5</v>
      </c>
      <c r="G147" s="190">
        <v>255</v>
      </c>
      <c r="H147" s="140">
        <v>1</v>
      </c>
      <c r="I147" s="170"/>
    </row>
    <row r="148" spans="1:9">
      <c r="A148" s="95" t="s">
        <v>100</v>
      </c>
      <c r="B148" s="188" t="s">
        <v>357</v>
      </c>
      <c r="C148" s="189" t="s">
        <v>371</v>
      </c>
      <c r="D148" s="95" t="s">
        <v>372</v>
      </c>
      <c r="E148" s="95"/>
      <c r="F148" s="174">
        <v>7.5</v>
      </c>
      <c r="G148" s="190">
        <v>52</v>
      </c>
      <c r="H148" s="140">
        <v>1</v>
      </c>
      <c r="I148" s="170"/>
    </row>
    <row r="149" spans="1:9">
      <c r="A149" s="95" t="s">
        <v>100</v>
      </c>
      <c r="B149" s="188" t="s">
        <v>357</v>
      </c>
      <c r="C149" s="189" t="s">
        <v>373</v>
      </c>
      <c r="D149" s="95" t="s">
        <v>291</v>
      </c>
      <c r="E149" s="95"/>
      <c r="F149" s="174">
        <v>55</v>
      </c>
      <c r="G149" s="190">
        <v>255</v>
      </c>
      <c r="H149" s="140">
        <v>1</v>
      </c>
      <c r="I149" s="170"/>
    </row>
    <row r="150" spans="1:9">
      <c r="A150" s="95" t="s">
        <v>100</v>
      </c>
      <c r="B150" s="188" t="s">
        <v>357</v>
      </c>
      <c r="C150" s="189" t="s">
        <v>374</v>
      </c>
      <c r="D150" s="95" t="s">
        <v>318</v>
      </c>
      <c r="E150" s="95"/>
      <c r="F150" s="174">
        <v>8.5</v>
      </c>
      <c r="G150" s="190">
        <v>255</v>
      </c>
      <c r="H150" s="140">
        <v>1</v>
      </c>
      <c r="I150" s="170"/>
    </row>
    <row r="151" spans="1:9">
      <c r="A151" s="95" t="s">
        <v>100</v>
      </c>
      <c r="B151" s="188" t="s">
        <v>357</v>
      </c>
      <c r="C151" s="189" t="s">
        <v>375</v>
      </c>
      <c r="D151" s="95" t="s">
        <v>318</v>
      </c>
      <c r="E151" s="95"/>
      <c r="F151" s="174">
        <v>8.5</v>
      </c>
      <c r="G151" s="190">
        <v>255</v>
      </c>
      <c r="H151" s="140">
        <v>1</v>
      </c>
      <c r="I151" s="170"/>
    </row>
    <row r="152" spans="1:9">
      <c r="A152" s="95" t="s">
        <v>100</v>
      </c>
      <c r="B152" s="188" t="s">
        <v>357</v>
      </c>
      <c r="C152" s="189" t="s">
        <v>376</v>
      </c>
      <c r="D152" s="95" t="s">
        <v>377</v>
      </c>
      <c r="E152" s="95"/>
      <c r="F152" s="174">
        <v>7.5</v>
      </c>
      <c r="G152" s="190">
        <v>255</v>
      </c>
      <c r="H152" s="140">
        <v>1</v>
      </c>
      <c r="I152" s="170"/>
    </row>
    <row r="153" spans="1:9">
      <c r="A153" s="95" t="s">
        <v>100</v>
      </c>
      <c r="B153" s="188" t="s">
        <v>357</v>
      </c>
      <c r="C153" s="189" t="s">
        <v>378</v>
      </c>
      <c r="D153" s="95" t="s">
        <v>379</v>
      </c>
      <c r="E153" s="95"/>
      <c r="F153" s="174">
        <v>88.5</v>
      </c>
      <c r="G153" s="190">
        <v>255</v>
      </c>
      <c r="H153" s="140">
        <v>1</v>
      </c>
      <c r="I153" s="172"/>
    </row>
    <row r="154" spans="1:9">
      <c r="A154" s="95" t="s">
        <v>100</v>
      </c>
      <c r="B154" s="188" t="s">
        <v>357</v>
      </c>
      <c r="C154" s="189" t="s">
        <v>380</v>
      </c>
      <c r="D154" s="95" t="s">
        <v>381</v>
      </c>
      <c r="E154" s="95"/>
      <c r="F154" s="174">
        <v>19</v>
      </c>
      <c r="G154" s="190">
        <v>255</v>
      </c>
      <c r="H154" s="140">
        <v>1</v>
      </c>
      <c r="I154" s="172"/>
    </row>
    <row r="155" spans="1:9">
      <c r="A155" s="95" t="s">
        <v>100</v>
      </c>
      <c r="B155" s="188" t="s">
        <v>357</v>
      </c>
      <c r="C155" s="189" t="s">
        <v>382</v>
      </c>
      <c r="D155" s="95" t="s">
        <v>383</v>
      </c>
      <c r="E155" s="95"/>
      <c r="F155" s="174">
        <v>259</v>
      </c>
      <c r="G155" s="190">
        <v>255</v>
      </c>
      <c r="H155" s="140">
        <v>1</v>
      </c>
      <c r="I155" s="172"/>
    </row>
    <row r="156" spans="1:9">
      <c r="A156" s="95" t="s">
        <v>100</v>
      </c>
      <c r="B156" s="188" t="s">
        <v>271</v>
      </c>
      <c r="C156" s="189" t="s">
        <v>384</v>
      </c>
      <c r="D156" s="95" t="s">
        <v>294</v>
      </c>
      <c r="E156" s="95"/>
      <c r="F156" s="174">
        <v>18.5</v>
      </c>
      <c r="G156" s="190">
        <v>255</v>
      </c>
      <c r="H156" s="140">
        <v>1</v>
      </c>
      <c r="I156" s="172"/>
    </row>
    <row r="157" spans="1:9">
      <c r="A157" s="95" t="s">
        <v>100</v>
      </c>
      <c r="B157" s="188" t="s">
        <v>271</v>
      </c>
      <c r="C157" s="189" t="s">
        <v>385</v>
      </c>
      <c r="D157" s="95" t="s">
        <v>291</v>
      </c>
      <c r="E157" s="95"/>
      <c r="F157" s="174">
        <v>92</v>
      </c>
      <c r="G157" s="190">
        <v>255</v>
      </c>
      <c r="H157" s="140">
        <v>1</v>
      </c>
      <c r="I157" s="172"/>
    </row>
    <row r="158" spans="1:9">
      <c r="A158" s="95" t="s">
        <v>100</v>
      </c>
      <c r="B158" s="188" t="s">
        <v>271</v>
      </c>
      <c r="C158" s="189" t="s">
        <v>386</v>
      </c>
      <c r="D158" s="95" t="s">
        <v>387</v>
      </c>
      <c r="E158" s="95"/>
      <c r="F158" s="174">
        <v>9.5</v>
      </c>
      <c r="G158" s="190">
        <v>52</v>
      </c>
      <c r="H158" s="140">
        <v>1</v>
      </c>
      <c r="I158" s="172"/>
    </row>
    <row r="159" spans="1:9">
      <c r="A159" s="95" t="s">
        <v>100</v>
      </c>
      <c r="B159" s="188" t="s">
        <v>271</v>
      </c>
      <c r="C159" s="189" t="s">
        <v>388</v>
      </c>
      <c r="D159" s="95" t="s">
        <v>389</v>
      </c>
      <c r="E159" s="95"/>
      <c r="F159" s="174">
        <v>14</v>
      </c>
      <c r="G159" s="190">
        <v>255</v>
      </c>
      <c r="H159" s="140">
        <v>1</v>
      </c>
      <c r="I159" s="172"/>
    </row>
    <row r="160" spans="1:9">
      <c r="A160" s="95" t="s">
        <v>100</v>
      </c>
      <c r="B160" s="188" t="s">
        <v>271</v>
      </c>
      <c r="C160" s="189" t="s">
        <v>390</v>
      </c>
      <c r="D160" s="95" t="s">
        <v>391</v>
      </c>
      <c r="E160" s="95"/>
      <c r="F160" s="174">
        <v>3</v>
      </c>
      <c r="G160" s="190">
        <v>255</v>
      </c>
      <c r="H160" s="140">
        <v>1</v>
      </c>
      <c r="I160" s="172"/>
    </row>
    <row r="161" spans="1:9">
      <c r="A161" s="95" t="s">
        <v>100</v>
      </c>
      <c r="B161" s="188" t="s">
        <v>271</v>
      </c>
      <c r="C161" s="189" t="s">
        <v>392</v>
      </c>
      <c r="D161" s="95" t="s">
        <v>389</v>
      </c>
      <c r="E161" s="95"/>
      <c r="F161" s="174">
        <v>14</v>
      </c>
      <c r="G161" s="190">
        <v>255</v>
      </c>
      <c r="H161" s="140">
        <v>1</v>
      </c>
      <c r="I161" s="172"/>
    </row>
    <row r="162" spans="1:9">
      <c r="A162" s="95" t="s">
        <v>100</v>
      </c>
      <c r="B162" s="188" t="s">
        <v>271</v>
      </c>
      <c r="C162" s="189" t="s">
        <v>393</v>
      </c>
      <c r="D162" s="95" t="s">
        <v>391</v>
      </c>
      <c r="E162" s="95"/>
      <c r="F162" s="174">
        <v>3</v>
      </c>
      <c r="G162" s="190">
        <v>255</v>
      </c>
      <c r="H162" s="140">
        <v>1</v>
      </c>
      <c r="I162" s="172"/>
    </row>
    <row r="163" spans="1:9">
      <c r="A163" s="95" t="s">
        <v>100</v>
      </c>
      <c r="B163" s="188" t="s">
        <v>271</v>
      </c>
      <c r="C163" s="189" t="s">
        <v>394</v>
      </c>
      <c r="D163" s="95" t="s">
        <v>389</v>
      </c>
      <c r="E163" s="95"/>
      <c r="F163" s="174">
        <v>14</v>
      </c>
      <c r="G163" s="190">
        <v>255</v>
      </c>
      <c r="H163" s="140">
        <v>1</v>
      </c>
      <c r="I163" s="172"/>
    </row>
    <row r="164" spans="1:9">
      <c r="A164" s="95" t="s">
        <v>100</v>
      </c>
      <c r="B164" s="188" t="s">
        <v>271</v>
      </c>
      <c r="C164" s="189" t="s">
        <v>395</v>
      </c>
      <c r="D164" s="95" t="s">
        <v>391</v>
      </c>
      <c r="E164" s="95"/>
      <c r="F164" s="174">
        <v>3</v>
      </c>
      <c r="G164" s="190">
        <v>255</v>
      </c>
      <c r="H164" s="140">
        <v>1</v>
      </c>
      <c r="I164" s="172"/>
    </row>
    <row r="165" spans="1:9">
      <c r="A165" s="95" t="s">
        <v>100</v>
      </c>
      <c r="B165" s="188" t="s">
        <v>271</v>
      </c>
      <c r="C165" s="189" t="s">
        <v>396</v>
      </c>
      <c r="D165" s="95" t="s">
        <v>389</v>
      </c>
      <c r="E165" s="95"/>
      <c r="F165" s="174">
        <v>14</v>
      </c>
      <c r="G165" s="190">
        <v>255</v>
      </c>
      <c r="H165" s="140">
        <v>1</v>
      </c>
      <c r="I165" s="172"/>
    </row>
    <row r="166" spans="1:9">
      <c r="A166" s="95" t="s">
        <v>100</v>
      </c>
      <c r="B166" s="188" t="s">
        <v>271</v>
      </c>
      <c r="C166" s="189" t="s">
        <v>397</v>
      </c>
      <c r="D166" s="95" t="s">
        <v>391</v>
      </c>
      <c r="E166" s="95"/>
      <c r="F166" s="174">
        <v>3</v>
      </c>
      <c r="G166" s="190">
        <v>255</v>
      </c>
      <c r="H166" s="140">
        <v>1</v>
      </c>
      <c r="I166" s="172"/>
    </row>
    <row r="167" spans="1:9">
      <c r="A167" s="95" t="s">
        <v>100</v>
      </c>
      <c r="B167" s="188" t="s">
        <v>271</v>
      </c>
      <c r="C167" s="189" t="s">
        <v>398</v>
      </c>
      <c r="D167" s="95" t="s">
        <v>389</v>
      </c>
      <c r="E167" s="95"/>
      <c r="F167" s="174">
        <v>14</v>
      </c>
      <c r="G167" s="190">
        <v>255</v>
      </c>
      <c r="H167" s="140">
        <v>1</v>
      </c>
      <c r="I167" s="172"/>
    </row>
    <row r="168" spans="1:9">
      <c r="A168" s="95" t="s">
        <v>100</v>
      </c>
      <c r="B168" s="188" t="s">
        <v>271</v>
      </c>
      <c r="C168" s="189" t="s">
        <v>399</v>
      </c>
      <c r="D168" s="95" t="s">
        <v>391</v>
      </c>
      <c r="E168" s="95"/>
      <c r="F168" s="174">
        <v>3</v>
      </c>
      <c r="G168" s="190">
        <v>255</v>
      </c>
      <c r="H168" s="140">
        <v>1</v>
      </c>
      <c r="I168" s="172"/>
    </row>
    <row r="169" spans="1:9">
      <c r="A169" s="95" t="s">
        <v>100</v>
      </c>
      <c r="B169" s="188" t="s">
        <v>271</v>
      </c>
      <c r="C169" s="189" t="s">
        <v>400</v>
      </c>
      <c r="D169" s="95" t="s">
        <v>389</v>
      </c>
      <c r="E169" s="95"/>
      <c r="F169" s="174">
        <v>14</v>
      </c>
      <c r="G169" s="190">
        <v>255</v>
      </c>
      <c r="H169" s="140">
        <v>1</v>
      </c>
      <c r="I169" s="172"/>
    </row>
    <row r="170" spans="1:9">
      <c r="A170" s="95" t="s">
        <v>100</v>
      </c>
      <c r="B170" s="188" t="s">
        <v>271</v>
      </c>
      <c r="C170" s="189" t="s">
        <v>401</v>
      </c>
      <c r="D170" s="95" t="s">
        <v>391</v>
      </c>
      <c r="E170" s="95"/>
      <c r="F170" s="174">
        <v>3</v>
      </c>
      <c r="G170" s="190">
        <v>255</v>
      </c>
      <c r="H170" s="140">
        <v>1</v>
      </c>
      <c r="I170" s="172"/>
    </row>
    <row r="171" spans="1:9">
      <c r="A171" s="95" t="s">
        <v>100</v>
      </c>
      <c r="B171" s="188" t="s">
        <v>271</v>
      </c>
      <c r="C171" s="189" t="s">
        <v>402</v>
      </c>
      <c r="D171" s="95" t="s">
        <v>389</v>
      </c>
      <c r="E171" s="95"/>
      <c r="F171" s="174">
        <v>14</v>
      </c>
      <c r="G171" s="190">
        <v>255</v>
      </c>
      <c r="H171" s="140">
        <v>1</v>
      </c>
      <c r="I171" s="172"/>
    </row>
    <row r="172" spans="1:9">
      <c r="A172" s="95" t="s">
        <v>100</v>
      </c>
      <c r="B172" s="188" t="s">
        <v>271</v>
      </c>
      <c r="C172" s="189" t="s">
        <v>403</v>
      </c>
      <c r="D172" s="95" t="s">
        <v>391</v>
      </c>
      <c r="E172" s="95"/>
      <c r="F172" s="174">
        <v>3</v>
      </c>
      <c r="G172" s="190">
        <v>255</v>
      </c>
      <c r="H172" s="140">
        <v>1</v>
      </c>
      <c r="I172" s="172"/>
    </row>
    <row r="173" spans="1:9">
      <c r="A173" s="95" t="s">
        <v>100</v>
      </c>
      <c r="B173" s="188" t="s">
        <v>271</v>
      </c>
      <c r="C173" s="189" t="s">
        <v>404</v>
      </c>
      <c r="D173" s="95" t="s">
        <v>389</v>
      </c>
      <c r="E173" s="95"/>
      <c r="F173" s="174">
        <v>14</v>
      </c>
      <c r="G173" s="190">
        <v>255</v>
      </c>
      <c r="H173" s="140">
        <v>1</v>
      </c>
      <c r="I173" s="172"/>
    </row>
    <row r="174" spans="1:9">
      <c r="A174" s="95" t="s">
        <v>100</v>
      </c>
      <c r="B174" s="188" t="s">
        <v>271</v>
      </c>
      <c r="C174" s="189" t="s">
        <v>405</v>
      </c>
      <c r="D174" s="95" t="s">
        <v>391</v>
      </c>
      <c r="E174" s="95"/>
      <c r="F174" s="174">
        <v>3</v>
      </c>
      <c r="G174" s="190">
        <v>255</v>
      </c>
      <c r="H174" s="140">
        <v>1</v>
      </c>
      <c r="I174" s="172"/>
    </row>
    <row r="175" spans="1:9">
      <c r="A175" s="95" t="s">
        <v>100</v>
      </c>
      <c r="B175" s="188" t="s">
        <v>271</v>
      </c>
      <c r="C175" s="189" t="s">
        <v>406</v>
      </c>
      <c r="D175" s="95" t="s">
        <v>389</v>
      </c>
      <c r="E175" s="95"/>
      <c r="F175" s="174">
        <v>14</v>
      </c>
      <c r="G175" s="190">
        <v>255</v>
      </c>
      <c r="H175" s="140">
        <v>1</v>
      </c>
      <c r="I175" s="172"/>
    </row>
    <row r="176" spans="1:9">
      <c r="A176" s="95" t="s">
        <v>100</v>
      </c>
      <c r="B176" s="188" t="s">
        <v>271</v>
      </c>
      <c r="C176" s="189" t="s">
        <v>407</v>
      </c>
      <c r="D176" s="95" t="s">
        <v>391</v>
      </c>
      <c r="E176" s="95"/>
      <c r="F176" s="174">
        <v>3</v>
      </c>
      <c r="G176" s="190">
        <v>255</v>
      </c>
      <c r="H176" s="140">
        <v>1</v>
      </c>
      <c r="I176" s="172"/>
    </row>
    <row r="177" spans="1:9">
      <c r="A177" s="95" t="s">
        <v>100</v>
      </c>
      <c r="B177" s="188" t="s">
        <v>271</v>
      </c>
      <c r="C177" s="189" t="s">
        <v>408</v>
      </c>
      <c r="D177" s="95" t="s">
        <v>389</v>
      </c>
      <c r="E177" s="95"/>
      <c r="F177" s="174">
        <v>14</v>
      </c>
      <c r="G177" s="190">
        <v>255</v>
      </c>
      <c r="H177" s="140">
        <v>1</v>
      </c>
      <c r="I177" s="172"/>
    </row>
    <row r="178" spans="1:9">
      <c r="A178" s="95" t="s">
        <v>100</v>
      </c>
      <c r="B178" s="188" t="s">
        <v>271</v>
      </c>
      <c r="C178" s="189" t="s">
        <v>409</v>
      </c>
      <c r="D178" s="95" t="s">
        <v>391</v>
      </c>
      <c r="E178" s="95"/>
      <c r="F178" s="174">
        <v>3</v>
      </c>
      <c r="G178" s="190">
        <v>255</v>
      </c>
      <c r="H178" s="140">
        <v>1</v>
      </c>
      <c r="I178" s="172"/>
    </row>
    <row r="179" spans="1:9">
      <c r="A179" s="95" t="s">
        <v>100</v>
      </c>
      <c r="B179" s="188" t="s">
        <v>271</v>
      </c>
      <c r="C179" s="189" t="s">
        <v>410</v>
      </c>
      <c r="D179" s="95" t="s">
        <v>389</v>
      </c>
      <c r="E179" s="95"/>
      <c r="F179" s="174">
        <v>14</v>
      </c>
      <c r="G179" s="190">
        <v>255</v>
      </c>
      <c r="H179" s="140">
        <v>1</v>
      </c>
      <c r="I179" s="172"/>
    </row>
    <row r="180" spans="1:9">
      <c r="A180" s="95" t="s">
        <v>100</v>
      </c>
      <c r="B180" s="188" t="s">
        <v>271</v>
      </c>
      <c r="C180" s="189" t="s">
        <v>411</v>
      </c>
      <c r="D180" s="95" t="s">
        <v>391</v>
      </c>
      <c r="E180" s="95"/>
      <c r="F180" s="174">
        <v>3</v>
      </c>
      <c r="G180" s="190">
        <v>255</v>
      </c>
      <c r="H180" s="140">
        <v>1</v>
      </c>
      <c r="I180" s="172"/>
    </row>
    <row r="181" spans="1:9">
      <c r="A181" s="95" t="s">
        <v>100</v>
      </c>
      <c r="B181" s="188" t="s">
        <v>271</v>
      </c>
      <c r="C181" s="189" t="s">
        <v>412</v>
      </c>
      <c r="D181" s="95" t="s">
        <v>389</v>
      </c>
      <c r="E181" s="95"/>
      <c r="F181" s="174">
        <v>14</v>
      </c>
      <c r="G181" s="190">
        <v>255</v>
      </c>
      <c r="H181" s="140">
        <v>1</v>
      </c>
      <c r="I181" s="172"/>
    </row>
    <row r="182" spans="1:9">
      <c r="A182" s="95" t="s">
        <v>100</v>
      </c>
      <c r="B182" s="188" t="s">
        <v>271</v>
      </c>
      <c r="C182" s="189" t="s">
        <v>413</v>
      </c>
      <c r="D182" s="95" t="s">
        <v>391</v>
      </c>
      <c r="E182" s="95"/>
      <c r="F182" s="174">
        <v>3</v>
      </c>
      <c r="G182" s="190">
        <v>255</v>
      </c>
      <c r="H182" s="140">
        <v>1</v>
      </c>
      <c r="I182" s="172"/>
    </row>
    <row r="183" spans="1:9">
      <c r="A183" s="95" t="s">
        <v>100</v>
      </c>
      <c r="B183" s="188" t="s">
        <v>271</v>
      </c>
      <c r="C183" s="189" t="s">
        <v>414</v>
      </c>
      <c r="D183" s="95" t="s">
        <v>389</v>
      </c>
      <c r="E183" s="95"/>
      <c r="F183" s="174">
        <v>14</v>
      </c>
      <c r="G183" s="190">
        <v>255</v>
      </c>
      <c r="H183" s="140">
        <v>1</v>
      </c>
      <c r="I183" s="172"/>
    </row>
    <row r="184" spans="1:9">
      <c r="A184" s="95" t="s">
        <v>100</v>
      </c>
      <c r="B184" s="188" t="s">
        <v>271</v>
      </c>
      <c r="C184" s="189" t="s">
        <v>415</v>
      </c>
      <c r="D184" s="95" t="s">
        <v>391</v>
      </c>
      <c r="E184" s="95"/>
      <c r="F184" s="174">
        <v>3</v>
      </c>
      <c r="G184" s="190">
        <v>255</v>
      </c>
      <c r="H184" s="140">
        <v>1</v>
      </c>
      <c r="I184" s="172"/>
    </row>
    <row r="185" spans="1:9">
      <c r="A185" s="95" t="s">
        <v>100</v>
      </c>
      <c r="B185" s="188" t="s">
        <v>271</v>
      </c>
      <c r="C185" s="189" t="s">
        <v>416</v>
      </c>
      <c r="D185" s="95" t="s">
        <v>389</v>
      </c>
      <c r="E185" s="95"/>
      <c r="F185" s="174">
        <v>14</v>
      </c>
      <c r="G185" s="190">
        <v>255</v>
      </c>
      <c r="H185" s="140">
        <v>1</v>
      </c>
      <c r="I185" s="172"/>
    </row>
    <row r="186" spans="1:9">
      <c r="A186" s="95" t="s">
        <v>100</v>
      </c>
      <c r="B186" s="188" t="s">
        <v>271</v>
      </c>
      <c r="C186" s="189" t="s">
        <v>417</v>
      </c>
      <c r="D186" s="95" t="s">
        <v>391</v>
      </c>
      <c r="E186" s="95"/>
      <c r="F186" s="174">
        <v>3</v>
      </c>
      <c r="G186" s="190">
        <v>255</v>
      </c>
      <c r="H186" s="140">
        <v>1</v>
      </c>
      <c r="I186" s="172"/>
    </row>
    <row r="187" spans="1:9">
      <c r="A187" s="95" t="s">
        <v>100</v>
      </c>
      <c r="B187" s="188" t="s">
        <v>271</v>
      </c>
      <c r="C187" s="189" t="s">
        <v>418</v>
      </c>
      <c r="D187" s="95" t="s">
        <v>389</v>
      </c>
      <c r="E187" s="95"/>
      <c r="F187" s="174">
        <v>14</v>
      </c>
      <c r="G187" s="190">
        <v>255</v>
      </c>
      <c r="H187" s="140">
        <v>1</v>
      </c>
      <c r="I187" s="172"/>
    </row>
    <row r="188" spans="1:9">
      <c r="A188" s="95" t="s">
        <v>100</v>
      </c>
      <c r="B188" s="188" t="s">
        <v>271</v>
      </c>
      <c r="C188" s="189" t="s">
        <v>419</v>
      </c>
      <c r="D188" s="95" t="s">
        <v>391</v>
      </c>
      <c r="E188" s="95"/>
      <c r="F188" s="174">
        <v>3</v>
      </c>
      <c r="G188" s="190">
        <v>255</v>
      </c>
      <c r="H188" s="140">
        <v>1</v>
      </c>
      <c r="I188" s="172"/>
    </row>
    <row r="189" spans="1:9">
      <c r="A189" s="95" t="s">
        <v>100</v>
      </c>
      <c r="B189" s="188" t="s">
        <v>271</v>
      </c>
      <c r="C189" s="189" t="s">
        <v>420</v>
      </c>
      <c r="D189" s="95" t="s">
        <v>389</v>
      </c>
      <c r="E189" s="95"/>
      <c r="F189" s="174">
        <v>14</v>
      </c>
      <c r="G189" s="190">
        <v>255</v>
      </c>
      <c r="H189" s="140">
        <v>1</v>
      </c>
      <c r="I189" s="172"/>
    </row>
    <row r="190" spans="1:9">
      <c r="A190" s="95" t="s">
        <v>100</v>
      </c>
      <c r="B190" s="188" t="s">
        <v>271</v>
      </c>
      <c r="C190" s="189" t="s">
        <v>421</v>
      </c>
      <c r="D190" s="95" t="s">
        <v>391</v>
      </c>
      <c r="E190" s="95"/>
      <c r="F190" s="174">
        <v>3</v>
      </c>
      <c r="G190" s="190">
        <v>255</v>
      </c>
      <c r="H190" s="140">
        <v>1</v>
      </c>
      <c r="I190" s="172"/>
    </row>
    <row r="191" spans="1:9">
      <c r="A191" s="95" t="s">
        <v>100</v>
      </c>
      <c r="B191" s="188" t="s">
        <v>271</v>
      </c>
      <c r="C191" s="189" t="s">
        <v>422</v>
      </c>
      <c r="D191" s="95" t="s">
        <v>318</v>
      </c>
      <c r="E191" s="95"/>
      <c r="F191" s="174">
        <v>6</v>
      </c>
      <c r="G191" s="190">
        <v>255</v>
      </c>
      <c r="H191" s="140">
        <v>1</v>
      </c>
      <c r="I191" s="172"/>
    </row>
    <row r="192" spans="1:9">
      <c r="A192" s="95" t="s">
        <v>100</v>
      </c>
      <c r="B192" s="188" t="s">
        <v>271</v>
      </c>
      <c r="C192" s="189" t="s">
        <v>423</v>
      </c>
      <c r="D192" s="95" t="s">
        <v>318</v>
      </c>
      <c r="E192" s="95"/>
      <c r="F192" s="174">
        <v>7</v>
      </c>
      <c r="G192" s="190">
        <v>255</v>
      </c>
      <c r="H192" s="140">
        <v>1</v>
      </c>
      <c r="I192" s="172"/>
    </row>
    <row r="193" spans="1:9">
      <c r="A193" s="95" t="s">
        <v>100</v>
      </c>
      <c r="B193" s="188" t="s">
        <v>271</v>
      </c>
      <c r="C193" s="189" t="s">
        <v>424</v>
      </c>
      <c r="D193" s="95" t="s">
        <v>425</v>
      </c>
      <c r="E193" s="95"/>
      <c r="F193" s="174">
        <v>18</v>
      </c>
      <c r="G193" s="190">
        <v>255</v>
      </c>
      <c r="H193" s="140">
        <v>1</v>
      </c>
      <c r="I193" s="170"/>
    </row>
    <row r="194" spans="1:9">
      <c r="A194" s="95" t="s">
        <v>100</v>
      </c>
      <c r="B194" s="188" t="s">
        <v>271</v>
      </c>
      <c r="C194" s="189" t="s">
        <v>426</v>
      </c>
      <c r="D194" s="95" t="s">
        <v>427</v>
      </c>
      <c r="E194" s="95"/>
      <c r="F194" s="174">
        <v>11</v>
      </c>
      <c r="G194" s="190">
        <v>255</v>
      </c>
      <c r="H194" s="140">
        <v>1</v>
      </c>
      <c r="I194" s="170"/>
    </row>
    <row r="195" spans="1:9">
      <c r="A195" s="95" t="s">
        <v>100</v>
      </c>
      <c r="B195" s="188" t="s">
        <v>271</v>
      </c>
      <c r="C195" s="189" t="s">
        <v>428</v>
      </c>
      <c r="D195" s="95" t="s">
        <v>429</v>
      </c>
      <c r="E195" s="95"/>
      <c r="F195" s="174">
        <v>10.5</v>
      </c>
      <c r="G195" s="190">
        <v>255</v>
      </c>
      <c r="H195" s="140">
        <v>1</v>
      </c>
      <c r="I195" s="170"/>
    </row>
    <row r="196" spans="1:9">
      <c r="A196" s="95" t="s">
        <v>100</v>
      </c>
      <c r="B196" s="188" t="s">
        <v>271</v>
      </c>
      <c r="C196" s="189" t="s">
        <v>430</v>
      </c>
      <c r="D196" s="95" t="s">
        <v>431</v>
      </c>
      <c r="E196" s="95"/>
      <c r="F196" s="174">
        <v>64</v>
      </c>
      <c r="G196" s="190">
        <v>255</v>
      </c>
      <c r="H196" s="140">
        <v>1</v>
      </c>
      <c r="I196" s="170"/>
    </row>
    <row r="197" spans="1:9">
      <c r="A197" s="95" t="s">
        <v>100</v>
      </c>
      <c r="B197" s="188" t="s">
        <v>271</v>
      </c>
      <c r="C197" s="189" t="s">
        <v>432</v>
      </c>
      <c r="D197" s="95" t="s">
        <v>433</v>
      </c>
      <c r="E197" s="95"/>
      <c r="F197" s="174">
        <v>100.5</v>
      </c>
      <c r="G197" s="190">
        <v>255</v>
      </c>
      <c r="H197" s="140">
        <v>1</v>
      </c>
      <c r="I197" s="170"/>
    </row>
    <row r="198" spans="1:9">
      <c r="A198" s="95" t="s">
        <v>100</v>
      </c>
      <c r="B198" s="188" t="s">
        <v>271</v>
      </c>
      <c r="C198" s="189" t="s">
        <v>434</v>
      </c>
      <c r="D198" s="95" t="s">
        <v>435</v>
      </c>
      <c r="E198" s="95"/>
      <c r="F198" s="174">
        <v>39.5</v>
      </c>
      <c r="G198" s="190">
        <v>255</v>
      </c>
      <c r="H198" s="140">
        <v>1</v>
      </c>
      <c r="I198" s="172"/>
    </row>
    <row r="199" spans="1:9">
      <c r="A199" s="95" t="s">
        <v>100</v>
      </c>
      <c r="B199" s="188" t="s">
        <v>271</v>
      </c>
      <c r="C199" s="189" t="s">
        <v>436</v>
      </c>
      <c r="D199" s="95" t="s">
        <v>291</v>
      </c>
      <c r="E199" s="95"/>
      <c r="F199" s="174">
        <v>21</v>
      </c>
      <c r="G199" s="190">
        <v>255</v>
      </c>
      <c r="H199" s="140">
        <v>1</v>
      </c>
      <c r="I199" s="170"/>
    </row>
    <row r="200" spans="1:9">
      <c r="A200" s="95" t="s">
        <v>100</v>
      </c>
      <c r="B200" s="188" t="s">
        <v>271</v>
      </c>
      <c r="C200" s="189" t="s">
        <v>437</v>
      </c>
      <c r="D200" s="95" t="s">
        <v>372</v>
      </c>
      <c r="E200" s="95"/>
      <c r="F200" s="174">
        <v>26.5</v>
      </c>
      <c r="G200" s="190">
        <v>255</v>
      </c>
      <c r="H200" s="140">
        <v>1</v>
      </c>
      <c r="I200" s="170"/>
    </row>
    <row r="201" spans="1:9">
      <c r="A201" s="95" t="s">
        <v>100</v>
      </c>
      <c r="B201" s="188" t="s">
        <v>271</v>
      </c>
      <c r="C201" s="189" t="s">
        <v>438</v>
      </c>
      <c r="D201" s="95" t="s">
        <v>439</v>
      </c>
      <c r="E201" s="95"/>
      <c r="F201" s="174">
        <v>40</v>
      </c>
      <c r="G201" s="190">
        <v>255</v>
      </c>
      <c r="H201" s="140">
        <v>1</v>
      </c>
      <c r="I201" s="172"/>
    </row>
    <row r="202" spans="1:9">
      <c r="A202" s="95" t="s">
        <v>100</v>
      </c>
      <c r="B202" s="188" t="s">
        <v>271</v>
      </c>
      <c r="C202" s="189" t="s">
        <v>440</v>
      </c>
      <c r="D202" s="95" t="s">
        <v>387</v>
      </c>
      <c r="E202" s="95"/>
      <c r="F202" s="174">
        <v>21.5</v>
      </c>
      <c r="G202" s="190">
        <v>52</v>
      </c>
      <c r="H202" s="140">
        <v>1</v>
      </c>
      <c r="I202" s="170"/>
    </row>
    <row r="203" spans="1:9">
      <c r="A203" s="95" t="s">
        <v>100</v>
      </c>
      <c r="B203" s="188" t="s">
        <v>285</v>
      </c>
      <c r="C203" s="189" t="s">
        <v>441</v>
      </c>
      <c r="D203" s="95" t="s">
        <v>364</v>
      </c>
      <c r="E203" s="95"/>
      <c r="F203" s="174">
        <v>36</v>
      </c>
      <c r="G203" s="190">
        <v>0</v>
      </c>
      <c r="H203" s="140">
        <v>1</v>
      </c>
      <c r="I203" s="170"/>
    </row>
    <row r="204" spans="1:9">
      <c r="A204" s="95" t="s">
        <v>100</v>
      </c>
      <c r="B204" s="188" t="s">
        <v>285</v>
      </c>
      <c r="C204" s="189" t="s">
        <v>442</v>
      </c>
      <c r="D204" s="95" t="s">
        <v>294</v>
      </c>
      <c r="E204" s="95"/>
      <c r="F204" s="174">
        <v>18</v>
      </c>
      <c r="G204" s="190">
        <v>255</v>
      </c>
      <c r="H204" s="140">
        <v>1</v>
      </c>
      <c r="I204" s="170"/>
    </row>
    <row r="205" spans="1:9">
      <c r="A205" s="95" t="s">
        <v>100</v>
      </c>
      <c r="B205" s="188" t="s">
        <v>285</v>
      </c>
      <c r="C205" s="189" t="s">
        <v>443</v>
      </c>
      <c r="D205" s="95" t="s">
        <v>339</v>
      </c>
      <c r="E205" s="95"/>
      <c r="F205" s="174">
        <v>23</v>
      </c>
      <c r="G205" s="190">
        <v>104</v>
      </c>
      <c r="H205" s="140">
        <v>1</v>
      </c>
      <c r="I205" s="170"/>
    </row>
    <row r="206" spans="1:9">
      <c r="A206" s="95" t="s">
        <v>100</v>
      </c>
      <c r="B206" s="188" t="s">
        <v>285</v>
      </c>
      <c r="C206" s="189" t="s">
        <v>444</v>
      </c>
      <c r="D206" s="95" t="s">
        <v>377</v>
      </c>
      <c r="E206" s="95"/>
      <c r="F206" s="174">
        <v>5.5</v>
      </c>
      <c r="G206" s="190">
        <v>255</v>
      </c>
      <c r="H206" s="140">
        <v>1</v>
      </c>
      <c r="I206" s="170"/>
    </row>
    <row r="207" spans="1:9">
      <c r="A207" s="95" t="s">
        <v>100</v>
      </c>
      <c r="B207" s="188" t="s">
        <v>285</v>
      </c>
      <c r="C207" s="189" t="s">
        <v>445</v>
      </c>
      <c r="D207" s="95" t="s">
        <v>339</v>
      </c>
      <c r="E207" s="95"/>
      <c r="F207" s="174">
        <v>24.5</v>
      </c>
      <c r="G207" s="190">
        <v>104</v>
      </c>
      <c r="H207" s="140">
        <v>1</v>
      </c>
      <c r="I207" s="170"/>
    </row>
    <row r="208" spans="1:9">
      <c r="A208" s="95" t="s">
        <v>100</v>
      </c>
      <c r="B208" s="188" t="s">
        <v>285</v>
      </c>
      <c r="C208" s="189" t="s">
        <v>446</v>
      </c>
      <c r="D208" s="95" t="s">
        <v>339</v>
      </c>
      <c r="E208" s="95"/>
      <c r="F208" s="174">
        <v>22.5</v>
      </c>
      <c r="G208" s="190">
        <v>104</v>
      </c>
      <c r="H208" s="140">
        <v>1</v>
      </c>
      <c r="I208" s="170"/>
    </row>
    <row r="209" spans="1:9">
      <c r="A209" s="95" t="s">
        <v>100</v>
      </c>
      <c r="B209" s="188" t="s">
        <v>285</v>
      </c>
      <c r="C209" s="189" t="s">
        <v>447</v>
      </c>
      <c r="D209" s="95" t="s">
        <v>448</v>
      </c>
      <c r="E209" s="95"/>
      <c r="F209" s="174">
        <v>35</v>
      </c>
      <c r="G209" s="190">
        <v>255</v>
      </c>
      <c r="H209" s="140">
        <v>1</v>
      </c>
      <c r="I209" s="170"/>
    </row>
    <row r="210" spans="1:9">
      <c r="A210" s="95" t="s">
        <v>100</v>
      </c>
      <c r="B210" s="188" t="s">
        <v>285</v>
      </c>
      <c r="C210" s="189" t="s">
        <v>449</v>
      </c>
      <c r="D210" s="95" t="s">
        <v>450</v>
      </c>
      <c r="E210" s="95"/>
      <c r="F210" s="174">
        <v>12.5</v>
      </c>
      <c r="G210" s="190">
        <v>255</v>
      </c>
      <c r="H210" s="140">
        <v>1</v>
      </c>
      <c r="I210" s="170"/>
    </row>
    <row r="211" spans="1:9">
      <c r="A211" s="95" t="s">
        <v>100</v>
      </c>
      <c r="B211" s="188" t="s">
        <v>285</v>
      </c>
      <c r="C211" s="189" t="s">
        <v>451</v>
      </c>
      <c r="D211" s="95" t="s">
        <v>452</v>
      </c>
      <c r="E211" s="95"/>
      <c r="F211" s="174">
        <v>7.5</v>
      </c>
      <c r="G211" s="190">
        <v>255</v>
      </c>
      <c r="H211" s="140">
        <v>1</v>
      </c>
      <c r="I211" s="170"/>
    </row>
    <row r="212" spans="1:9">
      <c r="A212" s="95" t="s">
        <v>100</v>
      </c>
      <c r="B212" s="188" t="s">
        <v>285</v>
      </c>
      <c r="C212" s="189" t="s">
        <v>453</v>
      </c>
      <c r="D212" s="95" t="s">
        <v>291</v>
      </c>
      <c r="E212" s="95"/>
      <c r="F212" s="174">
        <v>135</v>
      </c>
      <c r="G212" s="190">
        <v>255</v>
      </c>
      <c r="H212" s="140">
        <v>1</v>
      </c>
      <c r="I212" s="170"/>
    </row>
    <row r="213" spans="1:9">
      <c r="A213" s="95" t="s">
        <v>100</v>
      </c>
      <c r="B213" s="188" t="s">
        <v>285</v>
      </c>
      <c r="C213" s="189" t="s">
        <v>454</v>
      </c>
      <c r="D213" s="95" t="s">
        <v>339</v>
      </c>
      <c r="E213" s="95"/>
      <c r="F213" s="174">
        <v>17.5</v>
      </c>
      <c r="G213" s="190">
        <v>104</v>
      </c>
      <c r="H213" s="140">
        <v>1</v>
      </c>
      <c r="I213" s="170"/>
    </row>
    <row r="214" spans="1:9">
      <c r="A214" s="95" t="s">
        <v>100</v>
      </c>
      <c r="B214" s="188" t="s">
        <v>285</v>
      </c>
      <c r="C214" s="189" t="s">
        <v>451</v>
      </c>
      <c r="D214" s="95" t="s">
        <v>339</v>
      </c>
      <c r="E214" s="95"/>
      <c r="F214" s="174">
        <v>17.5</v>
      </c>
      <c r="G214" s="190">
        <v>104</v>
      </c>
      <c r="H214" s="140">
        <v>1</v>
      </c>
      <c r="I214" s="170"/>
    </row>
    <row r="215" spans="1:9">
      <c r="A215" s="95" t="s">
        <v>100</v>
      </c>
      <c r="B215" s="188" t="s">
        <v>285</v>
      </c>
      <c r="C215" s="189" t="s">
        <v>455</v>
      </c>
      <c r="D215" s="95" t="s">
        <v>339</v>
      </c>
      <c r="E215" s="95"/>
      <c r="F215" s="174">
        <v>17.5</v>
      </c>
      <c r="G215" s="190">
        <v>104</v>
      </c>
      <c r="H215" s="140">
        <v>1</v>
      </c>
      <c r="I215" s="170"/>
    </row>
    <row r="216" spans="1:9">
      <c r="A216" s="95" t="s">
        <v>100</v>
      </c>
      <c r="B216" s="188" t="s">
        <v>285</v>
      </c>
      <c r="C216" s="189" t="s">
        <v>456</v>
      </c>
      <c r="D216" s="95" t="s">
        <v>448</v>
      </c>
      <c r="E216" s="95"/>
      <c r="F216" s="174">
        <v>38</v>
      </c>
      <c r="G216" s="190">
        <v>255</v>
      </c>
      <c r="H216" s="140">
        <v>1</v>
      </c>
      <c r="I216" s="170"/>
    </row>
    <row r="217" spans="1:9">
      <c r="A217" s="95" t="s">
        <v>100</v>
      </c>
      <c r="B217" s="188" t="s">
        <v>285</v>
      </c>
      <c r="C217" s="189" t="s">
        <v>457</v>
      </c>
      <c r="D217" s="95" t="s">
        <v>450</v>
      </c>
      <c r="E217" s="95"/>
      <c r="F217" s="174">
        <v>10</v>
      </c>
      <c r="G217" s="190">
        <v>255</v>
      </c>
      <c r="H217" s="140">
        <v>1</v>
      </c>
      <c r="I217" s="170"/>
    </row>
    <row r="218" spans="1:9">
      <c r="A218" s="95" t="s">
        <v>100</v>
      </c>
      <c r="B218" s="188" t="s">
        <v>285</v>
      </c>
      <c r="C218" s="189" t="s">
        <v>458</v>
      </c>
      <c r="D218" s="95" t="s">
        <v>459</v>
      </c>
      <c r="E218" s="95"/>
      <c r="F218" s="174">
        <v>5</v>
      </c>
      <c r="G218" s="190">
        <v>255</v>
      </c>
      <c r="H218" s="140">
        <v>1</v>
      </c>
      <c r="I218" s="170"/>
    </row>
    <row r="219" spans="1:9">
      <c r="A219" s="95" t="s">
        <v>100</v>
      </c>
      <c r="B219" s="188" t="s">
        <v>285</v>
      </c>
      <c r="C219" s="189" t="s">
        <v>460</v>
      </c>
      <c r="D219" s="95" t="s">
        <v>461</v>
      </c>
      <c r="E219" s="95"/>
      <c r="F219" s="174">
        <v>7.5</v>
      </c>
      <c r="G219" s="190">
        <v>255</v>
      </c>
      <c r="H219" s="140">
        <v>1</v>
      </c>
      <c r="I219" s="170"/>
    </row>
    <row r="220" spans="1:9">
      <c r="A220" s="95" t="s">
        <v>100</v>
      </c>
      <c r="B220" s="188" t="s">
        <v>285</v>
      </c>
      <c r="C220" s="189" t="s">
        <v>462</v>
      </c>
      <c r="D220" s="95" t="s">
        <v>339</v>
      </c>
      <c r="E220" s="95"/>
      <c r="F220" s="174">
        <v>36</v>
      </c>
      <c r="G220" s="190">
        <v>104</v>
      </c>
      <c r="H220" s="140">
        <v>1</v>
      </c>
      <c r="I220" s="170"/>
    </row>
    <row r="221" spans="1:9">
      <c r="A221" s="95" t="s">
        <v>100</v>
      </c>
      <c r="B221" s="188" t="s">
        <v>285</v>
      </c>
      <c r="C221" s="189" t="s">
        <v>463</v>
      </c>
      <c r="D221" s="95" t="s">
        <v>339</v>
      </c>
      <c r="E221" s="95"/>
      <c r="F221" s="174">
        <v>47</v>
      </c>
      <c r="G221" s="190">
        <v>104</v>
      </c>
      <c r="H221" s="140">
        <v>1</v>
      </c>
      <c r="I221" s="170"/>
    </row>
    <row r="222" spans="1:9">
      <c r="A222" s="95" t="s">
        <v>100</v>
      </c>
      <c r="B222" s="188" t="s">
        <v>285</v>
      </c>
      <c r="C222" s="189" t="s">
        <v>464</v>
      </c>
      <c r="D222" s="95" t="s">
        <v>339</v>
      </c>
      <c r="E222" s="95"/>
      <c r="F222" s="174">
        <v>54</v>
      </c>
      <c r="G222" s="190">
        <v>104</v>
      </c>
      <c r="H222" s="140">
        <v>1</v>
      </c>
      <c r="I222" s="170"/>
    </row>
    <row r="223" spans="1:9">
      <c r="A223" s="95" t="s">
        <v>100</v>
      </c>
      <c r="B223" s="188" t="s">
        <v>285</v>
      </c>
      <c r="C223" s="189" t="s">
        <v>465</v>
      </c>
      <c r="D223" s="95" t="s">
        <v>466</v>
      </c>
      <c r="E223" s="95"/>
      <c r="F223" s="174">
        <v>24</v>
      </c>
      <c r="G223" s="190">
        <v>255</v>
      </c>
      <c r="H223" s="140">
        <v>1</v>
      </c>
      <c r="I223" s="170"/>
    </row>
    <row r="224" spans="1:9">
      <c r="A224" s="95" t="s">
        <v>100</v>
      </c>
      <c r="B224" s="188" t="s">
        <v>285</v>
      </c>
      <c r="C224" s="189" t="s">
        <v>467</v>
      </c>
      <c r="D224" s="95" t="s">
        <v>377</v>
      </c>
      <c r="E224" s="95"/>
      <c r="F224" s="174">
        <v>20</v>
      </c>
      <c r="G224" s="190">
        <v>255</v>
      </c>
      <c r="H224" s="140">
        <v>1</v>
      </c>
      <c r="I224" s="170"/>
    </row>
    <row r="225" spans="1:9">
      <c r="A225" s="95" t="s">
        <v>100</v>
      </c>
      <c r="B225" s="188" t="s">
        <v>285</v>
      </c>
      <c r="C225" s="189" t="s">
        <v>468</v>
      </c>
      <c r="D225" s="95" t="s">
        <v>294</v>
      </c>
      <c r="E225" s="95"/>
      <c r="F225" s="174">
        <v>18</v>
      </c>
      <c r="G225" s="190">
        <v>255</v>
      </c>
      <c r="H225" s="140">
        <v>1</v>
      </c>
      <c r="I225" s="170"/>
    </row>
    <row r="226" spans="1:9">
      <c r="A226" s="95" t="s">
        <v>100</v>
      </c>
      <c r="B226" s="188" t="s">
        <v>285</v>
      </c>
      <c r="C226" s="189" t="s">
        <v>469</v>
      </c>
      <c r="D226" s="95" t="s">
        <v>470</v>
      </c>
      <c r="E226" s="95"/>
      <c r="F226" s="174">
        <v>3.5</v>
      </c>
      <c r="G226" s="190">
        <v>255</v>
      </c>
      <c r="H226" s="140">
        <v>1</v>
      </c>
      <c r="I226" s="170"/>
    </row>
    <row r="227" spans="1:9">
      <c r="A227" s="95" t="s">
        <v>100</v>
      </c>
      <c r="B227" s="188" t="s">
        <v>285</v>
      </c>
      <c r="C227" s="189"/>
      <c r="D227" s="95" t="s">
        <v>264</v>
      </c>
      <c r="E227" s="95"/>
      <c r="F227" s="174">
        <v>13</v>
      </c>
      <c r="G227" s="190">
        <v>255</v>
      </c>
      <c r="H227" s="140">
        <v>1</v>
      </c>
      <c r="I227" s="170"/>
    </row>
    <row r="228" spans="1:9">
      <c r="A228" s="95" t="s">
        <v>100</v>
      </c>
      <c r="B228" s="188" t="s">
        <v>285</v>
      </c>
      <c r="C228" s="189" t="s">
        <v>471</v>
      </c>
      <c r="D228" s="95" t="s">
        <v>472</v>
      </c>
      <c r="E228" s="95"/>
      <c r="F228" s="174">
        <v>10</v>
      </c>
      <c r="G228" s="190">
        <v>0</v>
      </c>
      <c r="H228" s="140">
        <v>1</v>
      </c>
      <c r="I228" s="170"/>
    </row>
    <row r="229" spans="1:9">
      <c r="A229" s="95" t="s">
        <v>100</v>
      </c>
      <c r="B229" s="188" t="s">
        <v>285</v>
      </c>
      <c r="C229" s="189" t="s">
        <v>473</v>
      </c>
      <c r="D229" s="95" t="s">
        <v>318</v>
      </c>
      <c r="E229" s="95"/>
      <c r="F229" s="174">
        <v>5.5</v>
      </c>
      <c r="G229" s="190">
        <v>255</v>
      </c>
      <c r="H229" s="140">
        <v>1</v>
      </c>
      <c r="I229" s="170"/>
    </row>
    <row r="230" spans="1:9">
      <c r="A230" s="95" t="s">
        <v>100</v>
      </c>
      <c r="B230" s="188" t="s">
        <v>285</v>
      </c>
      <c r="C230" s="189" t="s">
        <v>474</v>
      </c>
      <c r="D230" s="95" t="s">
        <v>318</v>
      </c>
      <c r="E230" s="95"/>
      <c r="F230" s="174">
        <v>10.5</v>
      </c>
      <c r="G230" s="190">
        <v>255</v>
      </c>
      <c r="H230" s="140">
        <v>1</v>
      </c>
      <c r="I230" s="170"/>
    </row>
    <row r="231" spans="1:9">
      <c r="A231" s="95" t="s">
        <v>100</v>
      </c>
      <c r="B231" s="188" t="s">
        <v>285</v>
      </c>
      <c r="C231" s="189" t="s">
        <v>475</v>
      </c>
      <c r="D231" s="95" t="s">
        <v>308</v>
      </c>
      <c r="E231" s="95"/>
      <c r="F231" s="174">
        <v>3.5</v>
      </c>
      <c r="G231" s="190">
        <v>255</v>
      </c>
      <c r="H231" s="140">
        <v>1</v>
      </c>
      <c r="I231" s="170"/>
    </row>
    <row r="232" spans="1:9">
      <c r="A232" s="95" t="s">
        <v>100</v>
      </c>
      <c r="B232" s="188" t="s">
        <v>285</v>
      </c>
      <c r="C232" s="189" t="s">
        <v>476</v>
      </c>
      <c r="D232" s="95" t="s">
        <v>339</v>
      </c>
      <c r="E232" s="95"/>
      <c r="F232" s="174">
        <v>18.5</v>
      </c>
      <c r="G232" s="190">
        <v>104</v>
      </c>
      <c r="H232" s="140">
        <v>1</v>
      </c>
      <c r="I232" s="170"/>
    </row>
    <row r="233" spans="1:9">
      <c r="A233" s="95" t="s">
        <v>100</v>
      </c>
      <c r="B233" s="188" t="s">
        <v>285</v>
      </c>
      <c r="C233" s="189" t="s">
        <v>477</v>
      </c>
      <c r="D233" s="95" t="s">
        <v>339</v>
      </c>
      <c r="E233" s="95"/>
      <c r="F233" s="174">
        <v>18.5</v>
      </c>
      <c r="G233" s="190">
        <v>104</v>
      </c>
      <c r="H233" s="140">
        <v>1</v>
      </c>
      <c r="I233" s="170"/>
    </row>
    <row r="234" spans="1:9">
      <c r="A234" s="95" t="s">
        <v>100</v>
      </c>
      <c r="B234" s="188" t="s">
        <v>285</v>
      </c>
      <c r="C234" s="189" t="s">
        <v>478</v>
      </c>
      <c r="D234" s="95" t="s">
        <v>339</v>
      </c>
      <c r="E234" s="95"/>
      <c r="F234" s="174">
        <v>18.5</v>
      </c>
      <c r="G234" s="190">
        <v>104</v>
      </c>
      <c r="H234" s="140">
        <v>1</v>
      </c>
      <c r="I234" s="170"/>
    </row>
    <row r="235" spans="1:9">
      <c r="A235" s="95" t="s">
        <v>100</v>
      </c>
      <c r="B235" s="188" t="s">
        <v>285</v>
      </c>
      <c r="C235" s="189" t="s">
        <v>479</v>
      </c>
      <c r="D235" s="95" t="s">
        <v>339</v>
      </c>
      <c r="E235" s="95"/>
      <c r="F235" s="174">
        <v>23.5</v>
      </c>
      <c r="G235" s="190">
        <v>104</v>
      </c>
      <c r="H235" s="140">
        <v>1</v>
      </c>
      <c r="I235" s="170"/>
    </row>
    <row r="236" spans="1:9">
      <c r="A236" s="95" t="s">
        <v>100</v>
      </c>
      <c r="B236" s="188" t="s">
        <v>285</v>
      </c>
      <c r="C236" s="189"/>
      <c r="D236" s="95" t="s">
        <v>480</v>
      </c>
      <c r="E236" s="95"/>
      <c r="F236" s="174">
        <v>16</v>
      </c>
      <c r="G236" s="190">
        <v>104</v>
      </c>
      <c r="H236" s="140">
        <v>1</v>
      </c>
      <c r="I236" s="170"/>
    </row>
    <row r="237" spans="1:9">
      <c r="A237" s="95"/>
      <c r="B237" s="188"/>
      <c r="C237" s="189"/>
      <c r="D237" s="95"/>
      <c r="E237" s="95"/>
      <c r="F237" s="174"/>
      <c r="G237" s="190"/>
      <c r="H237" s="190"/>
      <c r="I237" s="170"/>
    </row>
    <row r="238" spans="1:9">
      <c r="A238" s="95" t="s">
        <v>122</v>
      </c>
      <c r="B238" s="188" t="s">
        <v>300</v>
      </c>
      <c r="C238" s="189"/>
      <c r="D238" s="95" t="s">
        <v>119</v>
      </c>
      <c r="E238" s="95" t="s">
        <v>251</v>
      </c>
      <c r="F238" s="174">
        <v>12.5</v>
      </c>
      <c r="G238" s="190">
        <v>255</v>
      </c>
      <c r="H238" s="140">
        <v>1</v>
      </c>
      <c r="I238" s="170"/>
    </row>
    <row r="239" spans="1:9">
      <c r="A239" s="95" t="s">
        <v>122</v>
      </c>
      <c r="B239" s="188" t="s">
        <v>300</v>
      </c>
      <c r="C239" s="189"/>
      <c r="D239" s="95" t="s">
        <v>291</v>
      </c>
      <c r="E239" s="95" t="s">
        <v>251</v>
      </c>
      <c r="F239" s="174">
        <v>35</v>
      </c>
      <c r="G239" s="190">
        <v>255</v>
      </c>
      <c r="H239" s="140">
        <v>1</v>
      </c>
      <c r="I239" s="170"/>
    </row>
    <row r="240" spans="1:9">
      <c r="A240" s="95" t="s">
        <v>122</v>
      </c>
      <c r="B240" s="188" t="s">
        <v>300</v>
      </c>
      <c r="C240" s="189"/>
      <c r="D240" s="95" t="s">
        <v>294</v>
      </c>
      <c r="E240" s="95" t="s">
        <v>262</v>
      </c>
      <c r="F240" s="174">
        <v>31.100000381469727</v>
      </c>
      <c r="G240" s="190">
        <v>255</v>
      </c>
      <c r="H240" s="140">
        <v>1</v>
      </c>
      <c r="I240" s="170"/>
    </row>
    <row r="241" spans="1:9">
      <c r="A241" s="95" t="s">
        <v>122</v>
      </c>
      <c r="B241" s="188" t="s">
        <v>357</v>
      </c>
      <c r="C241" s="189"/>
      <c r="D241" s="95" t="s">
        <v>121</v>
      </c>
      <c r="E241" s="95" t="s">
        <v>481</v>
      </c>
      <c r="F241" s="174">
        <v>120</v>
      </c>
      <c r="G241" s="190">
        <v>255</v>
      </c>
      <c r="H241" s="140">
        <v>1</v>
      </c>
      <c r="I241" s="170"/>
    </row>
    <row r="242" spans="1:9">
      <c r="A242" s="95" t="s">
        <v>122</v>
      </c>
      <c r="B242" s="188" t="s">
        <v>357</v>
      </c>
      <c r="C242" s="189"/>
      <c r="D242" s="95" t="s">
        <v>482</v>
      </c>
      <c r="E242" s="95" t="s">
        <v>262</v>
      </c>
      <c r="F242" s="174">
        <v>26.3</v>
      </c>
      <c r="G242" s="190">
        <v>255</v>
      </c>
      <c r="H242" s="140">
        <v>1</v>
      </c>
      <c r="I242" s="170"/>
    </row>
    <row r="243" spans="1:9">
      <c r="A243" s="95" t="s">
        <v>122</v>
      </c>
      <c r="B243" s="188" t="s">
        <v>357</v>
      </c>
      <c r="C243" s="189"/>
      <c r="D243" s="95" t="s">
        <v>298</v>
      </c>
      <c r="E243" s="95" t="s">
        <v>262</v>
      </c>
      <c r="F243" s="174">
        <v>18.550000190734863</v>
      </c>
      <c r="G243" s="190">
        <v>255</v>
      </c>
      <c r="H243" s="140">
        <v>1</v>
      </c>
      <c r="I243" s="170"/>
    </row>
    <row r="244" spans="1:9">
      <c r="A244" s="95" t="s">
        <v>122</v>
      </c>
      <c r="B244" s="188" t="s">
        <v>357</v>
      </c>
      <c r="C244" s="189"/>
      <c r="D244" s="95" t="s">
        <v>339</v>
      </c>
      <c r="E244" s="95" t="s">
        <v>481</v>
      </c>
      <c r="F244" s="174">
        <v>12</v>
      </c>
      <c r="G244" s="190">
        <v>104</v>
      </c>
      <c r="H244" s="140">
        <v>1</v>
      </c>
      <c r="I244" s="170"/>
    </row>
    <row r="245" spans="1:9">
      <c r="A245" s="95" t="s">
        <v>122</v>
      </c>
      <c r="B245" s="188" t="s">
        <v>357</v>
      </c>
      <c r="C245" s="189"/>
      <c r="D245" s="95" t="s">
        <v>370</v>
      </c>
      <c r="E245" s="95" t="s">
        <v>481</v>
      </c>
      <c r="F245" s="174">
        <v>58</v>
      </c>
      <c r="G245" s="190">
        <v>255</v>
      </c>
      <c r="H245" s="140">
        <v>1</v>
      </c>
      <c r="I245" s="170"/>
    </row>
    <row r="246" spans="1:9">
      <c r="A246" s="95" t="s">
        <v>122</v>
      </c>
      <c r="B246" s="188" t="s">
        <v>357</v>
      </c>
      <c r="C246" s="189"/>
      <c r="D246" s="95" t="s">
        <v>483</v>
      </c>
      <c r="E246" s="95" t="s">
        <v>484</v>
      </c>
      <c r="F246" s="174">
        <v>60</v>
      </c>
      <c r="G246" s="190">
        <v>255</v>
      </c>
      <c r="H246" s="140">
        <v>1</v>
      </c>
      <c r="I246" s="170"/>
    </row>
    <row r="247" spans="1:9">
      <c r="A247" s="95" t="s">
        <v>122</v>
      </c>
      <c r="B247" s="188" t="s">
        <v>357</v>
      </c>
      <c r="C247" s="189"/>
      <c r="D247" s="95" t="s">
        <v>370</v>
      </c>
      <c r="E247" s="95" t="s">
        <v>484</v>
      </c>
      <c r="F247" s="174">
        <v>30.2</v>
      </c>
      <c r="G247" s="190">
        <v>255</v>
      </c>
      <c r="H247" s="140">
        <v>1</v>
      </c>
      <c r="I247" s="170"/>
    </row>
    <row r="248" spans="1:9">
      <c r="A248" s="95" t="s">
        <v>122</v>
      </c>
      <c r="B248" s="188" t="s">
        <v>357</v>
      </c>
      <c r="C248" s="189"/>
      <c r="D248" s="95" t="s">
        <v>485</v>
      </c>
      <c r="E248" s="95" t="s">
        <v>486</v>
      </c>
      <c r="F248" s="174">
        <v>13</v>
      </c>
      <c r="G248" s="190">
        <v>255</v>
      </c>
      <c r="H248" s="140">
        <v>1</v>
      </c>
      <c r="I248" s="170"/>
    </row>
    <row r="249" spans="1:9">
      <c r="A249" s="95" t="s">
        <v>122</v>
      </c>
      <c r="B249" s="188" t="s">
        <v>357</v>
      </c>
      <c r="C249" s="189"/>
      <c r="D249" s="95" t="s">
        <v>372</v>
      </c>
      <c r="E249" s="95" t="s">
        <v>487</v>
      </c>
      <c r="F249" s="174">
        <v>9</v>
      </c>
      <c r="G249" s="190">
        <v>255</v>
      </c>
      <c r="H249" s="140">
        <v>1</v>
      </c>
      <c r="I249" s="170"/>
    </row>
    <row r="250" spans="1:9">
      <c r="A250" s="95" t="s">
        <v>122</v>
      </c>
      <c r="B250" s="188" t="s">
        <v>357</v>
      </c>
      <c r="C250" s="189"/>
      <c r="D250" s="95" t="s">
        <v>488</v>
      </c>
      <c r="E250" s="95" t="s">
        <v>262</v>
      </c>
      <c r="F250" s="174">
        <v>2.2000000476837158</v>
      </c>
      <c r="G250" s="190">
        <v>52</v>
      </c>
      <c r="H250" s="140">
        <v>1</v>
      </c>
      <c r="I250" s="170"/>
    </row>
    <row r="251" spans="1:9">
      <c r="A251" s="95" t="s">
        <v>122</v>
      </c>
      <c r="B251" s="188" t="s">
        <v>300</v>
      </c>
      <c r="C251" s="189"/>
      <c r="D251" s="95" t="s">
        <v>383</v>
      </c>
      <c r="E251" s="95" t="s">
        <v>489</v>
      </c>
      <c r="F251" s="174">
        <v>51</v>
      </c>
      <c r="G251" s="190">
        <v>255</v>
      </c>
      <c r="H251" s="140">
        <v>1</v>
      </c>
      <c r="I251" s="170"/>
    </row>
    <row r="252" spans="1:9">
      <c r="A252" s="95"/>
      <c r="B252" s="188"/>
      <c r="C252" s="189"/>
      <c r="D252" s="95"/>
      <c r="E252" s="95"/>
      <c r="F252" s="174"/>
      <c r="G252" s="190"/>
      <c r="H252" s="190"/>
      <c r="I252" s="172"/>
    </row>
    <row r="253" spans="1:9">
      <c r="A253" s="95" t="s">
        <v>101</v>
      </c>
      <c r="B253" s="188" t="s">
        <v>300</v>
      </c>
      <c r="C253" s="189"/>
      <c r="D253" s="95" t="s">
        <v>119</v>
      </c>
      <c r="E253" s="95" t="s">
        <v>251</v>
      </c>
      <c r="F253" s="174">
        <v>5</v>
      </c>
      <c r="G253" s="190">
        <v>255</v>
      </c>
      <c r="H253" s="140">
        <v>1</v>
      </c>
      <c r="I253" s="172"/>
    </row>
    <row r="254" spans="1:9">
      <c r="A254" s="95" t="s">
        <v>101</v>
      </c>
      <c r="B254" s="188" t="s">
        <v>300</v>
      </c>
      <c r="C254" s="189"/>
      <c r="D254" s="95" t="s">
        <v>290</v>
      </c>
      <c r="E254" s="95" t="s">
        <v>295</v>
      </c>
      <c r="F254" s="174">
        <v>8.36</v>
      </c>
      <c r="G254" s="190">
        <v>255</v>
      </c>
      <c r="H254" s="140">
        <v>1</v>
      </c>
      <c r="I254" s="170"/>
    </row>
    <row r="255" spans="1:9">
      <c r="A255" s="95" t="s">
        <v>101</v>
      </c>
      <c r="B255" s="188" t="s">
        <v>357</v>
      </c>
      <c r="C255" s="189"/>
      <c r="D255" s="95" t="s">
        <v>290</v>
      </c>
      <c r="E255" s="95" t="s">
        <v>481</v>
      </c>
      <c r="F255" s="174">
        <v>9.3000001907348633</v>
      </c>
      <c r="G255" s="190">
        <v>255</v>
      </c>
      <c r="H255" s="140">
        <v>1</v>
      </c>
      <c r="I255" s="170"/>
    </row>
    <row r="256" spans="1:9">
      <c r="A256" s="95" t="s">
        <v>101</v>
      </c>
      <c r="B256" s="188" t="s">
        <v>300</v>
      </c>
      <c r="C256" s="189"/>
      <c r="D256" s="95" t="s">
        <v>291</v>
      </c>
      <c r="E256" s="95" t="s">
        <v>481</v>
      </c>
      <c r="F256" s="174">
        <v>8</v>
      </c>
      <c r="G256" s="190">
        <v>255</v>
      </c>
      <c r="H256" s="140">
        <v>1</v>
      </c>
      <c r="I256" s="170"/>
    </row>
    <row r="257" spans="1:9">
      <c r="A257" s="95" t="s">
        <v>101</v>
      </c>
      <c r="B257" s="188" t="s">
        <v>300</v>
      </c>
      <c r="C257" s="189"/>
      <c r="D257" s="95" t="s">
        <v>264</v>
      </c>
      <c r="E257" s="95" t="s">
        <v>481</v>
      </c>
      <c r="F257" s="174">
        <v>35</v>
      </c>
      <c r="G257" s="190">
        <v>255</v>
      </c>
      <c r="H257" s="140">
        <v>1</v>
      </c>
      <c r="I257" s="170"/>
    </row>
    <row r="258" spans="1:9">
      <c r="A258" s="95" t="s">
        <v>101</v>
      </c>
      <c r="B258" s="188" t="s">
        <v>300</v>
      </c>
      <c r="C258" s="189"/>
      <c r="D258" s="95" t="s">
        <v>310</v>
      </c>
      <c r="E258" s="95" t="s">
        <v>481</v>
      </c>
      <c r="F258" s="174">
        <v>1.5</v>
      </c>
      <c r="G258" s="190">
        <v>255</v>
      </c>
      <c r="H258" s="140">
        <v>1</v>
      </c>
      <c r="I258" s="170"/>
    </row>
    <row r="259" spans="1:9">
      <c r="A259" s="95" t="s">
        <v>101</v>
      </c>
      <c r="B259" s="188" t="s">
        <v>357</v>
      </c>
      <c r="C259" s="189"/>
      <c r="D259" s="95" t="s">
        <v>490</v>
      </c>
      <c r="E259" s="95" t="s">
        <v>295</v>
      </c>
      <c r="F259" s="174">
        <v>91.800003051757813</v>
      </c>
      <c r="G259" s="190">
        <v>255</v>
      </c>
      <c r="H259" s="140">
        <v>1</v>
      </c>
      <c r="I259" s="170"/>
    </row>
    <row r="260" spans="1:9">
      <c r="A260" s="95" t="s">
        <v>101</v>
      </c>
      <c r="B260" s="188" t="s">
        <v>300</v>
      </c>
      <c r="C260" s="189"/>
      <c r="D260" s="95" t="s">
        <v>298</v>
      </c>
      <c r="E260" s="95" t="s">
        <v>262</v>
      </c>
      <c r="F260" s="174">
        <v>34.400000095367432</v>
      </c>
      <c r="G260" s="190">
        <v>255</v>
      </c>
      <c r="H260" s="140">
        <v>1</v>
      </c>
      <c r="I260" s="170"/>
    </row>
    <row r="261" spans="1:9">
      <c r="A261" s="95" t="s">
        <v>101</v>
      </c>
      <c r="B261" s="188" t="s">
        <v>300</v>
      </c>
      <c r="C261" s="189"/>
      <c r="D261" s="95" t="s">
        <v>313</v>
      </c>
      <c r="E261" s="95" t="s">
        <v>481</v>
      </c>
      <c r="F261" s="174">
        <v>35</v>
      </c>
      <c r="G261" s="190">
        <v>255</v>
      </c>
      <c r="H261" s="140">
        <v>1</v>
      </c>
      <c r="I261" s="170"/>
    </row>
    <row r="262" spans="1:9">
      <c r="A262" s="95" t="s">
        <v>101</v>
      </c>
      <c r="B262" s="188" t="s">
        <v>300</v>
      </c>
      <c r="C262" s="189"/>
      <c r="D262" s="95" t="s">
        <v>313</v>
      </c>
      <c r="E262" s="95" t="s">
        <v>481</v>
      </c>
      <c r="F262" s="174">
        <v>48.650001525878906</v>
      </c>
      <c r="G262" s="190">
        <v>255</v>
      </c>
      <c r="H262" s="140">
        <v>1</v>
      </c>
      <c r="I262" s="170"/>
    </row>
    <row r="263" spans="1:9">
      <c r="A263" s="95" t="s">
        <v>101</v>
      </c>
      <c r="B263" s="188" t="s">
        <v>357</v>
      </c>
      <c r="C263" s="189"/>
      <c r="D263" s="95" t="s">
        <v>339</v>
      </c>
      <c r="E263" s="95" t="s">
        <v>481</v>
      </c>
      <c r="F263" s="174">
        <v>195.49999809265137</v>
      </c>
      <c r="G263" s="190">
        <v>104</v>
      </c>
      <c r="H263" s="140">
        <v>1</v>
      </c>
      <c r="I263" s="170"/>
    </row>
    <row r="264" spans="1:9">
      <c r="A264" s="95" t="s">
        <v>101</v>
      </c>
      <c r="B264" s="188" t="s">
        <v>300</v>
      </c>
      <c r="C264" s="189"/>
      <c r="D264" s="95" t="s">
        <v>370</v>
      </c>
      <c r="E264" s="95" t="s">
        <v>481</v>
      </c>
      <c r="F264" s="174">
        <v>66.099998474121094</v>
      </c>
      <c r="G264" s="190">
        <v>255</v>
      </c>
      <c r="H264" s="140">
        <v>1</v>
      </c>
      <c r="I264" s="170"/>
    </row>
    <row r="265" spans="1:9">
      <c r="A265" s="95" t="s">
        <v>101</v>
      </c>
      <c r="B265" s="188" t="s">
        <v>300</v>
      </c>
      <c r="C265" s="189"/>
      <c r="D265" s="95" t="s">
        <v>297</v>
      </c>
      <c r="E265" s="95" t="s">
        <v>481</v>
      </c>
      <c r="F265" s="174">
        <v>77.100002288818359</v>
      </c>
      <c r="G265" s="190">
        <v>255</v>
      </c>
      <c r="H265" s="140">
        <v>1</v>
      </c>
      <c r="I265" s="170"/>
    </row>
    <row r="266" spans="1:9">
      <c r="A266" s="95" t="s">
        <v>101</v>
      </c>
      <c r="B266" s="188" t="s">
        <v>357</v>
      </c>
      <c r="C266" s="189"/>
      <c r="D266" s="95" t="s">
        <v>372</v>
      </c>
      <c r="E266" s="95" t="s">
        <v>481</v>
      </c>
      <c r="F266" s="174">
        <v>20</v>
      </c>
      <c r="G266" s="190">
        <v>255</v>
      </c>
      <c r="H266" s="140">
        <v>1</v>
      </c>
      <c r="I266" s="170"/>
    </row>
    <row r="267" spans="1:9">
      <c r="A267" s="95" t="s">
        <v>101</v>
      </c>
      <c r="B267" s="188" t="s">
        <v>357</v>
      </c>
      <c r="C267" s="189"/>
      <c r="D267" s="95" t="s">
        <v>120</v>
      </c>
      <c r="E267" s="95" t="s">
        <v>481</v>
      </c>
      <c r="F267" s="174">
        <v>18</v>
      </c>
      <c r="G267" s="190">
        <v>104</v>
      </c>
      <c r="H267" s="140">
        <v>1</v>
      </c>
      <c r="I267" s="170"/>
    </row>
    <row r="268" spans="1:9">
      <c r="A268" s="95" t="s">
        <v>101</v>
      </c>
      <c r="B268" s="188" t="s">
        <v>357</v>
      </c>
      <c r="C268" s="189"/>
      <c r="D268" s="95" t="s">
        <v>491</v>
      </c>
      <c r="E268" s="95" t="s">
        <v>481</v>
      </c>
      <c r="F268" s="174">
        <v>9.3000001907348633</v>
      </c>
      <c r="G268" s="190">
        <v>26</v>
      </c>
      <c r="H268" s="140">
        <v>1</v>
      </c>
      <c r="I268" s="170"/>
    </row>
    <row r="269" spans="1:9">
      <c r="A269" s="95" t="s">
        <v>101</v>
      </c>
      <c r="B269" s="188" t="s">
        <v>300</v>
      </c>
      <c r="C269" s="189"/>
      <c r="D269" s="95" t="s">
        <v>123</v>
      </c>
      <c r="E269" s="95" t="s">
        <v>481</v>
      </c>
      <c r="F269" s="174">
        <v>12.75</v>
      </c>
      <c r="G269" s="190">
        <v>52</v>
      </c>
      <c r="H269" s="140">
        <v>1</v>
      </c>
      <c r="I269" s="170"/>
    </row>
    <row r="270" spans="1:9">
      <c r="A270" s="95"/>
      <c r="B270" s="188"/>
      <c r="C270" s="189"/>
      <c r="D270" s="95"/>
      <c r="E270" s="95"/>
      <c r="F270" s="174"/>
      <c r="G270" s="190"/>
      <c r="H270" s="190"/>
      <c r="I270" s="170"/>
    </row>
    <row r="271" spans="1:9">
      <c r="A271" s="95" t="s">
        <v>172</v>
      </c>
      <c r="B271" s="188" t="s">
        <v>300</v>
      </c>
      <c r="C271" s="192" t="s">
        <v>492</v>
      </c>
      <c r="D271" s="95" t="s">
        <v>493</v>
      </c>
      <c r="E271" s="95" t="s">
        <v>494</v>
      </c>
      <c r="F271" s="174">
        <v>7.36</v>
      </c>
      <c r="G271" s="190">
        <v>255</v>
      </c>
      <c r="H271" s="140">
        <v>1</v>
      </c>
      <c r="I271" s="172"/>
    </row>
    <row r="272" spans="1:9">
      <c r="A272" s="95" t="s">
        <v>172</v>
      </c>
      <c r="B272" s="188" t="s">
        <v>300</v>
      </c>
      <c r="C272" s="192" t="s">
        <v>495</v>
      </c>
      <c r="D272" s="95" t="s">
        <v>496</v>
      </c>
      <c r="E272" s="95" t="s">
        <v>262</v>
      </c>
      <c r="F272" s="174">
        <v>4.75</v>
      </c>
      <c r="G272" s="190">
        <v>255</v>
      </c>
      <c r="H272" s="140">
        <v>1</v>
      </c>
      <c r="I272" s="172"/>
    </row>
    <row r="273" spans="1:9">
      <c r="A273" s="95" t="s">
        <v>172</v>
      </c>
      <c r="B273" s="188" t="s">
        <v>300</v>
      </c>
      <c r="C273" s="192" t="s">
        <v>497</v>
      </c>
      <c r="D273" s="95" t="s">
        <v>498</v>
      </c>
      <c r="E273" s="95" t="s">
        <v>245</v>
      </c>
      <c r="F273" s="174">
        <v>7.51</v>
      </c>
      <c r="G273" s="190">
        <v>255</v>
      </c>
      <c r="H273" s="140">
        <v>1</v>
      </c>
      <c r="I273" s="172"/>
    </row>
    <row r="274" spans="1:9">
      <c r="A274" s="95" t="s">
        <v>172</v>
      </c>
      <c r="B274" s="188" t="s">
        <v>300</v>
      </c>
      <c r="C274" s="192" t="s">
        <v>499</v>
      </c>
      <c r="D274" s="95" t="s">
        <v>294</v>
      </c>
      <c r="E274" s="95" t="s">
        <v>500</v>
      </c>
      <c r="F274" s="174">
        <v>14.87</v>
      </c>
      <c r="G274" s="190">
        <v>255</v>
      </c>
      <c r="H274" s="140">
        <v>1</v>
      </c>
      <c r="I274" s="172"/>
    </row>
    <row r="275" spans="1:9">
      <c r="A275" s="95" t="s">
        <v>172</v>
      </c>
      <c r="B275" s="188" t="s">
        <v>300</v>
      </c>
      <c r="C275" s="192" t="s">
        <v>501</v>
      </c>
      <c r="D275" s="95" t="s">
        <v>310</v>
      </c>
      <c r="E275" s="95" t="s">
        <v>502</v>
      </c>
      <c r="F275" s="174">
        <v>3.06</v>
      </c>
      <c r="G275" s="190">
        <v>255</v>
      </c>
      <c r="H275" s="140">
        <v>1</v>
      </c>
      <c r="I275" s="172"/>
    </row>
    <row r="276" spans="1:9">
      <c r="A276" s="95" t="s">
        <v>172</v>
      </c>
      <c r="B276" s="188" t="s">
        <v>300</v>
      </c>
      <c r="C276" s="192" t="s">
        <v>503</v>
      </c>
      <c r="D276" s="95" t="s">
        <v>291</v>
      </c>
      <c r="E276" s="95" t="s">
        <v>504</v>
      </c>
      <c r="F276" s="174">
        <v>57.790000000000006</v>
      </c>
      <c r="G276" s="190">
        <v>255</v>
      </c>
      <c r="H276" s="140">
        <v>1</v>
      </c>
      <c r="I276" s="172"/>
    </row>
    <row r="277" spans="1:9">
      <c r="A277" s="95" t="s">
        <v>172</v>
      </c>
      <c r="B277" s="188" t="s">
        <v>300</v>
      </c>
      <c r="C277" s="192" t="s">
        <v>505</v>
      </c>
      <c r="D277" s="95" t="s">
        <v>506</v>
      </c>
      <c r="E277" s="95" t="s">
        <v>504</v>
      </c>
      <c r="F277" s="174">
        <v>18.89</v>
      </c>
      <c r="G277" s="190">
        <v>52</v>
      </c>
      <c r="H277" s="140">
        <v>1</v>
      </c>
      <c r="I277" s="172"/>
    </row>
    <row r="278" spans="1:9">
      <c r="A278" s="95" t="s">
        <v>172</v>
      </c>
      <c r="B278" s="188" t="s">
        <v>300</v>
      </c>
      <c r="C278" s="192" t="s">
        <v>507</v>
      </c>
      <c r="D278" s="95" t="s">
        <v>508</v>
      </c>
      <c r="E278" s="95" t="s">
        <v>504</v>
      </c>
      <c r="F278" s="174">
        <v>10.27</v>
      </c>
      <c r="G278" s="190">
        <v>255</v>
      </c>
      <c r="H278" s="140">
        <v>1</v>
      </c>
      <c r="I278" s="172"/>
    </row>
    <row r="279" spans="1:9">
      <c r="A279" s="95" t="s">
        <v>172</v>
      </c>
      <c r="B279" s="188" t="s">
        <v>300</v>
      </c>
      <c r="C279" s="192" t="s">
        <v>509</v>
      </c>
      <c r="D279" s="95" t="s">
        <v>510</v>
      </c>
      <c r="E279" s="95" t="s">
        <v>504</v>
      </c>
      <c r="F279" s="174">
        <v>20.53</v>
      </c>
      <c r="G279" s="190">
        <v>255</v>
      </c>
      <c r="H279" s="140">
        <v>1</v>
      </c>
      <c r="I279" s="172"/>
    </row>
    <row r="280" spans="1:9">
      <c r="A280" s="95" t="s">
        <v>172</v>
      </c>
      <c r="B280" s="188" t="s">
        <v>300</v>
      </c>
      <c r="C280" s="192" t="s">
        <v>511</v>
      </c>
      <c r="D280" s="95" t="s">
        <v>308</v>
      </c>
      <c r="E280" s="95" t="s">
        <v>262</v>
      </c>
      <c r="F280" s="174">
        <v>4</v>
      </c>
      <c r="G280" s="190">
        <v>255</v>
      </c>
      <c r="H280" s="140">
        <v>1</v>
      </c>
      <c r="I280" s="172"/>
    </row>
    <row r="281" spans="1:9">
      <c r="A281" s="95" t="s">
        <v>172</v>
      </c>
      <c r="B281" s="188" t="s">
        <v>300</v>
      </c>
      <c r="C281" s="192" t="s">
        <v>512</v>
      </c>
      <c r="D281" s="95" t="s">
        <v>513</v>
      </c>
      <c r="E281" s="95" t="s">
        <v>504</v>
      </c>
      <c r="F281" s="174">
        <v>54.149999999999991</v>
      </c>
      <c r="G281" s="190">
        <v>255</v>
      </c>
      <c r="H281" s="140">
        <v>1</v>
      </c>
      <c r="I281" s="172"/>
    </row>
    <row r="282" spans="1:9">
      <c r="A282" s="95" t="s">
        <v>172</v>
      </c>
      <c r="B282" s="188" t="s">
        <v>300</v>
      </c>
      <c r="C282" s="192" t="s">
        <v>514</v>
      </c>
      <c r="D282" s="95" t="s">
        <v>515</v>
      </c>
      <c r="E282" s="95" t="s">
        <v>262</v>
      </c>
      <c r="F282" s="174">
        <v>2.0699999999999998</v>
      </c>
      <c r="G282" s="190">
        <v>255</v>
      </c>
      <c r="H282" s="140">
        <v>1</v>
      </c>
      <c r="I282" s="172" t="s">
        <v>516</v>
      </c>
    </row>
    <row r="283" spans="1:9">
      <c r="A283" s="95" t="s">
        <v>172</v>
      </c>
      <c r="B283" s="188" t="s">
        <v>300</v>
      </c>
      <c r="C283" s="192" t="s">
        <v>517</v>
      </c>
      <c r="D283" s="95" t="s">
        <v>518</v>
      </c>
      <c r="E283" s="95" t="s">
        <v>262</v>
      </c>
      <c r="F283" s="174">
        <v>1.68</v>
      </c>
      <c r="G283" s="190">
        <v>255</v>
      </c>
      <c r="H283" s="140">
        <v>1</v>
      </c>
      <c r="I283" s="172" t="s">
        <v>516</v>
      </c>
    </row>
    <row r="284" spans="1:9">
      <c r="A284" s="95" t="s">
        <v>172</v>
      </c>
      <c r="B284" s="188" t="s">
        <v>300</v>
      </c>
      <c r="C284" s="192" t="s">
        <v>519</v>
      </c>
      <c r="D284" s="95" t="s">
        <v>520</v>
      </c>
      <c r="E284" s="95" t="s">
        <v>504</v>
      </c>
      <c r="F284" s="174">
        <v>10.029999999999999</v>
      </c>
      <c r="G284" s="190">
        <v>255</v>
      </c>
      <c r="H284" s="140">
        <v>1</v>
      </c>
      <c r="I284" s="172"/>
    </row>
    <row r="285" spans="1:9">
      <c r="A285" s="95" t="s">
        <v>172</v>
      </c>
      <c r="B285" s="188" t="s">
        <v>300</v>
      </c>
      <c r="C285" s="192" t="s">
        <v>521</v>
      </c>
      <c r="D285" s="95" t="s">
        <v>522</v>
      </c>
      <c r="E285" s="95" t="s">
        <v>504</v>
      </c>
      <c r="F285" s="174">
        <v>10.56</v>
      </c>
      <c r="G285" s="190">
        <v>255</v>
      </c>
      <c r="H285" s="140">
        <v>1</v>
      </c>
      <c r="I285" s="172"/>
    </row>
    <row r="286" spans="1:9">
      <c r="A286" s="95" t="s">
        <v>172</v>
      </c>
      <c r="B286" s="188" t="s">
        <v>300</v>
      </c>
      <c r="C286" s="192" t="s">
        <v>523</v>
      </c>
      <c r="D286" s="95" t="s">
        <v>524</v>
      </c>
      <c r="E286" s="95" t="s">
        <v>504</v>
      </c>
      <c r="F286" s="174">
        <v>84.410000000000011</v>
      </c>
      <c r="G286" s="190">
        <v>255</v>
      </c>
      <c r="H286" s="140">
        <v>1</v>
      </c>
      <c r="I286" s="172"/>
    </row>
    <row r="287" spans="1:9">
      <c r="A287" s="95" t="s">
        <v>172</v>
      </c>
      <c r="B287" s="188" t="s">
        <v>300</v>
      </c>
      <c r="C287" s="192" t="s">
        <v>525</v>
      </c>
      <c r="D287" s="95" t="s">
        <v>526</v>
      </c>
      <c r="E287" s="95" t="s">
        <v>262</v>
      </c>
      <c r="F287" s="174">
        <v>1.66</v>
      </c>
      <c r="G287" s="190">
        <v>255</v>
      </c>
      <c r="H287" s="140">
        <v>1</v>
      </c>
      <c r="I287" s="172" t="s">
        <v>516</v>
      </c>
    </row>
    <row r="288" spans="1:9">
      <c r="A288" s="95" t="s">
        <v>172</v>
      </c>
      <c r="B288" s="188" t="s">
        <v>300</v>
      </c>
      <c r="C288" s="192" t="s">
        <v>527</v>
      </c>
      <c r="D288" s="95" t="s">
        <v>528</v>
      </c>
      <c r="E288" s="95" t="s">
        <v>262</v>
      </c>
      <c r="F288" s="174">
        <v>2.0699999999999998</v>
      </c>
      <c r="G288" s="190">
        <v>255</v>
      </c>
      <c r="H288" s="140">
        <v>1</v>
      </c>
      <c r="I288" s="172" t="s">
        <v>516</v>
      </c>
    </row>
    <row r="289" spans="1:9">
      <c r="A289" s="95" t="s">
        <v>172</v>
      </c>
      <c r="B289" s="188" t="s">
        <v>300</v>
      </c>
      <c r="C289" s="192" t="s">
        <v>529</v>
      </c>
      <c r="D289" s="95" t="s">
        <v>530</v>
      </c>
      <c r="E289" s="95" t="s">
        <v>262</v>
      </c>
      <c r="F289" s="174">
        <v>4.91</v>
      </c>
      <c r="G289" s="190">
        <v>255</v>
      </c>
      <c r="H289" s="140">
        <v>1</v>
      </c>
      <c r="I289" s="172" t="s">
        <v>516</v>
      </c>
    </row>
    <row r="290" spans="1:9">
      <c r="A290" s="95" t="s">
        <v>172</v>
      </c>
      <c r="B290" s="188" t="s">
        <v>300</v>
      </c>
      <c r="C290" s="192" t="s">
        <v>531</v>
      </c>
      <c r="D290" s="95" t="s">
        <v>526</v>
      </c>
      <c r="E290" s="95" t="s">
        <v>262</v>
      </c>
      <c r="F290" s="174">
        <v>3.82</v>
      </c>
      <c r="G290" s="190">
        <v>255</v>
      </c>
      <c r="H290" s="140">
        <v>1</v>
      </c>
      <c r="I290" s="172" t="s">
        <v>516</v>
      </c>
    </row>
    <row r="291" spans="1:9">
      <c r="A291" s="95" t="s">
        <v>172</v>
      </c>
      <c r="B291" s="188" t="s">
        <v>300</v>
      </c>
      <c r="C291" s="192" t="s">
        <v>532</v>
      </c>
      <c r="D291" s="95" t="s">
        <v>294</v>
      </c>
      <c r="E291" s="95" t="s">
        <v>504</v>
      </c>
      <c r="F291" s="174">
        <v>13.14</v>
      </c>
      <c r="G291" s="190">
        <v>255</v>
      </c>
      <c r="H291" s="140">
        <v>1</v>
      </c>
      <c r="I291" s="172"/>
    </row>
    <row r="292" spans="1:9">
      <c r="A292" s="95" t="s">
        <v>172</v>
      </c>
      <c r="B292" s="188" t="s">
        <v>300</v>
      </c>
      <c r="C292" s="192" t="s">
        <v>533</v>
      </c>
      <c r="D292" s="95" t="s">
        <v>534</v>
      </c>
      <c r="E292" s="95" t="s">
        <v>504</v>
      </c>
      <c r="F292" s="174">
        <v>8.6199999999999992</v>
      </c>
      <c r="G292" s="190">
        <v>255</v>
      </c>
      <c r="H292" s="140">
        <v>1</v>
      </c>
      <c r="I292" s="172"/>
    </row>
    <row r="293" spans="1:9">
      <c r="A293" s="95" t="s">
        <v>172</v>
      </c>
      <c r="B293" s="188" t="s">
        <v>300</v>
      </c>
      <c r="C293" s="192" t="s">
        <v>535</v>
      </c>
      <c r="D293" s="95" t="s">
        <v>536</v>
      </c>
      <c r="E293" s="95" t="s">
        <v>504</v>
      </c>
      <c r="F293" s="174">
        <v>64.39</v>
      </c>
      <c r="G293" s="190">
        <v>255</v>
      </c>
      <c r="H293" s="140">
        <v>1</v>
      </c>
      <c r="I293" s="172"/>
    </row>
    <row r="294" spans="1:9">
      <c r="A294" s="95" t="s">
        <v>172</v>
      </c>
      <c r="B294" s="188" t="s">
        <v>300</v>
      </c>
      <c r="C294" s="192" t="s">
        <v>537</v>
      </c>
      <c r="D294" s="95" t="s">
        <v>538</v>
      </c>
      <c r="E294" s="95" t="s">
        <v>504</v>
      </c>
      <c r="F294" s="174">
        <v>12.41</v>
      </c>
      <c r="G294" s="190">
        <v>255</v>
      </c>
      <c r="H294" s="140">
        <v>1</v>
      </c>
      <c r="I294" s="172"/>
    </row>
    <row r="295" spans="1:9">
      <c r="A295" s="95" t="s">
        <v>172</v>
      </c>
      <c r="B295" s="188" t="s">
        <v>300</v>
      </c>
      <c r="C295" s="192" t="s">
        <v>539</v>
      </c>
      <c r="D295" s="95" t="s">
        <v>540</v>
      </c>
      <c r="E295" s="95" t="s">
        <v>504</v>
      </c>
      <c r="F295" s="174">
        <v>20.95</v>
      </c>
      <c r="G295" s="190">
        <v>0</v>
      </c>
      <c r="H295" s="140">
        <v>1</v>
      </c>
      <c r="I295" s="172"/>
    </row>
    <row r="296" spans="1:9">
      <c r="A296" s="95" t="s">
        <v>172</v>
      </c>
      <c r="B296" s="188" t="s">
        <v>300</v>
      </c>
      <c r="C296" s="192" t="s">
        <v>541</v>
      </c>
      <c r="D296" s="95" t="s">
        <v>542</v>
      </c>
      <c r="E296" s="95" t="s">
        <v>504</v>
      </c>
      <c r="F296" s="174">
        <v>25.46</v>
      </c>
      <c r="G296" s="190">
        <v>0</v>
      </c>
      <c r="H296" s="140">
        <v>1</v>
      </c>
      <c r="I296" s="172"/>
    </row>
    <row r="297" spans="1:9">
      <c r="A297" s="95" t="s">
        <v>172</v>
      </c>
      <c r="B297" s="188" t="s">
        <v>300</v>
      </c>
      <c r="C297" s="192" t="s">
        <v>543</v>
      </c>
      <c r="D297" s="95" t="s">
        <v>544</v>
      </c>
      <c r="E297" s="95" t="s">
        <v>504</v>
      </c>
      <c r="F297" s="174">
        <v>25.46</v>
      </c>
      <c r="G297" s="190">
        <v>255</v>
      </c>
      <c r="H297" s="140">
        <v>1</v>
      </c>
      <c r="I297" s="172"/>
    </row>
    <row r="298" spans="1:9">
      <c r="A298" s="95" t="s">
        <v>172</v>
      </c>
      <c r="B298" s="188" t="s">
        <v>357</v>
      </c>
      <c r="C298" s="192" t="s">
        <v>545</v>
      </c>
      <c r="D298" s="95" t="s">
        <v>291</v>
      </c>
      <c r="E298" s="95" t="s">
        <v>504</v>
      </c>
      <c r="F298" s="174">
        <v>33.299999999999997</v>
      </c>
      <c r="G298" s="190">
        <v>255</v>
      </c>
      <c r="H298" s="140">
        <v>1</v>
      </c>
      <c r="I298" s="172"/>
    </row>
    <row r="299" spans="1:9">
      <c r="A299" s="95" t="s">
        <v>172</v>
      </c>
      <c r="B299" s="188" t="s">
        <v>357</v>
      </c>
      <c r="C299" s="192"/>
      <c r="D299" s="95" t="s">
        <v>546</v>
      </c>
      <c r="E299" s="95" t="s">
        <v>504</v>
      </c>
      <c r="F299" s="174">
        <v>11.15</v>
      </c>
      <c r="G299" s="190">
        <v>255</v>
      </c>
      <c r="H299" s="140">
        <v>1</v>
      </c>
      <c r="I299" s="172"/>
    </row>
    <row r="300" spans="1:9">
      <c r="A300" s="95" t="s">
        <v>172</v>
      </c>
      <c r="B300" s="188" t="s">
        <v>357</v>
      </c>
      <c r="C300" s="192"/>
      <c r="D300" s="95" t="s">
        <v>294</v>
      </c>
      <c r="E300" s="95" t="s">
        <v>500</v>
      </c>
      <c r="F300" s="174">
        <v>11.15</v>
      </c>
      <c r="G300" s="190">
        <v>255</v>
      </c>
      <c r="H300" s="140">
        <v>1</v>
      </c>
      <c r="I300" s="172"/>
    </row>
    <row r="301" spans="1:9">
      <c r="A301" s="95" t="s">
        <v>172</v>
      </c>
      <c r="B301" s="188" t="s">
        <v>357</v>
      </c>
      <c r="C301" s="192" t="s">
        <v>547</v>
      </c>
      <c r="D301" s="95" t="s">
        <v>490</v>
      </c>
      <c r="E301" s="95" t="s">
        <v>504</v>
      </c>
      <c r="F301" s="174">
        <v>28.75</v>
      </c>
      <c r="G301" s="190">
        <v>255</v>
      </c>
      <c r="H301" s="140">
        <v>1</v>
      </c>
      <c r="I301" s="172" t="s">
        <v>516</v>
      </c>
    </row>
    <row r="302" spans="1:9">
      <c r="A302" s="95" t="s">
        <v>172</v>
      </c>
      <c r="B302" s="188" t="s">
        <v>357</v>
      </c>
      <c r="C302" s="192" t="s">
        <v>548</v>
      </c>
      <c r="D302" s="95" t="s">
        <v>549</v>
      </c>
      <c r="E302" s="95" t="s">
        <v>262</v>
      </c>
      <c r="F302" s="174">
        <v>6.72</v>
      </c>
      <c r="G302" s="190">
        <v>255</v>
      </c>
      <c r="H302" s="140">
        <v>1</v>
      </c>
      <c r="I302" s="172" t="s">
        <v>516</v>
      </c>
    </row>
    <row r="303" spans="1:9">
      <c r="A303" s="95" t="s">
        <v>172</v>
      </c>
      <c r="B303" s="188" t="s">
        <v>357</v>
      </c>
      <c r="C303" s="192" t="s">
        <v>550</v>
      </c>
      <c r="D303" s="95" t="s">
        <v>551</v>
      </c>
      <c r="E303" s="95" t="s">
        <v>262</v>
      </c>
      <c r="F303" s="174">
        <v>6.72</v>
      </c>
      <c r="G303" s="190">
        <v>255</v>
      </c>
      <c r="H303" s="140">
        <v>1</v>
      </c>
      <c r="I303" s="172"/>
    </row>
    <row r="304" spans="1:9">
      <c r="A304" s="95" t="s">
        <v>172</v>
      </c>
      <c r="B304" s="188" t="s">
        <v>357</v>
      </c>
      <c r="C304" s="192" t="s">
        <v>552</v>
      </c>
      <c r="D304" s="95" t="s">
        <v>553</v>
      </c>
      <c r="E304" s="95" t="s">
        <v>504</v>
      </c>
      <c r="F304" s="174">
        <v>7.15</v>
      </c>
      <c r="G304" s="190">
        <v>255</v>
      </c>
      <c r="H304" s="140">
        <v>1</v>
      </c>
      <c r="I304" s="172"/>
    </row>
    <row r="305" spans="1:9">
      <c r="A305" s="95" t="s">
        <v>172</v>
      </c>
      <c r="B305" s="188" t="s">
        <v>357</v>
      </c>
      <c r="C305" s="192" t="s">
        <v>554</v>
      </c>
      <c r="D305" s="95" t="s">
        <v>555</v>
      </c>
      <c r="E305" s="95" t="s">
        <v>504</v>
      </c>
      <c r="F305" s="174">
        <v>34.090000000000003</v>
      </c>
      <c r="G305" s="190">
        <v>52</v>
      </c>
      <c r="H305" s="140">
        <v>1</v>
      </c>
      <c r="I305" s="172"/>
    </row>
    <row r="306" spans="1:9">
      <c r="A306" s="95" t="s">
        <v>172</v>
      </c>
      <c r="B306" s="188" t="s">
        <v>357</v>
      </c>
      <c r="C306" s="192" t="s">
        <v>556</v>
      </c>
      <c r="D306" s="95" t="s">
        <v>557</v>
      </c>
      <c r="E306" s="95" t="s">
        <v>504</v>
      </c>
      <c r="F306" s="174">
        <v>15.2</v>
      </c>
      <c r="G306" s="190">
        <v>255</v>
      </c>
      <c r="H306" s="140">
        <v>1</v>
      </c>
      <c r="I306" s="172"/>
    </row>
    <row r="307" spans="1:9">
      <c r="A307" s="95" t="s">
        <v>172</v>
      </c>
      <c r="B307" s="188" t="s">
        <v>357</v>
      </c>
      <c r="C307" s="192" t="s">
        <v>558</v>
      </c>
      <c r="D307" s="95" t="s">
        <v>559</v>
      </c>
      <c r="E307" s="95" t="s">
        <v>504</v>
      </c>
      <c r="F307" s="174">
        <v>22.85</v>
      </c>
      <c r="G307" s="190">
        <v>255</v>
      </c>
      <c r="H307" s="140">
        <v>1</v>
      </c>
      <c r="I307" s="172"/>
    </row>
    <row r="308" spans="1:9">
      <c r="A308" s="95" t="s">
        <v>172</v>
      </c>
      <c r="B308" s="188" t="s">
        <v>357</v>
      </c>
      <c r="C308" s="192" t="s">
        <v>560</v>
      </c>
      <c r="D308" s="95" t="s">
        <v>561</v>
      </c>
      <c r="E308" s="95" t="s">
        <v>504</v>
      </c>
      <c r="F308" s="174">
        <v>42.18</v>
      </c>
      <c r="G308" s="190">
        <v>255</v>
      </c>
      <c r="H308" s="140">
        <v>1</v>
      </c>
      <c r="I308" s="172"/>
    </row>
    <row r="309" spans="1:9">
      <c r="A309" s="95" t="s">
        <v>172</v>
      </c>
      <c r="B309" s="188" t="s">
        <v>357</v>
      </c>
      <c r="C309" s="192" t="s">
        <v>562</v>
      </c>
      <c r="D309" s="95" t="s">
        <v>563</v>
      </c>
      <c r="E309" s="95" t="s">
        <v>504</v>
      </c>
      <c r="F309" s="174">
        <v>37.369999999999997</v>
      </c>
      <c r="G309" s="190">
        <v>255</v>
      </c>
      <c r="H309" s="140">
        <v>1</v>
      </c>
      <c r="I309" s="172"/>
    </row>
    <row r="310" spans="1:9">
      <c r="A310" s="95" t="s">
        <v>172</v>
      </c>
      <c r="B310" s="188" t="s">
        <v>357</v>
      </c>
      <c r="C310" s="192" t="s">
        <v>564</v>
      </c>
      <c r="D310" s="95" t="s">
        <v>565</v>
      </c>
      <c r="E310" s="95" t="s">
        <v>251</v>
      </c>
      <c r="F310" s="174">
        <v>18.48</v>
      </c>
      <c r="G310" s="190">
        <v>255</v>
      </c>
      <c r="H310" s="140">
        <v>1</v>
      </c>
      <c r="I310" s="172"/>
    </row>
    <row r="311" spans="1:9">
      <c r="A311" s="95" t="s">
        <v>172</v>
      </c>
      <c r="B311" s="188" t="s">
        <v>357</v>
      </c>
      <c r="C311" s="192" t="s">
        <v>566</v>
      </c>
      <c r="D311" s="95" t="s">
        <v>294</v>
      </c>
      <c r="E311" s="95" t="s">
        <v>504</v>
      </c>
      <c r="F311" s="174">
        <v>13.14</v>
      </c>
      <c r="G311" s="190">
        <v>255</v>
      </c>
      <c r="H311" s="140">
        <v>1</v>
      </c>
      <c r="I311" s="172"/>
    </row>
    <row r="312" spans="1:9">
      <c r="A312" s="95" t="s">
        <v>172</v>
      </c>
      <c r="B312" s="188" t="s">
        <v>357</v>
      </c>
      <c r="C312" s="192" t="s">
        <v>567</v>
      </c>
      <c r="D312" s="95" t="s">
        <v>565</v>
      </c>
      <c r="E312" s="95" t="s">
        <v>251</v>
      </c>
      <c r="F312" s="174">
        <v>7.78</v>
      </c>
      <c r="G312" s="190">
        <v>255</v>
      </c>
      <c r="H312" s="140">
        <v>1</v>
      </c>
      <c r="I312" s="172"/>
    </row>
    <row r="313" spans="1:9">
      <c r="A313" s="95" t="s">
        <v>172</v>
      </c>
      <c r="B313" s="188" t="s">
        <v>357</v>
      </c>
      <c r="C313" s="192" t="s">
        <v>568</v>
      </c>
      <c r="D313" s="95" t="s">
        <v>565</v>
      </c>
      <c r="E313" s="95" t="s">
        <v>251</v>
      </c>
      <c r="F313" s="174">
        <v>7.78</v>
      </c>
      <c r="G313" s="190">
        <v>255</v>
      </c>
      <c r="H313" s="140">
        <v>1</v>
      </c>
      <c r="I313" s="172"/>
    </row>
    <row r="314" spans="1:9">
      <c r="A314" s="95" t="s">
        <v>172</v>
      </c>
      <c r="B314" s="188" t="s">
        <v>357</v>
      </c>
      <c r="C314" s="192" t="s">
        <v>569</v>
      </c>
      <c r="D314" s="95" t="s">
        <v>339</v>
      </c>
      <c r="E314" s="95" t="s">
        <v>251</v>
      </c>
      <c r="F314" s="174">
        <v>13.76</v>
      </c>
      <c r="G314" s="190">
        <v>255</v>
      </c>
      <c r="H314" s="140">
        <v>1</v>
      </c>
      <c r="I314" s="172"/>
    </row>
    <row r="315" spans="1:9">
      <c r="A315" s="95" t="s">
        <v>172</v>
      </c>
      <c r="B315" s="188" t="s">
        <v>357</v>
      </c>
      <c r="C315" s="192" t="s">
        <v>570</v>
      </c>
      <c r="D315" s="95" t="s">
        <v>339</v>
      </c>
      <c r="E315" s="95" t="s">
        <v>251</v>
      </c>
      <c r="F315" s="174">
        <v>13.76</v>
      </c>
      <c r="G315" s="190">
        <v>255</v>
      </c>
      <c r="H315" s="140">
        <v>1</v>
      </c>
      <c r="I315" s="172"/>
    </row>
    <row r="316" spans="1:9">
      <c r="A316" s="95" t="s">
        <v>172</v>
      </c>
      <c r="B316" s="188" t="s">
        <v>357</v>
      </c>
      <c r="C316" s="192" t="s">
        <v>571</v>
      </c>
      <c r="D316" s="95" t="s">
        <v>572</v>
      </c>
      <c r="E316" s="95" t="s">
        <v>251</v>
      </c>
      <c r="F316" s="174">
        <v>14.89</v>
      </c>
      <c r="G316" s="190">
        <v>255</v>
      </c>
      <c r="H316" s="140">
        <v>1</v>
      </c>
      <c r="I316" s="172"/>
    </row>
    <row r="317" spans="1:9">
      <c r="A317" s="95" t="s">
        <v>172</v>
      </c>
      <c r="B317" s="188" t="s">
        <v>357</v>
      </c>
      <c r="C317" s="192" t="s">
        <v>573</v>
      </c>
      <c r="D317" s="95" t="s">
        <v>339</v>
      </c>
      <c r="E317" s="95" t="s">
        <v>251</v>
      </c>
      <c r="F317" s="174">
        <v>12.94</v>
      </c>
      <c r="G317" s="190">
        <v>255</v>
      </c>
      <c r="H317" s="140">
        <v>1</v>
      </c>
      <c r="I317" s="172"/>
    </row>
    <row r="318" spans="1:9">
      <c r="A318" s="95" t="s">
        <v>172</v>
      </c>
      <c r="B318" s="188" t="s">
        <v>357</v>
      </c>
      <c r="C318" s="192" t="s">
        <v>574</v>
      </c>
      <c r="D318" s="95" t="s">
        <v>450</v>
      </c>
      <c r="E318" s="95" t="s">
        <v>251</v>
      </c>
      <c r="F318" s="174">
        <v>4.25</v>
      </c>
      <c r="G318" s="190">
        <v>255</v>
      </c>
      <c r="H318" s="140">
        <v>1</v>
      </c>
      <c r="I318" s="172"/>
    </row>
    <row r="319" spans="1:9">
      <c r="A319" s="95" t="s">
        <v>172</v>
      </c>
      <c r="B319" s="188" t="s">
        <v>357</v>
      </c>
      <c r="C319" s="192" t="s">
        <v>575</v>
      </c>
      <c r="D319" s="95" t="s">
        <v>450</v>
      </c>
      <c r="E319" s="95" t="s">
        <v>251</v>
      </c>
      <c r="F319" s="174">
        <v>4.25</v>
      </c>
      <c r="G319" s="190">
        <v>255</v>
      </c>
      <c r="H319" s="140">
        <v>1</v>
      </c>
      <c r="I319" s="172"/>
    </row>
    <row r="320" spans="1:9">
      <c r="A320" s="95" t="s">
        <v>172</v>
      </c>
      <c r="B320" s="188" t="s">
        <v>357</v>
      </c>
      <c r="C320" s="192" t="s">
        <v>576</v>
      </c>
      <c r="D320" s="95" t="s">
        <v>264</v>
      </c>
      <c r="E320" s="95" t="s">
        <v>251</v>
      </c>
      <c r="F320" s="174">
        <v>4.59</v>
      </c>
      <c r="G320" s="190">
        <v>255</v>
      </c>
      <c r="H320" s="140">
        <v>1</v>
      </c>
      <c r="I320" s="172"/>
    </row>
    <row r="321" spans="1:9">
      <c r="A321" s="95" t="s">
        <v>172</v>
      </c>
      <c r="B321" s="188" t="s">
        <v>357</v>
      </c>
      <c r="C321" s="192" t="s">
        <v>577</v>
      </c>
      <c r="D321" s="95" t="s">
        <v>578</v>
      </c>
      <c r="E321" s="95" t="s">
        <v>251</v>
      </c>
      <c r="F321" s="174">
        <v>7.13</v>
      </c>
      <c r="G321" s="190">
        <v>255</v>
      </c>
      <c r="H321" s="140">
        <v>1</v>
      </c>
      <c r="I321" s="172"/>
    </row>
    <row r="322" spans="1:9">
      <c r="A322" s="95" t="s">
        <v>172</v>
      </c>
      <c r="B322" s="188" t="s">
        <v>357</v>
      </c>
      <c r="C322" s="192" t="s">
        <v>579</v>
      </c>
      <c r="D322" s="95" t="s">
        <v>580</v>
      </c>
      <c r="E322" s="95" t="s">
        <v>251</v>
      </c>
      <c r="F322" s="174">
        <v>7.78</v>
      </c>
      <c r="G322" s="190">
        <v>255</v>
      </c>
      <c r="H322" s="140">
        <v>1</v>
      </c>
      <c r="I322" s="172"/>
    </row>
    <row r="323" spans="1:9">
      <c r="A323" s="95"/>
      <c r="B323" s="188"/>
      <c r="C323" s="192"/>
      <c r="D323" s="95"/>
      <c r="E323" s="95"/>
      <c r="F323" s="174"/>
      <c r="G323" s="190"/>
      <c r="H323" s="190"/>
      <c r="I323" s="172"/>
    </row>
    <row r="324" spans="1:9">
      <c r="A324" s="95" t="s">
        <v>206</v>
      </c>
      <c r="B324" s="188">
        <v>0</v>
      </c>
      <c r="C324" s="189" t="s">
        <v>581</v>
      </c>
      <c r="D324" s="95" t="s">
        <v>119</v>
      </c>
      <c r="E324" s="95"/>
      <c r="F324" s="174">
        <v>4.8</v>
      </c>
      <c r="G324" s="190">
        <v>255</v>
      </c>
      <c r="H324" s="140">
        <v>1</v>
      </c>
      <c r="I324" s="172"/>
    </row>
    <row r="325" spans="1:9">
      <c r="A325" s="95" t="s">
        <v>206</v>
      </c>
      <c r="B325" s="188">
        <v>0</v>
      </c>
      <c r="C325" s="189" t="s">
        <v>582</v>
      </c>
      <c r="D325" s="95" t="s">
        <v>318</v>
      </c>
      <c r="E325" s="95"/>
      <c r="F325" s="174">
        <v>1.53</v>
      </c>
      <c r="G325" s="190">
        <v>255</v>
      </c>
      <c r="H325" s="140">
        <v>1</v>
      </c>
      <c r="I325" s="172"/>
    </row>
    <row r="326" spans="1:9">
      <c r="A326" s="95" t="s">
        <v>206</v>
      </c>
      <c r="B326" s="188">
        <v>0</v>
      </c>
      <c r="C326" s="189" t="s">
        <v>583</v>
      </c>
      <c r="D326" s="95" t="s">
        <v>584</v>
      </c>
      <c r="E326" s="95"/>
      <c r="F326" s="174">
        <v>29.4</v>
      </c>
      <c r="G326" s="190">
        <v>255</v>
      </c>
      <c r="H326" s="140">
        <v>1</v>
      </c>
      <c r="I326" s="170"/>
    </row>
    <row r="327" spans="1:9">
      <c r="A327" s="95" t="s">
        <v>206</v>
      </c>
      <c r="B327" s="188">
        <v>0</v>
      </c>
      <c r="C327" s="189" t="s">
        <v>585</v>
      </c>
      <c r="D327" s="95" t="s">
        <v>586</v>
      </c>
      <c r="E327" s="95"/>
      <c r="F327" s="174">
        <v>4.3</v>
      </c>
      <c r="G327" s="190">
        <v>52</v>
      </c>
      <c r="H327" s="140">
        <v>1</v>
      </c>
      <c r="I327" s="170"/>
    </row>
    <row r="328" spans="1:9">
      <c r="A328" s="95" t="s">
        <v>206</v>
      </c>
      <c r="B328" s="188">
        <v>0</v>
      </c>
      <c r="C328" s="189" t="s">
        <v>587</v>
      </c>
      <c r="D328" s="95" t="s">
        <v>588</v>
      </c>
      <c r="E328" s="95"/>
      <c r="F328" s="174">
        <v>9</v>
      </c>
      <c r="G328" s="190">
        <v>52</v>
      </c>
      <c r="H328" s="140">
        <v>1</v>
      </c>
      <c r="I328" s="170"/>
    </row>
    <row r="329" spans="1:9">
      <c r="A329" s="95" t="s">
        <v>206</v>
      </c>
      <c r="B329" s="188">
        <v>0</v>
      </c>
      <c r="C329" s="189" t="s">
        <v>589</v>
      </c>
      <c r="D329" s="95" t="s">
        <v>590</v>
      </c>
      <c r="E329" s="95"/>
      <c r="F329" s="174">
        <v>5</v>
      </c>
      <c r="G329" s="190">
        <v>52</v>
      </c>
      <c r="H329" s="140">
        <v>1</v>
      </c>
      <c r="I329" s="170"/>
    </row>
    <row r="330" spans="1:9">
      <c r="A330" s="95" t="s">
        <v>206</v>
      </c>
      <c r="B330" s="188">
        <v>0</v>
      </c>
      <c r="C330" s="189" t="s">
        <v>591</v>
      </c>
      <c r="D330" s="95" t="s">
        <v>590</v>
      </c>
      <c r="E330" s="95"/>
      <c r="F330" s="174">
        <v>2.9</v>
      </c>
      <c r="G330" s="190">
        <v>52</v>
      </c>
      <c r="H330" s="140">
        <v>1</v>
      </c>
      <c r="I330" s="170"/>
    </row>
    <row r="331" spans="1:9">
      <c r="A331" s="95" t="s">
        <v>206</v>
      </c>
      <c r="B331" s="188">
        <v>0</v>
      </c>
      <c r="C331" s="189"/>
      <c r="D331" s="95" t="s">
        <v>592</v>
      </c>
      <c r="E331" s="95"/>
      <c r="F331" s="174">
        <v>6</v>
      </c>
      <c r="G331" s="190">
        <v>255</v>
      </c>
      <c r="H331" s="140">
        <v>1</v>
      </c>
      <c r="I331" s="170"/>
    </row>
    <row r="332" spans="1:9">
      <c r="A332" s="95" t="s">
        <v>206</v>
      </c>
      <c r="B332" s="188" t="s">
        <v>357</v>
      </c>
      <c r="C332" s="189" t="s">
        <v>593</v>
      </c>
      <c r="D332" s="95" t="s">
        <v>594</v>
      </c>
      <c r="E332" s="95"/>
      <c r="F332" s="174">
        <v>7</v>
      </c>
      <c r="G332" s="190">
        <v>255</v>
      </c>
      <c r="H332" s="140">
        <v>1</v>
      </c>
      <c r="I332" s="170"/>
    </row>
    <row r="333" spans="1:9">
      <c r="A333" s="95" t="s">
        <v>206</v>
      </c>
      <c r="B333" s="188" t="s">
        <v>357</v>
      </c>
      <c r="C333" s="189" t="s">
        <v>595</v>
      </c>
      <c r="D333" s="95" t="s">
        <v>596</v>
      </c>
      <c r="E333" s="95"/>
      <c r="F333" s="174">
        <v>3.9</v>
      </c>
      <c r="G333" s="190">
        <v>0</v>
      </c>
      <c r="H333" s="140">
        <v>1</v>
      </c>
      <c r="I333" s="170"/>
    </row>
    <row r="334" spans="1:9">
      <c r="A334" s="95" t="s">
        <v>206</v>
      </c>
      <c r="B334" s="188" t="s">
        <v>357</v>
      </c>
      <c r="C334" s="189" t="s">
        <v>597</v>
      </c>
      <c r="D334" s="95" t="s">
        <v>598</v>
      </c>
      <c r="E334" s="95"/>
      <c r="F334" s="174">
        <v>13.6</v>
      </c>
      <c r="G334" s="190">
        <v>255</v>
      </c>
      <c r="H334" s="140">
        <v>1</v>
      </c>
      <c r="I334" s="170"/>
    </row>
    <row r="335" spans="1:9">
      <c r="A335" s="95" t="s">
        <v>206</v>
      </c>
      <c r="B335" s="188" t="s">
        <v>357</v>
      </c>
      <c r="C335" s="189" t="s">
        <v>599</v>
      </c>
      <c r="D335" s="95" t="s">
        <v>600</v>
      </c>
      <c r="E335" s="95"/>
      <c r="F335" s="174">
        <v>1.626905</v>
      </c>
      <c r="G335" s="190">
        <v>255</v>
      </c>
      <c r="H335" s="140">
        <v>1</v>
      </c>
      <c r="I335" s="170"/>
    </row>
    <row r="336" spans="1:9">
      <c r="A336" s="95" t="s">
        <v>206</v>
      </c>
      <c r="B336" s="188" t="s">
        <v>357</v>
      </c>
      <c r="C336" s="189" t="s">
        <v>601</v>
      </c>
      <c r="D336" s="95" t="s">
        <v>602</v>
      </c>
      <c r="E336" s="95"/>
      <c r="F336" s="174">
        <v>16.399999999999999</v>
      </c>
      <c r="G336" s="190">
        <v>255</v>
      </c>
      <c r="H336" s="140">
        <v>1</v>
      </c>
      <c r="I336" s="170"/>
    </row>
    <row r="337" spans="1:9">
      <c r="A337" s="95" t="s">
        <v>206</v>
      </c>
      <c r="B337" s="188" t="s">
        <v>357</v>
      </c>
      <c r="C337" s="189" t="s">
        <v>601</v>
      </c>
      <c r="D337" s="95" t="s">
        <v>603</v>
      </c>
      <c r="E337" s="95"/>
      <c r="F337" s="174">
        <v>1.9949999999999999</v>
      </c>
      <c r="G337" s="190">
        <v>255</v>
      </c>
      <c r="H337" s="140">
        <v>1</v>
      </c>
      <c r="I337" s="170"/>
    </row>
    <row r="338" spans="1:9">
      <c r="A338" s="95" t="s">
        <v>206</v>
      </c>
      <c r="B338" s="188" t="s">
        <v>357</v>
      </c>
      <c r="C338" s="189" t="s">
        <v>604</v>
      </c>
      <c r="D338" s="95" t="s">
        <v>313</v>
      </c>
      <c r="E338" s="95"/>
      <c r="F338" s="174">
        <v>20.8</v>
      </c>
      <c r="G338" s="190">
        <v>255</v>
      </c>
      <c r="H338" s="140">
        <v>1</v>
      </c>
      <c r="I338" s="170"/>
    </row>
    <row r="339" spans="1:9">
      <c r="A339" s="95" t="s">
        <v>206</v>
      </c>
      <c r="B339" s="188" t="s">
        <v>357</v>
      </c>
      <c r="C339" s="189" t="s">
        <v>604</v>
      </c>
      <c r="D339" s="95" t="s">
        <v>603</v>
      </c>
      <c r="E339" s="95"/>
      <c r="F339" s="174">
        <v>1.9949999999999999</v>
      </c>
      <c r="G339" s="190">
        <v>255</v>
      </c>
      <c r="H339" s="140">
        <v>1</v>
      </c>
      <c r="I339" s="170"/>
    </row>
    <row r="340" spans="1:9">
      <c r="A340" s="95" t="s">
        <v>206</v>
      </c>
      <c r="B340" s="188"/>
      <c r="C340" s="189"/>
      <c r="D340" s="95" t="s">
        <v>605</v>
      </c>
      <c r="E340" s="95"/>
      <c r="F340" s="174">
        <v>1.4</v>
      </c>
      <c r="G340" s="190">
        <v>0</v>
      </c>
      <c r="H340" s="140">
        <v>1</v>
      </c>
      <c r="I340" s="170"/>
    </row>
    <row r="341" spans="1:9">
      <c r="A341" s="95"/>
      <c r="B341" s="188"/>
      <c r="C341" s="189"/>
      <c r="D341" s="95"/>
      <c r="E341" s="95"/>
      <c r="F341" s="174"/>
      <c r="G341" s="190"/>
      <c r="H341" s="190"/>
      <c r="I341" s="172"/>
    </row>
    <row r="342" spans="1:9">
      <c r="A342" s="95" t="s">
        <v>103</v>
      </c>
      <c r="B342" s="188">
        <v>0</v>
      </c>
      <c r="C342" s="189"/>
      <c r="D342" s="95" t="s">
        <v>119</v>
      </c>
      <c r="E342" s="95" t="s">
        <v>481</v>
      </c>
      <c r="F342" s="174">
        <v>3.4500000476837158</v>
      </c>
      <c r="G342" s="190">
        <v>255</v>
      </c>
      <c r="H342" s="140">
        <v>1</v>
      </c>
      <c r="I342" s="170"/>
    </row>
    <row r="343" spans="1:9">
      <c r="A343" s="95" t="s">
        <v>103</v>
      </c>
      <c r="B343" s="188">
        <v>0</v>
      </c>
      <c r="C343" s="189"/>
      <c r="D343" s="95" t="s">
        <v>119</v>
      </c>
      <c r="E343" s="95" t="s">
        <v>251</v>
      </c>
      <c r="F343" s="174">
        <v>2.0499999523162842</v>
      </c>
      <c r="G343" s="190">
        <v>255</v>
      </c>
      <c r="H343" s="140">
        <v>1</v>
      </c>
      <c r="I343" s="170"/>
    </row>
    <row r="344" spans="1:9">
      <c r="A344" s="95" t="s">
        <v>103</v>
      </c>
      <c r="B344" s="188">
        <v>0</v>
      </c>
      <c r="C344" s="189"/>
      <c r="D344" s="95" t="s">
        <v>606</v>
      </c>
      <c r="E344" s="95" t="s">
        <v>481</v>
      </c>
      <c r="F344" s="174">
        <v>22.350000381469727</v>
      </c>
      <c r="G344" s="190">
        <v>255</v>
      </c>
      <c r="H344" s="140">
        <v>1</v>
      </c>
      <c r="I344" s="170"/>
    </row>
    <row r="345" spans="1:9">
      <c r="A345" s="95" t="s">
        <v>103</v>
      </c>
      <c r="B345" s="188">
        <v>0</v>
      </c>
      <c r="C345" s="189"/>
      <c r="D345" s="95" t="s">
        <v>298</v>
      </c>
      <c r="E345" s="95" t="s">
        <v>502</v>
      </c>
      <c r="F345" s="174">
        <v>1.8999999761581421</v>
      </c>
      <c r="G345" s="190">
        <v>255</v>
      </c>
      <c r="H345" s="140">
        <v>1</v>
      </c>
      <c r="I345" s="170"/>
    </row>
    <row r="346" spans="1:9">
      <c r="A346" s="95"/>
      <c r="B346" s="188"/>
      <c r="C346" s="189"/>
      <c r="D346" s="95"/>
      <c r="E346" s="95"/>
      <c r="F346" s="174"/>
      <c r="G346" s="190"/>
      <c r="H346" s="190"/>
      <c r="I346" s="172"/>
    </row>
    <row r="347" spans="1:9">
      <c r="A347" s="95" t="s">
        <v>104</v>
      </c>
      <c r="B347" s="188">
        <v>0</v>
      </c>
      <c r="C347" s="189"/>
      <c r="D347" s="95" t="s">
        <v>291</v>
      </c>
      <c r="E347" s="95" t="s">
        <v>251</v>
      </c>
      <c r="F347" s="174">
        <v>4.45</v>
      </c>
      <c r="G347" s="190">
        <v>255</v>
      </c>
      <c r="H347" s="140">
        <v>1</v>
      </c>
      <c r="I347" s="170"/>
    </row>
    <row r="348" spans="1:9">
      <c r="A348" s="95" t="s">
        <v>104</v>
      </c>
      <c r="B348" s="188">
        <v>0</v>
      </c>
      <c r="C348" s="189"/>
      <c r="D348" s="95" t="s">
        <v>291</v>
      </c>
      <c r="E348" s="95" t="s">
        <v>504</v>
      </c>
      <c r="F348" s="174">
        <v>6.15</v>
      </c>
      <c r="G348" s="190">
        <v>255</v>
      </c>
      <c r="H348" s="140">
        <v>1</v>
      </c>
      <c r="I348" s="170"/>
    </row>
    <row r="349" spans="1:9">
      <c r="A349" s="95" t="s">
        <v>104</v>
      </c>
      <c r="B349" s="188">
        <v>0</v>
      </c>
      <c r="C349" s="189"/>
      <c r="D349" s="95" t="s">
        <v>291</v>
      </c>
      <c r="E349" s="95" t="s">
        <v>607</v>
      </c>
      <c r="F349" s="174">
        <v>20.85</v>
      </c>
      <c r="G349" s="190">
        <v>255</v>
      </c>
      <c r="H349" s="140">
        <v>1</v>
      </c>
      <c r="I349" s="170"/>
    </row>
    <row r="350" spans="1:9">
      <c r="A350" s="95" t="s">
        <v>104</v>
      </c>
      <c r="B350" s="188">
        <v>0</v>
      </c>
      <c r="C350" s="189"/>
      <c r="D350" s="95" t="s">
        <v>291</v>
      </c>
      <c r="E350" s="95" t="s">
        <v>504</v>
      </c>
      <c r="F350" s="174">
        <v>0</v>
      </c>
      <c r="G350" s="190">
        <v>255</v>
      </c>
      <c r="H350" s="140">
        <v>1</v>
      </c>
      <c r="I350" s="170"/>
    </row>
    <row r="351" spans="1:9">
      <c r="A351" s="95" t="s">
        <v>104</v>
      </c>
      <c r="B351" s="188">
        <v>0</v>
      </c>
      <c r="C351" s="189"/>
      <c r="D351" s="95" t="s">
        <v>121</v>
      </c>
      <c r="E351" s="95" t="s">
        <v>608</v>
      </c>
      <c r="F351" s="174">
        <v>0</v>
      </c>
      <c r="G351" s="190">
        <v>0</v>
      </c>
      <c r="H351" s="140">
        <v>1</v>
      </c>
      <c r="I351" s="172"/>
    </row>
    <row r="352" spans="1:9">
      <c r="A352" s="95" t="s">
        <v>104</v>
      </c>
      <c r="B352" s="188">
        <v>0</v>
      </c>
      <c r="C352" s="189"/>
      <c r="D352" s="95" t="s">
        <v>121</v>
      </c>
      <c r="E352" s="95" t="s">
        <v>608</v>
      </c>
      <c r="F352" s="174">
        <v>0</v>
      </c>
      <c r="G352" s="190">
        <v>0</v>
      </c>
      <c r="H352" s="140">
        <v>1</v>
      </c>
      <c r="I352" s="172"/>
    </row>
    <row r="353" spans="1:9">
      <c r="A353" s="95" t="s">
        <v>104</v>
      </c>
      <c r="B353" s="188">
        <v>0</v>
      </c>
      <c r="C353" s="189"/>
      <c r="D353" s="95" t="s">
        <v>609</v>
      </c>
      <c r="E353" s="95" t="s">
        <v>607</v>
      </c>
      <c r="F353" s="174">
        <v>6.45</v>
      </c>
      <c r="G353" s="190">
        <v>255</v>
      </c>
      <c r="H353" s="140">
        <v>1</v>
      </c>
      <c r="I353" s="172"/>
    </row>
    <row r="354" spans="1:9">
      <c r="A354" s="95" t="s">
        <v>104</v>
      </c>
      <c r="B354" s="188">
        <v>0</v>
      </c>
      <c r="C354" s="189"/>
      <c r="D354" s="95" t="s">
        <v>431</v>
      </c>
      <c r="E354" s="95" t="s">
        <v>504</v>
      </c>
      <c r="F354" s="174">
        <v>19.75</v>
      </c>
      <c r="G354" s="190">
        <v>255</v>
      </c>
      <c r="H354" s="140">
        <v>1</v>
      </c>
      <c r="I354" s="172"/>
    </row>
    <row r="355" spans="1:9">
      <c r="A355" s="95" t="s">
        <v>104</v>
      </c>
      <c r="B355" s="188">
        <v>0</v>
      </c>
      <c r="C355" s="189"/>
      <c r="D355" s="95" t="s">
        <v>433</v>
      </c>
      <c r="E355" s="95" t="s">
        <v>607</v>
      </c>
      <c r="F355" s="174">
        <v>15.05</v>
      </c>
      <c r="G355" s="190">
        <v>255</v>
      </c>
      <c r="H355" s="140">
        <v>1</v>
      </c>
      <c r="I355" s="172"/>
    </row>
    <row r="356" spans="1:9">
      <c r="A356" s="95" t="s">
        <v>104</v>
      </c>
      <c r="B356" s="188">
        <v>0</v>
      </c>
      <c r="C356" s="189"/>
      <c r="D356" s="95" t="s">
        <v>610</v>
      </c>
      <c r="E356" s="95" t="s">
        <v>607</v>
      </c>
      <c r="F356" s="174">
        <v>2.5972780000000002</v>
      </c>
      <c r="G356" s="190">
        <v>255</v>
      </c>
      <c r="H356" s="140">
        <v>1</v>
      </c>
      <c r="I356" s="172"/>
    </row>
    <row r="357" spans="1:9">
      <c r="A357" s="95" t="s">
        <v>104</v>
      </c>
      <c r="B357" s="188">
        <v>0</v>
      </c>
      <c r="C357" s="189"/>
      <c r="D357" s="95" t="s">
        <v>124</v>
      </c>
      <c r="E357" s="95" t="s">
        <v>607</v>
      </c>
      <c r="F357" s="174">
        <v>4.4708779999999999</v>
      </c>
      <c r="G357" s="190">
        <v>255</v>
      </c>
      <c r="H357" s="140">
        <v>1</v>
      </c>
      <c r="I357" s="172"/>
    </row>
    <row r="358" spans="1:9">
      <c r="A358" s="95" t="s">
        <v>104</v>
      </c>
      <c r="B358" s="188">
        <v>0</v>
      </c>
      <c r="C358" s="189"/>
      <c r="D358" s="95" t="s">
        <v>590</v>
      </c>
      <c r="E358" s="95" t="s">
        <v>504</v>
      </c>
      <c r="F358" s="174">
        <v>13.619527999999999</v>
      </c>
      <c r="G358" s="190">
        <v>255</v>
      </c>
      <c r="H358" s="140">
        <v>1</v>
      </c>
      <c r="I358" s="172"/>
    </row>
    <row r="359" spans="1:9">
      <c r="A359" s="95"/>
      <c r="B359" s="188"/>
      <c r="C359" s="189"/>
      <c r="D359" s="95"/>
      <c r="E359" s="95"/>
      <c r="F359" s="174"/>
      <c r="G359" s="190"/>
      <c r="H359" s="190"/>
      <c r="I359" s="172"/>
    </row>
    <row r="360" spans="1:9">
      <c r="A360" s="95" t="s">
        <v>105</v>
      </c>
      <c r="B360" s="188">
        <v>0</v>
      </c>
      <c r="C360" s="189">
        <v>1</v>
      </c>
      <c r="D360" s="95" t="s">
        <v>306</v>
      </c>
      <c r="E360" s="95" t="s">
        <v>275</v>
      </c>
      <c r="F360" s="174">
        <v>12.1</v>
      </c>
      <c r="G360" s="190">
        <v>52</v>
      </c>
      <c r="H360" s="140">
        <v>1</v>
      </c>
      <c r="I360" s="172"/>
    </row>
    <row r="361" spans="1:9">
      <c r="A361" s="95" t="s">
        <v>105</v>
      </c>
      <c r="B361" s="188">
        <v>0</v>
      </c>
      <c r="C361" s="189">
        <v>5</v>
      </c>
      <c r="D361" s="95" t="s">
        <v>611</v>
      </c>
      <c r="E361" s="95" t="s">
        <v>612</v>
      </c>
      <c r="F361" s="174">
        <v>20.8</v>
      </c>
      <c r="G361" s="190">
        <v>52</v>
      </c>
      <c r="H361" s="140">
        <v>1</v>
      </c>
      <c r="I361" s="170"/>
    </row>
    <row r="362" spans="1:9">
      <c r="A362" s="95" t="s">
        <v>105</v>
      </c>
      <c r="B362" s="188">
        <v>0</v>
      </c>
      <c r="C362" s="189" t="s">
        <v>613</v>
      </c>
      <c r="D362" s="95" t="s">
        <v>372</v>
      </c>
      <c r="E362" s="95" t="s">
        <v>275</v>
      </c>
      <c r="F362" s="174">
        <v>17</v>
      </c>
      <c r="G362" s="190">
        <v>52</v>
      </c>
      <c r="H362" s="140">
        <v>1</v>
      </c>
      <c r="I362" s="170"/>
    </row>
    <row r="363" spans="1:9">
      <c r="A363" s="95" t="s">
        <v>105</v>
      </c>
      <c r="B363" s="188">
        <v>0</v>
      </c>
      <c r="C363" s="189" t="s">
        <v>614</v>
      </c>
      <c r="D363" s="95" t="s">
        <v>615</v>
      </c>
      <c r="E363" s="95" t="s">
        <v>275</v>
      </c>
      <c r="F363" s="174">
        <v>46.2</v>
      </c>
      <c r="G363" s="190">
        <v>52</v>
      </c>
      <c r="H363" s="140">
        <v>1</v>
      </c>
      <c r="I363" s="170"/>
    </row>
    <row r="364" spans="1:9">
      <c r="A364" s="95" t="s">
        <v>105</v>
      </c>
      <c r="B364" s="188">
        <v>0</v>
      </c>
      <c r="C364" s="189">
        <v>8</v>
      </c>
      <c r="D364" s="95" t="s">
        <v>339</v>
      </c>
      <c r="E364" s="95" t="s">
        <v>275</v>
      </c>
      <c r="F364" s="174">
        <v>11.9</v>
      </c>
      <c r="G364" s="190">
        <v>52</v>
      </c>
      <c r="H364" s="140">
        <v>1</v>
      </c>
      <c r="I364" s="170"/>
    </row>
    <row r="365" spans="1:9">
      <c r="A365" s="95" t="s">
        <v>105</v>
      </c>
      <c r="B365" s="188">
        <v>0</v>
      </c>
      <c r="C365" s="189">
        <v>9</v>
      </c>
      <c r="D365" s="95" t="s">
        <v>616</v>
      </c>
      <c r="E365" s="95" t="s">
        <v>612</v>
      </c>
      <c r="F365" s="174">
        <v>20.5</v>
      </c>
      <c r="G365" s="190">
        <v>52</v>
      </c>
      <c r="H365" s="140">
        <v>1</v>
      </c>
      <c r="I365" s="170"/>
    </row>
    <row r="366" spans="1:9">
      <c r="A366" s="95" t="s">
        <v>105</v>
      </c>
      <c r="B366" s="188">
        <v>0</v>
      </c>
      <c r="C366" s="189">
        <v>10</v>
      </c>
      <c r="D366" s="95" t="s">
        <v>617</v>
      </c>
      <c r="E366" s="95" t="s">
        <v>612</v>
      </c>
      <c r="F366" s="174">
        <v>1.4</v>
      </c>
      <c r="G366" s="190">
        <v>52</v>
      </c>
      <c r="H366" s="140">
        <v>1</v>
      </c>
      <c r="I366" s="170"/>
    </row>
    <row r="367" spans="1:9">
      <c r="A367" s="95" t="s">
        <v>105</v>
      </c>
      <c r="B367" s="188">
        <v>0</v>
      </c>
      <c r="C367" s="189">
        <v>11</v>
      </c>
      <c r="D367" s="95" t="s">
        <v>515</v>
      </c>
      <c r="E367" s="95" t="s">
        <v>612</v>
      </c>
      <c r="F367" s="174">
        <v>4.2</v>
      </c>
      <c r="G367" s="190">
        <v>52</v>
      </c>
      <c r="H367" s="140">
        <v>1</v>
      </c>
      <c r="I367" s="170"/>
    </row>
    <row r="368" spans="1:9">
      <c r="A368" s="95"/>
      <c r="B368" s="188"/>
      <c r="C368" s="189"/>
      <c r="D368" s="95"/>
      <c r="E368" s="95"/>
      <c r="F368" s="174"/>
      <c r="G368" s="190"/>
      <c r="H368" s="190"/>
      <c r="I368" s="172"/>
    </row>
    <row r="369" spans="1:9">
      <c r="A369" s="95" t="s">
        <v>106</v>
      </c>
      <c r="B369" s="188">
        <v>0</v>
      </c>
      <c r="C369" s="189">
        <v>1</v>
      </c>
      <c r="D369" s="95" t="s">
        <v>119</v>
      </c>
      <c r="E369" s="95" t="s">
        <v>245</v>
      </c>
      <c r="F369" s="174">
        <v>5.6675900277008306</v>
      </c>
      <c r="G369" s="190">
        <v>52</v>
      </c>
      <c r="H369" s="140">
        <v>1</v>
      </c>
      <c r="I369" s="170"/>
    </row>
    <row r="370" spans="1:9">
      <c r="A370" s="95" t="s">
        <v>106</v>
      </c>
      <c r="B370" s="188">
        <v>0</v>
      </c>
      <c r="C370" s="189">
        <v>2</v>
      </c>
      <c r="D370" s="95" t="s">
        <v>618</v>
      </c>
      <c r="E370" s="95" t="s">
        <v>251</v>
      </c>
      <c r="F370" s="174">
        <v>45.603878116343488</v>
      </c>
      <c r="G370" s="190">
        <v>52</v>
      </c>
      <c r="H370" s="140">
        <v>1</v>
      </c>
      <c r="I370" s="170"/>
    </row>
    <row r="371" spans="1:9">
      <c r="A371" s="95" t="s">
        <v>106</v>
      </c>
      <c r="B371" s="188">
        <v>0</v>
      </c>
      <c r="C371" s="189">
        <v>4</v>
      </c>
      <c r="D371" s="95" t="s">
        <v>619</v>
      </c>
      <c r="E371" s="95" t="s">
        <v>262</v>
      </c>
      <c r="F371" s="174">
        <v>15.988919667590025</v>
      </c>
      <c r="G371" s="190">
        <v>52</v>
      </c>
      <c r="H371" s="140">
        <v>1</v>
      </c>
      <c r="I371" s="170"/>
    </row>
    <row r="372" spans="1:9">
      <c r="A372" s="95" t="s">
        <v>106</v>
      </c>
      <c r="B372" s="188">
        <v>0</v>
      </c>
      <c r="C372" s="189" t="s">
        <v>620</v>
      </c>
      <c r="D372" s="95" t="s">
        <v>524</v>
      </c>
      <c r="E372" s="95" t="s">
        <v>262</v>
      </c>
      <c r="F372" s="174">
        <v>11.684210526315789</v>
      </c>
      <c r="G372" s="190">
        <v>52</v>
      </c>
      <c r="H372" s="140">
        <v>1</v>
      </c>
      <c r="I372" s="170"/>
    </row>
    <row r="373" spans="1:9">
      <c r="A373" s="95" t="s">
        <v>106</v>
      </c>
      <c r="B373" s="188">
        <v>0</v>
      </c>
      <c r="C373" s="189" t="s">
        <v>621</v>
      </c>
      <c r="D373" s="95" t="s">
        <v>603</v>
      </c>
      <c r="E373" s="95" t="s">
        <v>262</v>
      </c>
      <c r="F373" s="174">
        <v>7.9944598337950126</v>
      </c>
      <c r="G373" s="190">
        <v>52</v>
      </c>
      <c r="H373" s="140">
        <v>1</v>
      </c>
      <c r="I373" s="170"/>
    </row>
    <row r="374" spans="1:9">
      <c r="A374" s="95" t="s">
        <v>106</v>
      </c>
      <c r="B374" s="188">
        <v>0</v>
      </c>
      <c r="C374" s="189">
        <v>5</v>
      </c>
      <c r="D374" s="95" t="s">
        <v>291</v>
      </c>
      <c r="E374" s="95" t="s">
        <v>262</v>
      </c>
      <c r="F374" s="174">
        <v>7.4459833795013841</v>
      </c>
      <c r="G374" s="190">
        <v>52</v>
      </c>
      <c r="H374" s="140">
        <v>1</v>
      </c>
      <c r="I374" s="170"/>
    </row>
    <row r="375" spans="1:9">
      <c r="A375" s="95" t="s">
        <v>106</v>
      </c>
      <c r="B375" s="188">
        <v>0</v>
      </c>
      <c r="C375" s="189">
        <v>7</v>
      </c>
      <c r="D375" s="95" t="s">
        <v>318</v>
      </c>
      <c r="E375" s="95" t="s">
        <v>262</v>
      </c>
      <c r="F375" s="174">
        <v>1.5069252077562325</v>
      </c>
      <c r="G375" s="190">
        <v>52</v>
      </c>
      <c r="H375" s="140">
        <v>1</v>
      </c>
      <c r="I375" s="170"/>
    </row>
    <row r="376" spans="1:9">
      <c r="A376" s="95" t="s">
        <v>106</v>
      </c>
      <c r="B376" s="188">
        <v>0</v>
      </c>
      <c r="C376" s="189">
        <v>8</v>
      </c>
      <c r="D376" s="95" t="s">
        <v>622</v>
      </c>
      <c r="E376" s="95" t="s">
        <v>262</v>
      </c>
      <c r="F376" s="174">
        <v>1.3296398891966759</v>
      </c>
      <c r="G376" s="190">
        <v>52</v>
      </c>
      <c r="H376" s="140">
        <v>1</v>
      </c>
      <c r="I376" s="170"/>
    </row>
    <row r="377" spans="1:9">
      <c r="A377" s="95" t="s">
        <v>106</v>
      </c>
      <c r="B377" s="188">
        <v>0</v>
      </c>
      <c r="C377" s="189">
        <v>9</v>
      </c>
      <c r="D377" s="95" t="s">
        <v>513</v>
      </c>
      <c r="E377" s="95" t="s">
        <v>262</v>
      </c>
      <c r="F377" s="174">
        <v>10.249307479224385</v>
      </c>
      <c r="G377" s="190">
        <v>52</v>
      </c>
      <c r="H377" s="140">
        <v>1</v>
      </c>
      <c r="I377" s="170"/>
    </row>
    <row r="378" spans="1:9">
      <c r="A378" s="95" t="s">
        <v>106</v>
      </c>
      <c r="B378" s="188">
        <v>0</v>
      </c>
      <c r="C378" s="189" t="s">
        <v>623</v>
      </c>
      <c r="D378" s="95" t="s">
        <v>318</v>
      </c>
      <c r="E378" s="95" t="s">
        <v>262</v>
      </c>
      <c r="F378" s="174">
        <v>1.1966759002770082</v>
      </c>
      <c r="G378" s="190">
        <v>52</v>
      </c>
      <c r="H378" s="140">
        <v>1</v>
      </c>
      <c r="I378" s="170"/>
    </row>
    <row r="379" spans="1:9">
      <c r="A379" s="95" t="s">
        <v>106</v>
      </c>
      <c r="B379" s="188">
        <v>0</v>
      </c>
      <c r="C379" s="189" t="s">
        <v>624</v>
      </c>
      <c r="D379" s="95" t="s">
        <v>603</v>
      </c>
      <c r="E379" s="95" t="s">
        <v>262</v>
      </c>
      <c r="F379" s="174">
        <v>1.9501385041551247</v>
      </c>
      <c r="G379" s="190">
        <v>52</v>
      </c>
      <c r="H379" s="140">
        <v>1</v>
      </c>
      <c r="I379" s="170"/>
    </row>
    <row r="380" spans="1:9">
      <c r="A380" s="95" t="s">
        <v>106</v>
      </c>
      <c r="B380" s="188">
        <v>0</v>
      </c>
      <c r="C380" s="189">
        <v>11</v>
      </c>
      <c r="D380" s="95" t="s">
        <v>372</v>
      </c>
      <c r="E380" s="95" t="s">
        <v>262</v>
      </c>
      <c r="F380" s="174">
        <v>13.462603878116342</v>
      </c>
      <c r="G380" s="190">
        <v>52</v>
      </c>
      <c r="H380" s="140">
        <v>1</v>
      </c>
      <c r="I380" s="170"/>
    </row>
    <row r="381" spans="1:9">
      <c r="A381" s="95" t="s">
        <v>106</v>
      </c>
      <c r="B381" s="188">
        <v>0</v>
      </c>
      <c r="C381" s="189">
        <v>12</v>
      </c>
      <c r="D381" s="95" t="s">
        <v>625</v>
      </c>
      <c r="E381" s="95" t="s">
        <v>251</v>
      </c>
      <c r="F381" s="174">
        <v>18.199445983379498</v>
      </c>
      <c r="G381" s="190">
        <v>52</v>
      </c>
      <c r="H381" s="140">
        <v>1</v>
      </c>
      <c r="I381" s="170"/>
    </row>
    <row r="382" spans="1:9">
      <c r="A382" s="95"/>
      <c r="B382" s="188"/>
      <c r="C382" s="189"/>
      <c r="D382" s="95"/>
      <c r="E382" s="95"/>
      <c r="F382" s="174"/>
      <c r="G382" s="190"/>
      <c r="H382" s="190"/>
      <c r="I382" s="172"/>
    </row>
    <row r="383" spans="1:9">
      <c r="A383" s="95" t="s">
        <v>107</v>
      </c>
      <c r="B383" s="188">
        <v>0</v>
      </c>
      <c r="C383" s="189">
        <v>2</v>
      </c>
      <c r="D383" s="95" t="s">
        <v>626</v>
      </c>
      <c r="E383" s="95" t="s">
        <v>251</v>
      </c>
      <c r="F383" s="174">
        <v>13.548476454293626</v>
      </c>
      <c r="G383" s="190">
        <v>52</v>
      </c>
      <c r="H383" s="140">
        <v>1</v>
      </c>
      <c r="I383" s="172"/>
    </row>
    <row r="384" spans="1:9">
      <c r="A384" s="95" t="s">
        <v>107</v>
      </c>
      <c r="B384" s="188">
        <v>0</v>
      </c>
      <c r="C384" s="189">
        <v>3</v>
      </c>
      <c r="D384" s="95" t="s">
        <v>627</v>
      </c>
      <c r="E384" s="95" t="s">
        <v>251</v>
      </c>
      <c r="F384" s="174">
        <v>19.008310249307478</v>
      </c>
      <c r="G384" s="190">
        <v>52</v>
      </c>
      <c r="H384" s="140">
        <v>1</v>
      </c>
      <c r="I384" s="170"/>
    </row>
    <row r="385" spans="1:9">
      <c r="A385" s="95" t="s">
        <v>107</v>
      </c>
      <c r="B385" s="188">
        <v>0</v>
      </c>
      <c r="C385" s="189">
        <v>4</v>
      </c>
      <c r="D385" s="95" t="s">
        <v>291</v>
      </c>
      <c r="E385" s="95" t="s">
        <v>612</v>
      </c>
      <c r="F385" s="174">
        <v>7.2908587257617725</v>
      </c>
      <c r="G385" s="190">
        <v>52</v>
      </c>
      <c r="H385" s="140">
        <v>1</v>
      </c>
      <c r="I385" s="170"/>
    </row>
    <row r="386" spans="1:9">
      <c r="A386" s="95" t="s">
        <v>107</v>
      </c>
      <c r="B386" s="188">
        <v>0</v>
      </c>
      <c r="C386" s="189">
        <v>5</v>
      </c>
      <c r="D386" s="95" t="s">
        <v>628</v>
      </c>
      <c r="E386" s="95" t="s">
        <v>612</v>
      </c>
      <c r="F386" s="174">
        <v>34.279778393351798</v>
      </c>
      <c r="G386" s="190">
        <v>52</v>
      </c>
      <c r="H386" s="140">
        <v>1</v>
      </c>
      <c r="I386" s="170"/>
    </row>
    <row r="387" spans="1:9">
      <c r="A387" s="95" t="s">
        <v>107</v>
      </c>
      <c r="B387" s="188">
        <v>0</v>
      </c>
      <c r="C387" s="189">
        <v>8</v>
      </c>
      <c r="D387" s="95" t="s">
        <v>629</v>
      </c>
      <c r="E387" s="95" t="s">
        <v>612</v>
      </c>
      <c r="F387" s="174">
        <v>17.768849999999997</v>
      </c>
      <c r="G387" s="190">
        <v>52</v>
      </c>
      <c r="H387" s="140">
        <v>1</v>
      </c>
      <c r="I387" s="170"/>
    </row>
    <row r="388" spans="1:9">
      <c r="A388" s="95" t="s">
        <v>107</v>
      </c>
      <c r="B388" s="188">
        <v>0</v>
      </c>
      <c r="C388" s="189">
        <v>9</v>
      </c>
      <c r="D388" s="95" t="s">
        <v>617</v>
      </c>
      <c r="E388" s="95" t="s">
        <v>612</v>
      </c>
      <c r="F388" s="174">
        <v>1.7285318559556786</v>
      </c>
      <c r="G388" s="190">
        <v>52</v>
      </c>
      <c r="H388" s="140">
        <v>1</v>
      </c>
      <c r="I388" s="170"/>
    </row>
    <row r="389" spans="1:9">
      <c r="A389" s="95" t="s">
        <v>107</v>
      </c>
      <c r="B389" s="188">
        <v>0</v>
      </c>
      <c r="C389" s="189">
        <v>10</v>
      </c>
      <c r="D389" s="95" t="s">
        <v>630</v>
      </c>
      <c r="E389" s="95" t="s">
        <v>612</v>
      </c>
      <c r="F389" s="174">
        <v>6.2049861495844869</v>
      </c>
      <c r="G389" s="190">
        <v>52</v>
      </c>
      <c r="H389" s="140">
        <v>1</v>
      </c>
      <c r="I389" s="170"/>
    </row>
    <row r="390" spans="1:9">
      <c r="A390" s="95" t="s">
        <v>107</v>
      </c>
      <c r="B390" s="188">
        <v>0</v>
      </c>
      <c r="C390" s="189">
        <v>11</v>
      </c>
      <c r="D390" s="95" t="s">
        <v>631</v>
      </c>
      <c r="E390" s="95" t="s">
        <v>612</v>
      </c>
      <c r="F390" s="174">
        <v>10.554016620498613</v>
      </c>
      <c r="G390" s="190">
        <v>52</v>
      </c>
      <c r="H390" s="140">
        <v>1</v>
      </c>
      <c r="I390" s="170"/>
    </row>
    <row r="391" spans="1:9">
      <c r="A391" s="95" t="s">
        <v>107</v>
      </c>
      <c r="B391" s="188">
        <v>0</v>
      </c>
      <c r="C391" s="189">
        <v>12</v>
      </c>
      <c r="D391" s="95" t="s">
        <v>372</v>
      </c>
      <c r="E391" s="95" t="s">
        <v>275</v>
      </c>
      <c r="F391" s="174">
        <v>12.925207756232687</v>
      </c>
      <c r="G391" s="190">
        <v>52</v>
      </c>
      <c r="H391" s="140">
        <v>1</v>
      </c>
      <c r="I391" s="170"/>
    </row>
    <row r="392" spans="1:9">
      <c r="A392" s="95" t="s">
        <v>107</v>
      </c>
      <c r="B392" s="188"/>
      <c r="C392" s="189">
        <v>13</v>
      </c>
      <c r="D392" s="95" t="s">
        <v>615</v>
      </c>
      <c r="E392" s="95" t="s">
        <v>484</v>
      </c>
      <c r="F392" s="174">
        <v>51.285318559556785</v>
      </c>
      <c r="G392" s="190">
        <v>52</v>
      </c>
      <c r="H392" s="140">
        <v>1</v>
      </c>
      <c r="I392" s="170"/>
    </row>
    <row r="393" spans="1:9">
      <c r="A393" s="95"/>
      <c r="B393" s="188"/>
      <c r="C393" s="189"/>
      <c r="D393" s="95"/>
      <c r="E393" s="95"/>
      <c r="F393" s="174"/>
      <c r="G393" s="190"/>
      <c r="H393" s="190"/>
      <c r="I393" s="172"/>
    </row>
    <row r="394" spans="1:9">
      <c r="A394" s="95" t="s">
        <v>108</v>
      </c>
      <c r="B394" s="188"/>
      <c r="C394" s="189" t="s">
        <v>231</v>
      </c>
      <c r="D394" s="95" t="s">
        <v>119</v>
      </c>
      <c r="E394" s="95" t="s">
        <v>612</v>
      </c>
      <c r="F394" s="174">
        <v>6.1015862842493167</v>
      </c>
      <c r="G394" s="190">
        <v>156</v>
      </c>
      <c r="H394" s="140">
        <v>1</v>
      </c>
      <c r="I394" s="170"/>
    </row>
    <row r="395" spans="1:9">
      <c r="A395" s="95" t="s">
        <v>108</v>
      </c>
      <c r="B395" s="188"/>
      <c r="C395" s="189" t="s">
        <v>231</v>
      </c>
      <c r="D395" s="95" t="s">
        <v>291</v>
      </c>
      <c r="E395" s="95" t="s">
        <v>632</v>
      </c>
      <c r="F395" s="174">
        <v>30.190033648453763</v>
      </c>
      <c r="G395" s="190">
        <v>156</v>
      </c>
      <c r="H395" s="140">
        <v>1</v>
      </c>
      <c r="I395" s="170"/>
    </row>
    <row r="396" spans="1:9">
      <c r="A396" s="95" t="s">
        <v>108</v>
      </c>
      <c r="B396" s="188"/>
      <c r="C396" s="189" t="s">
        <v>231</v>
      </c>
      <c r="D396" s="95" t="s">
        <v>633</v>
      </c>
      <c r="E396" s="95" t="s">
        <v>612</v>
      </c>
      <c r="F396" s="174">
        <v>32.302515622496387</v>
      </c>
      <c r="G396" s="190">
        <v>104</v>
      </c>
      <c r="H396" s="140">
        <v>1</v>
      </c>
      <c r="I396" s="170"/>
    </row>
    <row r="397" spans="1:9">
      <c r="A397" s="95" t="s">
        <v>108</v>
      </c>
      <c r="B397" s="188"/>
      <c r="C397" s="189" t="s">
        <v>231</v>
      </c>
      <c r="D397" s="95" t="s">
        <v>634</v>
      </c>
      <c r="E397" s="95" t="s">
        <v>632</v>
      </c>
      <c r="F397" s="174">
        <v>15.433424130748271</v>
      </c>
      <c r="G397" s="190">
        <v>52</v>
      </c>
      <c r="H397" s="140">
        <v>1</v>
      </c>
      <c r="I397" s="170"/>
    </row>
    <row r="398" spans="1:9">
      <c r="A398" s="95" t="s">
        <v>108</v>
      </c>
      <c r="B398" s="188"/>
      <c r="C398" s="189" t="s">
        <v>231</v>
      </c>
      <c r="D398" s="95" t="s">
        <v>635</v>
      </c>
      <c r="E398" s="95" t="s">
        <v>612</v>
      </c>
      <c r="F398" s="174">
        <v>14.766864284569776</v>
      </c>
      <c r="G398" s="190">
        <v>156</v>
      </c>
      <c r="H398" s="140">
        <v>1</v>
      </c>
      <c r="I398" s="170"/>
    </row>
    <row r="399" spans="1:9">
      <c r="A399" s="95" t="s">
        <v>108</v>
      </c>
      <c r="B399" s="188"/>
      <c r="C399" s="189" t="s">
        <v>231</v>
      </c>
      <c r="D399" s="95" t="s">
        <v>528</v>
      </c>
      <c r="E399" s="95" t="s">
        <v>612</v>
      </c>
      <c r="F399" s="174">
        <v>12.080115366127218</v>
      </c>
      <c r="G399" s="190">
        <v>156</v>
      </c>
      <c r="H399" s="140">
        <v>1</v>
      </c>
      <c r="I399" s="170"/>
    </row>
    <row r="400" spans="1:9">
      <c r="A400" s="95" t="s">
        <v>108</v>
      </c>
      <c r="B400" s="188"/>
      <c r="C400" s="189" t="s">
        <v>231</v>
      </c>
      <c r="D400" s="95" t="s">
        <v>526</v>
      </c>
      <c r="E400" s="95" t="s">
        <v>612</v>
      </c>
      <c r="F400" s="174">
        <v>3.4456016663996145</v>
      </c>
      <c r="G400" s="190">
        <v>156</v>
      </c>
      <c r="H400" s="140">
        <v>1</v>
      </c>
      <c r="I400" s="170"/>
    </row>
    <row r="401" spans="1:9">
      <c r="A401" s="95" t="s">
        <v>108</v>
      </c>
      <c r="B401" s="188"/>
      <c r="C401" s="189" t="s">
        <v>231</v>
      </c>
      <c r="D401" s="95" t="s">
        <v>636</v>
      </c>
      <c r="E401" s="95" t="s">
        <v>612</v>
      </c>
      <c r="F401" s="174">
        <v>9.1318698926454065</v>
      </c>
      <c r="G401" s="190">
        <v>156</v>
      </c>
      <c r="H401" s="140">
        <v>1</v>
      </c>
      <c r="I401" s="170"/>
    </row>
    <row r="402" spans="1:9">
      <c r="A402" s="95" t="s">
        <v>108</v>
      </c>
      <c r="B402" s="188"/>
      <c r="C402" s="189" t="s">
        <v>231</v>
      </c>
      <c r="D402" s="95" t="s">
        <v>518</v>
      </c>
      <c r="E402" s="95" t="s">
        <v>612</v>
      </c>
      <c r="F402" s="174">
        <v>1.7433103669283763</v>
      </c>
      <c r="G402" s="190">
        <v>156</v>
      </c>
      <c r="H402" s="140">
        <v>1</v>
      </c>
      <c r="I402" s="170"/>
    </row>
    <row r="403" spans="1:9">
      <c r="A403" s="95" t="s">
        <v>108</v>
      </c>
      <c r="B403" s="188"/>
      <c r="C403" s="189" t="s">
        <v>231</v>
      </c>
      <c r="D403" s="95" t="s">
        <v>515</v>
      </c>
      <c r="E403" s="95" t="s">
        <v>612</v>
      </c>
      <c r="F403" s="174">
        <v>1.7433103669283763</v>
      </c>
      <c r="G403" s="190">
        <v>156</v>
      </c>
      <c r="H403" s="140">
        <v>1</v>
      </c>
      <c r="I403" s="170"/>
    </row>
    <row r="404" spans="1:9">
      <c r="A404" s="95" t="s">
        <v>108</v>
      </c>
      <c r="B404" s="188"/>
      <c r="C404" s="189" t="s">
        <v>231</v>
      </c>
      <c r="D404" s="95" t="s">
        <v>637</v>
      </c>
      <c r="E404" s="95" t="s">
        <v>612</v>
      </c>
      <c r="F404" s="174">
        <v>21.165838807883343</v>
      </c>
      <c r="G404" s="190">
        <v>104</v>
      </c>
      <c r="H404" s="140">
        <v>1</v>
      </c>
      <c r="I404" s="170"/>
    </row>
    <row r="405" spans="1:9">
      <c r="A405" s="95" t="s">
        <v>108</v>
      </c>
      <c r="B405" s="188"/>
      <c r="C405" s="189" t="s">
        <v>231</v>
      </c>
      <c r="D405" s="95" t="s">
        <v>294</v>
      </c>
      <c r="E405" s="95" t="s">
        <v>612</v>
      </c>
      <c r="F405" s="174">
        <v>14.892485178657264</v>
      </c>
      <c r="G405" s="190">
        <v>156</v>
      </c>
      <c r="H405" s="140">
        <v>1</v>
      </c>
      <c r="I405" s="170"/>
    </row>
    <row r="406" spans="1:9">
      <c r="A406" s="95" t="s">
        <v>108</v>
      </c>
      <c r="B406" s="188"/>
      <c r="C406" s="189" t="s">
        <v>357</v>
      </c>
      <c r="D406" s="95" t="s">
        <v>638</v>
      </c>
      <c r="E406" s="95" t="s">
        <v>612</v>
      </c>
      <c r="F406" s="174">
        <v>10.152219195641718</v>
      </c>
      <c r="G406" s="190">
        <v>156</v>
      </c>
      <c r="H406" s="140">
        <v>1</v>
      </c>
      <c r="I406" s="170"/>
    </row>
    <row r="407" spans="1:9">
      <c r="A407" s="95" t="s">
        <v>108</v>
      </c>
      <c r="B407" s="188"/>
      <c r="C407" s="189" t="s">
        <v>357</v>
      </c>
      <c r="D407" s="95" t="s">
        <v>291</v>
      </c>
      <c r="E407" s="95" t="s">
        <v>251</v>
      </c>
      <c r="F407" s="174">
        <v>16.571703252683857</v>
      </c>
      <c r="G407" s="190">
        <v>156</v>
      </c>
      <c r="H407" s="140">
        <v>1</v>
      </c>
      <c r="I407" s="170"/>
    </row>
    <row r="408" spans="1:9">
      <c r="A408" s="95" t="s">
        <v>108</v>
      </c>
      <c r="B408" s="188"/>
      <c r="C408" s="189" t="s">
        <v>357</v>
      </c>
      <c r="D408" s="95" t="s">
        <v>639</v>
      </c>
      <c r="E408" s="95" t="s">
        <v>251</v>
      </c>
      <c r="F408" s="174">
        <v>23.134754045825986</v>
      </c>
      <c r="G408" s="190">
        <v>52</v>
      </c>
      <c r="H408" s="140">
        <v>1</v>
      </c>
      <c r="I408" s="170"/>
    </row>
    <row r="409" spans="1:9">
      <c r="A409" s="95" t="s">
        <v>108</v>
      </c>
      <c r="B409" s="188"/>
      <c r="C409" s="189" t="s">
        <v>357</v>
      </c>
      <c r="D409" s="95" t="s">
        <v>640</v>
      </c>
      <c r="E409" s="95" t="s">
        <v>251</v>
      </c>
      <c r="F409" s="174">
        <v>25.785611280243543</v>
      </c>
      <c r="G409" s="190">
        <v>156</v>
      </c>
      <c r="H409" s="140">
        <v>1</v>
      </c>
      <c r="I409" s="170"/>
    </row>
    <row r="410" spans="1:9">
      <c r="A410" s="95" t="s">
        <v>108</v>
      </c>
      <c r="B410" s="188"/>
      <c r="C410" s="189" t="s">
        <v>357</v>
      </c>
      <c r="D410" s="95" t="s">
        <v>641</v>
      </c>
      <c r="E410" s="95" t="s">
        <v>251</v>
      </c>
      <c r="F410" s="174">
        <v>40.967793622816842</v>
      </c>
      <c r="G410" s="190">
        <v>156</v>
      </c>
      <c r="H410" s="140">
        <v>1</v>
      </c>
      <c r="I410" s="170"/>
    </row>
    <row r="411" spans="1:9">
      <c r="A411" s="95" t="s">
        <v>108</v>
      </c>
      <c r="B411" s="188"/>
      <c r="C411" s="189" t="s">
        <v>357</v>
      </c>
      <c r="D411" s="95" t="s">
        <v>433</v>
      </c>
      <c r="E411" s="95" t="s">
        <v>275</v>
      </c>
      <c r="F411" s="174">
        <v>56.085883672488364</v>
      </c>
      <c r="G411" s="190">
        <v>156</v>
      </c>
      <c r="H411" s="140">
        <v>1</v>
      </c>
      <c r="I411" s="170"/>
    </row>
    <row r="412" spans="1:9">
      <c r="A412" s="95" t="s">
        <v>108</v>
      </c>
      <c r="B412" s="188"/>
      <c r="C412" s="189" t="s">
        <v>357</v>
      </c>
      <c r="D412" s="95" t="s">
        <v>372</v>
      </c>
      <c r="E412" s="95" t="s">
        <v>275</v>
      </c>
      <c r="F412" s="174">
        <v>10.17272872937029</v>
      </c>
      <c r="G412" s="190">
        <v>156</v>
      </c>
      <c r="H412" s="140">
        <v>1</v>
      </c>
      <c r="I412" s="170"/>
    </row>
    <row r="413" spans="1:9">
      <c r="A413" s="95" t="s">
        <v>108</v>
      </c>
      <c r="B413" s="188"/>
      <c r="C413" s="189" t="s">
        <v>357</v>
      </c>
      <c r="D413" s="95" t="s">
        <v>518</v>
      </c>
      <c r="E413" s="95" t="s">
        <v>612</v>
      </c>
      <c r="F413" s="174">
        <v>3.9378304758852738</v>
      </c>
      <c r="G413" s="190">
        <v>156</v>
      </c>
      <c r="H413" s="140">
        <v>1</v>
      </c>
      <c r="I413" s="170"/>
    </row>
    <row r="414" spans="1:9">
      <c r="A414" s="95" t="s">
        <v>108</v>
      </c>
      <c r="B414" s="188"/>
      <c r="C414" s="189" t="s">
        <v>357</v>
      </c>
      <c r="D414" s="95" t="s">
        <v>526</v>
      </c>
      <c r="E414" s="95" t="s">
        <v>612</v>
      </c>
      <c r="F414" s="174">
        <v>4.51209742028521</v>
      </c>
      <c r="G414" s="190">
        <v>156</v>
      </c>
      <c r="H414" s="140">
        <v>1</v>
      </c>
      <c r="I414" s="170"/>
    </row>
    <row r="415" spans="1:9">
      <c r="A415" s="95" t="s">
        <v>108</v>
      </c>
      <c r="B415" s="188"/>
      <c r="C415" s="189" t="s">
        <v>357</v>
      </c>
      <c r="D415" s="95" t="s">
        <v>264</v>
      </c>
      <c r="E415" s="95" t="s">
        <v>612</v>
      </c>
      <c r="F415" s="174">
        <v>2.9533728569139552</v>
      </c>
      <c r="G415" s="190">
        <v>156</v>
      </c>
      <c r="H415" s="140">
        <v>1</v>
      </c>
      <c r="I415" s="170"/>
    </row>
    <row r="416" spans="1:9">
      <c r="A416" s="95" t="s">
        <v>108</v>
      </c>
      <c r="B416" s="188"/>
      <c r="C416" s="189" t="s">
        <v>357</v>
      </c>
      <c r="D416" s="95" t="s">
        <v>626</v>
      </c>
      <c r="E416" s="95" t="s">
        <v>251</v>
      </c>
      <c r="F416" s="174">
        <v>18.376542220797944</v>
      </c>
      <c r="G416" s="190">
        <v>104</v>
      </c>
      <c r="H416" s="140">
        <v>1</v>
      </c>
      <c r="I416" s="170"/>
    </row>
    <row r="417" spans="1:9">
      <c r="A417" s="95" t="s">
        <v>108</v>
      </c>
      <c r="B417" s="188"/>
      <c r="C417" s="189" t="s">
        <v>642</v>
      </c>
      <c r="D417" s="95" t="s">
        <v>294</v>
      </c>
      <c r="E417" s="95" t="s">
        <v>612</v>
      </c>
      <c r="F417" s="174">
        <v>22.764214857142868</v>
      </c>
      <c r="G417" s="190">
        <v>156</v>
      </c>
      <c r="H417" s="140">
        <v>1</v>
      </c>
      <c r="I417" s="170"/>
    </row>
    <row r="418" spans="1:9">
      <c r="A418" s="95" t="s">
        <v>108</v>
      </c>
      <c r="B418" s="188"/>
      <c r="C418" s="189" t="s">
        <v>643</v>
      </c>
      <c r="D418" s="95" t="s">
        <v>310</v>
      </c>
      <c r="E418" s="95" t="s">
        <v>275</v>
      </c>
      <c r="F418" s="174">
        <v>1.5</v>
      </c>
      <c r="G418" s="190">
        <v>12</v>
      </c>
      <c r="H418" s="140">
        <v>1</v>
      </c>
      <c r="I418" s="170"/>
    </row>
    <row r="419" spans="1:9">
      <c r="A419" s="95" t="s">
        <v>108</v>
      </c>
      <c r="B419" s="188"/>
      <c r="C419" s="189" t="s">
        <v>644</v>
      </c>
      <c r="D419" s="95" t="s">
        <v>318</v>
      </c>
      <c r="E419" s="95" t="s">
        <v>612</v>
      </c>
      <c r="F419" s="174">
        <v>2.1180989387755109</v>
      </c>
      <c r="G419" s="190">
        <v>156</v>
      </c>
      <c r="H419" s="140">
        <v>1</v>
      </c>
      <c r="I419" s="170"/>
    </row>
    <row r="420" spans="1:9">
      <c r="A420" s="95" t="s">
        <v>108</v>
      </c>
      <c r="B420" s="188"/>
      <c r="C420" s="189" t="s">
        <v>645</v>
      </c>
      <c r="D420" s="95" t="s">
        <v>646</v>
      </c>
      <c r="E420" s="95" t="s">
        <v>612</v>
      </c>
      <c r="F420" s="174">
        <v>4.278987755102043</v>
      </c>
      <c r="G420" s="190">
        <v>156</v>
      </c>
      <c r="H420" s="140">
        <v>1</v>
      </c>
      <c r="I420" s="170"/>
    </row>
    <row r="421" spans="1:9">
      <c r="A421" s="95" t="s">
        <v>108</v>
      </c>
      <c r="B421" s="188"/>
      <c r="C421" s="189" t="s">
        <v>647</v>
      </c>
      <c r="D421" s="95" t="s">
        <v>648</v>
      </c>
      <c r="E421" s="95" t="s">
        <v>612</v>
      </c>
      <c r="F421" s="174">
        <v>13.478811428571431</v>
      </c>
      <c r="G421" s="190">
        <v>156</v>
      </c>
      <c r="H421" s="140">
        <v>1</v>
      </c>
      <c r="I421" s="170"/>
    </row>
    <row r="422" spans="1:9">
      <c r="A422" s="95" t="s">
        <v>108</v>
      </c>
      <c r="B422" s="188"/>
      <c r="C422" s="189" t="s">
        <v>649</v>
      </c>
      <c r="D422" s="95" t="s">
        <v>650</v>
      </c>
      <c r="E422" s="95" t="s">
        <v>251</v>
      </c>
      <c r="F422" s="174">
        <v>25.438582204081641</v>
      </c>
      <c r="G422" s="190">
        <v>156</v>
      </c>
      <c r="H422" s="140">
        <v>1</v>
      </c>
      <c r="I422" s="170"/>
    </row>
    <row r="423" spans="1:9">
      <c r="A423" s="95" t="s">
        <v>108</v>
      </c>
      <c r="B423" s="188"/>
      <c r="C423" s="189" t="s">
        <v>651</v>
      </c>
      <c r="D423" s="95" t="s">
        <v>652</v>
      </c>
      <c r="E423" s="95" t="s">
        <v>251</v>
      </c>
      <c r="F423" s="174">
        <v>14.912272326530616</v>
      </c>
      <c r="G423" s="190">
        <v>156</v>
      </c>
      <c r="H423" s="140">
        <v>1</v>
      </c>
      <c r="I423" s="170"/>
    </row>
    <row r="424" spans="1:9">
      <c r="A424" s="95" t="s">
        <v>108</v>
      </c>
      <c r="B424" s="188"/>
      <c r="C424" s="189" t="s">
        <v>653</v>
      </c>
      <c r="D424" s="95" t="s">
        <v>650</v>
      </c>
      <c r="E424" s="95" t="s">
        <v>251</v>
      </c>
      <c r="F424" s="174">
        <v>14.035079836734699</v>
      </c>
      <c r="G424" s="190">
        <v>156</v>
      </c>
      <c r="H424" s="140">
        <v>1</v>
      </c>
      <c r="I424" s="170"/>
    </row>
    <row r="425" spans="1:9">
      <c r="A425" s="95" t="s">
        <v>108</v>
      </c>
      <c r="B425" s="188"/>
      <c r="C425" s="189" t="s">
        <v>654</v>
      </c>
      <c r="D425" s="95" t="s">
        <v>652</v>
      </c>
      <c r="E425" s="95" t="s">
        <v>251</v>
      </c>
      <c r="F425" s="174">
        <v>16.514218367346945</v>
      </c>
      <c r="G425" s="190">
        <v>156</v>
      </c>
      <c r="H425" s="140">
        <v>1</v>
      </c>
      <c r="I425" s="170"/>
    </row>
    <row r="426" spans="1:9">
      <c r="A426" s="95" t="s">
        <v>108</v>
      </c>
      <c r="B426" s="188"/>
      <c r="C426" s="189" t="s">
        <v>655</v>
      </c>
      <c r="D426" s="95" t="s">
        <v>652</v>
      </c>
      <c r="E426" s="95" t="s">
        <v>251</v>
      </c>
      <c r="F426" s="174">
        <v>17.276413061224495</v>
      </c>
      <c r="G426" s="190">
        <v>156</v>
      </c>
      <c r="H426" s="140">
        <v>1</v>
      </c>
      <c r="I426" s="170"/>
    </row>
    <row r="427" spans="1:9">
      <c r="A427" s="95" t="s">
        <v>108</v>
      </c>
      <c r="B427" s="188"/>
      <c r="C427" s="189" t="s">
        <v>656</v>
      </c>
      <c r="D427" s="95" t="s">
        <v>652</v>
      </c>
      <c r="E427" s="95" t="s">
        <v>251</v>
      </c>
      <c r="F427" s="174">
        <v>17.276413061224495</v>
      </c>
      <c r="G427" s="190">
        <v>156</v>
      </c>
      <c r="H427" s="140">
        <v>1</v>
      </c>
      <c r="I427" s="170"/>
    </row>
    <row r="428" spans="1:9">
      <c r="A428" s="95" t="s">
        <v>108</v>
      </c>
      <c r="B428" s="188"/>
      <c r="C428" s="189" t="s">
        <v>657</v>
      </c>
      <c r="D428" s="95" t="s">
        <v>652</v>
      </c>
      <c r="E428" s="95" t="s">
        <v>251</v>
      </c>
      <c r="F428" s="174">
        <v>17.276413061224495</v>
      </c>
      <c r="G428" s="190">
        <v>156</v>
      </c>
      <c r="H428" s="140">
        <v>1</v>
      </c>
      <c r="I428" s="170"/>
    </row>
    <row r="429" spans="1:9">
      <c r="A429" s="95" t="s">
        <v>108</v>
      </c>
      <c r="B429" s="188"/>
      <c r="C429" s="189" t="s">
        <v>658</v>
      </c>
      <c r="D429" s="95" t="s">
        <v>565</v>
      </c>
      <c r="E429" s="95" t="s">
        <v>251</v>
      </c>
      <c r="F429" s="174">
        <v>25.406489795918379</v>
      </c>
      <c r="G429" s="190">
        <v>156</v>
      </c>
      <c r="H429" s="140">
        <v>1</v>
      </c>
      <c r="I429" s="170"/>
    </row>
    <row r="430" spans="1:9">
      <c r="A430" s="95"/>
      <c r="B430" s="188"/>
      <c r="C430" s="189"/>
      <c r="D430" s="95"/>
      <c r="E430" s="95"/>
      <c r="F430" s="174"/>
      <c r="G430" s="190"/>
      <c r="H430" s="190"/>
      <c r="I430" s="172"/>
    </row>
    <row r="431" spans="1:9">
      <c r="A431" s="95" t="s">
        <v>109</v>
      </c>
      <c r="B431" s="188">
        <v>0</v>
      </c>
      <c r="C431" s="189" t="s">
        <v>659</v>
      </c>
      <c r="D431" s="95" t="s">
        <v>292</v>
      </c>
      <c r="E431" s="95" t="s">
        <v>262</v>
      </c>
      <c r="F431" s="174">
        <v>17</v>
      </c>
      <c r="G431" s="190">
        <v>52</v>
      </c>
      <c r="H431" s="140">
        <v>1</v>
      </c>
      <c r="I431" s="170"/>
    </row>
    <row r="432" spans="1:9">
      <c r="A432" s="95" t="s">
        <v>109</v>
      </c>
      <c r="B432" s="188">
        <v>0</v>
      </c>
      <c r="C432" s="189" t="s">
        <v>660</v>
      </c>
      <c r="D432" s="95" t="s">
        <v>344</v>
      </c>
      <c r="E432" s="95" t="s">
        <v>295</v>
      </c>
      <c r="F432" s="174">
        <v>10</v>
      </c>
      <c r="G432" s="190">
        <v>52</v>
      </c>
      <c r="H432" s="140">
        <v>1</v>
      </c>
      <c r="I432" s="170"/>
    </row>
    <row r="433" spans="1:9">
      <c r="A433" s="95" t="s">
        <v>109</v>
      </c>
      <c r="B433" s="188">
        <v>0</v>
      </c>
      <c r="C433" s="189" t="s">
        <v>661</v>
      </c>
      <c r="D433" s="95" t="s">
        <v>603</v>
      </c>
      <c r="E433" s="95" t="s">
        <v>262</v>
      </c>
      <c r="F433" s="174">
        <v>2</v>
      </c>
      <c r="G433" s="190">
        <v>52</v>
      </c>
      <c r="H433" s="140">
        <v>1</v>
      </c>
      <c r="I433" s="170"/>
    </row>
    <row r="434" spans="1:9">
      <c r="A434" s="95" t="s">
        <v>109</v>
      </c>
      <c r="B434" s="188">
        <v>0</v>
      </c>
      <c r="C434" s="189" t="s">
        <v>662</v>
      </c>
      <c r="D434" s="95" t="s">
        <v>603</v>
      </c>
      <c r="E434" s="95" t="s">
        <v>262</v>
      </c>
      <c r="F434" s="174">
        <v>6</v>
      </c>
      <c r="G434" s="190">
        <v>52</v>
      </c>
      <c r="H434" s="140">
        <v>1</v>
      </c>
      <c r="I434" s="170"/>
    </row>
    <row r="435" spans="1:9">
      <c r="A435" s="95" t="s">
        <v>109</v>
      </c>
      <c r="B435" s="188">
        <v>0</v>
      </c>
      <c r="C435" s="189" t="s">
        <v>663</v>
      </c>
      <c r="D435" s="95" t="s">
        <v>318</v>
      </c>
      <c r="E435" s="95" t="s">
        <v>262</v>
      </c>
      <c r="F435" s="174">
        <v>1</v>
      </c>
      <c r="G435" s="190">
        <v>52</v>
      </c>
      <c r="H435" s="140">
        <v>1</v>
      </c>
      <c r="I435" s="170"/>
    </row>
    <row r="436" spans="1:9">
      <c r="A436" s="95" t="s">
        <v>109</v>
      </c>
      <c r="B436" s="188">
        <v>0</v>
      </c>
      <c r="C436" s="189" t="s">
        <v>664</v>
      </c>
      <c r="D436" s="95" t="s">
        <v>318</v>
      </c>
      <c r="E436" s="95" t="s">
        <v>262</v>
      </c>
      <c r="F436" s="174">
        <v>1</v>
      </c>
      <c r="G436" s="190">
        <v>52</v>
      </c>
      <c r="H436" s="140">
        <v>1</v>
      </c>
      <c r="I436" s="170"/>
    </row>
    <row r="437" spans="1:9">
      <c r="A437" s="95" t="s">
        <v>109</v>
      </c>
      <c r="B437" s="188">
        <v>0</v>
      </c>
      <c r="C437" s="189" t="s">
        <v>665</v>
      </c>
      <c r="D437" s="95" t="s">
        <v>318</v>
      </c>
      <c r="E437" s="95" t="s">
        <v>262</v>
      </c>
      <c r="F437" s="174">
        <v>2</v>
      </c>
      <c r="G437" s="190">
        <v>52</v>
      </c>
      <c r="H437" s="140">
        <v>1</v>
      </c>
      <c r="I437" s="170"/>
    </row>
    <row r="438" spans="1:9">
      <c r="A438" s="95" t="s">
        <v>109</v>
      </c>
      <c r="B438" s="188">
        <v>0</v>
      </c>
      <c r="C438" s="189" t="s">
        <v>666</v>
      </c>
      <c r="D438" s="95" t="s">
        <v>119</v>
      </c>
      <c r="E438" s="95" t="s">
        <v>262</v>
      </c>
      <c r="F438" s="174">
        <v>3</v>
      </c>
      <c r="G438" s="190">
        <v>52</v>
      </c>
      <c r="H438" s="140">
        <v>1</v>
      </c>
      <c r="I438" s="170"/>
    </row>
    <row r="439" spans="1:9">
      <c r="A439" s="95" t="s">
        <v>109</v>
      </c>
      <c r="B439" s="188">
        <v>0</v>
      </c>
      <c r="C439" s="189" t="s">
        <v>667</v>
      </c>
      <c r="D439" s="95" t="s">
        <v>590</v>
      </c>
      <c r="E439" s="95" t="s">
        <v>668</v>
      </c>
      <c r="F439" s="174">
        <v>8</v>
      </c>
      <c r="G439" s="190">
        <v>52</v>
      </c>
      <c r="H439" s="140">
        <v>1</v>
      </c>
      <c r="I439" s="170"/>
    </row>
    <row r="440" spans="1:9">
      <c r="A440" s="95" t="s">
        <v>109</v>
      </c>
      <c r="B440" s="188">
        <v>0</v>
      </c>
      <c r="C440" s="189" t="s">
        <v>511</v>
      </c>
      <c r="D440" s="95" t="s">
        <v>513</v>
      </c>
      <c r="E440" s="95" t="s">
        <v>262</v>
      </c>
      <c r="F440" s="174">
        <v>9</v>
      </c>
      <c r="G440" s="190">
        <v>52</v>
      </c>
      <c r="H440" s="140">
        <v>1</v>
      </c>
      <c r="I440" s="170"/>
    </row>
    <row r="441" spans="1:9">
      <c r="A441" s="95" t="s">
        <v>109</v>
      </c>
      <c r="B441" s="188">
        <v>0</v>
      </c>
      <c r="C441" s="189" t="s">
        <v>669</v>
      </c>
      <c r="D441" s="95" t="s">
        <v>524</v>
      </c>
      <c r="E441" s="95" t="s">
        <v>262</v>
      </c>
      <c r="F441" s="174">
        <v>23</v>
      </c>
      <c r="G441" s="190">
        <v>52</v>
      </c>
      <c r="H441" s="140">
        <v>1</v>
      </c>
      <c r="I441" s="170"/>
    </row>
    <row r="442" spans="1:9">
      <c r="A442" s="95" t="s">
        <v>109</v>
      </c>
      <c r="B442" s="188">
        <v>0</v>
      </c>
      <c r="C442" s="189" t="s">
        <v>517</v>
      </c>
      <c r="D442" s="95" t="s">
        <v>339</v>
      </c>
      <c r="E442" s="95" t="s">
        <v>504</v>
      </c>
      <c r="F442" s="174">
        <v>19</v>
      </c>
      <c r="G442" s="190">
        <v>52</v>
      </c>
      <c r="H442" s="140">
        <v>1</v>
      </c>
      <c r="I442" s="170"/>
    </row>
    <row r="443" spans="1:9">
      <c r="A443" s="95" t="s">
        <v>109</v>
      </c>
      <c r="B443" s="188" t="s">
        <v>357</v>
      </c>
      <c r="C443" s="189" t="s">
        <v>670</v>
      </c>
      <c r="D443" s="95" t="s">
        <v>671</v>
      </c>
      <c r="E443" s="95" t="s">
        <v>504</v>
      </c>
      <c r="F443" s="174">
        <v>4</v>
      </c>
      <c r="G443" s="190">
        <v>52</v>
      </c>
      <c r="H443" s="140">
        <v>1</v>
      </c>
      <c r="I443" s="170"/>
    </row>
    <row r="444" spans="1:9">
      <c r="A444" s="95" t="s">
        <v>109</v>
      </c>
      <c r="B444" s="188" t="s">
        <v>357</v>
      </c>
      <c r="C444" s="189" t="s">
        <v>672</v>
      </c>
      <c r="D444" s="95" t="s">
        <v>291</v>
      </c>
      <c r="E444" s="95" t="s">
        <v>504</v>
      </c>
      <c r="F444" s="174">
        <v>8</v>
      </c>
      <c r="G444" s="190">
        <v>52</v>
      </c>
      <c r="H444" s="140">
        <v>1</v>
      </c>
      <c r="I444" s="170"/>
    </row>
    <row r="445" spans="1:9">
      <c r="A445" s="95" t="s">
        <v>109</v>
      </c>
      <c r="B445" s="188" t="s">
        <v>357</v>
      </c>
      <c r="C445" s="189" t="s">
        <v>581</v>
      </c>
      <c r="D445" s="95" t="s">
        <v>372</v>
      </c>
      <c r="E445" s="95" t="s">
        <v>262</v>
      </c>
      <c r="F445" s="174">
        <v>4</v>
      </c>
      <c r="G445" s="190">
        <v>52</v>
      </c>
      <c r="H445" s="140">
        <v>1</v>
      </c>
      <c r="I445" s="170"/>
    </row>
    <row r="446" spans="1:9">
      <c r="A446" s="95" t="s">
        <v>109</v>
      </c>
      <c r="B446" s="188" t="s">
        <v>357</v>
      </c>
      <c r="C446" s="189" t="s">
        <v>582</v>
      </c>
      <c r="D446" s="95" t="s">
        <v>292</v>
      </c>
      <c r="E446" s="95" t="s">
        <v>504</v>
      </c>
      <c r="F446" s="174">
        <v>15</v>
      </c>
      <c r="G446" s="190">
        <v>52</v>
      </c>
      <c r="H446" s="140">
        <v>1</v>
      </c>
      <c r="I446" s="170"/>
    </row>
    <row r="447" spans="1:9">
      <c r="A447" s="95" t="s">
        <v>109</v>
      </c>
      <c r="B447" s="188" t="s">
        <v>357</v>
      </c>
      <c r="C447" s="189" t="s">
        <v>583</v>
      </c>
      <c r="D447" s="95" t="s">
        <v>518</v>
      </c>
      <c r="E447" s="95" t="s">
        <v>262</v>
      </c>
      <c r="F447" s="174">
        <v>1</v>
      </c>
      <c r="G447" s="190">
        <v>52</v>
      </c>
      <c r="H447" s="140">
        <v>1</v>
      </c>
      <c r="I447" s="170"/>
    </row>
    <row r="448" spans="1:9">
      <c r="A448" s="95" t="s">
        <v>109</v>
      </c>
      <c r="B448" s="188" t="s">
        <v>357</v>
      </c>
      <c r="C448" s="189" t="s">
        <v>585</v>
      </c>
      <c r="D448" s="95" t="s">
        <v>339</v>
      </c>
      <c r="E448" s="95" t="s">
        <v>504</v>
      </c>
      <c r="F448" s="174">
        <v>27</v>
      </c>
      <c r="G448" s="190">
        <v>52</v>
      </c>
      <c r="H448" s="140">
        <v>1</v>
      </c>
      <c r="I448" s="170"/>
    </row>
    <row r="449" spans="1:9">
      <c r="A449" s="95" t="s">
        <v>109</v>
      </c>
      <c r="B449" s="188" t="s">
        <v>357</v>
      </c>
      <c r="C449" s="189" t="s">
        <v>587</v>
      </c>
      <c r="D449" s="95" t="s">
        <v>526</v>
      </c>
      <c r="E449" s="95" t="s">
        <v>262</v>
      </c>
      <c r="F449" s="174">
        <v>6</v>
      </c>
      <c r="G449" s="190">
        <v>52</v>
      </c>
      <c r="H449" s="140">
        <v>1</v>
      </c>
      <c r="I449" s="170"/>
    </row>
    <row r="450" spans="1:9">
      <c r="A450" s="95" t="s">
        <v>109</v>
      </c>
      <c r="B450" s="188" t="s">
        <v>357</v>
      </c>
      <c r="C450" s="189" t="s">
        <v>589</v>
      </c>
      <c r="D450" s="95" t="s">
        <v>615</v>
      </c>
      <c r="E450" s="95" t="s">
        <v>504</v>
      </c>
      <c r="F450" s="174">
        <v>53</v>
      </c>
      <c r="G450" s="190">
        <v>52</v>
      </c>
      <c r="H450" s="140">
        <v>1</v>
      </c>
      <c r="I450" s="170"/>
    </row>
    <row r="451" spans="1:9">
      <c r="A451" s="95"/>
      <c r="B451" s="188"/>
      <c r="C451" s="189"/>
      <c r="D451" s="95"/>
      <c r="E451" s="95"/>
      <c r="F451" s="174"/>
      <c r="G451" s="190"/>
      <c r="H451" s="190"/>
      <c r="I451" s="172"/>
    </row>
    <row r="452" spans="1:9">
      <c r="A452" s="95" t="s">
        <v>110</v>
      </c>
      <c r="B452" s="188">
        <v>0</v>
      </c>
      <c r="C452" s="189" t="s">
        <v>497</v>
      </c>
      <c r="D452" s="95" t="s">
        <v>119</v>
      </c>
      <c r="E452" s="95" t="s">
        <v>251</v>
      </c>
      <c r="F452" s="174">
        <v>9.8379779280882893</v>
      </c>
      <c r="G452" s="190">
        <v>52</v>
      </c>
      <c r="H452" s="140">
        <v>1</v>
      </c>
      <c r="I452" s="170"/>
    </row>
    <row r="453" spans="1:9">
      <c r="A453" s="95" t="s">
        <v>110</v>
      </c>
      <c r="B453" s="188">
        <v>0</v>
      </c>
      <c r="C453" s="189" t="s">
        <v>499</v>
      </c>
      <c r="D453" s="95" t="s">
        <v>344</v>
      </c>
      <c r="E453" s="95" t="s">
        <v>295</v>
      </c>
      <c r="F453" s="174">
        <v>4.2355286578853697</v>
      </c>
      <c r="G453" s="190">
        <v>52</v>
      </c>
      <c r="H453" s="140">
        <v>1</v>
      </c>
      <c r="I453" s="170"/>
    </row>
    <row r="454" spans="1:9">
      <c r="A454" s="95" t="s">
        <v>110</v>
      </c>
      <c r="B454" s="188">
        <v>0</v>
      </c>
      <c r="C454" s="189" t="s">
        <v>501</v>
      </c>
      <c r="D454" s="95" t="s">
        <v>339</v>
      </c>
      <c r="E454" s="95" t="s">
        <v>504</v>
      </c>
      <c r="F454" s="174">
        <v>19.993620505517985</v>
      </c>
      <c r="G454" s="190">
        <v>52</v>
      </c>
      <c r="H454" s="140">
        <v>1</v>
      </c>
      <c r="I454" s="170"/>
    </row>
    <row r="455" spans="1:9">
      <c r="A455" s="95" t="s">
        <v>110</v>
      </c>
      <c r="B455" s="188">
        <v>0</v>
      </c>
      <c r="C455" s="189" t="s">
        <v>673</v>
      </c>
      <c r="D455" s="95" t="s">
        <v>524</v>
      </c>
      <c r="E455" s="95" t="s">
        <v>262</v>
      </c>
      <c r="F455" s="174">
        <v>40.661075115699546</v>
      </c>
      <c r="G455" s="190">
        <v>52</v>
      </c>
      <c r="H455" s="140">
        <v>1</v>
      </c>
      <c r="I455" s="170"/>
    </row>
    <row r="456" spans="1:9">
      <c r="A456" s="95" t="s">
        <v>110</v>
      </c>
      <c r="B456" s="188">
        <v>0</v>
      </c>
      <c r="C456" s="189" t="s">
        <v>674</v>
      </c>
      <c r="D456" s="95" t="s">
        <v>318</v>
      </c>
      <c r="E456" s="95" t="s">
        <v>262</v>
      </c>
      <c r="F456" s="174">
        <v>1.1551441794232826</v>
      </c>
      <c r="G456" s="190">
        <v>52</v>
      </c>
      <c r="H456" s="140">
        <v>1</v>
      </c>
      <c r="I456" s="170"/>
    </row>
    <row r="457" spans="1:9">
      <c r="A457" s="95" t="s">
        <v>110</v>
      </c>
      <c r="B457" s="188">
        <v>0</v>
      </c>
      <c r="C457" s="189" t="s">
        <v>505</v>
      </c>
      <c r="D457" s="95" t="s">
        <v>318</v>
      </c>
      <c r="E457" s="95" t="s">
        <v>262</v>
      </c>
      <c r="F457" s="174">
        <v>1.1551441794232826</v>
      </c>
      <c r="G457" s="190">
        <v>52</v>
      </c>
      <c r="H457" s="140">
        <v>1</v>
      </c>
      <c r="I457" s="170"/>
    </row>
    <row r="458" spans="1:9">
      <c r="A458" s="95" t="s">
        <v>110</v>
      </c>
      <c r="B458" s="188">
        <v>0</v>
      </c>
      <c r="C458" s="189" t="s">
        <v>507</v>
      </c>
      <c r="D458" s="95" t="s">
        <v>318</v>
      </c>
      <c r="E458" s="95" t="s">
        <v>262</v>
      </c>
      <c r="F458" s="174">
        <v>1.1551441794232826</v>
      </c>
      <c r="G458" s="190">
        <v>52</v>
      </c>
      <c r="H458" s="140">
        <v>1</v>
      </c>
      <c r="I458" s="170"/>
    </row>
    <row r="459" spans="1:9">
      <c r="A459" s="95" t="s">
        <v>110</v>
      </c>
      <c r="B459" s="188">
        <v>0</v>
      </c>
      <c r="C459" s="189" t="s">
        <v>509</v>
      </c>
      <c r="D459" s="95" t="s">
        <v>675</v>
      </c>
      <c r="E459" s="95" t="s">
        <v>262</v>
      </c>
      <c r="F459" s="174">
        <v>6.9886222855108597</v>
      </c>
      <c r="G459" s="190">
        <v>52</v>
      </c>
      <c r="H459" s="140">
        <v>1</v>
      </c>
      <c r="I459" s="170"/>
    </row>
    <row r="460" spans="1:9">
      <c r="A460" s="95" t="s">
        <v>110</v>
      </c>
      <c r="B460" s="188">
        <v>0</v>
      </c>
      <c r="C460" s="189" t="s">
        <v>676</v>
      </c>
      <c r="D460" s="95" t="s">
        <v>292</v>
      </c>
      <c r="E460" s="95" t="s">
        <v>251</v>
      </c>
      <c r="F460" s="174">
        <v>6.6998362406550394</v>
      </c>
      <c r="G460" s="190">
        <v>52</v>
      </c>
      <c r="H460" s="140">
        <v>1</v>
      </c>
      <c r="I460" s="170"/>
    </row>
    <row r="461" spans="1:9">
      <c r="A461" s="95" t="s">
        <v>110</v>
      </c>
      <c r="B461" s="188">
        <v>0</v>
      </c>
      <c r="C461" s="189" t="s">
        <v>511</v>
      </c>
      <c r="D461" s="95" t="s">
        <v>513</v>
      </c>
      <c r="E461" s="95" t="s">
        <v>262</v>
      </c>
      <c r="F461" s="174">
        <v>9.69358490566038</v>
      </c>
      <c r="G461" s="190">
        <v>52</v>
      </c>
      <c r="H461" s="140">
        <v>1</v>
      </c>
      <c r="I461" s="170"/>
    </row>
    <row r="462" spans="1:9">
      <c r="A462" s="95" t="s">
        <v>110</v>
      </c>
      <c r="B462" s="188">
        <v>0</v>
      </c>
      <c r="C462" s="189" t="s">
        <v>669</v>
      </c>
      <c r="D462" s="95" t="s">
        <v>515</v>
      </c>
      <c r="E462" s="95" t="s">
        <v>262</v>
      </c>
      <c r="F462" s="174">
        <v>1.7327162691349238</v>
      </c>
      <c r="G462" s="190">
        <v>52</v>
      </c>
      <c r="H462" s="140">
        <v>1</v>
      </c>
      <c r="I462" s="170"/>
    </row>
    <row r="463" spans="1:9">
      <c r="A463" s="95" t="s">
        <v>110</v>
      </c>
      <c r="B463" s="188">
        <v>0</v>
      </c>
      <c r="C463" s="189" t="s">
        <v>512</v>
      </c>
      <c r="D463" s="95" t="s">
        <v>291</v>
      </c>
      <c r="E463" s="95" t="s">
        <v>251</v>
      </c>
      <c r="F463" s="174">
        <v>4.5820719117123536</v>
      </c>
      <c r="G463" s="190">
        <v>52</v>
      </c>
      <c r="H463" s="140">
        <v>1</v>
      </c>
      <c r="I463" s="170"/>
    </row>
    <row r="464" spans="1:9">
      <c r="A464" s="95" t="s">
        <v>110</v>
      </c>
      <c r="B464" s="188" t="s">
        <v>357</v>
      </c>
      <c r="C464" s="189" t="s">
        <v>547</v>
      </c>
      <c r="D464" s="95" t="s">
        <v>292</v>
      </c>
      <c r="E464" s="95" t="s">
        <v>504</v>
      </c>
      <c r="F464" s="174">
        <v>8.7822100235944305</v>
      </c>
      <c r="G464" s="190">
        <v>52</v>
      </c>
      <c r="H464" s="140">
        <v>1</v>
      </c>
      <c r="I464" s="170"/>
    </row>
    <row r="465" spans="1:9">
      <c r="A465" s="95" t="s">
        <v>110</v>
      </c>
      <c r="B465" s="188" t="s">
        <v>357</v>
      </c>
      <c r="C465" s="193" t="s">
        <v>677</v>
      </c>
      <c r="D465" s="194" t="s">
        <v>318</v>
      </c>
      <c r="E465" s="194" t="s">
        <v>262</v>
      </c>
      <c r="F465" s="195">
        <v>1.9199601411414602</v>
      </c>
      <c r="G465" s="190">
        <v>52</v>
      </c>
      <c r="H465" s="140">
        <v>1</v>
      </c>
      <c r="I465" s="170"/>
    </row>
    <row r="466" spans="1:9">
      <c r="A466" s="95" t="s">
        <v>110</v>
      </c>
      <c r="B466" s="188" t="s">
        <v>357</v>
      </c>
      <c r="C466" s="189" t="s">
        <v>678</v>
      </c>
      <c r="D466" s="95" t="s">
        <v>318</v>
      </c>
      <c r="E466" s="95" t="s">
        <v>262</v>
      </c>
      <c r="F466" s="174">
        <v>2.0210106748857477</v>
      </c>
      <c r="G466" s="190">
        <v>52</v>
      </c>
      <c r="H466" s="140">
        <v>1</v>
      </c>
      <c r="I466" s="170"/>
    </row>
    <row r="467" spans="1:9">
      <c r="A467" s="95" t="s">
        <v>110</v>
      </c>
      <c r="B467" s="188" t="s">
        <v>357</v>
      </c>
      <c r="C467" s="189" t="s">
        <v>679</v>
      </c>
      <c r="D467" s="95" t="s">
        <v>680</v>
      </c>
      <c r="E467" s="95" t="s">
        <v>504</v>
      </c>
      <c r="F467" s="174">
        <v>65.499118690615362</v>
      </c>
      <c r="G467" s="190">
        <v>52</v>
      </c>
      <c r="H467" s="140">
        <v>1</v>
      </c>
      <c r="I467" s="170"/>
    </row>
    <row r="468" spans="1:9">
      <c r="A468" s="95" t="s">
        <v>110</v>
      </c>
      <c r="B468" s="188" t="s">
        <v>357</v>
      </c>
      <c r="C468" s="189" t="s">
        <v>545</v>
      </c>
      <c r="D468" s="95" t="s">
        <v>681</v>
      </c>
      <c r="E468" s="95" t="s">
        <v>504</v>
      </c>
      <c r="F468" s="174">
        <v>13.13656938675736</v>
      </c>
      <c r="G468" s="190">
        <v>52</v>
      </c>
      <c r="H468" s="140">
        <v>1</v>
      </c>
      <c r="I468" s="170"/>
    </row>
    <row r="469" spans="1:9">
      <c r="A469" s="95" t="s">
        <v>110</v>
      </c>
      <c r="B469" s="188" t="s">
        <v>357</v>
      </c>
      <c r="C469" s="189" t="s">
        <v>682</v>
      </c>
      <c r="D469" s="95" t="s">
        <v>372</v>
      </c>
      <c r="E469" s="95" t="s">
        <v>262</v>
      </c>
      <c r="F469" s="174">
        <v>8.6719730776915718</v>
      </c>
      <c r="G469" s="190">
        <v>52</v>
      </c>
      <c r="H469" s="140">
        <v>1</v>
      </c>
      <c r="I469" s="170"/>
    </row>
    <row r="470" spans="1:9">
      <c r="A470" s="95"/>
      <c r="B470" s="188"/>
      <c r="C470" s="189"/>
      <c r="D470" s="95"/>
      <c r="E470" s="95"/>
      <c r="F470" s="174"/>
      <c r="G470" s="190"/>
      <c r="H470" s="190"/>
      <c r="I470" s="172"/>
    </row>
    <row r="471" spans="1:9">
      <c r="A471" s="95" t="s">
        <v>111</v>
      </c>
      <c r="B471" s="188">
        <v>0</v>
      </c>
      <c r="C471" s="189" t="s">
        <v>497</v>
      </c>
      <c r="D471" s="95" t="s">
        <v>683</v>
      </c>
      <c r="E471" s="95" t="s">
        <v>262</v>
      </c>
      <c r="F471" s="174">
        <v>24.955557762557106</v>
      </c>
      <c r="G471" s="190">
        <v>52</v>
      </c>
      <c r="H471" s="140">
        <v>1</v>
      </c>
      <c r="I471" s="170"/>
    </row>
    <row r="472" spans="1:9">
      <c r="A472" s="95" t="s">
        <v>111</v>
      </c>
      <c r="B472" s="188">
        <v>0</v>
      </c>
      <c r="C472" s="189" t="s">
        <v>499</v>
      </c>
      <c r="D472" s="95" t="s">
        <v>344</v>
      </c>
      <c r="E472" s="95" t="s">
        <v>494</v>
      </c>
      <c r="F472" s="174">
        <v>6.8666672739360166</v>
      </c>
      <c r="G472" s="190">
        <v>52</v>
      </c>
      <c r="H472" s="140">
        <v>1</v>
      </c>
      <c r="I472" s="170"/>
    </row>
    <row r="473" spans="1:9">
      <c r="A473" s="95" t="s">
        <v>111</v>
      </c>
      <c r="B473" s="188">
        <v>0</v>
      </c>
      <c r="C473" s="189" t="s">
        <v>501</v>
      </c>
      <c r="D473" s="95" t="s">
        <v>339</v>
      </c>
      <c r="E473" s="95" t="s">
        <v>504</v>
      </c>
      <c r="F473" s="174">
        <v>17</v>
      </c>
      <c r="G473" s="190">
        <v>52</v>
      </c>
      <c r="H473" s="140">
        <v>1</v>
      </c>
      <c r="I473" s="170"/>
    </row>
    <row r="474" spans="1:9">
      <c r="A474" s="95" t="s">
        <v>111</v>
      </c>
      <c r="B474" s="188">
        <v>0</v>
      </c>
      <c r="C474" s="189" t="s">
        <v>673</v>
      </c>
      <c r="D474" s="95" t="s">
        <v>339</v>
      </c>
      <c r="E474" s="95" t="s">
        <v>504</v>
      </c>
      <c r="F474" s="174">
        <v>21</v>
      </c>
      <c r="G474" s="190">
        <v>52</v>
      </c>
      <c r="H474" s="140">
        <v>1</v>
      </c>
      <c r="I474" s="170"/>
    </row>
    <row r="475" spans="1:9">
      <c r="A475" s="95" t="s">
        <v>111</v>
      </c>
      <c r="B475" s="188">
        <v>0</v>
      </c>
      <c r="C475" s="189" t="s">
        <v>674</v>
      </c>
      <c r="D475" s="95" t="s">
        <v>684</v>
      </c>
      <c r="E475" s="95" t="s">
        <v>262</v>
      </c>
      <c r="F475" s="174">
        <v>52</v>
      </c>
      <c r="G475" s="190">
        <v>52</v>
      </c>
      <c r="H475" s="140">
        <v>1</v>
      </c>
      <c r="I475" s="170"/>
    </row>
    <row r="476" spans="1:9">
      <c r="A476" s="95" t="s">
        <v>111</v>
      </c>
      <c r="B476" s="188">
        <v>0</v>
      </c>
      <c r="C476" s="189" t="s">
        <v>505</v>
      </c>
      <c r="D476" s="95" t="s">
        <v>513</v>
      </c>
      <c r="E476" s="95" t="s">
        <v>262</v>
      </c>
      <c r="F476" s="174">
        <v>14</v>
      </c>
      <c r="G476" s="190">
        <v>52</v>
      </c>
      <c r="H476" s="140">
        <v>1</v>
      </c>
      <c r="I476" s="170"/>
    </row>
    <row r="477" spans="1:9">
      <c r="A477" s="95" t="s">
        <v>111</v>
      </c>
      <c r="B477" s="188">
        <v>0</v>
      </c>
      <c r="C477" s="189" t="s">
        <v>507</v>
      </c>
      <c r="D477" s="95" t="s">
        <v>318</v>
      </c>
      <c r="E477" s="95" t="s">
        <v>262</v>
      </c>
      <c r="F477" s="174">
        <v>1.3888890117184498</v>
      </c>
      <c r="G477" s="190">
        <v>52</v>
      </c>
      <c r="H477" s="140">
        <v>1</v>
      </c>
      <c r="I477" s="170"/>
    </row>
    <row r="478" spans="1:9">
      <c r="A478" s="95" t="s">
        <v>111</v>
      </c>
      <c r="B478" s="188">
        <v>0</v>
      </c>
      <c r="C478" s="189" t="s">
        <v>509</v>
      </c>
      <c r="D478" s="95" t="s">
        <v>685</v>
      </c>
      <c r="E478" s="95" t="s">
        <v>262</v>
      </c>
      <c r="F478" s="174">
        <v>7.4666673269983876</v>
      </c>
      <c r="G478" s="190">
        <v>52</v>
      </c>
      <c r="H478" s="140">
        <v>1</v>
      </c>
      <c r="I478" s="170"/>
    </row>
    <row r="479" spans="1:9">
      <c r="A479" s="95" t="s">
        <v>111</v>
      </c>
      <c r="B479" s="188">
        <v>0</v>
      </c>
      <c r="C479" s="189" t="s">
        <v>676</v>
      </c>
      <c r="D479" s="95" t="s">
        <v>524</v>
      </c>
      <c r="E479" s="95" t="s">
        <v>262</v>
      </c>
      <c r="F479" s="174">
        <v>18</v>
      </c>
      <c r="G479" s="190">
        <v>52</v>
      </c>
      <c r="H479" s="140">
        <v>1</v>
      </c>
      <c r="I479" s="170"/>
    </row>
    <row r="480" spans="1:9">
      <c r="A480" s="95" t="s">
        <v>111</v>
      </c>
      <c r="B480" s="188">
        <v>0</v>
      </c>
      <c r="C480" s="189" t="s">
        <v>511</v>
      </c>
      <c r="D480" s="95" t="s">
        <v>318</v>
      </c>
      <c r="E480" s="95" t="s">
        <v>262</v>
      </c>
      <c r="F480" s="174">
        <v>1.3888890117184498</v>
      </c>
      <c r="G480" s="190">
        <v>52</v>
      </c>
      <c r="H480" s="140">
        <v>1</v>
      </c>
      <c r="I480" s="170"/>
    </row>
    <row r="481" spans="1:9">
      <c r="A481" s="95" t="s">
        <v>111</v>
      </c>
      <c r="B481" s="188">
        <v>0</v>
      </c>
      <c r="C481" s="189" t="s">
        <v>669</v>
      </c>
      <c r="D481" s="95" t="s">
        <v>318</v>
      </c>
      <c r="E481" s="95" t="s">
        <v>262</v>
      </c>
      <c r="F481" s="174">
        <v>1.3888890117184498</v>
      </c>
      <c r="G481" s="190">
        <v>52</v>
      </c>
      <c r="H481" s="140">
        <v>1</v>
      </c>
      <c r="I481" s="170"/>
    </row>
    <row r="482" spans="1:9">
      <c r="A482" s="95" t="s">
        <v>111</v>
      </c>
      <c r="B482" s="188">
        <v>0</v>
      </c>
      <c r="C482" s="189" t="s">
        <v>512</v>
      </c>
      <c r="D482" s="95" t="s">
        <v>685</v>
      </c>
      <c r="E482" s="95" t="s">
        <v>262</v>
      </c>
      <c r="F482" s="174">
        <v>9.9166675436697318</v>
      </c>
      <c r="G482" s="190">
        <v>52</v>
      </c>
      <c r="H482" s="140">
        <v>1</v>
      </c>
      <c r="I482" s="170"/>
    </row>
    <row r="483" spans="1:9">
      <c r="A483" s="95" t="s">
        <v>111</v>
      </c>
      <c r="B483" s="188">
        <v>0</v>
      </c>
      <c r="C483" s="189" t="s">
        <v>514</v>
      </c>
      <c r="D483" s="95" t="s">
        <v>686</v>
      </c>
      <c r="E483" s="95"/>
      <c r="F483" s="174"/>
      <c r="G483" s="190">
        <v>0</v>
      </c>
      <c r="H483" s="140">
        <v>1</v>
      </c>
      <c r="I483" s="170"/>
    </row>
    <row r="484" spans="1:9">
      <c r="A484" s="95" t="s">
        <v>111</v>
      </c>
      <c r="B484" s="188">
        <v>0</v>
      </c>
      <c r="C484" s="189" t="s">
        <v>517</v>
      </c>
      <c r="D484" s="95" t="s">
        <v>687</v>
      </c>
      <c r="E484" s="95"/>
      <c r="F484" s="174"/>
      <c r="G484" s="190">
        <v>0</v>
      </c>
      <c r="H484" s="140">
        <v>1</v>
      </c>
      <c r="I484" s="170"/>
    </row>
    <row r="485" spans="1:9">
      <c r="A485" s="95" t="s">
        <v>111</v>
      </c>
      <c r="B485" s="188">
        <v>0</v>
      </c>
      <c r="C485" s="189" t="s">
        <v>519</v>
      </c>
      <c r="D485" s="95" t="s">
        <v>688</v>
      </c>
      <c r="E485" s="95"/>
      <c r="F485" s="174"/>
      <c r="G485" s="190">
        <v>0</v>
      </c>
      <c r="H485" s="140">
        <v>1</v>
      </c>
      <c r="I485" s="170"/>
    </row>
    <row r="486" spans="1:9">
      <c r="A486" s="95" t="s">
        <v>111</v>
      </c>
      <c r="B486" s="188" t="s">
        <v>357</v>
      </c>
      <c r="C486" s="189" t="s">
        <v>547</v>
      </c>
      <c r="D486" s="95" t="s">
        <v>291</v>
      </c>
      <c r="E486" s="95" t="s">
        <v>504</v>
      </c>
      <c r="F486" s="174">
        <v>17.73333490162117</v>
      </c>
      <c r="G486" s="190">
        <v>52</v>
      </c>
      <c r="H486" s="140">
        <v>1</v>
      </c>
      <c r="I486" s="170"/>
    </row>
    <row r="487" spans="1:9">
      <c r="A487" s="95" t="s">
        <v>111</v>
      </c>
      <c r="B487" s="188" t="s">
        <v>357</v>
      </c>
      <c r="C487" s="189" t="s">
        <v>677</v>
      </c>
      <c r="D487" s="95" t="s">
        <v>618</v>
      </c>
      <c r="E487" s="95" t="s">
        <v>504</v>
      </c>
      <c r="F487" s="174">
        <v>36</v>
      </c>
      <c r="G487" s="190">
        <v>52</v>
      </c>
      <c r="H487" s="140">
        <v>1</v>
      </c>
      <c r="I487" s="170"/>
    </row>
    <row r="488" spans="1:9">
      <c r="A488" s="95" t="s">
        <v>111</v>
      </c>
      <c r="B488" s="188" t="s">
        <v>357</v>
      </c>
      <c r="C488" s="189" t="s">
        <v>678</v>
      </c>
      <c r="D488" s="95" t="s">
        <v>318</v>
      </c>
      <c r="E488" s="95" t="s">
        <v>689</v>
      </c>
      <c r="F488" s="174">
        <v>1.7000001503433826</v>
      </c>
      <c r="G488" s="190">
        <v>52</v>
      </c>
      <c r="H488" s="140">
        <v>1</v>
      </c>
      <c r="I488" s="170"/>
    </row>
    <row r="489" spans="1:9">
      <c r="A489" s="95" t="s">
        <v>111</v>
      </c>
      <c r="B489" s="188" t="s">
        <v>357</v>
      </c>
      <c r="C489" s="189" t="s">
        <v>679</v>
      </c>
      <c r="D489" s="95" t="s">
        <v>318</v>
      </c>
      <c r="E489" s="95" t="s">
        <v>689</v>
      </c>
      <c r="F489" s="174">
        <v>1.7000001503433826</v>
      </c>
      <c r="G489" s="190">
        <v>52</v>
      </c>
      <c r="H489" s="140">
        <v>1</v>
      </c>
      <c r="I489" s="170"/>
    </row>
    <row r="490" spans="1:9">
      <c r="A490" s="95" t="s">
        <v>111</v>
      </c>
      <c r="B490" s="188" t="s">
        <v>357</v>
      </c>
      <c r="C490" s="189" t="s">
        <v>545</v>
      </c>
      <c r="D490" s="95" t="s">
        <v>433</v>
      </c>
      <c r="E490" s="95" t="s">
        <v>295</v>
      </c>
      <c r="F490" s="174">
        <v>47</v>
      </c>
      <c r="G490" s="190">
        <v>52</v>
      </c>
      <c r="H490" s="140">
        <v>1</v>
      </c>
      <c r="I490" s="170"/>
    </row>
    <row r="491" spans="1:9">
      <c r="A491" s="95" t="s">
        <v>111</v>
      </c>
      <c r="B491" s="188" t="s">
        <v>357</v>
      </c>
      <c r="C491" s="189" t="s">
        <v>682</v>
      </c>
      <c r="D491" s="95" t="s">
        <v>372</v>
      </c>
      <c r="E491" s="95" t="s">
        <v>262</v>
      </c>
      <c r="F491" s="174">
        <v>7.6000006721233575</v>
      </c>
      <c r="G491" s="190">
        <v>52</v>
      </c>
      <c r="H491" s="140">
        <v>1</v>
      </c>
      <c r="I491" s="170"/>
    </row>
    <row r="492" spans="1:9">
      <c r="A492" s="95"/>
      <c r="B492" s="188"/>
      <c r="C492" s="189"/>
      <c r="D492" s="95"/>
      <c r="E492" s="95"/>
      <c r="F492" s="174"/>
      <c r="G492" s="190"/>
      <c r="H492" s="190"/>
      <c r="I492" s="172"/>
    </row>
    <row r="493" spans="1:9">
      <c r="A493" s="95" t="s">
        <v>112</v>
      </c>
      <c r="B493" s="188">
        <v>0</v>
      </c>
      <c r="C493" s="189" t="s">
        <v>497</v>
      </c>
      <c r="D493" s="95" t="s">
        <v>119</v>
      </c>
      <c r="E493" s="95" t="s">
        <v>262</v>
      </c>
      <c r="F493" s="174">
        <v>7.0929729729729729</v>
      </c>
      <c r="G493" s="190">
        <v>255</v>
      </c>
      <c r="H493" s="140">
        <v>1</v>
      </c>
      <c r="I493" s="170"/>
    </row>
    <row r="494" spans="1:9">
      <c r="A494" s="95" t="s">
        <v>112</v>
      </c>
      <c r="B494" s="188">
        <v>0</v>
      </c>
      <c r="C494" s="189" t="s">
        <v>499</v>
      </c>
      <c r="D494" s="95" t="s">
        <v>306</v>
      </c>
      <c r="E494" s="95" t="s">
        <v>262</v>
      </c>
      <c r="F494" s="174">
        <v>24.484601899196491</v>
      </c>
      <c r="G494" s="190">
        <v>255</v>
      </c>
      <c r="H494" s="140">
        <v>1</v>
      </c>
      <c r="I494" s="170"/>
    </row>
    <row r="495" spans="1:9">
      <c r="A495" s="95" t="s">
        <v>112</v>
      </c>
      <c r="B495" s="188">
        <v>0</v>
      </c>
      <c r="C495" s="189" t="s">
        <v>501</v>
      </c>
      <c r="D495" s="95" t="s">
        <v>264</v>
      </c>
      <c r="E495" s="95" t="s">
        <v>262</v>
      </c>
      <c r="F495" s="174">
        <v>3.8606647187728269</v>
      </c>
      <c r="G495" s="190">
        <v>255</v>
      </c>
      <c r="H495" s="140">
        <v>1</v>
      </c>
      <c r="I495" s="170"/>
    </row>
    <row r="496" spans="1:9">
      <c r="A496" s="95" t="s">
        <v>112</v>
      </c>
      <c r="B496" s="188">
        <v>0</v>
      </c>
      <c r="C496" s="189" t="s">
        <v>673</v>
      </c>
      <c r="D496" s="95" t="s">
        <v>339</v>
      </c>
      <c r="E496" s="95" t="s">
        <v>502</v>
      </c>
      <c r="F496" s="174">
        <v>32.264506939371806</v>
      </c>
      <c r="G496" s="190">
        <v>255</v>
      </c>
      <c r="H496" s="140">
        <v>1</v>
      </c>
      <c r="I496" s="170"/>
    </row>
    <row r="497" spans="1:9">
      <c r="A497" s="95" t="s">
        <v>112</v>
      </c>
      <c r="B497" s="188">
        <v>0</v>
      </c>
      <c r="C497" s="189" t="s">
        <v>674</v>
      </c>
      <c r="D497" s="95" t="s">
        <v>292</v>
      </c>
      <c r="E497" s="95" t="s">
        <v>262</v>
      </c>
      <c r="F497" s="174">
        <v>4.4304455807158512</v>
      </c>
      <c r="G497" s="190">
        <v>255</v>
      </c>
      <c r="H497" s="140">
        <v>1</v>
      </c>
      <c r="I497" s="170"/>
    </row>
    <row r="498" spans="1:9">
      <c r="A498" s="95" t="s">
        <v>112</v>
      </c>
      <c r="B498" s="188">
        <v>0</v>
      </c>
      <c r="C498" s="189" t="s">
        <v>505</v>
      </c>
      <c r="D498" s="95" t="s">
        <v>344</v>
      </c>
      <c r="E498" s="95" t="s">
        <v>690</v>
      </c>
      <c r="F498" s="174">
        <v>4.4304455807158512</v>
      </c>
      <c r="G498" s="190">
        <v>255</v>
      </c>
      <c r="H498" s="140">
        <v>1</v>
      </c>
      <c r="I498" s="170"/>
    </row>
    <row r="499" spans="1:9">
      <c r="A499" s="95" t="s">
        <v>112</v>
      </c>
      <c r="B499" s="188">
        <v>0</v>
      </c>
      <c r="C499" s="189" t="s">
        <v>507</v>
      </c>
      <c r="D499" s="95" t="s">
        <v>339</v>
      </c>
      <c r="E499" s="95" t="s">
        <v>502</v>
      </c>
      <c r="F499" s="174">
        <v>19.308648648648649</v>
      </c>
      <c r="G499" s="190">
        <v>255</v>
      </c>
      <c r="H499" s="140">
        <v>1</v>
      </c>
      <c r="I499" s="170"/>
    </row>
    <row r="500" spans="1:9">
      <c r="A500" s="95" t="s">
        <v>112</v>
      </c>
      <c r="B500" s="188">
        <v>0</v>
      </c>
      <c r="C500" s="189" t="s">
        <v>509</v>
      </c>
      <c r="D500" s="95" t="s">
        <v>344</v>
      </c>
      <c r="E500" s="95" t="s">
        <v>690</v>
      </c>
      <c r="F500" s="174">
        <v>3.8766398831263693</v>
      </c>
      <c r="G500" s="190">
        <v>255</v>
      </c>
      <c r="H500" s="140">
        <v>1</v>
      </c>
      <c r="I500" s="170"/>
    </row>
    <row r="501" spans="1:9">
      <c r="A501" s="95" t="s">
        <v>112</v>
      </c>
      <c r="B501" s="188">
        <v>0</v>
      </c>
      <c r="C501" s="189" t="s">
        <v>676</v>
      </c>
      <c r="D501" s="95" t="s">
        <v>292</v>
      </c>
      <c r="E501" s="95" t="s">
        <v>262</v>
      </c>
      <c r="F501" s="174">
        <v>24.591102994886775</v>
      </c>
      <c r="G501" s="190">
        <v>255</v>
      </c>
      <c r="H501" s="140">
        <v>1</v>
      </c>
      <c r="I501" s="170"/>
    </row>
    <row r="502" spans="1:9">
      <c r="A502" s="95" t="s">
        <v>112</v>
      </c>
      <c r="B502" s="188">
        <v>0</v>
      </c>
      <c r="C502" s="189" t="s">
        <v>511</v>
      </c>
      <c r="D502" s="95" t="s">
        <v>513</v>
      </c>
      <c r="E502" s="95" t="s">
        <v>262</v>
      </c>
      <c r="F502" s="174">
        <v>16.102965668371073</v>
      </c>
      <c r="G502" s="190">
        <v>255</v>
      </c>
      <c r="H502" s="140">
        <v>1</v>
      </c>
      <c r="I502" s="170"/>
    </row>
    <row r="503" spans="1:9">
      <c r="A503" s="95" t="s">
        <v>112</v>
      </c>
      <c r="B503" s="188">
        <v>0</v>
      </c>
      <c r="C503" s="189" t="s">
        <v>669</v>
      </c>
      <c r="D503" s="95" t="s">
        <v>318</v>
      </c>
      <c r="E503" s="95" t="s">
        <v>262</v>
      </c>
      <c r="F503" s="174">
        <v>1.6773922571219868</v>
      </c>
      <c r="G503" s="190">
        <v>255</v>
      </c>
      <c r="H503" s="140">
        <v>1</v>
      </c>
      <c r="I503" s="170"/>
    </row>
    <row r="504" spans="1:9">
      <c r="A504" s="95" t="s">
        <v>112</v>
      </c>
      <c r="B504" s="188">
        <v>0</v>
      </c>
      <c r="C504" s="189" t="s">
        <v>512</v>
      </c>
      <c r="D504" s="95" t="s">
        <v>685</v>
      </c>
      <c r="E504" s="95" t="s">
        <v>262</v>
      </c>
      <c r="F504" s="174">
        <v>4.0417165814463099</v>
      </c>
      <c r="G504" s="190">
        <v>255</v>
      </c>
      <c r="H504" s="140">
        <v>1</v>
      </c>
      <c r="I504" s="170"/>
    </row>
    <row r="505" spans="1:9">
      <c r="A505" s="95" t="s">
        <v>112</v>
      </c>
      <c r="B505" s="188">
        <v>0</v>
      </c>
      <c r="C505" s="189" t="s">
        <v>514</v>
      </c>
      <c r="D505" s="95" t="s">
        <v>524</v>
      </c>
      <c r="E505" s="95" t="s">
        <v>262</v>
      </c>
      <c r="F505" s="174">
        <v>43.409846603360116</v>
      </c>
      <c r="G505" s="190">
        <v>255</v>
      </c>
      <c r="H505" s="140">
        <v>1</v>
      </c>
      <c r="I505" s="170"/>
    </row>
    <row r="506" spans="1:9">
      <c r="A506" s="95" t="s">
        <v>112</v>
      </c>
      <c r="B506" s="188">
        <v>0</v>
      </c>
      <c r="C506" s="189" t="s">
        <v>517</v>
      </c>
      <c r="D506" s="95" t="s">
        <v>318</v>
      </c>
      <c r="E506" s="95" t="s">
        <v>262</v>
      </c>
      <c r="F506" s="174">
        <v>1.6773922571219868</v>
      </c>
      <c r="G506" s="190">
        <v>255</v>
      </c>
      <c r="H506" s="140">
        <v>1</v>
      </c>
      <c r="I506" s="170"/>
    </row>
    <row r="507" spans="1:9">
      <c r="A507" s="95" t="s">
        <v>112</v>
      </c>
      <c r="B507" s="188">
        <v>0</v>
      </c>
      <c r="C507" s="189" t="s">
        <v>519</v>
      </c>
      <c r="D507" s="95" t="s">
        <v>318</v>
      </c>
      <c r="E507" s="95" t="s">
        <v>262</v>
      </c>
      <c r="F507" s="174">
        <v>1.6773922571219868</v>
      </c>
      <c r="G507" s="190">
        <v>255</v>
      </c>
      <c r="H507" s="140">
        <v>1</v>
      </c>
      <c r="I507" s="170"/>
    </row>
    <row r="508" spans="1:9">
      <c r="A508" s="95" t="s">
        <v>112</v>
      </c>
      <c r="B508" s="188">
        <v>0</v>
      </c>
      <c r="C508" s="189" t="s">
        <v>521</v>
      </c>
      <c r="D508" s="95" t="s">
        <v>685</v>
      </c>
      <c r="E508" s="95" t="s">
        <v>262</v>
      </c>
      <c r="F508" s="174">
        <v>7.0290723155588006</v>
      </c>
      <c r="G508" s="190">
        <v>255</v>
      </c>
      <c r="H508" s="140">
        <v>1</v>
      </c>
      <c r="I508" s="170"/>
    </row>
    <row r="509" spans="1:9">
      <c r="A509" s="95" t="s">
        <v>112</v>
      </c>
      <c r="B509" s="188">
        <v>0</v>
      </c>
      <c r="C509" s="189" t="s">
        <v>523</v>
      </c>
      <c r="D509" s="95" t="s">
        <v>291</v>
      </c>
      <c r="E509" s="95" t="s">
        <v>262</v>
      </c>
      <c r="F509" s="174">
        <v>7.7532797662527386</v>
      </c>
      <c r="G509" s="190">
        <v>255</v>
      </c>
      <c r="H509" s="140">
        <v>1</v>
      </c>
      <c r="I509" s="170"/>
    </row>
    <row r="510" spans="1:9">
      <c r="A510" s="95" t="s">
        <v>112</v>
      </c>
      <c r="B510" s="188">
        <v>0</v>
      </c>
      <c r="C510" s="189" t="s">
        <v>525</v>
      </c>
      <c r="D510" s="95" t="s">
        <v>339</v>
      </c>
      <c r="E510" s="95" t="s">
        <v>502</v>
      </c>
      <c r="F510" s="174">
        <v>13.312636961285611</v>
      </c>
      <c r="G510" s="190">
        <v>255</v>
      </c>
      <c r="H510" s="140">
        <v>1</v>
      </c>
      <c r="I510" s="170"/>
    </row>
    <row r="511" spans="1:9">
      <c r="A511" s="95" t="s">
        <v>112</v>
      </c>
      <c r="B511" s="188" t="s">
        <v>357</v>
      </c>
      <c r="C511" s="189" t="s">
        <v>527</v>
      </c>
      <c r="D511" s="95" t="s">
        <v>691</v>
      </c>
      <c r="E511" s="95" t="s">
        <v>502</v>
      </c>
      <c r="F511" s="174">
        <v>21.300219138056974</v>
      </c>
      <c r="G511" s="190">
        <v>255</v>
      </c>
      <c r="H511" s="140">
        <v>1</v>
      </c>
      <c r="I511" s="170"/>
    </row>
    <row r="512" spans="1:9">
      <c r="A512" s="95" t="s">
        <v>112</v>
      </c>
      <c r="B512" s="188" t="s">
        <v>357</v>
      </c>
      <c r="C512" s="189" t="s">
        <v>547</v>
      </c>
      <c r="D512" s="95" t="s">
        <v>291</v>
      </c>
      <c r="E512" s="95" t="s">
        <v>504</v>
      </c>
      <c r="F512" s="174">
        <v>37.573586559532515</v>
      </c>
      <c r="G512" s="190">
        <v>255</v>
      </c>
      <c r="H512" s="140">
        <v>1</v>
      </c>
      <c r="I512" s="170"/>
    </row>
    <row r="513" spans="1:9">
      <c r="A513" s="95" t="s">
        <v>112</v>
      </c>
      <c r="B513" s="188" t="s">
        <v>357</v>
      </c>
      <c r="C513" s="189" t="s">
        <v>547</v>
      </c>
      <c r="D513" s="95" t="s">
        <v>291</v>
      </c>
      <c r="E513" s="95" t="s">
        <v>504</v>
      </c>
      <c r="F513" s="174">
        <f>13.62*1.32</f>
        <v>17.978400000000001</v>
      </c>
      <c r="G513" s="190">
        <v>255</v>
      </c>
      <c r="H513" s="140">
        <v>1</v>
      </c>
      <c r="I513" s="170"/>
    </row>
    <row r="514" spans="1:9">
      <c r="A514" s="95" t="s">
        <v>112</v>
      </c>
      <c r="B514" s="188" t="s">
        <v>357</v>
      </c>
      <c r="C514" s="189" t="s">
        <v>677</v>
      </c>
      <c r="D514" s="95" t="s">
        <v>692</v>
      </c>
      <c r="E514" s="95" t="s">
        <v>262</v>
      </c>
      <c r="F514" s="174">
        <v>4.6008473338203064</v>
      </c>
      <c r="G514" s="190">
        <v>255</v>
      </c>
      <c r="H514" s="140">
        <v>1</v>
      </c>
      <c r="I514" s="170"/>
    </row>
    <row r="515" spans="1:9">
      <c r="A515" s="95" t="s">
        <v>112</v>
      </c>
      <c r="B515" s="188" t="s">
        <v>357</v>
      </c>
      <c r="C515" s="189" t="s">
        <v>678</v>
      </c>
      <c r="D515" s="95" t="s">
        <v>339</v>
      </c>
      <c r="E515" s="95" t="s">
        <v>502</v>
      </c>
      <c r="F515" s="174">
        <v>22.897735573411246</v>
      </c>
      <c r="G515" s="190">
        <v>255</v>
      </c>
      <c r="H515" s="140">
        <v>1</v>
      </c>
      <c r="I515" s="170"/>
    </row>
    <row r="516" spans="1:9">
      <c r="A516" s="95" t="s">
        <v>112</v>
      </c>
      <c r="B516" s="188" t="s">
        <v>357</v>
      </c>
      <c r="C516" s="189" t="s">
        <v>679</v>
      </c>
      <c r="D516" s="95" t="s">
        <v>339</v>
      </c>
      <c r="E516" s="95" t="s">
        <v>502</v>
      </c>
      <c r="F516" s="174">
        <v>19.729327976625274</v>
      </c>
      <c r="G516" s="190">
        <v>255</v>
      </c>
      <c r="H516" s="140">
        <v>1</v>
      </c>
      <c r="I516" s="170"/>
    </row>
    <row r="517" spans="1:9">
      <c r="A517" s="95" t="s">
        <v>112</v>
      </c>
      <c r="B517" s="188" t="s">
        <v>357</v>
      </c>
      <c r="C517" s="189" t="s">
        <v>679</v>
      </c>
      <c r="D517" s="95" t="s">
        <v>339</v>
      </c>
      <c r="E517" s="95" t="s">
        <v>502</v>
      </c>
      <c r="F517" s="174">
        <f>3.49*3.35</f>
        <v>11.691500000000001</v>
      </c>
      <c r="G517" s="190">
        <v>255</v>
      </c>
      <c r="H517" s="140">
        <v>1</v>
      </c>
      <c r="I517" s="170"/>
    </row>
    <row r="518" spans="1:9">
      <c r="A518" s="95" t="s">
        <v>112</v>
      </c>
      <c r="B518" s="188" t="s">
        <v>357</v>
      </c>
      <c r="C518" s="189" t="s">
        <v>545</v>
      </c>
      <c r="D518" s="95" t="s">
        <v>339</v>
      </c>
      <c r="E518" s="95" t="s">
        <v>502</v>
      </c>
      <c r="F518" s="174">
        <v>20.703813002191382</v>
      </c>
      <c r="G518" s="190">
        <v>255</v>
      </c>
      <c r="H518" s="140">
        <v>1</v>
      </c>
      <c r="I518" s="170"/>
    </row>
    <row r="519" spans="1:9">
      <c r="A519" s="95" t="s">
        <v>112</v>
      </c>
      <c r="B519" s="188" t="s">
        <v>357</v>
      </c>
      <c r="C519" s="189" t="s">
        <v>682</v>
      </c>
      <c r="D519" s="95" t="s">
        <v>292</v>
      </c>
      <c r="E519" s="95" t="s">
        <v>502</v>
      </c>
      <c r="F519" s="174">
        <v>4.4304455807158512</v>
      </c>
      <c r="G519" s="190">
        <v>255</v>
      </c>
      <c r="H519" s="140">
        <v>1</v>
      </c>
      <c r="I519" s="170"/>
    </row>
    <row r="520" spans="1:9">
      <c r="A520" s="95" t="s">
        <v>112</v>
      </c>
      <c r="B520" s="188" t="s">
        <v>357</v>
      </c>
      <c r="C520" s="189" t="s">
        <v>548</v>
      </c>
      <c r="D520" s="95" t="s">
        <v>339</v>
      </c>
      <c r="E520" s="95" t="s">
        <v>502</v>
      </c>
      <c r="F520" s="174">
        <v>30.161110299488676</v>
      </c>
      <c r="G520" s="190">
        <v>255</v>
      </c>
      <c r="H520" s="140">
        <v>1</v>
      </c>
      <c r="I520" s="170"/>
    </row>
    <row r="521" spans="1:9">
      <c r="A521" s="95" t="s">
        <v>112</v>
      </c>
      <c r="B521" s="188" t="s">
        <v>357</v>
      </c>
      <c r="C521" s="189" t="s">
        <v>693</v>
      </c>
      <c r="D521" s="95" t="s">
        <v>450</v>
      </c>
      <c r="E521" s="95" t="s">
        <v>502</v>
      </c>
      <c r="F521" s="174">
        <v>11.938772826880934</v>
      </c>
      <c r="G521" s="190">
        <v>104</v>
      </c>
      <c r="H521" s="140">
        <v>1</v>
      </c>
      <c r="I521" s="170"/>
    </row>
    <row r="522" spans="1:9">
      <c r="A522" s="95" t="s">
        <v>112</v>
      </c>
      <c r="B522" s="188" t="s">
        <v>357</v>
      </c>
      <c r="C522" s="189" t="s">
        <v>694</v>
      </c>
      <c r="D522" s="95" t="s">
        <v>339</v>
      </c>
      <c r="E522" s="95" t="s">
        <v>502</v>
      </c>
      <c r="F522" s="174">
        <v>10.053703433162894</v>
      </c>
      <c r="G522" s="190">
        <v>255</v>
      </c>
      <c r="H522" s="140">
        <v>1</v>
      </c>
      <c r="I522" s="170"/>
    </row>
    <row r="523" spans="1:9">
      <c r="A523" s="95" t="s">
        <v>112</v>
      </c>
      <c r="B523" s="188" t="s">
        <v>357</v>
      </c>
      <c r="C523" s="189" t="s">
        <v>550</v>
      </c>
      <c r="D523" s="95" t="s">
        <v>318</v>
      </c>
      <c r="E523" s="95" t="s">
        <v>262</v>
      </c>
      <c r="F523" s="174">
        <v>2.3962746530314094</v>
      </c>
      <c r="G523" s="190">
        <v>255</v>
      </c>
      <c r="H523" s="140">
        <v>1</v>
      </c>
      <c r="I523" s="170"/>
    </row>
    <row r="524" spans="1:9">
      <c r="A524" s="95" t="s">
        <v>112</v>
      </c>
      <c r="B524" s="188" t="s">
        <v>357</v>
      </c>
      <c r="C524" s="189" t="s">
        <v>695</v>
      </c>
      <c r="D524" s="95" t="s">
        <v>318</v>
      </c>
      <c r="E524" s="95" t="s">
        <v>262</v>
      </c>
      <c r="F524" s="174">
        <v>2.7157779401022641</v>
      </c>
      <c r="G524" s="190">
        <v>255</v>
      </c>
      <c r="H524" s="140">
        <v>1</v>
      </c>
      <c r="I524" s="170"/>
    </row>
    <row r="525" spans="1:9">
      <c r="A525" s="95" t="s">
        <v>112</v>
      </c>
      <c r="B525" s="188" t="s">
        <v>357</v>
      </c>
      <c r="C525" s="189" t="s">
        <v>696</v>
      </c>
      <c r="D525" s="95" t="s">
        <v>697</v>
      </c>
      <c r="E525" s="95" t="s">
        <v>504</v>
      </c>
      <c r="F525" s="174">
        <v>95.499532505478442</v>
      </c>
      <c r="G525" s="190">
        <v>255</v>
      </c>
      <c r="H525" s="140">
        <v>1</v>
      </c>
      <c r="I525" s="170"/>
    </row>
    <row r="526" spans="1:9">
      <c r="A526" s="95" t="s">
        <v>112</v>
      </c>
      <c r="B526" s="188" t="s">
        <v>357</v>
      </c>
      <c r="C526" s="189" t="s">
        <v>552</v>
      </c>
      <c r="D526" s="95" t="s">
        <v>372</v>
      </c>
      <c r="E526" s="95" t="s">
        <v>262</v>
      </c>
      <c r="F526" s="174">
        <v>11.246515704894083</v>
      </c>
      <c r="G526" s="190">
        <v>255</v>
      </c>
      <c r="H526" s="140">
        <v>1</v>
      </c>
      <c r="I526" s="170"/>
    </row>
    <row r="527" spans="1:9">
      <c r="A527" s="95" t="s">
        <v>112</v>
      </c>
      <c r="B527" s="188" t="s">
        <v>357</v>
      </c>
      <c r="C527" s="189" t="s">
        <v>554</v>
      </c>
      <c r="D527" s="95" t="s">
        <v>698</v>
      </c>
      <c r="E527" s="95"/>
      <c r="F527" s="174"/>
      <c r="G527" s="190">
        <v>0</v>
      </c>
      <c r="H527" s="140">
        <v>1</v>
      </c>
      <c r="I527" s="170"/>
    </row>
    <row r="528" spans="1:9">
      <c r="A528" s="95" t="s">
        <v>112</v>
      </c>
      <c r="B528" s="188" t="s">
        <v>357</v>
      </c>
      <c r="C528" s="189" t="s">
        <v>699</v>
      </c>
      <c r="D528" s="95" t="s">
        <v>339</v>
      </c>
      <c r="E528" s="95" t="s">
        <v>502</v>
      </c>
      <c r="F528" s="174">
        <v>12</v>
      </c>
      <c r="G528" s="190">
        <v>255</v>
      </c>
      <c r="H528" s="140">
        <v>1</v>
      </c>
      <c r="I528" s="170"/>
    </row>
    <row r="529" spans="1:9">
      <c r="A529" s="95"/>
      <c r="B529" s="188"/>
      <c r="C529" s="189"/>
      <c r="D529" s="95"/>
      <c r="E529" s="95"/>
      <c r="F529" s="174"/>
      <c r="G529" s="190"/>
      <c r="H529" s="190"/>
      <c r="I529" s="172"/>
    </row>
    <row r="530" spans="1:9">
      <c r="A530" s="95" t="s">
        <v>113</v>
      </c>
      <c r="B530" s="188">
        <v>0</v>
      </c>
      <c r="C530" s="189" t="s">
        <v>497</v>
      </c>
      <c r="D530" s="95" t="s">
        <v>119</v>
      </c>
      <c r="E530" s="95" t="s">
        <v>262</v>
      </c>
      <c r="F530" s="174">
        <v>7.1087603305785114</v>
      </c>
      <c r="G530" s="190">
        <v>52</v>
      </c>
      <c r="H530" s="140">
        <v>1</v>
      </c>
      <c r="I530" s="170"/>
    </row>
    <row r="531" spans="1:9">
      <c r="A531" s="95" t="s">
        <v>113</v>
      </c>
      <c r="B531" s="188">
        <v>0</v>
      </c>
      <c r="C531" s="189" t="s">
        <v>499</v>
      </c>
      <c r="D531" s="95" t="s">
        <v>313</v>
      </c>
      <c r="E531" s="95" t="s">
        <v>262</v>
      </c>
      <c r="F531" s="174">
        <v>28.286671487603307</v>
      </c>
      <c r="G531" s="190">
        <v>52</v>
      </c>
      <c r="H531" s="140">
        <v>1</v>
      </c>
      <c r="I531" s="170"/>
    </row>
    <row r="532" spans="1:9">
      <c r="A532" s="95" t="s">
        <v>113</v>
      </c>
      <c r="B532" s="188">
        <v>0</v>
      </c>
      <c r="C532" s="189" t="s">
        <v>501</v>
      </c>
      <c r="D532" s="95" t="s">
        <v>318</v>
      </c>
      <c r="E532" s="95" t="s">
        <v>262</v>
      </c>
      <c r="F532" s="174">
        <v>1.2694214876033059</v>
      </c>
      <c r="G532" s="190">
        <v>52</v>
      </c>
      <c r="H532" s="140">
        <v>1</v>
      </c>
      <c r="I532" s="170"/>
    </row>
    <row r="533" spans="1:9">
      <c r="A533" s="95" t="s">
        <v>113</v>
      </c>
      <c r="B533" s="188">
        <v>0</v>
      </c>
      <c r="C533" s="189" t="s">
        <v>673</v>
      </c>
      <c r="D533" s="95" t="s">
        <v>318</v>
      </c>
      <c r="E533" s="95" t="s">
        <v>262</v>
      </c>
      <c r="F533" s="174">
        <v>1.2694214876033059</v>
      </c>
      <c r="G533" s="190">
        <v>52</v>
      </c>
      <c r="H533" s="140">
        <v>1</v>
      </c>
      <c r="I533" s="170"/>
    </row>
    <row r="534" spans="1:9">
      <c r="A534" s="95" t="s">
        <v>113</v>
      </c>
      <c r="B534" s="188">
        <v>0</v>
      </c>
      <c r="C534" s="189" t="s">
        <v>674</v>
      </c>
      <c r="D534" s="95" t="s">
        <v>318</v>
      </c>
      <c r="E534" s="95" t="s">
        <v>262</v>
      </c>
      <c r="F534" s="174">
        <v>1.2694214876033059</v>
      </c>
      <c r="G534" s="190">
        <v>52</v>
      </c>
      <c r="H534" s="140">
        <v>1</v>
      </c>
      <c r="I534" s="170"/>
    </row>
    <row r="535" spans="1:9">
      <c r="A535" s="95" t="s">
        <v>113</v>
      </c>
      <c r="B535" s="188">
        <v>0</v>
      </c>
      <c r="C535" s="189" t="s">
        <v>505</v>
      </c>
      <c r="D535" s="95" t="s">
        <v>697</v>
      </c>
      <c r="E535" s="95" t="s">
        <v>275</v>
      </c>
      <c r="F535" s="174">
        <v>46.051983471074379</v>
      </c>
      <c r="G535" s="190">
        <v>52</v>
      </c>
      <c r="H535" s="140">
        <v>1</v>
      </c>
      <c r="I535" s="170"/>
    </row>
    <row r="536" spans="1:9">
      <c r="A536" s="95" t="s">
        <v>113</v>
      </c>
      <c r="B536" s="188">
        <v>0</v>
      </c>
      <c r="C536" s="189" t="s">
        <v>505</v>
      </c>
      <c r="D536" s="95" t="s">
        <v>700</v>
      </c>
      <c r="E536" s="95" t="s">
        <v>275</v>
      </c>
      <c r="F536" s="175">
        <v>8.8859504132231404</v>
      </c>
      <c r="G536" s="190">
        <v>52</v>
      </c>
      <c r="H536" s="140">
        <v>1</v>
      </c>
      <c r="I536" s="170"/>
    </row>
    <row r="537" spans="1:9">
      <c r="A537" s="95" t="s">
        <v>113</v>
      </c>
      <c r="B537" s="188">
        <v>0</v>
      </c>
      <c r="C537" s="189" t="s">
        <v>507</v>
      </c>
      <c r="D537" s="95" t="s">
        <v>603</v>
      </c>
      <c r="E537" s="95" t="s">
        <v>262</v>
      </c>
      <c r="F537" s="175">
        <v>3.9563636363636365</v>
      </c>
      <c r="G537" s="190">
        <v>12</v>
      </c>
      <c r="H537" s="140">
        <v>1</v>
      </c>
      <c r="I537" s="170"/>
    </row>
    <row r="538" spans="1:9">
      <c r="A538" s="95" t="s">
        <v>113</v>
      </c>
      <c r="B538" s="188">
        <v>0</v>
      </c>
      <c r="C538" s="189" t="s">
        <v>509</v>
      </c>
      <c r="D538" s="95" t="s">
        <v>339</v>
      </c>
      <c r="E538" s="95" t="s">
        <v>251</v>
      </c>
      <c r="F538" s="174">
        <v>4.6757024793388435</v>
      </c>
      <c r="G538" s="190">
        <v>52</v>
      </c>
      <c r="H538" s="140">
        <v>1</v>
      </c>
      <c r="I538" s="170"/>
    </row>
    <row r="539" spans="1:9">
      <c r="A539" s="95"/>
      <c r="B539" s="196"/>
      <c r="C539" s="189"/>
      <c r="D539" s="95"/>
      <c r="E539" s="95"/>
      <c r="F539" s="174"/>
      <c r="G539" s="190"/>
      <c r="H539" s="190"/>
      <c r="I539" s="172"/>
    </row>
    <row r="540" spans="1:9">
      <c r="A540" s="95" t="s">
        <v>114</v>
      </c>
      <c r="B540" s="196"/>
      <c r="C540" s="189"/>
      <c r="D540" s="95" t="s">
        <v>701</v>
      </c>
      <c r="E540" s="95" t="s">
        <v>295</v>
      </c>
      <c r="F540" s="174">
        <v>9</v>
      </c>
      <c r="G540" s="190">
        <v>12</v>
      </c>
      <c r="H540" s="140">
        <v>1</v>
      </c>
      <c r="I540" s="170"/>
    </row>
    <row r="541" spans="1:9">
      <c r="A541" s="95" t="s">
        <v>114</v>
      </c>
      <c r="B541" s="196"/>
      <c r="C541" s="189"/>
      <c r="D541" s="95" t="s">
        <v>701</v>
      </c>
      <c r="E541" s="95" t="s">
        <v>245</v>
      </c>
      <c r="F541" s="174">
        <v>5.75</v>
      </c>
      <c r="G541" s="190">
        <v>12</v>
      </c>
      <c r="H541" s="140">
        <v>1</v>
      </c>
      <c r="I541" s="170"/>
    </row>
    <row r="542" spans="1:9">
      <c r="A542" s="95" t="s">
        <v>114</v>
      </c>
      <c r="B542" s="95"/>
      <c r="C542" s="189"/>
      <c r="D542" s="95" t="s">
        <v>701</v>
      </c>
      <c r="E542" s="95" t="s">
        <v>702</v>
      </c>
      <c r="F542" s="175">
        <v>33.700000762939453</v>
      </c>
      <c r="G542" s="190">
        <v>12</v>
      </c>
      <c r="H542" s="140">
        <v>1</v>
      </c>
      <c r="I542" s="170"/>
    </row>
    <row r="543" spans="1:9">
      <c r="A543" s="95" t="s">
        <v>114</v>
      </c>
      <c r="B543" s="95"/>
      <c r="C543" s="95"/>
      <c r="D543" s="95" t="s">
        <v>291</v>
      </c>
      <c r="E543" s="95" t="s">
        <v>504</v>
      </c>
      <c r="F543" s="175">
        <v>42.899999618530273</v>
      </c>
      <c r="G543" s="190">
        <v>12</v>
      </c>
      <c r="H543" s="140">
        <v>1</v>
      </c>
      <c r="I543" s="170"/>
    </row>
    <row r="544" spans="1:9">
      <c r="A544" s="95" t="s">
        <v>114</v>
      </c>
      <c r="B544" s="95"/>
      <c r="C544" s="95"/>
      <c r="D544" s="95" t="s">
        <v>703</v>
      </c>
      <c r="E544" s="95" t="s">
        <v>262</v>
      </c>
      <c r="F544" s="175">
        <v>8.6000003814697266</v>
      </c>
      <c r="G544" s="190">
        <v>12</v>
      </c>
      <c r="H544" s="140">
        <v>1</v>
      </c>
      <c r="I544" s="170"/>
    </row>
    <row r="545" spans="1:9">
      <c r="A545" s="95" t="s">
        <v>114</v>
      </c>
      <c r="B545" s="95"/>
      <c r="C545" s="95"/>
      <c r="D545" s="95" t="s">
        <v>704</v>
      </c>
      <c r="E545" s="95" t="s">
        <v>262</v>
      </c>
      <c r="F545" s="175">
        <v>3.5999999046325684</v>
      </c>
      <c r="G545" s="190">
        <v>12</v>
      </c>
      <c r="H545" s="140">
        <v>1</v>
      </c>
      <c r="I545" s="170"/>
    </row>
    <row r="546" spans="1:9">
      <c r="A546" s="95" t="s">
        <v>114</v>
      </c>
      <c r="B546" s="95"/>
      <c r="C546" s="95"/>
      <c r="D546" s="95" t="s">
        <v>313</v>
      </c>
      <c r="E546" s="95" t="s">
        <v>262</v>
      </c>
      <c r="F546" s="175">
        <v>41.799999237060547</v>
      </c>
      <c r="G546" s="190">
        <v>12</v>
      </c>
      <c r="H546" s="140">
        <v>1</v>
      </c>
      <c r="I546" s="170"/>
    </row>
    <row r="547" spans="1:9">
      <c r="A547" s="95" t="s">
        <v>114</v>
      </c>
      <c r="B547" s="95"/>
      <c r="C547" s="95"/>
      <c r="D547" s="95" t="s">
        <v>298</v>
      </c>
      <c r="E547" s="95" t="s">
        <v>262</v>
      </c>
      <c r="F547" s="175">
        <v>1.3500000238418579</v>
      </c>
      <c r="G547" s="190">
        <v>12</v>
      </c>
      <c r="H547" s="140">
        <v>1</v>
      </c>
      <c r="I547" s="170"/>
    </row>
    <row r="548" spans="1:9">
      <c r="A548" s="95" t="s">
        <v>114</v>
      </c>
      <c r="B548" s="95"/>
      <c r="C548" s="95"/>
      <c r="D548" s="95" t="s">
        <v>705</v>
      </c>
      <c r="E548" s="95" t="s">
        <v>262</v>
      </c>
      <c r="F548" s="175">
        <v>1.7999999523162842</v>
      </c>
      <c r="G548" s="190">
        <v>12</v>
      </c>
      <c r="H548" s="140">
        <v>1</v>
      </c>
      <c r="I548" s="170"/>
    </row>
    <row r="549" spans="1:9">
      <c r="A549" s="95" t="s">
        <v>114</v>
      </c>
      <c r="B549" s="95"/>
      <c r="C549" s="95"/>
      <c r="D549" s="95" t="s">
        <v>706</v>
      </c>
      <c r="E549" s="95" t="s">
        <v>262</v>
      </c>
      <c r="F549" s="175">
        <v>2.5999999046325684</v>
      </c>
      <c r="G549" s="190">
        <v>12</v>
      </c>
      <c r="H549" s="140">
        <v>1</v>
      </c>
      <c r="I549" s="170"/>
    </row>
    <row r="550" spans="1:9">
      <c r="A550" s="95" t="s">
        <v>114</v>
      </c>
      <c r="B550" s="95"/>
      <c r="C550" s="95"/>
      <c r="D550" s="95" t="s">
        <v>707</v>
      </c>
      <c r="E550" s="95" t="s">
        <v>262</v>
      </c>
      <c r="F550" s="175">
        <v>3.0499999523162842</v>
      </c>
      <c r="G550" s="190">
        <v>12</v>
      </c>
      <c r="H550" s="140">
        <v>1</v>
      </c>
      <c r="I550" s="170"/>
    </row>
    <row r="551" spans="1:9">
      <c r="A551" s="95" t="s">
        <v>114</v>
      </c>
      <c r="B551" s="95"/>
      <c r="C551" s="95"/>
      <c r="D551" s="95" t="s">
        <v>590</v>
      </c>
      <c r="E551" s="95" t="s">
        <v>262</v>
      </c>
      <c r="F551" s="175">
        <v>8.1000003814697266</v>
      </c>
      <c r="G551" s="190">
        <v>12</v>
      </c>
      <c r="H551" s="140">
        <v>1</v>
      </c>
      <c r="I551" s="170"/>
    </row>
    <row r="552" spans="1:9">
      <c r="A552" s="95" t="s">
        <v>114</v>
      </c>
      <c r="B552" s="95"/>
      <c r="C552" s="95"/>
      <c r="D552" s="95" t="s">
        <v>705</v>
      </c>
      <c r="E552" s="95" t="s">
        <v>262</v>
      </c>
      <c r="F552" s="175">
        <v>2.2999999523162842</v>
      </c>
      <c r="G552" s="190">
        <v>12</v>
      </c>
      <c r="H552" s="140">
        <v>1</v>
      </c>
      <c r="I552" s="170"/>
    </row>
    <row r="553" spans="1:9">
      <c r="A553" s="95" t="s">
        <v>114</v>
      </c>
      <c r="B553" s="95"/>
      <c r="C553" s="95"/>
      <c r="D553" s="95" t="s">
        <v>706</v>
      </c>
      <c r="E553" s="95" t="s">
        <v>262</v>
      </c>
      <c r="F553" s="175">
        <v>7.4000000953674316</v>
      </c>
      <c r="G553" s="190">
        <v>12</v>
      </c>
      <c r="H553" s="140">
        <v>1</v>
      </c>
      <c r="I553" s="170"/>
    </row>
    <row r="554" spans="1:9">
      <c r="A554" s="95" t="s">
        <v>114</v>
      </c>
      <c r="B554" s="95"/>
      <c r="C554" s="95"/>
      <c r="D554" s="95" t="s">
        <v>339</v>
      </c>
      <c r="E554" s="95" t="s">
        <v>251</v>
      </c>
      <c r="F554" s="175">
        <v>17.049999237060547</v>
      </c>
      <c r="G554" s="190">
        <v>12</v>
      </c>
      <c r="H554" s="140">
        <v>1</v>
      </c>
      <c r="I554" s="170"/>
    </row>
    <row r="555" spans="1:9">
      <c r="A555" s="95" t="s">
        <v>114</v>
      </c>
      <c r="B555" s="95"/>
      <c r="C555" s="95"/>
      <c r="D555" s="95" t="s">
        <v>297</v>
      </c>
      <c r="E555" s="95" t="s">
        <v>504</v>
      </c>
      <c r="F555" s="175">
        <v>23.299999237060547</v>
      </c>
      <c r="G555" s="190">
        <v>12</v>
      </c>
      <c r="H555" s="140">
        <v>1</v>
      </c>
      <c r="I555" s="170"/>
    </row>
    <row r="556" spans="1:9">
      <c r="A556" s="95" t="s">
        <v>114</v>
      </c>
      <c r="B556" s="95"/>
      <c r="C556" s="95"/>
      <c r="D556" s="95" t="s">
        <v>708</v>
      </c>
      <c r="E556" s="95" t="s">
        <v>262</v>
      </c>
      <c r="F556" s="175">
        <v>11.699999809265137</v>
      </c>
      <c r="G556" s="190">
        <v>12</v>
      </c>
      <c r="H556" s="140">
        <v>1</v>
      </c>
      <c r="I556" s="170"/>
    </row>
    <row r="557" spans="1:9">
      <c r="A557" s="95" t="s">
        <v>114</v>
      </c>
      <c r="B557" s="95"/>
      <c r="C557" s="95"/>
      <c r="D557" s="95" t="s">
        <v>709</v>
      </c>
      <c r="E557" s="95" t="s">
        <v>251</v>
      </c>
      <c r="F557" s="175">
        <v>13.100000381469727</v>
      </c>
      <c r="G557" s="190">
        <v>12</v>
      </c>
      <c r="H557" s="140">
        <v>1</v>
      </c>
      <c r="I557" s="170"/>
    </row>
    <row r="558" spans="1:9">
      <c r="A558" s="95" t="s">
        <v>114</v>
      </c>
      <c r="B558" s="95"/>
      <c r="C558" s="95"/>
      <c r="D558" s="95" t="s">
        <v>372</v>
      </c>
      <c r="E558" s="95" t="s">
        <v>262</v>
      </c>
      <c r="F558" s="175">
        <v>14.199999809265137</v>
      </c>
      <c r="G558" s="190">
        <v>12</v>
      </c>
      <c r="H558" s="140">
        <v>1</v>
      </c>
      <c r="I558" s="170"/>
    </row>
    <row r="559" spans="1:9">
      <c r="A559" s="95" t="s">
        <v>114</v>
      </c>
      <c r="B559" s="95"/>
      <c r="C559" s="95"/>
      <c r="D559" s="95" t="s">
        <v>618</v>
      </c>
      <c r="E559" s="95" t="s">
        <v>504</v>
      </c>
      <c r="F559" s="175">
        <v>121.20000076293945</v>
      </c>
      <c r="G559" s="190">
        <v>12</v>
      </c>
      <c r="H559" s="140">
        <v>1</v>
      </c>
      <c r="I559" s="170"/>
    </row>
    <row r="560" spans="1:9">
      <c r="A560" s="95" t="s">
        <v>114</v>
      </c>
      <c r="B560" s="95"/>
      <c r="C560" s="95"/>
      <c r="D560" s="95" t="s">
        <v>534</v>
      </c>
      <c r="E560" s="95" t="s">
        <v>504</v>
      </c>
      <c r="F560" s="175">
        <v>4.25</v>
      </c>
      <c r="G560" s="190">
        <v>0</v>
      </c>
      <c r="H560" s="140">
        <v>1</v>
      </c>
      <c r="I560" s="170"/>
    </row>
    <row r="561" spans="1:9">
      <c r="A561" s="95" t="s">
        <v>114</v>
      </c>
      <c r="B561" s="95"/>
      <c r="C561" s="95"/>
      <c r="D561" s="95" t="s">
        <v>125</v>
      </c>
      <c r="E561" s="95" t="s">
        <v>710</v>
      </c>
      <c r="F561" s="175">
        <v>27.350000381469727</v>
      </c>
      <c r="G561" s="190">
        <v>0</v>
      </c>
      <c r="H561" s="140">
        <v>1</v>
      </c>
      <c r="I561" s="170"/>
    </row>
    <row r="562" spans="1:9">
      <c r="A562" s="95" t="s">
        <v>114</v>
      </c>
      <c r="B562" s="95"/>
      <c r="C562" s="95"/>
      <c r="D562" s="95" t="s">
        <v>711</v>
      </c>
      <c r="E562" s="95" t="s">
        <v>494</v>
      </c>
      <c r="F562" s="175">
        <v>505</v>
      </c>
      <c r="G562" s="190">
        <v>0</v>
      </c>
      <c r="H562" s="140">
        <v>1</v>
      </c>
      <c r="I562" s="170"/>
    </row>
    <row r="563" spans="1:9">
      <c r="A563" s="95" t="s">
        <v>114</v>
      </c>
      <c r="B563" s="95"/>
      <c r="C563" s="95"/>
      <c r="D563" s="95" t="s">
        <v>712</v>
      </c>
      <c r="E563" s="95" t="s">
        <v>494</v>
      </c>
      <c r="F563" s="175">
        <v>4.4000000953674316</v>
      </c>
      <c r="G563" s="190">
        <v>0</v>
      </c>
      <c r="H563" s="140">
        <v>1</v>
      </c>
      <c r="I563" s="170"/>
    </row>
    <row r="564" spans="1:9">
      <c r="A564" s="95"/>
      <c r="B564" s="95"/>
      <c r="C564" s="95"/>
      <c r="D564" s="95"/>
      <c r="E564" s="95"/>
      <c r="F564" s="175"/>
      <c r="G564" s="190"/>
      <c r="H564" s="190"/>
      <c r="I564" s="172"/>
    </row>
    <row r="565" spans="1:9">
      <c r="A565" s="95" t="s">
        <v>115</v>
      </c>
      <c r="B565" s="197" t="s">
        <v>300</v>
      </c>
      <c r="C565" s="95" t="s">
        <v>497</v>
      </c>
      <c r="D565" s="95" t="s">
        <v>713</v>
      </c>
      <c r="E565" s="95" t="s">
        <v>714</v>
      </c>
      <c r="F565" s="175">
        <v>7.8000000000000007</v>
      </c>
      <c r="G565" s="190">
        <v>52</v>
      </c>
      <c r="H565" s="140">
        <v>1</v>
      </c>
      <c r="I565" s="172"/>
    </row>
    <row r="566" spans="1:9">
      <c r="A566" s="95" t="s">
        <v>115</v>
      </c>
      <c r="B566" s="197" t="s">
        <v>300</v>
      </c>
      <c r="C566" s="95" t="s">
        <v>499</v>
      </c>
      <c r="D566" s="95" t="s">
        <v>715</v>
      </c>
      <c r="E566" s="95" t="s">
        <v>262</v>
      </c>
      <c r="F566" s="175">
        <v>1.4</v>
      </c>
      <c r="G566" s="190">
        <v>52</v>
      </c>
      <c r="H566" s="140">
        <v>1</v>
      </c>
      <c r="I566" s="170"/>
    </row>
    <row r="567" spans="1:9">
      <c r="A567" s="95" t="s">
        <v>115</v>
      </c>
      <c r="B567" s="197" t="s">
        <v>300</v>
      </c>
      <c r="C567" s="95" t="s">
        <v>501</v>
      </c>
      <c r="D567" s="95" t="s">
        <v>715</v>
      </c>
      <c r="E567" s="95" t="s">
        <v>262</v>
      </c>
      <c r="F567" s="175">
        <v>1.4</v>
      </c>
      <c r="G567" s="190">
        <v>52</v>
      </c>
      <c r="H567" s="140">
        <v>1</v>
      </c>
      <c r="I567" s="170"/>
    </row>
    <row r="568" spans="1:9">
      <c r="A568" s="95" t="s">
        <v>115</v>
      </c>
      <c r="B568" s="197" t="s">
        <v>300</v>
      </c>
      <c r="C568" s="95" t="s">
        <v>673</v>
      </c>
      <c r="D568" s="95" t="s">
        <v>291</v>
      </c>
      <c r="E568" s="95" t="s">
        <v>714</v>
      </c>
      <c r="F568" s="175">
        <v>6.84</v>
      </c>
      <c r="G568" s="190">
        <v>52</v>
      </c>
      <c r="H568" s="140">
        <v>1</v>
      </c>
      <c r="I568" s="170"/>
    </row>
    <row r="569" spans="1:9">
      <c r="A569" s="95" t="s">
        <v>115</v>
      </c>
      <c r="B569" s="197" t="s">
        <v>300</v>
      </c>
      <c r="C569" s="95" t="s">
        <v>674</v>
      </c>
      <c r="D569" s="95" t="s">
        <v>313</v>
      </c>
      <c r="E569" s="95" t="s">
        <v>714</v>
      </c>
      <c r="F569" s="175">
        <v>28.08</v>
      </c>
      <c r="G569" s="190">
        <v>52</v>
      </c>
      <c r="H569" s="140">
        <v>1</v>
      </c>
      <c r="I569" s="170"/>
    </row>
    <row r="570" spans="1:9">
      <c r="A570" s="95" t="s">
        <v>115</v>
      </c>
      <c r="B570" s="197" t="s">
        <v>300</v>
      </c>
      <c r="C570" s="95" t="s">
        <v>505</v>
      </c>
      <c r="D570" s="95" t="s">
        <v>603</v>
      </c>
      <c r="E570" s="95" t="s">
        <v>262</v>
      </c>
      <c r="F570" s="175">
        <v>2.3000000000000003</v>
      </c>
      <c r="G570" s="190">
        <v>52</v>
      </c>
      <c r="H570" s="140">
        <v>1</v>
      </c>
      <c r="I570" s="170"/>
    </row>
    <row r="571" spans="1:9">
      <c r="A571" s="95" t="s">
        <v>115</v>
      </c>
      <c r="B571" s="197" t="s">
        <v>300</v>
      </c>
      <c r="C571" s="95" t="s">
        <v>507</v>
      </c>
      <c r="D571" s="95" t="s">
        <v>603</v>
      </c>
      <c r="E571" s="95" t="s">
        <v>262</v>
      </c>
      <c r="F571" s="175">
        <v>2.3000000000000003</v>
      </c>
      <c r="G571" s="190">
        <v>52</v>
      </c>
      <c r="H571" s="140">
        <v>1</v>
      </c>
      <c r="I571" s="170"/>
    </row>
    <row r="572" spans="1:9">
      <c r="A572" s="95" t="s">
        <v>115</v>
      </c>
      <c r="B572" s="95" t="s">
        <v>300</v>
      </c>
      <c r="C572" s="95" t="s">
        <v>509</v>
      </c>
      <c r="D572" s="95" t="s">
        <v>344</v>
      </c>
      <c r="E572" s="95" t="s">
        <v>716</v>
      </c>
      <c r="F572" s="175">
        <v>9.39</v>
      </c>
      <c r="G572" s="190">
        <v>52</v>
      </c>
      <c r="H572" s="140">
        <v>1</v>
      </c>
      <c r="I572" s="170"/>
    </row>
    <row r="573" spans="1:9">
      <c r="A573" s="95" t="s">
        <v>115</v>
      </c>
      <c r="B573" s="95" t="s">
        <v>357</v>
      </c>
      <c r="C573" s="95" t="s">
        <v>547</v>
      </c>
      <c r="D573" s="95" t="s">
        <v>292</v>
      </c>
      <c r="E573" s="95" t="s">
        <v>714</v>
      </c>
      <c r="F573" s="175">
        <v>2.6</v>
      </c>
      <c r="G573" s="190">
        <v>52</v>
      </c>
      <c r="H573" s="140">
        <v>1</v>
      </c>
      <c r="I573" s="170"/>
    </row>
    <row r="574" spans="1:9">
      <c r="A574" s="95" t="s">
        <v>115</v>
      </c>
      <c r="B574" s="95" t="s">
        <v>357</v>
      </c>
      <c r="C574" s="95" t="s">
        <v>677</v>
      </c>
      <c r="D574" s="95" t="s">
        <v>433</v>
      </c>
      <c r="E574" s="95" t="s">
        <v>714</v>
      </c>
      <c r="F574" s="175">
        <v>39.33</v>
      </c>
      <c r="G574" s="190">
        <v>52</v>
      </c>
      <c r="H574" s="140">
        <v>1</v>
      </c>
      <c r="I574" s="170"/>
    </row>
    <row r="575" spans="1:9">
      <c r="A575" s="95" t="s">
        <v>115</v>
      </c>
      <c r="B575" s="95" t="s">
        <v>357</v>
      </c>
      <c r="C575" s="95" t="s">
        <v>678</v>
      </c>
      <c r="D575" s="95" t="s">
        <v>372</v>
      </c>
      <c r="E575" s="95" t="s">
        <v>714</v>
      </c>
      <c r="F575" s="175">
        <v>9.52</v>
      </c>
      <c r="G575" s="190">
        <v>52</v>
      </c>
      <c r="H575" s="140">
        <v>1</v>
      </c>
      <c r="I575" s="170"/>
    </row>
    <row r="576" spans="1:9">
      <c r="A576" s="95" t="s">
        <v>115</v>
      </c>
      <c r="B576" s="95" t="s">
        <v>357</v>
      </c>
      <c r="C576" s="95" t="s">
        <v>679</v>
      </c>
      <c r="D576" s="95" t="s">
        <v>339</v>
      </c>
      <c r="E576" s="95" t="s">
        <v>714</v>
      </c>
      <c r="F576" s="175">
        <v>9.240000000000002</v>
      </c>
      <c r="G576" s="190">
        <v>52</v>
      </c>
      <c r="H576" s="140">
        <v>1</v>
      </c>
      <c r="I576" s="170"/>
    </row>
    <row r="577" spans="1:9">
      <c r="A577" s="95"/>
      <c r="B577" s="95"/>
      <c r="C577" s="95"/>
      <c r="D577" s="95"/>
      <c r="E577" s="95"/>
      <c r="F577" s="175"/>
      <c r="G577" s="190"/>
      <c r="H577" s="190"/>
      <c r="I577" s="170"/>
    </row>
    <row r="578" spans="1:9">
      <c r="A578" s="95" t="s">
        <v>207</v>
      </c>
      <c r="B578" s="188">
        <v>0</v>
      </c>
      <c r="C578" s="189">
        <v>7</v>
      </c>
      <c r="D578" s="198" t="s">
        <v>291</v>
      </c>
      <c r="E578" s="95" t="s">
        <v>717</v>
      </c>
      <c r="F578" s="174">
        <f>1.62*7.376</f>
        <v>11.949120000000001</v>
      </c>
      <c r="G578" s="190">
        <v>52</v>
      </c>
      <c r="H578" s="140">
        <v>1</v>
      </c>
      <c r="I578" s="170"/>
    </row>
    <row r="579" spans="1:9">
      <c r="A579" s="95" t="s">
        <v>207</v>
      </c>
      <c r="B579" s="188">
        <v>0</v>
      </c>
      <c r="C579" s="189">
        <v>8</v>
      </c>
      <c r="D579" s="198" t="s">
        <v>339</v>
      </c>
      <c r="E579" s="95" t="s">
        <v>717</v>
      </c>
      <c r="F579" s="174">
        <f>3.37*4.276</f>
        <v>14.410119999999999</v>
      </c>
      <c r="G579" s="190">
        <v>52</v>
      </c>
      <c r="H579" s="140">
        <v>1</v>
      </c>
      <c r="I579" s="170"/>
    </row>
    <row r="580" spans="1:9">
      <c r="A580" s="95" t="s">
        <v>207</v>
      </c>
      <c r="B580" s="188">
        <v>0</v>
      </c>
      <c r="C580" s="189">
        <v>9</v>
      </c>
      <c r="D580" s="198" t="s">
        <v>526</v>
      </c>
      <c r="E580" s="95" t="s">
        <v>717</v>
      </c>
      <c r="F580" s="174">
        <f>3.37*1.45</f>
        <v>4.8864999999999998</v>
      </c>
      <c r="G580" s="190">
        <v>52</v>
      </c>
      <c r="H580" s="140">
        <v>1</v>
      </c>
      <c r="I580" s="170"/>
    </row>
    <row r="581" spans="1:9">
      <c r="A581" s="95" t="s">
        <v>207</v>
      </c>
      <c r="B581" s="188">
        <v>0</v>
      </c>
      <c r="C581" s="189" t="s">
        <v>718</v>
      </c>
      <c r="D581" s="198" t="s">
        <v>719</v>
      </c>
      <c r="E581" s="95" t="s">
        <v>717</v>
      </c>
      <c r="F581" s="174">
        <f>1.349*0.88</f>
        <v>1.18712</v>
      </c>
      <c r="G581" s="190">
        <v>52</v>
      </c>
      <c r="H581" s="140">
        <v>1</v>
      </c>
      <c r="I581" s="170"/>
    </row>
    <row r="582" spans="1:9">
      <c r="A582" s="95" t="s">
        <v>207</v>
      </c>
      <c r="B582" s="188">
        <v>0</v>
      </c>
      <c r="C582" s="189">
        <v>10</v>
      </c>
      <c r="D582" s="95" t="s">
        <v>518</v>
      </c>
      <c r="E582" s="95" t="s">
        <v>717</v>
      </c>
      <c r="F582" s="174">
        <f>1.349*0.92</f>
        <v>1.24108</v>
      </c>
      <c r="G582" s="190">
        <v>52</v>
      </c>
      <c r="H582" s="140">
        <v>1</v>
      </c>
      <c r="I582" s="170"/>
    </row>
    <row r="583" spans="1:9">
      <c r="A583" s="95" t="s">
        <v>207</v>
      </c>
      <c r="B583" s="188">
        <v>0</v>
      </c>
      <c r="C583" s="189" t="s">
        <v>720</v>
      </c>
      <c r="D583" s="198" t="s">
        <v>719</v>
      </c>
      <c r="E583" s="95" t="s">
        <v>717</v>
      </c>
      <c r="F583" s="174">
        <f>1.349*1.25</f>
        <v>1.68625</v>
      </c>
      <c r="G583" s="190">
        <v>52</v>
      </c>
      <c r="H583" s="140">
        <v>1</v>
      </c>
      <c r="I583" s="170"/>
    </row>
    <row r="584" spans="1:9">
      <c r="A584" s="95" t="s">
        <v>207</v>
      </c>
      <c r="B584" s="188">
        <v>0</v>
      </c>
      <c r="C584" s="189">
        <v>13</v>
      </c>
      <c r="D584" s="198" t="s">
        <v>433</v>
      </c>
      <c r="E584" s="95" t="s">
        <v>717</v>
      </c>
      <c r="F584" s="174">
        <f>8.4*(2.96+2+2.96)</f>
        <v>66.528000000000006</v>
      </c>
      <c r="G584" s="190">
        <v>52</v>
      </c>
      <c r="H584" s="140">
        <v>1</v>
      </c>
      <c r="I584" s="170"/>
    </row>
    <row r="585" spans="1:9">
      <c r="A585" s="95" t="s">
        <v>207</v>
      </c>
      <c r="B585" s="188">
        <v>0</v>
      </c>
      <c r="C585" s="189">
        <v>11</v>
      </c>
      <c r="D585" s="198" t="s">
        <v>372</v>
      </c>
      <c r="E585" s="95" t="s">
        <v>717</v>
      </c>
      <c r="F585" s="174">
        <f>2.1*4.505</f>
        <v>9.4604999999999997</v>
      </c>
      <c r="G585" s="190">
        <v>52</v>
      </c>
      <c r="H585" s="140">
        <v>1</v>
      </c>
      <c r="I585" s="170"/>
    </row>
    <row r="586" spans="1:9">
      <c r="A586" s="95" t="s">
        <v>207</v>
      </c>
      <c r="B586" s="188">
        <v>0</v>
      </c>
      <c r="C586" s="189">
        <v>12</v>
      </c>
      <c r="D586" s="198" t="s">
        <v>588</v>
      </c>
      <c r="E586" s="95" t="s">
        <v>717</v>
      </c>
      <c r="F586" s="174">
        <f>1.78*(1.11+1.96)</f>
        <v>5.4646000000000008</v>
      </c>
      <c r="G586" s="190">
        <v>52</v>
      </c>
      <c r="H586" s="140">
        <v>1</v>
      </c>
      <c r="I586" s="170"/>
    </row>
    <row r="587" spans="1:9">
      <c r="A587" s="95" t="s">
        <v>207</v>
      </c>
      <c r="B587" s="188">
        <v>0</v>
      </c>
      <c r="C587" s="189">
        <v>5</v>
      </c>
      <c r="D587" s="198" t="s">
        <v>721</v>
      </c>
      <c r="E587" s="95" t="s">
        <v>717</v>
      </c>
      <c r="F587" s="174">
        <f>2.6*2.125</f>
        <v>5.5250000000000004</v>
      </c>
      <c r="G587" s="190">
        <v>0</v>
      </c>
      <c r="H587" s="140">
        <v>1</v>
      </c>
      <c r="I587" s="170"/>
    </row>
    <row r="588" spans="1:9">
      <c r="A588" s="95" t="s">
        <v>207</v>
      </c>
      <c r="B588" s="188">
        <v>0</v>
      </c>
      <c r="C588" s="189">
        <v>4</v>
      </c>
      <c r="D588" s="95" t="s">
        <v>722</v>
      </c>
      <c r="E588" s="95" t="s">
        <v>717</v>
      </c>
      <c r="F588" s="174">
        <f>(1.2+0.92+0.01)*(1.35+0.1+1.4)-F589</f>
        <v>4.7824999999999998</v>
      </c>
      <c r="G588" s="190">
        <v>52</v>
      </c>
      <c r="H588" s="140">
        <v>1</v>
      </c>
      <c r="I588" s="170"/>
    </row>
    <row r="589" spans="1:9">
      <c r="A589" s="95" t="s">
        <v>207</v>
      </c>
      <c r="B589" s="188">
        <v>0</v>
      </c>
      <c r="C589" s="189" t="s">
        <v>723</v>
      </c>
      <c r="D589" s="198" t="s">
        <v>719</v>
      </c>
      <c r="E589" s="95" t="s">
        <v>717</v>
      </c>
      <c r="F589" s="174">
        <f>(0.92*1.4)</f>
        <v>1.288</v>
      </c>
      <c r="G589" s="190">
        <v>52</v>
      </c>
      <c r="H589" s="140">
        <v>1</v>
      </c>
      <c r="I589" s="170"/>
    </row>
    <row r="590" spans="1:9">
      <c r="A590" s="95" t="s">
        <v>207</v>
      </c>
      <c r="B590" s="188">
        <v>0</v>
      </c>
      <c r="C590" s="189" t="s">
        <v>724</v>
      </c>
      <c r="D590" s="198" t="s">
        <v>603</v>
      </c>
      <c r="E590" s="95" t="s">
        <v>717</v>
      </c>
      <c r="F590" s="174">
        <f>1.4*1.8</f>
        <v>2.52</v>
      </c>
      <c r="G590" s="190">
        <v>52</v>
      </c>
      <c r="H590" s="140">
        <v>1</v>
      </c>
      <c r="I590" s="170"/>
    </row>
    <row r="591" spans="1:9">
      <c r="A591" s="95" t="s">
        <v>207</v>
      </c>
      <c r="B591" s="188">
        <v>0</v>
      </c>
      <c r="C591" s="189">
        <v>3</v>
      </c>
      <c r="D591" s="198" t="s">
        <v>725</v>
      </c>
      <c r="E591" s="95" t="s">
        <v>717</v>
      </c>
      <c r="F591" s="174">
        <f>(1.35+0.1+1.4)*(2.26+0.1+0.92)-F592</f>
        <v>8.0599999999999987</v>
      </c>
      <c r="G591" s="190">
        <v>52</v>
      </c>
      <c r="H591" s="140">
        <v>1</v>
      </c>
      <c r="I591" s="170"/>
    </row>
    <row r="592" spans="1:9">
      <c r="A592" s="95" t="s">
        <v>207</v>
      </c>
      <c r="B592" s="188">
        <v>0</v>
      </c>
      <c r="C592" s="189" t="s">
        <v>726</v>
      </c>
      <c r="D592" s="198" t="s">
        <v>719</v>
      </c>
      <c r="E592" s="95" t="s">
        <v>717</v>
      </c>
      <c r="F592" s="174">
        <f>(0.92*1.4)</f>
        <v>1.288</v>
      </c>
      <c r="G592" s="190">
        <v>52</v>
      </c>
      <c r="H592" s="140">
        <v>1</v>
      </c>
      <c r="I592" s="170"/>
    </row>
    <row r="593" spans="1:9">
      <c r="A593" s="95" t="s">
        <v>207</v>
      </c>
      <c r="B593" s="188">
        <v>0</v>
      </c>
      <c r="C593" s="189" t="s">
        <v>727</v>
      </c>
      <c r="D593" s="198" t="s">
        <v>603</v>
      </c>
      <c r="E593" s="95" t="s">
        <v>717</v>
      </c>
      <c r="F593" s="174">
        <f>1.4*1.8</f>
        <v>2.52</v>
      </c>
      <c r="G593" s="190">
        <v>52</v>
      </c>
      <c r="H593" s="140">
        <v>1</v>
      </c>
      <c r="I593" s="170"/>
    </row>
    <row r="594" spans="1:9">
      <c r="A594" s="95" t="s">
        <v>207</v>
      </c>
      <c r="B594" s="188">
        <v>0</v>
      </c>
      <c r="C594" s="189" t="s">
        <v>728</v>
      </c>
      <c r="D594" s="95" t="s">
        <v>603</v>
      </c>
      <c r="E594" s="95" t="s">
        <v>717</v>
      </c>
      <c r="F594" s="174">
        <f>1.4*1.8</f>
        <v>2.52</v>
      </c>
      <c r="G594" s="190">
        <v>52</v>
      </c>
      <c r="H594" s="140">
        <v>1</v>
      </c>
      <c r="I594" s="170"/>
    </row>
    <row r="595" spans="1:9">
      <c r="A595" s="95" t="s">
        <v>207</v>
      </c>
      <c r="B595" s="188">
        <v>0</v>
      </c>
      <c r="C595" s="189">
        <v>2</v>
      </c>
      <c r="D595" s="198" t="s">
        <v>729</v>
      </c>
      <c r="E595" s="95" t="s">
        <v>730</v>
      </c>
      <c r="F595" s="174">
        <f>(3.61*12.03)+(1.585*1.8)+(1.585*1.8)</f>
        <v>49.134299999999996</v>
      </c>
      <c r="G595" s="190">
        <v>52</v>
      </c>
      <c r="H595" s="140">
        <v>1</v>
      </c>
      <c r="I595" s="170"/>
    </row>
    <row r="596" spans="1:9">
      <c r="A596" s="95"/>
      <c r="B596" s="188"/>
      <c r="C596" s="189"/>
      <c r="D596" s="198"/>
      <c r="E596" s="95"/>
      <c r="F596" s="174"/>
      <c r="G596" s="190"/>
      <c r="H596" s="190"/>
      <c r="I596" s="172"/>
    </row>
    <row r="597" spans="1:9">
      <c r="A597" s="95" t="s">
        <v>117</v>
      </c>
      <c r="B597" s="95" t="s">
        <v>300</v>
      </c>
      <c r="C597" s="95" t="s">
        <v>497</v>
      </c>
      <c r="D597" s="95" t="s">
        <v>119</v>
      </c>
      <c r="E597" s="95" t="s">
        <v>251</v>
      </c>
      <c r="F597" s="175">
        <v>4.7200832466181062</v>
      </c>
      <c r="G597" s="190">
        <v>156</v>
      </c>
      <c r="H597" s="140">
        <v>1</v>
      </c>
      <c r="I597" s="170"/>
    </row>
    <row r="598" spans="1:9">
      <c r="A598" s="95" t="s">
        <v>117</v>
      </c>
      <c r="B598" s="95" t="s">
        <v>300</v>
      </c>
      <c r="C598" s="95" t="s">
        <v>501</v>
      </c>
      <c r="D598" s="95" t="s">
        <v>292</v>
      </c>
      <c r="E598" s="95" t="s">
        <v>275</v>
      </c>
      <c r="F598" s="175">
        <v>12.643080124869929</v>
      </c>
      <c r="G598" s="190">
        <v>156</v>
      </c>
      <c r="H598" s="140">
        <v>1</v>
      </c>
      <c r="I598" s="170"/>
    </row>
    <row r="599" spans="1:9">
      <c r="A599" s="95" t="s">
        <v>117</v>
      </c>
      <c r="B599" s="95" t="s">
        <v>300</v>
      </c>
      <c r="C599" s="95"/>
      <c r="D599" s="95" t="s">
        <v>294</v>
      </c>
      <c r="E599" s="95" t="s">
        <v>295</v>
      </c>
      <c r="F599" s="175">
        <v>9.2715920915712804</v>
      </c>
      <c r="G599" s="190">
        <v>156</v>
      </c>
      <c r="H599" s="140">
        <v>1</v>
      </c>
      <c r="I599" s="170"/>
    </row>
    <row r="600" spans="1:9">
      <c r="A600" s="95" t="s">
        <v>117</v>
      </c>
      <c r="B600" s="95" t="s">
        <v>300</v>
      </c>
      <c r="C600" s="95" t="s">
        <v>674</v>
      </c>
      <c r="D600" s="95" t="s">
        <v>731</v>
      </c>
      <c r="E600" s="95" t="s">
        <v>275</v>
      </c>
      <c r="F600" s="175">
        <v>13.717741935483872</v>
      </c>
      <c r="G600" s="190">
        <v>52</v>
      </c>
      <c r="H600" s="140">
        <v>1</v>
      </c>
      <c r="I600" s="170"/>
    </row>
    <row r="601" spans="1:9">
      <c r="A601" s="95" t="s">
        <v>117</v>
      </c>
      <c r="B601" s="95" t="s">
        <v>300</v>
      </c>
      <c r="C601" s="95"/>
      <c r="D601" s="95" t="s">
        <v>732</v>
      </c>
      <c r="E601" s="95" t="s">
        <v>502</v>
      </c>
      <c r="F601" s="175">
        <v>68</v>
      </c>
      <c r="G601" s="190">
        <v>156</v>
      </c>
      <c r="H601" s="140">
        <v>1</v>
      </c>
      <c r="I601" s="172"/>
    </row>
    <row r="602" spans="1:9">
      <c r="A602" s="95" t="s">
        <v>117</v>
      </c>
      <c r="B602" s="95" t="s">
        <v>300</v>
      </c>
      <c r="C602" s="95" t="s">
        <v>676</v>
      </c>
      <c r="D602" s="95" t="s">
        <v>631</v>
      </c>
      <c r="E602" s="95" t="s">
        <v>262</v>
      </c>
      <c r="F602" s="175">
        <v>8.0915712799167547</v>
      </c>
      <c r="G602" s="190">
        <v>156</v>
      </c>
      <c r="H602" s="140">
        <v>1</v>
      </c>
      <c r="I602" s="170"/>
    </row>
    <row r="603" spans="1:9">
      <c r="A603" s="95" t="s">
        <v>117</v>
      </c>
      <c r="B603" s="95" t="s">
        <v>300</v>
      </c>
      <c r="C603" s="95" t="s">
        <v>511</v>
      </c>
      <c r="D603" s="95" t="s">
        <v>551</v>
      </c>
      <c r="E603" s="95" t="s">
        <v>262</v>
      </c>
      <c r="F603" s="175">
        <v>4.6357960457856402</v>
      </c>
      <c r="G603" s="190">
        <v>156</v>
      </c>
      <c r="H603" s="140">
        <v>1</v>
      </c>
      <c r="I603" s="170"/>
    </row>
    <row r="604" spans="1:9">
      <c r="A604" s="95" t="s">
        <v>117</v>
      </c>
      <c r="B604" s="95" t="s">
        <v>300</v>
      </c>
      <c r="C604" s="95" t="s">
        <v>669</v>
      </c>
      <c r="D604" s="95" t="s">
        <v>629</v>
      </c>
      <c r="E604" s="95" t="s">
        <v>262</v>
      </c>
      <c r="F604" s="175">
        <v>13.485952133194591</v>
      </c>
      <c r="G604" s="190">
        <v>156</v>
      </c>
      <c r="H604" s="140">
        <v>1</v>
      </c>
      <c r="I604" s="170"/>
    </row>
    <row r="605" spans="1:9">
      <c r="A605" s="95" t="s">
        <v>117</v>
      </c>
      <c r="B605" s="95" t="s">
        <v>300</v>
      </c>
      <c r="C605" s="95" t="s">
        <v>512</v>
      </c>
      <c r="D605" s="95" t="s">
        <v>291</v>
      </c>
      <c r="E605" s="95" t="s">
        <v>275</v>
      </c>
      <c r="F605" s="175">
        <v>20.903225806451616</v>
      </c>
      <c r="G605" s="190">
        <v>156</v>
      </c>
      <c r="H605" s="140">
        <v>1</v>
      </c>
      <c r="I605" s="170"/>
    </row>
    <row r="606" spans="1:9">
      <c r="A606" s="95" t="s">
        <v>117</v>
      </c>
      <c r="B606" s="95" t="s">
        <v>300</v>
      </c>
      <c r="C606" s="95" t="s">
        <v>514</v>
      </c>
      <c r="D606" s="95" t="s">
        <v>433</v>
      </c>
      <c r="E606" s="95" t="s">
        <v>502</v>
      </c>
      <c r="F606" s="175">
        <v>24.822580645161288</v>
      </c>
      <c r="G606" s="190">
        <v>156</v>
      </c>
      <c r="H606" s="140">
        <v>1</v>
      </c>
      <c r="I606" s="170"/>
    </row>
    <row r="607" spans="1:9">
      <c r="A607" s="95" t="s">
        <v>117</v>
      </c>
      <c r="B607" s="95" t="s">
        <v>300</v>
      </c>
      <c r="C607" s="95" t="s">
        <v>517</v>
      </c>
      <c r="D607" s="95" t="s">
        <v>733</v>
      </c>
      <c r="E607" s="95" t="s">
        <v>262</v>
      </c>
      <c r="F607" s="175">
        <v>0</v>
      </c>
      <c r="G607" s="190">
        <v>52</v>
      </c>
      <c r="H607" s="140">
        <v>1</v>
      </c>
      <c r="I607" s="170"/>
    </row>
    <row r="608" spans="1:9">
      <c r="A608" s="95" t="s">
        <v>117</v>
      </c>
      <c r="B608" s="95" t="s">
        <v>300</v>
      </c>
      <c r="C608" s="95" t="s">
        <v>519</v>
      </c>
      <c r="D608" s="95" t="s">
        <v>387</v>
      </c>
      <c r="E608" s="95" t="s">
        <v>504</v>
      </c>
      <c r="F608" s="175">
        <v>4.6357960457856402</v>
      </c>
      <c r="G608" s="190">
        <v>52</v>
      </c>
      <c r="H608" s="140">
        <v>1</v>
      </c>
      <c r="I608" s="170"/>
    </row>
    <row r="609" spans="1:9">
      <c r="A609" s="95" t="s">
        <v>117</v>
      </c>
      <c r="B609" s="95" t="s">
        <v>300</v>
      </c>
      <c r="C609" s="95" t="s">
        <v>521</v>
      </c>
      <c r="D609" s="95" t="s">
        <v>387</v>
      </c>
      <c r="E609" s="95" t="s">
        <v>275</v>
      </c>
      <c r="F609" s="175">
        <v>9.2715920915712804</v>
      </c>
      <c r="G609" s="190">
        <v>52</v>
      </c>
      <c r="H609" s="140">
        <v>1</v>
      </c>
      <c r="I609" s="170"/>
    </row>
    <row r="610" spans="1:9">
      <c r="A610" s="95" t="s">
        <v>117</v>
      </c>
      <c r="B610" s="95" t="s">
        <v>300</v>
      </c>
      <c r="C610" s="95" t="s">
        <v>532</v>
      </c>
      <c r="D610" s="95" t="s">
        <v>734</v>
      </c>
      <c r="E610" s="95" t="s">
        <v>275</v>
      </c>
      <c r="F610" s="175">
        <v>37.086368366285122</v>
      </c>
      <c r="G610" s="190">
        <v>156</v>
      </c>
      <c r="H610" s="140">
        <v>1</v>
      </c>
      <c r="I610" s="170"/>
    </row>
    <row r="611" spans="1:9">
      <c r="A611" s="95" t="s">
        <v>117</v>
      </c>
      <c r="B611" s="95" t="s">
        <v>300</v>
      </c>
      <c r="C611" s="95" t="s">
        <v>533</v>
      </c>
      <c r="D611" s="95" t="s">
        <v>735</v>
      </c>
      <c r="E611" s="95" t="s">
        <v>494</v>
      </c>
      <c r="F611" s="175">
        <v>488.7</v>
      </c>
      <c r="G611" s="190">
        <v>0</v>
      </c>
      <c r="H611" s="140">
        <v>1</v>
      </c>
      <c r="I611" s="170"/>
    </row>
    <row r="612" spans="1:9">
      <c r="A612" s="95" t="s">
        <v>117</v>
      </c>
      <c r="B612" s="95" t="s">
        <v>357</v>
      </c>
      <c r="C612" s="95" t="s">
        <v>547</v>
      </c>
      <c r="D612" s="95" t="s">
        <v>594</v>
      </c>
      <c r="E612" s="95" t="s">
        <v>484</v>
      </c>
      <c r="F612" s="175">
        <v>14.075962539021852</v>
      </c>
      <c r="G612" s="190">
        <v>156</v>
      </c>
      <c r="H612" s="140">
        <v>1</v>
      </c>
      <c r="I612" s="170"/>
    </row>
    <row r="613" spans="1:9">
      <c r="A613" s="95" t="s">
        <v>117</v>
      </c>
      <c r="B613" s="95" t="s">
        <v>357</v>
      </c>
      <c r="C613" s="95"/>
      <c r="D613" s="95" t="s">
        <v>294</v>
      </c>
      <c r="E613" s="95" t="s">
        <v>295</v>
      </c>
      <c r="F613" s="175">
        <v>9.2715920915712804</v>
      </c>
      <c r="G613" s="190">
        <v>156</v>
      </c>
      <c r="H613" s="140">
        <v>1</v>
      </c>
      <c r="I613" s="170"/>
    </row>
    <row r="614" spans="1:9">
      <c r="A614" s="95" t="s">
        <v>117</v>
      </c>
      <c r="B614" s="95" t="s">
        <v>357</v>
      </c>
      <c r="C614" s="95" t="s">
        <v>677</v>
      </c>
      <c r="D614" s="95" t="s">
        <v>617</v>
      </c>
      <c r="E614" s="95" t="s">
        <v>262</v>
      </c>
      <c r="F614" s="175">
        <v>5.057232049947971</v>
      </c>
      <c r="G614" s="190">
        <v>156</v>
      </c>
      <c r="H614" s="140">
        <v>1</v>
      </c>
      <c r="I614" s="170"/>
    </row>
    <row r="615" spans="1:9">
      <c r="A615" s="95" t="s">
        <v>117</v>
      </c>
      <c r="B615" s="95" t="s">
        <v>357</v>
      </c>
      <c r="C615" s="95" t="s">
        <v>678</v>
      </c>
      <c r="D615" s="95" t="s">
        <v>736</v>
      </c>
      <c r="E615" s="95" t="s">
        <v>262</v>
      </c>
      <c r="F615" s="175">
        <v>7.0801248699271593</v>
      </c>
      <c r="G615" s="190">
        <v>156</v>
      </c>
      <c r="H615" s="140">
        <v>1</v>
      </c>
      <c r="I615" s="170"/>
    </row>
    <row r="616" spans="1:9">
      <c r="A616" s="95" t="s">
        <v>117</v>
      </c>
      <c r="B616" s="95" t="s">
        <v>357</v>
      </c>
      <c r="C616" s="95" t="s">
        <v>682</v>
      </c>
      <c r="D616" s="95" t="s">
        <v>737</v>
      </c>
      <c r="E616" s="95" t="s">
        <v>484</v>
      </c>
      <c r="F616" s="175">
        <v>40.5</v>
      </c>
      <c r="G616" s="190">
        <v>12</v>
      </c>
      <c r="H616" s="140">
        <v>1</v>
      </c>
      <c r="I616" s="170"/>
    </row>
    <row r="617" spans="1:9">
      <c r="A617" s="95" t="s">
        <v>117</v>
      </c>
      <c r="B617" s="95" t="s">
        <v>357</v>
      </c>
      <c r="C617" s="95" t="s">
        <v>548</v>
      </c>
      <c r="D617" s="95" t="s">
        <v>738</v>
      </c>
      <c r="E617" s="95" t="s">
        <v>502</v>
      </c>
      <c r="F617" s="175">
        <v>79.099999999999994</v>
      </c>
      <c r="G617" s="190">
        <v>52</v>
      </c>
      <c r="H617" s="140">
        <v>1</v>
      </c>
      <c r="I617" s="170"/>
    </row>
    <row r="618" spans="1:9">
      <c r="A618" s="95" t="s">
        <v>117</v>
      </c>
      <c r="B618" s="95" t="s">
        <v>357</v>
      </c>
      <c r="C618" s="95" t="s">
        <v>693</v>
      </c>
      <c r="D618" s="95" t="s">
        <v>372</v>
      </c>
      <c r="E618" s="95" t="s">
        <v>262</v>
      </c>
      <c r="F618" s="175">
        <v>20.25</v>
      </c>
      <c r="G618" s="190">
        <v>52</v>
      </c>
      <c r="H618" s="140">
        <v>1</v>
      </c>
      <c r="I618" s="170"/>
    </row>
    <row r="619" spans="1:9">
      <c r="A619" s="95" t="s">
        <v>117</v>
      </c>
      <c r="B619" s="95" t="s">
        <v>300</v>
      </c>
      <c r="C619" s="95"/>
      <c r="D619" s="95" t="s">
        <v>739</v>
      </c>
      <c r="E619" s="95" t="s">
        <v>740</v>
      </c>
      <c r="F619" s="175">
        <v>16</v>
      </c>
      <c r="G619" s="190">
        <v>52</v>
      </c>
      <c r="H619" s="140">
        <v>1</v>
      </c>
      <c r="I619" s="170"/>
    </row>
    <row r="620" spans="1:9">
      <c r="A620" s="95"/>
      <c r="B620" s="95"/>
      <c r="C620" s="95"/>
      <c r="D620" s="95"/>
      <c r="E620" s="95"/>
      <c r="F620" s="175"/>
      <c r="G620" s="190"/>
      <c r="H620" s="190"/>
      <c r="I620" s="172"/>
    </row>
    <row r="621" spans="1:9">
      <c r="A621" s="95" t="s">
        <v>118</v>
      </c>
      <c r="B621" s="95" t="s">
        <v>300</v>
      </c>
      <c r="C621" s="95" t="s">
        <v>497</v>
      </c>
      <c r="D621" s="95" t="s">
        <v>119</v>
      </c>
      <c r="E621" s="95" t="s">
        <v>245</v>
      </c>
      <c r="F621" s="175">
        <v>2.5948259999999999</v>
      </c>
      <c r="G621" s="190">
        <v>52</v>
      </c>
      <c r="H621" s="140">
        <v>1</v>
      </c>
      <c r="I621" s="170"/>
    </row>
    <row r="622" spans="1:9">
      <c r="A622" s="95" t="s">
        <v>118</v>
      </c>
      <c r="B622" s="95" t="s">
        <v>300</v>
      </c>
      <c r="C622" s="95" t="s">
        <v>499</v>
      </c>
      <c r="D622" s="95" t="s">
        <v>306</v>
      </c>
      <c r="E622" s="95" t="s">
        <v>262</v>
      </c>
      <c r="F622" s="175">
        <v>21.267243999999998</v>
      </c>
      <c r="G622" s="190">
        <v>52</v>
      </c>
      <c r="H622" s="140">
        <v>1</v>
      </c>
      <c r="I622" s="170"/>
    </row>
    <row r="623" spans="1:9">
      <c r="A623" s="95" t="s">
        <v>118</v>
      </c>
      <c r="B623" s="95" t="s">
        <v>300</v>
      </c>
      <c r="C623" s="95" t="s">
        <v>501</v>
      </c>
      <c r="D623" s="95" t="s">
        <v>450</v>
      </c>
      <c r="E623" s="95" t="s">
        <v>504</v>
      </c>
      <c r="F623" s="175">
        <v>14.361312</v>
      </c>
      <c r="G623" s="190">
        <v>52</v>
      </c>
      <c r="H623" s="140">
        <v>1</v>
      </c>
      <c r="I623" s="170"/>
    </row>
    <row r="624" spans="1:9">
      <c r="A624" s="95" t="s">
        <v>118</v>
      </c>
      <c r="B624" s="95" t="s">
        <v>300</v>
      </c>
      <c r="C624" s="95" t="s">
        <v>673</v>
      </c>
      <c r="D624" s="95" t="s">
        <v>291</v>
      </c>
      <c r="E624" s="95" t="s">
        <v>262</v>
      </c>
      <c r="F624" s="175">
        <v>17.600421999999998</v>
      </c>
      <c r="G624" s="190">
        <v>52</v>
      </c>
      <c r="H624" s="140">
        <v>1</v>
      </c>
      <c r="I624" s="170"/>
    </row>
    <row r="625" spans="1:9">
      <c r="A625" s="95" t="s">
        <v>118</v>
      </c>
      <c r="B625" s="95" t="s">
        <v>300</v>
      </c>
      <c r="C625" s="95" t="s">
        <v>674</v>
      </c>
      <c r="D625" s="95" t="s">
        <v>590</v>
      </c>
      <c r="E625" s="95" t="s">
        <v>262</v>
      </c>
      <c r="F625" s="175">
        <v>17.7837</v>
      </c>
      <c r="G625" s="190">
        <v>52</v>
      </c>
      <c r="H625" s="140">
        <v>1</v>
      </c>
      <c r="I625" s="170"/>
    </row>
    <row r="626" spans="1:9">
      <c r="A626" s="95" t="s">
        <v>118</v>
      </c>
      <c r="B626" s="95" t="s">
        <v>300</v>
      </c>
      <c r="C626" s="95" t="s">
        <v>505</v>
      </c>
      <c r="D626" s="95" t="s">
        <v>318</v>
      </c>
      <c r="E626" s="95" t="s">
        <v>262</v>
      </c>
      <c r="F626" s="175">
        <v>1.446801</v>
      </c>
      <c r="G626" s="190">
        <v>52</v>
      </c>
      <c r="H626" s="140">
        <v>1</v>
      </c>
      <c r="I626" s="170"/>
    </row>
    <row r="627" spans="1:9">
      <c r="A627" s="95" t="s">
        <v>118</v>
      </c>
      <c r="B627" s="95" t="s">
        <v>300</v>
      </c>
      <c r="C627" s="95" t="s">
        <v>507</v>
      </c>
      <c r="D627" s="95" t="s">
        <v>318</v>
      </c>
      <c r="E627" s="95" t="s">
        <v>262</v>
      </c>
      <c r="F627" s="175">
        <v>0.76382700000000003</v>
      </c>
      <c r="G627" s="190">
        <v>52</v>
      </c>
      <c r="H627" s="140">
        <v>1</v>
      </c>
      <c r="I627" s="170"/>
    </row>
    <row r="628" spans="1:9">
      <c r="A628" s="95" t="s">
        <v>118</v>
      </c>
      <c r="B628" s="95" t="s">
        <v>300</v>
      </c>
      <c r="C628" s="95" t="s">
        <v>509</v>
      </c>
      <c r="D628" s="95" t="s">
        <v>685</v>
      </c>
      <c r="E628" s="95" t="s">
        <v>262</v>
      </c>
      <c r="F628" s="175">
        <v>5.2389080000000003</v>
      </c>
      <c r="G628" s="190">
        <v>52</v>
      </c>
      <c r="H628" s="140">
        <v>1</v>
      </c>
      <c r="I628" s="170"/>
    </row>
    <row r="629" spans="1:9">
      <c r="A629" s="95" t="s">
        <v>118</v>
      </c>
      <c r="B629" s="95" t="s">
        <v>300</v>
      </c>
      <c r="C629" s="95" t="s">
        <v>676</v>
      </c>
      <c r="D629" s="95" t="s">
        <v>524</v>
      </c>
      <c r="E629" s="95" t="s">
        <v>262</v>
      </c>
      <c r="F629" s="175">
        <v>45.492941999999999</v>
      </c>
      <c r="G629" s="190">
        <v>52</v>
      </c>
      <c r="H629" s="140">
        <v>1</v>
      </c>
      <c r="I629" s="170"/>
    </row>
    <row r="630" spans="1:9">
      <c r="A630" s="95" t="s">
        <v>118</v>
      </c>
      <c r="B630" s="95" t="s">
        <v>300</v>
      </c>
      <c r="C630" s="95" t="s">
        <v>511</v>
      </c>
      <c r="D630" s="95" t="s">
        <v>291</v>
      </c>
      <c r="E630" s="95" t="s">
        <v>262</v>
      </c>
      <c r="F630" s="175">
        <v>4.7855999999999996</v>
      </c>
      <c r="G630" s="190">
        <v>52</v>
      </c>
      <c r="H630" s="140">
        <v>1</v>
      </c>
      <c r="I630" s="170"/>
    </row>
    <row r="631" spans="1:9">
      <c r="A631" s="95" t="s">
        <v>118</v>
      </c>
      <c r="B631" s="95" t="s">
        <v>300</v>
      </c>
      <c r="C631" s="95" t="s">
        <v>669</v>
      </c>
      <c r="D631" s="95" t="s">
        <v>741</v>
      </c>
      <c r="E631" s="95" t="s">
        <v>262</v>
      </c>
      <c r="F631" s="175">
        <v>9.4738550000000004</v>
      </c>
      <c r="G631" s="190">
        <v>52</v>
      </c>
      <c r="H631" s="140">
        <v>1</v>
      </c>
      <c r="I631" s="170"/>
    </row>
    <row r="632" spans="1:9">
      <c r="A632" s="95" t="s">
        <v>118</v>
      </c>
      <c r="B632" s="95" t="s">
        <v>300</v>
      </c>
      <c r="C632" s="95" t="s">
        <v>512</v>
      </c>
      <c r="D632" s="95" t="s">
        <v>327</v>
      </c>
      <c r="E632" s="95" t="s">
        <v>262</v>
      </c>
      <c r="F632" s="175">
        <v>26.718933999999997</v>
      </c>
      <c r="G632" s="190">
        <v>52</v>
      </c>
      <c r="H632" s="140">
        <v>1</v>
      </c>
      <c r="I632" s="170"/>
    </row>
    <row r="633" spans="1:9">
      <c r="A633" s="95" t="s">
        <v>118</v>
      </c>
      <c r="B633" s="95" t="s">
        <v>357</v>
      </c>
      <c r="C633" s="95" t="s">
        <v>547</v>
      </c>
      <c r="D633" s="95" t="s">
        <v>344</v>
      </c>
      <c r="E633" s="95" t="s">
        <v>742</v>
      </c>
      <c r="F633" s="175">
        <v>4.5675119999999989</v>
      </c>
      <c r="G633" s="190">
        <v>52</v>
      </c>
      <c r="H633" s="140">
        <v>1</v>
      </c>
      <c r="I633" s="170"/>
    </row>
    <row r="634" spans="1:9">
      <c r="A634" s="95" t="s">
        <v>118</v>
      </c>
      <c r="B634" s="95" t="s">
        <v>357</v>
      </c>
      <c r="C634" s="95" t="s">
        <v>677</v>
      </c>
      <c r="D634" s="95" t="s">
        <v>292</v>
      </c>
      <c r="E634" s="95" t="s">
        <v>504</v>
      </c>
      <c r="F634" s="175">
        <v>23.685890999999998</v>
      </c>
      <c r="G634" s="190">
        <v>52</v>
      </c>
      <c r="H634" s="140">
        <v>1</v>
      </c>
      <c r="I634" s="170"/>
    </row>
    <row r="635" spans="1:9">
      <c r="A635" s="95" t="s">
        <v>118</v>
      </c>
      <c r="B635" s="95" t="s">
        <v>357</v>
      </c>
      <c r="C635" s="95" t="s">
        <v>678</v>
      </c>
      <c r="D635" s="95" t="s">
        <v>526</v>
      </c>
      <c r="E635" s="95" t="s">
        <v>262</v>
      </c>
      <c r="F635" s="175">
        <v>4.2281249999999995</v>
      </c>
      <c r="G635" s="190">
        <v>52</v>
      </c>
      <c r="H635" s="140">
        <v>1</v>
      </c>
      <c r="I635" s="170"/>
    </row>
    <row r="636" spans="1:9">
      <c r="A636" s="95" t="s">
        <v>118</v>
      </c>
      <c r="B636" s="95" t="s">
        <v>357</v>
      </c>
      <c r="C636" s="95" t="s">
        <v>679</v>
      </c>
      <c r="D636" s="95" t="s">
        <v>518</v>
      </c>
      <c r="E636" s="95" t="s">
        <v>262</v>
      </c>
      <c r="F636" s="175">
        <v>2.647424</v>
      </c>
      <c r="G636" s="190">
        <v>52</v>
      </c>
      <c r="H636" s="140">
        <v>1</v>
      </c>
      <c r="I636" s="170"/>
    </row>
    <row r="637" spans="1:9">
      <c r="A637" s="95" t="s">
        <v>118</v>
      </c>
      <c r="B637" s="95" t="s">
        <v>357</v>
      </c>
      <c r="C637" s="95" t="s">
        <v>545</v>
      </c>
      <c r="D637" s="95" t="s">
        <v>433</v>
      </c>
      <c r="E637" s="95" t="s">
        <v>251</v>
      </c>
      <c r="F637" s="175">
        <v>64.559804</v>
      </c>
      <c r="G637" s="190">
        <v>52</v>
      </c>
      <c r="H637" s="140">
        <v>1</v>
      </c>
      <c r="I637" s="170"/>
    </row>
    <row r="638" spans="1:9">
      <c r="A638" s="95" t="s">
        <v>118</v>
      </c>
      <c r="B638" s="95" t="s">
        <v>357</v>
      </c>
      <c r="C638" s="95" t="s">
        <v>682</v>
      </c>
      <c r="D638" s="95" t="s">
        <v>671</v>
      </c>
      <c r="E638" s="95" t="s">
        <v>504</v>
      </c>
      <c r="F638" s="175">
        <v>12.695457999999999</v>
      </c>
      <c r="G638" s="190">
        <v>52</v>
      </c>
      <c r="H638" s="140">
        <v>1</v>
      </c>
      <c r="I638" s="170"/>
    </row>
    <row r="639" spans="1:9">
      <c r="A639" s="95" t="s">
        <v>118</v>
      </c>
      <c r="B639" s="95" t="s">
        <v>357</v>
      </c>
      <c r="C639" s="95" t="s">
        <v>548</v>
      </c>
      <c r="D639" s="95" t="s">
        <v>372</v>
      </c>
      <c r="E639" s="95" t="s">
        <v>262</v>
      </c>
      <c r="F639" s="175">
        <v>8.5553180000000015</v>
      </c>
      <c r="G639" s="190">
        <v>52</v>
      </c>
      <c r="H639" s="140">
        <v>1</v>
      </c>
      <c r="I639" s="170"/>
    </row>
    <row r="640" spans="1:9">
      <c r="A640" s="95" t="s">
        <v>118</v>
      </c>
      <c r="B640" s="95" t="s">
        <v>357</v>
      </c>
      <c r="C640" s="95" t="s">
        <v>693</v>
      </c>
      <c r="D640" s="95" t="s">
        <v>339</v>
      </c>
      <c r="E640" s="95" t="s">
        <v>251</v>
      </c>
      <c r="F640" s="175">
        <v>31.300939999999997</v>
      </c>
      <c r="G640" s="190">
        <v>52</v>
      </c>
      <c r="H640" s="140">
        <v>1</v>
      </c>
      <c r="I640" s="170"/>
    </row>
    <row r="641" spans="1:9">
      <c r="A641" s="95"/>
      <c r="B641" s="95"/>
      <c r="C641" s="95"/>
      <c r="D641" s="95"/>
      <c r="E641" s="95"/>
      <c r="F641" s="175"/>
      <c r="G641" s="190"/>
      <c r="H641" s="190"/>
      <c r="I641" s="172"/>
    </row>
    <row r="642" spans="1:9">
      <c r="A642" s="95" t="s">
        <v>180</v>
      </c>
      <c r="B642" s="95" t="s">
        <v>300</v>
      </c>
      <c r="C642" s="189">
        <v>1</v>
      </c>
      <c r="D642" s="95" t="s">
        <v>743</v>
      </c>
      <c r="E642" s="95" t="s">
        <v>744</v>
      </c>
      <c r="F642" s="175">
        <v>4.7</v>
      </c>
      <c r="G642" s="190">
        <v>104</v>
      </c>
      <c r="H642" s="140">
        <v>1</v>
      </c>
      <c r="I642" s="170"/>
    </row>
    <row r="643" spans="1:9">
      <c r="A643" s="95" t="s">
        <v>180</v>
      </c>
      <c r="B643" s="95" t="s">
        <v>300</v>
      </c>
      <c r="C643" s="189">
        <v>2</v>
      </c>
      <c r="D643" s="95" t="s">
        <v>745</v>
      </c>
      <c r="E643" s="95" t="s">
        <v>744</v>
      </c>
      <c r="F643" s="175">
        <v>125.6</v>
      </c>
      <c r="G643" s="190">
        <v>104</v>
      </c>
      <c r="H643" s="140">
        <v>1</v>
      </c>
      <c r="I643" s="170"/>
    </row>
    <row r="644" spans="1:9">
      <c r="A644" s="95" t="s">
        <v>180</v>
      </c>
      <c r="B644" s="95" t="s">
        <v>300</v>
      </c>
      <c r="C644" s="189">
        <v>6</v>
      </c>
      <c r="D644" s="95" t="s">
        <v>746</v>
      </c>
      <c r="E644" s="95"/>
      <c r="F644" s="175">
        <v>134.19999999999999</v>
      </c>
      <c r="G644" s="190">
        <v>0</v>
      </c>
      <c r="H644" s="140">
        <v>1</v>
      </c>
      <c r="I644" s="170"/>
    </row>
    <row r="645" spans="1:9">
      <c r="A645" s="95" t="s">
        <v>180</v>
      </c>
      <c r="B645" s="95" t="s">
        <v>300</v>
      </c>
      <c r="C645" s="189">
        <v>9</v>
      </c>
      <c r="D645" s="95" t="s">
        <v>747</v>
      </c>
      <c r="E645" s="95"/>
      <c r="F645" s="175">
        <v>51</v>
      </c>
      <c r="G645" s="190">
        <v>0</v>
      </c>
      <c r="H645" s="140">
        <v>1</v>
      </c>
      <c r="I645" s="170"/>
    </row>
    <row r="646" spans="1:9">
      <c r="A646" s="95" t="s">
        <v>180</v>
      </c>
      <c r="B646" s="95" t="s">
        <v>300</v>
      </c>
      <c r="C646" s="189">
        <v>10</v>
      </c>
      <c r="D646" s="95" t="s">
        <v>748</v>
      </c>
      <c r="E646" s="95" t="s">
        <v>612</v>
      </c>
      <c r="F646" s="175">
        <v>8.8000000000000007</v>
      </c>
      <c r="G646" s="190">
        <v>255</v>
      </c>
      <c r="H646" s="140">
        <v>1</v>
      </c>
      <c r="I646" s="170"/>
    </row>
    <row r="647" spans="1:9">
      <c r="A647" s="95" t="s">
        <v>180</v>
      </c>
      <c r="B647" s="95" t="s">
        <v>300</v>
      </c>
      <c r="C647" s="189">
        <v>11</v>
      </c>
      <c r="D647" s="95" t="s">
        <v>749</v>
      </c>
      <c r="E647" s="95" t="s">
        <v>612</v>
      </c>
      <c r="F647" s="175">
        <v>8.6</v>
      </c>
      <c r="G647" s="190">
        <v>255</v>
      </c>
      <c r="H647" s="140">
        <v>1</v>
      </c>
      <c r="I647" s="170"/>
    </row>
    <row r="648" spans="1:9">
      <c r="A648" s="95" t="s">
        <v>180</v>
      </c>
      <c r="B648" s="95" t="s">
        <v>300</v>
      </c>
      <c r="C648" s="189">
        <v>12</v>
      </c>
      <c r="D648" s="95" t="s">
        <v>750</v>
      </c>
      <c r="E648" s="95"/>
      <c r="F648" s="175">
        <v>14.4</v>
      </c>
      <c r="G648" s="190">
        <v>0</v>
      </c>
      <c r="H648" s="140">
        <v>1</v>
      </c>
      <c r="I648" s="170"/>
    </row>
    <row r="649" spans="1:9">
      <c r="A649" s="95" t="s">
        <v>180</v>
      </c>
      <c r="B649" s="95" t="s">
        <v>300</v>
      </c>
      <c r="C649" s="189">
        <v>17</v>
      </c>
      <c r="D649" s="95" t="s">
        <v>751</v>
      </c>
      <c r="E649" s="95" t="s">
        <v>752</v>
      </c>
      <c r="F649" s="175">
        <v>23.5</v>
      </c>
      <c r="G649" s="190">
        <v>0</v>
      </c>
      <c r="H649" s="140">
        <v>1</v>
      </c>
      <c r="I649" s="170"/>
    </row>
    <row r="650" spans="1:9">
      <c r="A650" s="95" t="s">
        <v>180</v>
      </c>
      <c r="B650" s="95" t="s">
        <v>300</v>
      </c>
      <c r="C650" s="189">
        <v>18</v>
      </c>
      <c r="D650" s="95" t="s">
        <v>753</v>
      </c>
      <c r="E650" s="95"/>
      <c r="F650" s="175">
        <v>68.099999999999994</v>
      </c>
      <c r="G650" s="190">
        <v>0</v>
      </c>
      <c r="H650" s="140">
        <v>1</v>
      </c>
      <c r="I650" s="170"/>
    </row>
    <row r="651" spans="1:9">
      <c r="A651" s="95" t="s">
        <v>180</v>
      </c>
      <c r="B651" s="95" t="s">
        <v>300</v>
      </c>
      <c r="C651" s="189">
        <v>20</v>
      </c>
      <c r="D651" s="95" t="s">
        <v>754</v>
      </c>
      <c r="E651" s="95" t="s">
        <v>612</v>
      </c>
      <c r="F651" s="175">
        <v>6.3</v>
      </c>
      <c r="G651" s="190">
        <v>0</v>
      </c>
      <c r="H651" s="140">
        <v>1</v>
      </c>
      <c r="I651" s="170"/>
    </row>
    <row r="652" spans="1:9">
      <c r="A652" s="95" t="s">
        <v>180</v>
      </c>
      <c r="B652" s="95" t="s">
        <v>300</v>
      </c>
      <c r="C652" s="189">
        <v>21</v>
      </c>
      <c r="D652" s="95" t="s">
        <v>755</v>
      </c>
      <c r="E652" s="95" t="s">
        <v>744</v>
      </c>
      <c r="F652" s="175">
        <v>2.4</v>
      </c>
      <c r="G652" s="190">
        <v>255</v>
      </c>
      <c r="H652" s="140">
        <v>1</v>
      </c>
      <c r="I652" s="170"/>
    </row>
    <row r="653" spans="1:9">
      <c r="A653" s="95" t="s">
        <v>180</v>
      </c>
      <c r="B653" s="95" t="s">
        <v>300</v>
      </c>
      <c r="C653" s="189">
        <v>30</v>
      </c>
      <c r="D653" s="95" t="s">
        <v>755</v>
      </c>
      <c r="E653" s="95" t="s">
        <v>744</v>
      </c>
      <c r="F653" s="175">
        <v>124.7</v>
      </c>
      <c r="G653" s="190">
        <v>255</v>
      </c>
      <c r="H653" s="140">
        <v>1</v>
      </c>
      <c r="I653" s="170"/>
    </row>
    <row r="654" spans="1:9">
      <c r="A654" s="95" t="s">
        <v>180</v>
      </c>
      <c r="B654" s="95" t="s">
        <v>300</v>
      </c>
      <c r="C654" s="189">
        <v>41</v>
      </c>
      <c r="D654" s="95" t="s">
        <v>756</v>
      </c>
      <c r="E654" s="95" t="s">
        <v>757</v>
      </c>
      <c r="F654" s="175">
        <v>3.4</v>
      </c>
      <c r="G654" s="190">
        <v>255</v>
      </c>
      <c r="H654" s="140">
        <v>1</v>
      </c>
      <c r="I654" s="170"/>
    </row>
    <row r="655" spans="1:9">
      <c r="A655" s="95" t="s">
        <v>180</v>
      </c>
      <c r="B655" s="95" t="s">
        <v>300</v>
      </c>
      <c r="C655" s="189">
        <v>42</v>
      </c>
      <c r="D655" s="95" t="s">
        <v>758</v>
      </c>
      <c r="E655" s="95" t="s">
        <v>612</v>
      </c>
      <c r="F655" s="175">
        <v>0.6</v>
      </c>
      <c r="G655" s="190">
        <v>255</v>
      </c>
      <c r="H655" s="140">
        <v>1</v>
      </c>
      <c r="I655" s="170"/>
    </row>
    <row r="656" spans="1:9">
      <c r="A656" s="95" t="s">
        <v>180</v>
      </c>
      <c r="B656" s="95" t="s">
        <v>300</v>
      </c>
      <c r="C656" s="189">
        <v>45</v>
      </c>
      <c r="D656" s="95" t="s">
        <v>756</v>
      </c>
      <c r="E656" s="95" t="s">
        <v>757</v>
      </c>
      <c r="F656" s="175">
        <v>8.5</v>
      </c>
      <c r="G656" s="190">
        <v>255</v>
      </c>
      <c r="H656" s="140">
        <v>1</v>
      </c>
      <c r="I656" s="170"/>
    </row>
    <row r="657" spans="1:9">
      <c r="A657" s="95" t="s">
        <v>180</v>
      </c>
      <c r="B657" s="95" t="s">
        <v>300</v>
      </c>
      <c r="C657" s="189">
        <v>46</v>
      </c>
      <c r="D657" s="95" t="s">
        <v>758</v>
      </c>
      <c r="E657" s="95" t="s">
        <v>612</v>
      </c>
      <c r="F657" s="175">
        <v>5.7</v>
      </c>
      <c r="G657" s="190">
        <v>255</v>
      </c>
      <c r="H657" s="140">
        <v>1</v>
      </c>
      <c r="I657" s="170"/>
    </row>
    <row r="658" spans="1:9">
      <c r="A658" s="95" t="s">
        <v>180</v>
      </c>
      <c r="B658" s="95" t="s">
        <v>300</v>
      </c>
      <c r="C658" s="189">
        <v>47</v>
      </c>
      <c r="D658" s="95" t="s">
        <v>758</v>
      </c>
      <c r="E658" s="95" t="s">
        <v>612</v>
      </c>
      <c r="F658" s="175">
        <v>5.4</v>
      </c>
      <c r="G658" s="190">
        <v>255</v>
      </c>
      <c r="H658" s="140">
        <v>1</v>
      </c>
      <c r="I658" s="170"/>
    </row>
    <row r="659" spans="1:9">
      <c r="A659" s="95" t="s">
        <v>180</v>
      </c>
      <c r="B659" s="95" t="s">
        <v>300</v>
      </c>
      <c r="C659" s="189">
        <v>48</v>
      </c>
      <c r="D659" s="95" t="s">
        <v>758</v>
      </c>
      <c r="E659" s="95" t="s">
        <v>612</v>
      </c>
      <c r="F659" s="175">
        <v>2.5</v>
      </c>
      <c r="G659" s="190">
        <v>255</v>
      </c>
      <c r="H659" s="140">
        <v>1</v>
      </c>
      <c r="I659" s="170"/>
    </row>
    <row r="660" spans="1:9">
      <c r="A660" s="95" t="s">
        <v>180</v>
      </c>
      <c r="B660" s="95" t="s">
        <v>300</v>
      </c>
      <c r="C660" s="189">
        <v>49</v>
      </c>
      <c r="D660" s="95" t="s">
        <v>758</v>
      </c>
      <c r="E660" s="95" t="s">
        <v>612</v>
      </c>
      <c r="F660" s="175">
        <v>2.9</v>
      </c>
      <c r="G660" s="190">
        <v>255</v>
      </c>
      <c r="H660" s="140">
        <v>1</v>
      </c>
      <c r="I660" s="170"/>
    </row>
    <row r="661" spans="1:9">
      <c r="A661" s="95" t="s">
        <v>180</v>
      </c>
      <c r="B661" s="95" t="s">
        <v>300</v>
      </c>
      <c r="C661" s="189">
        <v>50</v>
      </c>
      <c r="D661" s="95" t="s">
        <v>758</v>
      </c>
      <c r="E661" s="95" t="s">
        <v>612</v>
      </c>
      <c r="F661" s="175">
        <v>3.6</v>
      </c>
      <c r="G661" s="190">
        <v>255</v>
      </c>
      <c r="H661" s="140">
        <v>1</v>
      </c>
      <c r="I661" s="170"/>
    </row>
    <row r="662" spans="1:9">
      <c r="A662" s="95" t="s">
        <v>180</v>
      </c>
      <c r="B662" s="95" t="s">
        <v>300</v>
      </c>
      <c r="C662" s="189">
        <v>51</v>
      </c>
      <c r="D662" s="95" t="s">
        <v>755</v>
      </c>
      <c r="E662" s="95" t="s">
        <v>744</v>
      </c>
      <c r="F662" s="175">
        <v>21.9</v>
      </c>
      <c r="G662" s="190">
        <v>255</v>
      </c>
      <c r="H662" s="140">
        <v>1</v>
      </c>
      <c r="I662" s="170"/>
    </row>
    <row r="663" spans="1:9">
      <c r="A663" s="95" t="s">
        <v>180</v>
      </c>
      <c r="B663" s="95" t="s">
        <v>300</v>
      </c>
      <c r="C663" s="189">
        <v>53</v>
      </c>
      <c r="D663" s="95" t="s">
        <v>751</v>
      </c>
      <c r="E663" s="95" t="s">
        <v>752</v>
      </c>
      <c r="F663" s="175">
        <v>9.4</v>
      </c>
      <c r="G663" s="190">
        <v>12</v>
      </c>
      <c r="H663" s="140">
        <v>1</v>
      </c>
      <c r="I663" s="170"/>
    </row>
    <row r="664" spans="1:9">
      <c r="A664" s="95" t="s">
        <v>180</v>
      </c>
      <c r="B664" s="95" t="s">
        <v>300</v>
      </c>
      <c r="C664" s="189">
        <v>54</v>
      </c>
      <c r="D664" s="95" t="s">
        <v>751</v>
      </c>
      <c r="E664" s="95" t="s">
        <v>752</v>
      </c>
      <c r="F664" s="175">
        <v>41.4</v>
      </c>
      <c r="G664" s="190">
        <v>12</v>
      </c>
      <c r="H664" s="140">
        <v>1</v>
      </c>
      <c r="I664" s="170"/>
    </row>
    <row r="665" spans="1:9">
      <c r="A665" s="95" t="s">
        <v>180</v>
      </c>
      <c r="B665" s="95" t="s">
        <v>300</v>
      </c>
      <c r="C665" s="189">
        <v>55</v>
      </c>
      <c r="D665" s="95" t="s">
        <v>759</v>
      </c>
      <c r="E665" s="95" t="s">
        <v>481</v>
      </c>
      <c r="F665" s="175">
        <v>77.5</v>
      </c>
      <c r="G665" s="190">
        <v>255</v>
      </c>
      <c r="H665" s="140">
        <v>1</v>
      </c>
      <c r="I665" s="170"/>
    </row>
    <row r="666" spans="1:9">
      <c r="A666" s="95" t="s">
        <v>180</v>
      </c>
      <c r="B666" s="95" t="s">
        <v>300</v>
      </c>
      <c r="C666" s="189">
        <v>58</v>
      </c>
      <c r="D666" s="95" t="s">
        <v>751</v>
      </c>
      <c r="E666" s="95" t="s">
        <v>752</v>
      </c>
      <c r="F666" s="175">
        <v>16.399999999999999</v>
      </c>
      <c r="G666" s="190">
        <v>12</v>
      </c>
      <c r="H666" s="140">
        <v>1</v>
      </c>
      <c r="I666" s="170"/>
    </row>
    <row r="667" spans="1:9">
      <c r="A667" s="95" t="s">
        <v>180</v>
      </c>
      <c r="B667" s="95" t="s">
        <v>300</v>
      </c>
      <c r="C667" s="189">
        <v>59</v>
      </c>
      <c r="D667" s="95" t="s">
        <v>759</v>
      </c>
      <c r="E667" s="95" t="s">
        <v>481</v>
      </c>
      <c r="F667" s="175">
        <v>75.8</v>
      </c>
      <c r="G667" s="190">
        <v>255</v>
      </c>
      <c r="H667" s="140">
        <v>1</v>
      </c>
      <c r="I667" s="170"/>
    </row>
    <row r="668" spans="1:9">
      <c r="A668" s="95" t="s">
        <v>180</v>
      </c>
      <c r="B668" s="95" t="s">
        <v>300</v>
      </c>
      <c r="C668" s="189">
        <v>60</v>
      </c>
      <c r="D668" s="95" t="s">
        <v>751</v>
      </c>
      <c r="E668" s="95" t="s">
        <v>752</v>
      </c>
      <c r="F668" s="175">
        <v>5.8</v>
      </c>
      <c r="G668" s="190">
        <v>12</v>
      </c>
      <c r="H668" s="140">
        <v>1</v>
      </c>
      <c r="I668" s="170"/>
    </row>
    <row r="669" spans="1:9">
      <c r="A669" s="95" t="s">
        <v>180</v>
      </c>
      <c r="B669" s="95" t="s">
        <v>300</v>
      </c>
      <c r="C669" s="189">
        <v>61</v>
      </c>
      <c r="D669" s="95" t="s">
        <v>751</v>
      </c>
      <c r="E669" s="95" t="s">
        <v>752</v>
      </c>
      <c r="F669" s="175">
        <v>6.8</v>
      </c>
      <c r="G669" s="190">
        <v>12</v>
      </c>
      <c r="H669" s="140">
        <v>1</v>
      </c>
      <c r="I669" s="170"/>
    </row>
    <row r="670" spans="1:9">
      <c r="A670" s="95" t="s">
        <v>180</v>
      </c>
      <c r="B670" s="95" t="s">
        <v>300</v>
      </c>
      <c r="C670" s="189">
        <v>62</v>
      </c>
      <c r="D670" s="95" t="s">
        <v>751</v>
      </c>
      <c r="E670" s="95" t="s">
        <v>752</v>
      </c>
      <c r="F670" s="175">
        <v>6.8</v>
      </c>
      <c r="G670" s="190">
        <v>12</v>
      </c>
      <c r="H670" s="140">
        <v>1</v>
      </c>
      <c r="I670" s="170"/>
    </row>
    <row r="671" spans="1:9">
      <c r="A671" s="95" t="s">
        <v>180</v>
      </c>
      <c r="B671" s="95" t="s">
        <v>357</v>
      </c>
      <c r="C671" s="189">
        <v>0</v>
      </c>
      <c r="D671" s="95" t="s">
        <v>751</v>
      </c>
      <c r="E671" s="95" t="s">
        <v>752</v>
      </c>
      <c r="F671" s="175">
        <v>10.9</v>
      </c>
      <c r="G671" s="190">
        <v>12</v>
      </c>
      <c r="H671" s="140">
        <v>1</v>
      </c>
      <c r="I671" s="170"/>
    </row>
    <row r="672" spans="1:9">
      <c r="A672" s="95" t="s">
        <v>180</v>
      </c>
      <c r="B672" s="95" t="s">
        <v>357</v>
      </c>
      <c r="C672" s="189">
        <v>1</v>
      </c>
      <c r="D672" s="95" t="s">
        <v>755</v>
      </c>
      <c r="E672" s="95" t="s">
        <v>744</v>
      </c>
      <c r="F672" s="175">
        <v>6.9</v>
      </c>
      <c r="G672" s="190">
        <v>255</v>
      </c>
      <c r="H672" s="140">
        <v>1</v>
      </c>
      <c r="I672" s="170"/>
    </row>
    <row r="673" spans="1:9">
      <c r="A673" s="95" t="s">
        <v>180</v>
      </c>
      <c r="B673" s="95" t="s">
        <v>357</v>
      </c>
      <c r="C673" s="189">
        <v>2</v>
      </c>
      <c r="D673" s="95" t="s">
        <v>755</v>
      </c>
      <c r="E673" s="95" t="s">
        <v>744</v>
      </c>
      <c r="F673" s="175">
        <v>103.9</v>
      </c>
      <c r="G673" s="190">
        <v>255</v>
      </c>
      <c r="H673" s="140">
        <v>1</v>
      </c>
      <c r="I673" s="170"/>
    </row>
    <row r="674" spans="1:9">
      <c r="A674" s="95" t="s">
        <v>180</v>
      </c>
      <c r="B674" s="95" t="s">
        <v>357</v>
      </c>
      <c r="C674" s="189">
        <v>4</v>
      </c>
      <c r="D674" s="95" t="s">
        <v>760</v>
      </c>
      <c r="E674" s="95" t="s">
        <v>486</v>
      </c>
      <c r="F674" s="175">
        <v>29.6</v>
      </c>
      <c r="G674" s="190">
        <v>255</v>
      </c>
      <c r="H674" s="140">
        <v>1</v>
      </c>
      <c r="I674" s="170"/>
    </row>
    <row r="675" spans="1:9">
      <c r="A675" s="95" t="s">
        <v>180</v>
      </c>
      <c r="B675" s="95" t="s">
        <v>357</v>
      </c>
      <c r="C675" s="189">
        <v>5</v>
      </c>
      <c r="D675" s="95" t="s">
        <v>761</v>
      </c>
      <c r="E675" s="95" t="s">
        <v>744</v>
      </c>
      <c r="F675" s="175">
        <v>14.9</v>
      </c>
      <c r="G675" s="190">
        <v>255</v>
      </c>
      <c r="H675" s="140">
        <v>1</v>
      </c>
      <c r="I675" s="170"/>
    </row>
    <row r="676" spans="1:9">
      <c r="A676" s="95" t="s">
        <v>762</v>
      </c>
      <c r="B676" s="95" t="s">
        <v>357</v>
      </c>
      <c r="C676" s="189">
        <v>6</v>
      </c>
      <c r="D676" s="95" t="s">
        <v>721</v>
      </c>
      <c r="E676" s="95" t="s">
        <v>612</v>
      </c>
      <c r="F676" s="175">
        <v>9.6999999999999993</v>
      </c>
      <c r="G676" s="190">
        <v>255</v>
      </c>
      <c r="H676" s="140">
        <v>1</v>
      </c>
      <c r="I676" s="170"/>
    </row>
    <row r="677" spans="1:9">
      <c r="A677" s="95" t="s">
        <v>180</v>
      </c>
      <c r="B677" s="95" t="s">
        <v>357</v>
      </c>
      <c r="C677" s="189">
        <v>7</v>
      </c>
      <c r="D677" s="95" t="s">
        <v>721</v>
      </c>
      <c r="E677" s="95" t="s">
        <v>612</v>
      </c>
      <c r="F677" s="175">
        <v>4.0999999999999996</v>
      </c>
      <c r="G677" s="190">
        <v>255</v>
      </c>
      <c r="H677" s="140">
        <v>1</v>
      </c>
      <c r="I677" s="170"/>
    </row>
    <row r="678" spans="1:9">
      <c r="A678" s="95" t="s">
        <v>762</v>
      </c>
      <c r="B678" s="95" t="s">
        <v>357</v>
      </c>
      <c r="C678" s="189">
        <v>8</v>
      </c>
      <c r="D678" s="95" t="s">
        <v>761</v>
      </c>
      <c r="E678" s="95" t="s">
        <v>744</v>
      </c>
      <c r="F678" s="175">
        <v>28.8</v>
      </c>
      <c r="G678" s="190">
        <v>255</v>
      </c>
      <c r="H678" s="140">
        <v>1</v>
      </c>
      <c r="I678" s="170"/>
    </row>
    <row r="679" spans="1:9">
      <c r="A679" s="95" t="s">
        <v>762</v>
      </c>
      <c r="B679" s="95" t="s">
        <v>357</v>
      </c>
      <c r="C679" s="189">
        <v>9</v>
      </c>
      <c r="D679" s="95" t="s">
        <v>758</v>
      </c>
      <c r="E679" s="95" t="s">
        <v>612</v>
      </c>
      <c r="F679" s="175">
        <v>3.1</v>
      </c>
      <c r="G679" s="190">
        <v>255</v>
      </c>
      <c r="H679" s="140">
        <v>1</v>
      </c>
      <c r="I679" s="170"/>
    </row>
    <row r="680" spans="1:9">
      <c r="A680" s="95" t="s">
        <v>762</v>
      </c>
      <c r="B680" s="95" t="s">
        <v>357</v>
      </c>
      <c r="C680" s="189">
        <v>10</v>
      </c>
      <c r="D680" s="95" t="s">
        <v>758</v>
      </c>
      <c r="E680" s="95" t="s">
        <v>612</v>
      </c>
      <c r="F680" s="175">
        <v>1.7</v>
      </c>
      <c r="G680" s="190">
        <v>255</v>
      </c>
      <c r="H680" s="140">
        <v>1</v>
      </c>
      <c r="I680" s="170"/>
    </row>
    <row r="681" spans="1:9">
      <c r="A681" s="95" t="s">
        <v>762</v>
      </c>
      <c r="B681" s="95" t="s">
        <v>357</v>
      </c>
      <c r="C681" s="189">
        <v>13</v>
      </c>
      <c r="D681" s="95" t="s">
        <v>760</v>
      </c>
      <c r="E681" s="95"/>
      <c r="F681" s="175">
        <v>11.7</v>
      </c>
      <c r="G681" s="190">
        <v>255</v>
      </c>
      <c r="H681" s="140">
        <v>1</v>
      </c>
      <c r="I681" s="170"/>
    </row>
    <row r="682" spans="1:9">
      <c r="A682" s="95" t="s">
        <v>762</v>
      </c>
      <c r="B682" s="95" t="s">
        <v>357</v>
      </c>
      <c r="C682" s="189">
        <v>14</v>
      </c>
      <c r="D682" s="95" t="s">
        <v>760</v>
      </c>
      <c r="E682" s="95"/>
      <c r="F682" s="175">
        <v>21.7</v>
      </c>
      <c r="G682" s="190">
        <v>255</v>
      </c>
      <c r="H682" s="140">
        <v>1</v>
      </c>
      <c r="I682" s="170"/>
    </row>
    <row r="683" spans="1:9">
      <c r="A683" s="95" t="s">
        <v>762</v>
      </c>
      <c r="B683" s="95" t="s">
        <v>357</v>
      </c>
      <c r="C683" s="189">
        <v>15</v>
      </c>
      <c r="D683" s="95" t="s">
        <v>760</v>
      </c>
      <c r="E683" s="95"/>
      <c r="F683" s="175">
        <v>17.600000000000001</v>
      </c>
      <c r="G683" s="190">
        <v>255</v>
      </c>
      <c r="H683" s="140">
        <v>1</v>
      </c>
      <c r="I683" s="170"/>
    </row>
    <row r="684" spans="1:9">
      <c r="A684" s="95" t="s">
        <v>762</v>
      </c>
      <c r="B684" s="95" t="s">
        <v>357</v>
      </c>
      <c r="C684" s="189">
        <v>18</v>
      </c>
      <c r="D684" s="95" t="s">
        <v>759</v>
      </c>
      <c r="E684" s="95"/>
      <c r="F684" s="175">
        <v>30.2</v>
      </c>
      <c r="G684" s="190">
        <v>12</v>
      </c>
      <c r="H684" s="140">
        <v>1</v>
      </c>
      <c r="I684" s="170"/>
    </row>
    <row r="685" spans="1:9">
      <c r="A685" s="95" t="s">
        <v>762</v>
      </c>
      <c r="B685" s="95" t="s">
        <v>357</v>
      </c>
      <c r="C685" s="189">
        <v>19</v>
      </c>
      <c r="D685" s="95" t="s">
        <v>721</v>
      </c>
      <c r="E685" s="95" t="s">
        <v>612</v>
      </c>
      <c r="F685" s="175">
        <v>11.5</v>
      </c>
      <c r="G685" s="190">
        <v>255</v>
      </c>
      <c r="H685" s="140">
        <v>1</v>
      </c>
      <c r="I685" s="172" t="s">
        <v>516</v>
      </c>
    </row>
    <row r="686" spans="1:9">
      <c r="A686" s="95" t="s">
        <v>762</v>
      </c>
      <c r="B686" s="95" t="s">
        <v>357</v>
      </c>
      <c r="C686" s="189">
        <v>20</v>
      </c>
      <c r="D686" s="95" t="s">
        <v>758</v>
      </c>
      <c r="E686" s="95" t="s">
        <v>612</v>
      </c>
      <c r="F686" s="175">
        <v>2.7</v>
      </c>
      <c r="G686" s="190">
        <v>255</v>
      </c>
      <c r="H686" s="140">
        <v>1</v>
      </c>
      <c r="I686" s="172" t="s">
        <v>516</v>
      </c>
    </row>
    <row r="687" spans="1:9">
      <c r="A687" s="95" t="s">
        <v>762</v>
      </c>
      <c r="B687" s="95" t="s">
        <v>357</v>
      </c>
      <c r="C687" s="189">
        <v>21</v>
      </c>
      <c r="D687" s="95" t="s">
        <v>758</v>
      </c>
      <c r="E687" s="95" t="s">
        <v>612</v>
      </c>
      <c r="F687" s="175">
        <v>33.5</v>
      </c>
      <c r="G687" s="190">
        <v>255</v>
      </c>
      <c r="H687" s="140">
        <v>1</v>
      </c>
      <c r="I687" s="172" t="s">
        <v>516</v>
      </c>
    </row>
    <row r="688" spans="1:9">
      <c r="A688" s="95" t="s">
        <v>762</v>
      </c>
      <c r="B688" s="95" t="s">
        <v>357</v>
      </c>
      <c r="C688" s="189">
        <v>22</v>
      </c>
      <c r="D688" s="95" t="s">
        <v>758</v>
      </c>
      <c r="E688" s="95" t="s">
        <v>612</v>
      </c>
      <c r="F688" s="175">
        <v>1.4</v>
      </c>
      <c r="G688" s="190">
        <v>255</v>
      </c>
      <c r="H688" s="140">
        <v>1</v>
      </c>
      <c r="I688" s="172" t="s">
        <v>516</v>
      </c>
    </row>
    <row r="689" spans="1:9">
      <c r="A689" s="95" t="s">
        <v>762</v>
      </c>
      <c r="B689" s="95" t="s">
        <v>357</v>
      </c>
      <c r="C689" s="189">
        <v>23</v>
      </c>
      <c r="D689" s="95" t="s">
        <v>758</v>
      </c>
      <c r="E689" s="95" t="s">
        <v>612</v>
      </c>
      <c r="F689" s="175">
        <v>2.2999999999999998</v>
      </c>
      <c r="G689" s="190">
        <v>255</v>
      </c>
      <c r="H689" s="140">
        <v>1</v>
      </c>
      <c r="I689" s="172" t="s">
        <v>516</v>
      </c>
    </row>
    <row r="690" spans="1:9">
      <c r="A690" s="95" t="s">
        <v>762</v>
      </c>
      <c r="B690" s="95" t="s">
        <v>357</v>
      </c>
      <c r="C690" s="189">
        <v>24</v>
      </c>
      <c r="D690" s="95" t="s">
        <v>758</v>
      </c>
      <c r="E690" s="95" t="s">
        <v>612</v>
      </c>
      <c r="F690" s="175">
        <v>9.6</v>
      </c>
      <c r="G690" s="190">
        <v>255</v>
      </c>
      <c r="H690" s="140">
        <v>1</v>
      </c>
      <c r="I690" s="172" t="s">
        <v>516</v>
      </c>
    </row>
    <row r="691" spans="1:9">
      <c r="A691" s="95" t="s">
        <v>762</v>
      </c>
      <c r="B691" s="95" t="s">
        <v>357</v>
      </c>
      <c r="C691" s="189">
        <v>25</v>
      </c>
      <c r="D691" s="95" t="s">
        <v>758</v>
      </c>
      <c r="E691" s="95" t="s">
        <v>612</v>
      </c>
      <c r="F691" s="175">
        <v>1.1000000000000001</v>
      </c>
      <c r="G691" s="190">
        <v>255</v>
      </c>
      <c r="H691" s="140">
        <v>1</v>
      </c>
      <c r="I691" s="172" t="s">
        <v>516</v>
      </c>
    </row>
    <row r="692" spans="1:9">
      <c r="A692" s="95" t="s">
        <v>180</v>
      </c>
      <c r="B692" s="95" t="s">
        <v>357</v>
      </c>
      <c r="C692" s="189">
        <v>30</v>
      </c>
      <c r="D692" s="95" t="s">
        <v>751</v>
      </c>
      <c r="E692" s="95" t="s">
        <v>752</v>
      </c>
      <c r="F692" s="175">
        <v>8.4</v>
      </c>
      <c r="G692" s="190">
        <v>12</v>
      </c>
      <c r="H692" s="140">
        <v>1</v>
      </c>
      <c r="I692" s="170"/>
    </row>
    <row r="693" spans="1:9">
      <c r="A693" s="95" t="s">
        <v>762</v>
      </c>
      <c r="B693" s="95" t="s">
        <v>357</v>
      </c>
      <c r="C693" s="189">
        <v>31</v>
      </c>
      <c r="D693" s="95" t="s">
        <v>760</v>
      </c>
      <c r="E693" s="95" t="s">
        <v>481</v>
      </c>
      <c r="F693" s="175">
        <v>36.5</v>
      </c>
      <c r="G693" s="190">
        <v>255</v>
      </c>
      <c r="H693" s="140">
        <v>1</v>
      </c>
      <c r="I693" s="170"/>
    </row>
    <row r="694" spans="1:9">
      <c r="A694" s="95" t="s">
        <v>180</v>
      </c>
      <c r="B694" s="95" t="s">
        <v>357</v>
      </c>
      <c r="C694" s="189">
        <v>32</v>
      </c>
      <c r="D694" s="95" t="s">
        <v>760</v>
      </c>
      <c r="E694" s="95" t="s">
        <v>484</v>
      </c>
      <c r="F694" s="175">
        <v>62.9</v>
      </c>
      <c r="G694" s="190">
        <v>255</v>
      </c>
      <c r="H694" s="140">
        <v>1</v>
      </c>
      <c r="I694" s="170"/>
    </row>
    <row r="695" spans="1:9">
      <c r="A695" s="95" t="s">
        <v>180</v>
      </c>
      <c r="B695" s="95" t="s">
        <v>357</v>
      </c>
      <c r="C695" s="189">
        <v>41</v>
      </c>
      <c r="D695" s="95" t="s">
        <v>758</v>
      </c>
      <c r="E695" s="95" t="s">
        <v>612</v>
      </c>
      <c r="F695" s="175">
        <v>1.6</v>
      </c>
      <c r="G695" s="190">
        <v>255</v>
      </c>
      <c r="H695" s="140">
        <v>1</v>
      </c>
      <c r="I695" s="170"/>
    </row>
    <row r="696" spans="1:9">
      <c r="A696" s="95" t="s">
        <v>180</v>
      </c>
      <c r="B696" s="95" t="s">
        <v>357</v>
      </c>
      <c r="C696" s="189">
        <v>42</v>
      </c>
      <c r="D696" s="95" t="s">
        <v>763</v>
      </c>
      <c r="E696" s="95" t="s">
        <v>612</v>
      </c>
      <c r="F696" s="175">
        <v>1.8</v>
      </c>
      <c r="G696" s="190">
        <v>0</v>
      </c>
      <c r="H696" s="140">
        <v>1</v>
      </c>
      <c r="I696" s="170"/>
    </row>
    <row r="697" spans="1:9">
      <c r="A697" s="95" t="s">
        <v>180</v>
      </c>
      <c r="B697" s="95" t="s">
        <v>357</v>
      </c>
      <c r="C697" s="189">
        <v>43</v>
      </c>
      <c r="D697" s="95" t="s">
        <v>758</v>
      </c>
      <c r="E697" s="95" t="s">
        <v>612</v>
      </c>
      <c r="F697" s="175">
        <v>1.5</v>
      </c>
      <c r="G697" s="190">
        <v>255</v>
      </c>
      <c r="H697" s="140">
        <v>1</v>
      </c>
      <c r="I697" s="170"/>
    </row>
    <row r="698" spans="1:9">
      <c r="A698" s="95" t="s">
        <v>180</v>
      </c>
      <c r="B698" s="95" t="s">
        <v>357</v>
      </c>
      <c r="C698" s="189">
        <v>44</v>
      </c>
      <c r="D698" s="95" t="s">
        <v>758</v>
      </c>
      <c r="E698" s="95" t="s">
        <v>612</v>
      </c>
      <c r="F698" s="175">
        <v>4.0999999999999996</v>
      </c>
      <c r="G698" s="190">
        <v>255</v>
      </c>
      <c r="H698" s="140">
        <v>1</v>
      </c>
      <c r="I698" s="170"/>
    </row>
    <row r="699" spans="1:9">
      <c r="A699" s="95" t="s">
        <v>180</v>
      </c>
      <c r="B699" s="95" t="s">
        <v>357</v>
      </c>
      <c r="C699" s="189">
        <v>45</v>
      </c>
      <c r="D699" s="95" t="s">
        <v>758</v>
      </c>
      <c r="E699" s="95" t="s">
        <v>612</v>
      </c>
      <c r="F699" s="175">
        <v>6.4</v>
      </c>
      <c r="G699" s="190">
        <v>255</v>
      </c>
      <c r="H699" s="140">
        <v>1</v>
      </c>
      <c r="I699" s="170"/>
    </row>
    <row r="700" spans="1:9">
      <c r="A700" s="95" t="s">
        <v>180</v>
      </c>
      <c r="B700" s="95" t="s">
        <v>357</v>
      </c>
      <c r="C700" s="189">
        <v>46</v>
      </c>
      <c r="D700" s="95" t="s">
        <v>758</v>
      </c>
      <c r="E700" s="95" t="s">
        <v>612</v>
      </c>
      <c r="F700" s="175">
        <v>9.8000000000000007</v>
      </c>
      <c r="G700" s="190">
        <v>255</v>
      </c>
      <c r="H700" s="140">
        <v>1</v>
      </c>
      <c r="I700" s="170"/>
    </row>
    <row r="701" spans="1:9">
      <c r="A701" s="95" t="s">
        <v>180</v>
      </c>
      <c r="B701" s="95" t="s">
        <v>357</v>
      </c>
      <c r="C701" s="189">
        <v>47</v>
      </c>
      <c r="D701" s="95" t="s">
        <v>758</v>
      </c>
      <c r="E701" s="95" t="s">
        <v>612</v>
      </c>
      <c r="F701" s="175">
        <v>38.299999999999997</v>
      </c>
      <c r="G701" s="190">
        <v>12</v>
      </c>
      <c r="H701" s="140">
        <v>1</v>
      </c>
      <c r="I701" s="170"/>
    </row>
    <row r="702" spans="1:9">
      <c r="A702" s="95" t="s">
        <v>180</v>
      </c>
      <c r="B702" s="95" t="s">
        <v>357</v>
      </c>
      <c r="C702" s="189">
        <v>48</v>
      </c>
      <c r="D702" s="95" t="s">
        <v>751</v>
      </c>
      <c r="E702" s="95" t="s">
        <v>752</v>
      </c>
      <c r="F702" s="175">
        <v>8.3000000000000007</v>
      </c>
      <c r="G702" s="190">
        <v>12</v>
      </c>
      <c r="H702" s="140">
        <v>1</v>
      </c>
      <c r="I702" s="170"/>
    </row>
    <row r="703" spans="1:9">
      <c r="A703" s="95" t="s">
        <v>180</v>
      </c>
      <c r="B703" s="95" t="s">
        <v>357</v>
      </c>
      <c r="C703" s="189">
        <v>49</v>
      </c>
      <c r="D703" s="95" t="s">
        <v>751</v>
      </c>
      <c r="E703" s="95" t="s">
        <v>752</v>
      </c>
      <c r="F703" s="175">
        <v>1.8</v>
      </c>
      <c r="G703" s="190">
        <v>12</v>
      </c>
      <c r="H703" s="140">
        <v>1</v>
      </c>
      <c r="I703" s="170"/>
    </row>
    <row r="704" spans="1:9">
      <c r="A704" s="95" t="s">
        <v>180</v>
      </c>
      <c r="B704" s="95" t="s">
        <v>357</v>
      </c>
      <c r="C704" s="189">
        <v>51</v>
      </c>
      <c r="D704" s="95" t="s">
        <v>763</v>
      </c>
      <c r="E704" s="95" t="s">
        <v>612</v>
      </c>
      <c r="F704" s="175">
        <v>2.6</v>
      </c>
      <c r="G704" s="190">
        <v>0</v>
      </c>
      <c r="H704" s="140">
        <v>1</v>
      </c>
      <c r="I704" s="170"/>
    </row>
    <row r="705" spans="1:9">
      <c r="A705" s="95" t="s">
        <v>180</v>
      </c>
      <c r="B705" s="95" t="s">
        <v>357</v>
      </c>
      <c r="C705" s="189">
        <v>61</v>
      </c>
      <c r="D705" s="95" t="s">
        <v>751</v>
      </c>
      <c r="E705" s="95" t="s">
        <v>752</v>
      </c>
      <c r="F705" s="175">
        <v>59.4</v>
      </c>
      <c r="G705" s="190">
        <v>12</v>
      </c>
      <c r="H705" s="140">
        <v>1</v>
      </c>
      <c r="I705" s="170"/>
    </row>
    <row r="706" spans="1:9">
      <c r="A706" s="95" t="s">
        <v>180</v>
      </c>
      <c r="B706" s="95" t="s">
        <v>357</v>
      </c>
      <c r="C706" s="189">
        <v>62</v>
      </c>
      <c r="D706" s="95" t="s">
        <v>760</v>
      </c>
      <c r="E706" s="95"/>
      <c r="F706" s="175">
        <v>25.4</v>
      </c>
      <c r="G706" s="190">
        <v>255</v>
      </c>
      <c r="H706" s="140">
        <v>1</v>
      </c>
      <c r="I706" s="170"/>
    </row>
    <row r="707" spans="1:9">
      <c r="A707" s="95" t="s">
        <v>180</v>
      </c>
      <c r="B707" s="95" t="s">
        <v>357</v>
      </c>
      <c r="C707" s="189">
        <v>63</v>
      </c>
      <c r="D707" s="95" t="s">
        <v>760</v>
      </c>
      <c r="E707" s="95"/>
      <c r="F707" s="175">
        <v>24.4</v>
      </c>
      <c r="G707" s="190">
        <v>255</v>
      </c>
      <c r="H707" s="140">
        <v>1</v>
      </c>
      <c r="I707" s="170"/>
    </row>
    <row r="708" spans="1:9">
      <c r="A708" s="95" t="s">
        <v>180</v>
      </c>
      <c r="B708" s="95" t="s">
        <v>357</v>
      </c>
      <c r="C708" s="189">
        <v>65</v>
      </c>
      <c r="D708" s="95" t="s">
        <v>761</v>
      </c>
      <c r="E708" s="95" t="s">
        <v>744</v>
      </c>
      <c r="F708" s="175">
        <v>27.8</v>
      </c>
      <c r="G708" s="190">
        <v>255</v>
      </c>
      <c r="H708" s="140">
        <v>1</v>
      </c>
      <c r="I708" s="170"/>
    </row>
    <row r="709" spans="1:9">
      <c r="A709" s="95" t="s">
        <v>180</v>
      </c>
      <c r="B709" s="95" t="s">
        <v>357</v>
      </c>
      <c r="C709" s="189">
        <v>66</v>
      </c>
      <c r="D709" s="95" t="s">
        <v>760</v>
      </c>
      <c r="E709" s="95"/>
      <c r="F709" s="175">
        <v>21.5</v>
      </c>
      <c r="G709" s="190">
        <v>0</v>
      </c>
      <c r="H709" s="140">
        <v>1</v>
      </c>
      <c r="I709" s="170"/>
    </row>
    <row r="710" spans="1:9">
      <c r="A710" s="95" t="s">
        <v>180</v>
      </c>
      <c r="B710" s="95" t="s">
        <v>357</v>
      </c>
      <c r="C710" s="189">
        <v>67</v>
      </c>
      <c r="D710" s="95" t="s">
        <v>760</v>
      </c>
      <c r="E710" s="95"/>
      <c r="F710" s="175">
        <v>30.3</v>
      </c>
      <c r="G710" s="190">
        <v>0</v>
      </c>
      <c r="H710" s="140">
        <v>1</v>
      </c>
      <c r="I710" s="170"/>
    </row>
    <row r="711" spans="1:9">
      <c r="A711" s="95" t="s">
        <v>180</v>
      </c>
      <c r="B711" s="95" t="s">
        <v>357</v>
      </c>
      <c r="C711" s="189">
        <v>68</v>
      </c>
      <c r="D711" s="95" t="s">
        <v>760</v>
      </c>
      <c r="E711" s="95"/>
      <c r="F711" s="175">
        <v>21.8</v>
      </c>
      <c r="G711" s="190">
        <v>0</v>
      </c>
      <c r="H711" s="140">
        <v>1</v>
      </c>
      <c r="I711" s="170"/>
    </row>
    <row r="712" spans="1:9">
      <c r="A712" s="95" t="s">
        <v>180</v>
      </c>
      <c r="B712" s="95" t="s">
        <v>357</v>
      </c>
      <c r="C712" s="189">
        <v>69</v>
      </c>
      <c r="D712" s="95" t="s">
        <v>760</v>
      </c>
      <c r="E712" s="95"/>
      <c r="F712" s="175">
        <v>32.299999999999997</v>
      </c>
      <c r="G712" s="190">
        <v>0</v>
      </c>
      <c r="H712" s="140">
        <v>1</v>
      </c>
      <c r="I712" s="170"/>
    </row>
    <row r="713" spans="1:9">
      <c r="A713" s="95" t="s">
        <v>180</v>
      </c>
      <c r="B713" s="95" t="s">
        <v>271</v>
      </c>
      <c r="C713" s="189">
        <v>1</v>
      </c>
      <c r="D713" s="95" t="s">
        <v>761</v>
      </c>
      <c r="E713" s="95" t="s">
        <v>251</v>
      </c>
      <c r="F713" s="175">
        <v>78.400000000000006</v>
      </c>
      <c r="G713" s="190">
        <v>255</v>
      </c>
      <c r="H713" s="140">
        <v>1</v>
      </c>
      <c r="I713" s="170"/>
    </row>
    <row r="714" spans="1:9">
      <c r="A714" s="95" t="s">
        <v>180</v>
      </c>
      <c r="B714" s="95" t="s">
        <v>271</v>
      </c>
      <c r="C714" s="189">
        <v>5</v>
      </c>
      <c r="D714" s="95" t="s">
        <v>297</v>
      </c>
      <c r="E714" s="95" t="s">
        <v>251</v>
      </c>
      <c r="F714" s="175">
        <v>17</v>
      </c>
      <c r="G714" s="190">
        <v>255</v>
      </c>
      <c r="H714" s="140">
        <v>1</v>
      </c>
      <c r="I714" s="170"/>
    </row>
    <row r="715" spans="1:9">
      <c r="A715" s="95" t="s">
        <v>180</v>
      </c>
      <c r="B715" s="95" t="s">
        <v>271</v>
      </c>
      <c r="C715" s="189">
        <v>6</v>
      </c>
      <c r="D715" s="95" t="s">
        <v>761</v>
      </c>
      <c r="E715" s="95" t="s">
        <v>251</v>
      </c>
      <c r="F715" s="175">
        <v>90.6</v>
      </c>
      <c r="G715" s="190">
        <v>255</v>
      </c>
      <c r="H715" s="140">
        <v>1</v>
      </c>
      <c r="I715" s="170"/>
    </row>
    <row r="716" spans="1:9">
      <c r="A716" s="95" t="s">
        <v>180</v>
      </c>
      <c r="B716" s="95" t="s">
        <v>271</v>
      </c>
      <c r="C716" s="189">
        <v>7</v>
      </c>
      <c r="D716" s="95" t="s">
        <v>758</v>
      </c>
      <c r="E716" s="95" t="s">
        <v>612</v>
      </c>
      <c r="F716" s="175">
        <v>3.5</v>
      </c>
      <c r="G716" s="190">
        <v>255</v>
      </c>
      <c r="H716" s="140">
        <v>1</v>
      </c>
      <c r="I716" s="170"/>
    </row>
    <row r="717" spans="1:9">
      <c r="A717" s="95" t="s">
        <v>180</v>
      </c>
      <c r="B717" s="95" t="s">
        <v>271</v>
      </c>
      <c r="C717" s="189">
        <v>8</v>
      </c>
      <c r="D717" s="95" t="s">
        <v>758</v>
      </c>
      <c r="E717" s="95" t="s">
        <v>612</v>
      </c>
      <c r="F717" s="175">
        <v>1.6</v>
      </c>
      <c r="G717" s="190">
        <v>255</v>
      </c>
      <c r="H717" s="140">
        <v>1</v>
      </c>
      <c r="I717" s="170"/>
    </row>
    <row r="718" spans="1:9">
      <c r="A718" s="95" t="s">
        <v>180</v>
      </c>
      <c r="B718" s="95" t="s">
        <v>271</v>
      </c>
      <c r="C718" s="189">
        <v>9</v>
      </c>
      <c r="D718" s="95" t="s">
        <v>758</v>
      </c>
      <c r="E718" s="95" t="s">
        <v>612</v>
      </c>
      <c r="F718" s="175">
        <v>1.6</v>
      </c>
      <c r="G718" s="190">
        <v>255</v>
      </c>
      <c r="H718" s="140">
        <v>1</v>
      </c>
      <c r="I718" s="170"/>
    </row>
    <row r="719" spans="1:9">
      <c r="A719" s="95" t="s">
        <v>180</v>
      </c>
      <c r="B719" s="95" t="s">
        <v>271</v>
      </c>
      <c r="C719" s="189">
        <v>10</v>
      </c>
      <c r="D719" s="95" t="s">
        <v>758</v>
      </c>
      <c r="E719" s="95" t="s">
        <v>612</v>
      </c>
      <c r="F719" s="175">
        <v>7.1</v>
      </c>
      <c r="G719" s="190">
        <v>255</v>
      </c>
      <c r="H719" s="140">
        <v>1</v>
      </c>
      <c r="I719" s="170"/>
    </row>
    <row r="720" spans="1:9">
      <c r="A720" s="95" t="s">
        <v>180</v>
      </c>
      <c r="B720" s="95" t="s">
        <v>271</v>
      </c>
      <c r="C720" s="189">
        <v>11</v>
      </c>
      <c r="D720" s="95" t="s">
        <v>758</v>
      </c>
      <c r="E720" s="95" t="s">
        <v>612</v>
      </c>
      <c r="F720" s="175">
        <v>2.4</v>
      </c>
      <c r="G720" s="190">
        <v>255</v>
      </c>
      <c r="H720" s="140">
        <v>1</v>
      </c>
      <c r="I720" s="170"/>
    </row>
    <row r="721" spans="1:9">
      <c r="A721" s="95" t="s">
        <v>180</v>
      </c>
      <c r="B721" s="95" t="s">
        <v>271</v>
      </c>
      <c r="C721" s="189">
        <v>12</v>
      </c>
      <c r="D721" s="95" t="s">
        <v>760</v>
      </c>
      <c r="E721" s="95" t="s">
        <v>484</v>
      </c>
      <c r="F721" s="175">
        <v>42.3</v>
      </c>
      <c r="G721" s="190">
        <v>255</v>
      </c>
      <c r="H721" s="140">
        <v>1</v>
      </c>
      <c r="I721" s="170"/>
    </row>
    <row r="722" spans="1:9">
      <c r="A722" s="95" t="s">
        <v>180</v>
      </c>
      <c r="B722" s="95" t="s">
        <v>271</v>
      </c>
      <c r="C722" s="189">
        <v>13</v>
      </c>
      <c r="D722" s="95" t="s">
        <v>760</v>
      </c>
      <c r="E722" s="95" t="s">
        <v>484</v>
      </c>
      <c r="F722" s="175">
        <v>36.299999999999997</v>
      </c>
      <c r="G722" s="190">
        <v>255</v>
      </c>
      <c r="H722" s="140">
        <v>1</v>
      </c>
      <c r="I722" s="170"/>
    </row>
    <row r="723" spans="1:9">
      <c r="A723" s="95" t="s">
        <v>180</v>
      </c>
      <c r="B723" s="95" t="s">
        <v>271</v>
      </c>
      <c r="C723" s="189">
        <v>14</v>
      </c>
      <c r="D723" s="95" t="s">
        <v>760</v>
      </c>
      <c r="E723" s="95" t="s">
        <v>484</v>
      </c>
      <c r="F723" s="175">
        <v>66.900000000000006</v>
      </c>
      <c r="G723" s="190">
        <v>255</v>
      </c>
      <c r="H723" s="140">
        <v>1</v>
      </c>
      <c r="I723" s="170"/>
    </row>
    <row r="724" spans="1:9">
      <c r="A724" s="95" t="s">
        <v>180</v>
      </c>
      <c r="B724" s="95" t="s">
        <v>271</v>
      </c>
      <c r="C724" s="189">
        <v>15</v>
      </c>
      <c r="D724" s="37" t="s">
        <v>753</v>
      </c>
      <c r="E724" s="95" t="s">
        <v>484</v>
      </c>
      <c r="F724" s="175">
        <v>26.1</v>
      </c>
      <c r="G724" s="190">
        <v>255</v>
      </c>
      <c r="H724" s="140">
        <v>1</v>
      </c>
      <c r="I724" s="170"/>
    </row>
    <row r="725" spans="1:9">
      <c r="A725" s="95" t="s">
        <v>180</v>
      </c>
      <c r="B725" s="95" t="s">
        <v>271</v>
      </c>
      <c r="C725" s="189">
        <v>16</v>
      </c>
      <c r="D725" s="95" t="s">
        <v>751</v>
      </c>
      <c r="E725" s="95" t="s">
        <v>752</v>
      </c>
      <c r="F725" s="175">
        <v>20.9</v>
      </c>
      <c r="G725" s="190">
        <v>12</v>
      </c>
      <c r="H725" s="140">
        <v>1</v>
      </c>
      <c r="I725" s="170"/>
    </row>
    <row r="726" spans="1:9">
      <c r="A726" s="95" t="s">
        <v>180</v>
      </c>
      <c r="B726" s="95" t="s">
        <v>271</v>
      </c>
      <c r="C726" s="189">
        <v>17</v>
      </c>
      <c r="D726" s="95" t="s">
        <v>760</v>
      </c>
      <c r="E726" s="95" t="s">
        <v>251</v>
      </c>
      <c r="F726" s="175">
        <v>19.899999999999999</v>
      </c>
      <c r="G726" s="190">
        <v>255</v>
      </c>
      <c r="H726" s="140">
        <v>1</v>
      </c>
      <c r="I726" s="170"/>
    </row>
    <row r="727" spans="1:9">
      <c r="A727" s="95" t="s">
        <v>180</v>
      </c>
      <c r="B727" s="95" t="s">
        <v>271</v>
      </c>
      <c r="C727" s="189">
        <v>18</v>
      </c>
      <c r="D727" s="95" t="s">
        <v>760</v>
      </c>
      <c r="E727" s="95" t="s">
        <v>251</v>
      </c>
      <c r="F727" s="175">
        <v>57.4</v>
      </c>
      <c r="G727" s="190">
        <v>255</v>
      </c>
      <c r="H727" s="140">
        <v>1</v>
      </c>
      <c r="I727" s="170"/>
    </row>
    <row r="728" spans="1:9">
      <c r="A728" s="95" t="s">
        <v>180</v>
      </c>
      <c r="B728" s="95" t="s">
        <v>271</v>
      </c>
      <c r="C728" s="189">
        <v>19</v>
      </c>
      <c r="D728" s="95" t="s">
        <v>760</v>
      </c>
      <c r="E728" s="95" t="s">
        <v>251</v>
      </c>
      <c r="F728" s="175">
        <v>19.5</v>
      </c>
      <c r="G728" s="190">
        <v>255</v>
      </c>
      <c r="H728" s="140">
        <v>1</v>
      </c>
      <c r="I728" s="170"/>
    </row>
    <row r="729" spans="1:9">
      <c r="A729" s="95" t="s">
        <v>180</v>
      </c>
      <c r="B729" s="95" t="s">
        <v>271</v>
      </c>
      <c r="C729" s="189">
        <v>20</v>
      </c>
      <c r="D729" s="95" t="s">
        <v>760</v>
      </c>
      <c r="E729" s="95" t="s">
        <v>251</v>
      </c>
      <c r="F729" s="175">
        <v>24</v>
      </c>
      <c r="G729" s="190">
        <v>255</v>
      </c>
      <c r="H729" s="140">
        <v>1</v>
      </c>
      <c r="I729" s="170"/>
    </row>
    <row r="730" spans="1:9">
      <c r="A730" s="95" t="s">
        <v>180</v>
      </c>
      <c r="B730" s="95" t="s">
        <v>271</v>
      </c>
      <c r="C730" s="189">
        <v>21</v>
      </c>
      <c r="D730" s="37" t="s">
        <v>753</v>
      </c>
      <c r="E730" s="95" t="s">
        <v>251</v>
      </c>
      <c r="F730" s="175">
        <v>45.9</v>
      </c>
      <c r="G730" s="190">
        <v>255</v>
      </c>
      <c r="H730" s="140">
        <v>1</v>
      </c>
      <c r="I730" s="170"/>
    </row>
    <row r="731" spans="1:9">
      <c r="A731" s="95" t="s">
        <v>180</v>
      </c>
      <c r="B731" s="95" t="s">
        <v>271</v>
      </c>
      <c r="C731" s="189">
        <v>22</v>
      </c>
      <c r="D731" s="95" t="s">
        <v>758</v>
      </c>
      <c r="E731" s="95" t="s">
        <v>612</v>
      </c>
      <c r="F731" s="175">
        <v>9.1999999999999993</v>
      </c>
      <c r="G731" s="190">
        <v>255</v>
      </c>
      <c r="H731" s="140">
        <v>1</v>
      </c>
      <c r="I731" s="170"/>
    </row>
    <row r="732" spans="1:9">
      <c r="A732" s="95" t="s">
        <v>180</v>
      </c>
      <c r="B732" s="95" t="s">
        <v>271</v>
      </c>
      <c r="C732" s="189">
        <v>23</v>
      </c>
      <c r="D732" s="95" t="s">
        <v>758</v>
      </c>
      <c r="E732" s="95" t="s">
        <v>612</v>
      </c>
      <c r="F732" s="175">
        <v>1.1000000000000001</v>
      </c>
      <c r="G732" s="190">
        <v>255</v>
      </c>
      <c r="H732" s="140">
        <v>1</v>
      </c>
      <c r="I732" s="170"/>
    </row>
    <row r="733" spans="1:9">
      <c r="A733" s="95" t="s">
        <v>180</v>
      </c>
      <c r="B733" s="95" t="s">
        <v>271</v>
      </c>
      <c r="C733" s="189">
        <v>24</v>
      </c>
      <c r="D733" s="95" t="s">
        <v>758</v>
      </c>
      <c r="E733" s="95" t="s">
        <v>612</v>
      </c>
      <c r="F733" s="175">
        <v>1.3</v>
      </c>
      <c r="G733" s="190">
        <v>255</v>
      </c>
      <c r="H733" s="140">
        <v>1</v>
      </c>
      <c r="I733" s="170"/>
    </row>
    <row r="734" spans="1:9">
      <c r="A734" s="95" t="s">
        <v>180</v>
      </c>
      <c r="B734" s="95" t="s">
        <v>271</v>
      </c>
      <c r="C734" s="189">
        <v>25</v>
      </c>
      <c r="D734" s="95" t="s">
        <v>758</v>
      </c>
      <c r="E734" s="95" t="s">
        <v>612</v>
      </c>
      <c r="F734" s="175">
        <v>1.3</v>
      </c>
      <c r="G734" s="190">
        <v>255</v>
      </c>
      <c r="H734" s="140">
        <v>1</v>
      </c>
      <c r="I734" s="170"/>
    </row>
    <row r="735" spans="1:9">
      <c r="A735" s="95" t="s">
        <v>180</v>
      </c>
      <c r="B735" s="95" t="s">
        <v>271</v>
      </c>
      <c r="C735" s="189">
        <v>26</v>
      </c>
      <c r="D735" s="95" t="s">
        <v>760</v>
      </c>
      <c r="E735" s="95" t="s">
        <v>251</v>
      </c>
      <c r="F735" s="175">
        <v>18</v>
      </c>
      <c r="G735" s="190">
        <v>255</v>
      </c>
      <c r="H735" s="140">
        <v>1</v>
      </c>
      <c r="I735" s="170"/>
    </row>
    <row r="736" spans="1:9">
      <c r="A736" s="95" t="s">
        <v>180</v>
      </c>
      <c r="B736" s="95" t="s">
        <v>271</v>
      </c>
      <c r="C736" s="189">
        <v>27</v>
      </c>
      <c r="D736" s="95" t="s">
        <v>760</v>
      </c>
      <c r="E736" s="95" t="s">
        <v>251</v>
      </c>
      <c r="F736" s="175">
        <v>24.7</v>
      </c>
      <c r="G736" s="190">
        <v>255</v>
      </c>
      <c r="H736" s="140">
        <v>1</v>
      </c>
      <c r="I736" s="170"/>
    </row>
    <row r="737" spans="1:9">
      <c r="A737" s="95" t="s">
        <v>180</v>
      </c>
      <c r="B737" s="95" t="s">
        <v>271</v>
      </c>
      <c r="C737" s="189">
        <v>28</v>
      </c>
      <c r="D737" s="95" t="s">
        <v>760</v>
      </c>
      <c r="E737" s="95" t="s">
        <v>251</v>
      </c>
      <c r="F737" s="175">
        <v>20.100000000000001</v>
      </c>
      <c r="G737" s="190">
        <v>255</v>
      </c>
      <c r="H737" s="140">
        <v>1</v>
      </c>
      <c r="I737" s="170"/>
    </row>
    <row r="738" spans="1:9">
      <c r="A738" s="95" t="s">
        <v>180</v>
      </c>
      <c r="B738" s="95" t="s">
        <v>271</v>
      </c>
      <c r="C738" s="189">
        <v>29</v>
      </c>
      <c r="D738" s="95" t="s">
        <v>760</v>
      </c>
      <c r="E738" s="95" t="s">
        <v>251</v>
      </c>
      <c r="F738" s="175">
        <v>17.5</v>
      </c>
      <c r="G738" s="190">
        <v>255</v>
      </c>
      <c r="H738" s="140">
        <v>1</v>
      </c>
      <c r="I738" s="170"/>
    </row>
    <row r="739" spans="1:9">
      <c r="A739" s="95" t="s">
        <v>180</v>
      </c>
      <c r="B739" s="95" t="s">
        <v>271</v>
      </c>
      <c r="C739" s="189">
        <v>30</v>
      </c>
      <c r="D739" s="95" t="s">
        <v>760</v>
      </c>
      <c r="E739" s="95" t="s">
        <v>251</v>
      </c>
      <c r="F739" s="175">
        <v>27.3</v>
      </c>
      <c r="G739" s="190">
        <v>255</v>
      </c>
      <c r="H739" s="140">
        <v>1</v>
      </c>
      <c r="I739" s="170"/>
    </row>
    <row r="740" spans="1:9">
      <c r="A740" s="95" t="s">
        <v>180</v>
      </c>
      <c r="B740" s="95" t="s">
        <v>271</v>
      </c>
      <c r="C740" s="189">
        <v>31</v>
      </c>
      <c r="D740" s="95" t="s">
        <v>751</v>
      </c>
      <c r="E740" s="95" t="s">
        <v>752</v>
      </c>
      <c r="F740" s="175">
        <v>14.8</v>
      </c>
      <c r="G740" s="190">
        <v>12</v>
      </c>
      <c r="H740" s="140">
        <v>1</v>
      </c>
      <c r="I740" s="170"/>
    </row>
    <row r="741" spans="1:9">
      <c r="A741" s="95" t="s">
        <v>180</v>
      </c>
      <c r="B741" s="95" t="s">
        <v>271</v>
      </c>
      <c r="C741" s="189">
        <v>32</v>
      </c>
      <c r="D741" s="95" t="s">
        <v>761</v>
      </c>
      <c r="E741" s="95" t="s">
        <v>484</v>
      </c>
      <c r="F741" s="175">
        <v>11.5</v>
      </c>
      <c r="G741" s="190">
        <v>255</v>
      </c>
      <c r="H741" s="140">
        <v>1</v>
      </c>
      <c r="I741" s="170"/>
    </row>
    <row r="742" spans="1:9">
      <c r="A742" s="95" t="s">
        <v>180</v>
      </c>
      <c r="B742" s="95" t="s">
        <v>271</v>
      </c>
      <c r="C742" s="189">
        <v>33</v>
      </c>
      <c r="D742" s="95" t="s">
        <v>756</v>
      </c>
      <c r="E742" s="95" t="s">
        <v>757</v>
      </c>
      <c r="F742" s="175">
        <v>8.9</v>
      </c>
      <c r="G742" s="190">
        <v>255</v>
      </c>
      <c r="H742" s="140">
        <v>1</v>
      </c>
      <c r="I742" s="170"/>
    </row>
    <row r="743" spans="1:9">
      <c r="A743" s="95" t="s">
        <v>180</v>
      </c>
      <c r="B743" s="95" t="s">
        <v>271</v>
      </c>
      <c r="C743" s="189">
        <v>34</v>
      </c>
      <c r="D743" s="95" t="s">
        <v>751</v>
      </c>
      <c r="E743" s="95" t="s">
        <v>752</v>
      </c>
      <c r="F743" s="175">
        <v>19.3</v>
      </c>
      <c r="G743" s="190">
        <v>12</v>
      </c>
      <c r="H743" s="140">
        <v>1</v>
      </c>
      <c r="I743" s="170"/>
    </row>
    <row r="744" spans="1:9">
      <c r="A744" s="95" t="s">
        <v>180</v>
      </c>
      <c r="B744" s="95" t="s">
        <v>271</v>
      </c>
      <c r="C744" s="189">
        <v>35</v>
      </c>
      <c r="D744" s="95" t="s">
        <v>760</v>
      </c>
      <c r="E744" s="95" t="s">
        <v>251</v>
      </c>
      <c r="F744" s="175">
        <v>27.2</v>
      </c>
      <c r="G744" s="190">
        <v>255</v>
      </c>
      <c r="H744" s="140">
        <v>1</v>
      </c>
      <c r="I744" s="170"/>
    </row>
    <row r="745" spans="1:9">
      <c r="A745" s="95" t="s">
        <v>180</v>
      </c>
      <c r="B745" s="95" t="s">
        <v>271</v>
      </c>
      <c r="C745" s="189">
        <v>36</v>
      </c>
      <c r="D745" s="95" t="s">
        <v>760</v>
      </c>
      <c r="E745" s="95" t="s">
        <v>251</v>
      </c>
      <c r="F745" s="175">
        <v>15</v>
      </c>
      <c r="G745" s="190">
        <v>255</v>
      </c>
      <c r="H745" s="140">
        <v>1</v>
      </c>
      <c r="I745" s="170"/>
    </row>
    <row r="746" spans="1:9">
      <c r="A746" s="95" t="s">
        <v>180</v>
      </c>
      <c r="B746" s="95" t="s">
        <v>271</v>
      </c>
      <c r="C746" s="189">
        <v>37</v>
      </c>
      <c r="D746" s="95" t="s">
        <v>760</v>
      </c>
      <c r="E746" s="95" t="s">
        <v>251</v>
      </c>
      <c r="F746" s="175">
        <v>14.8</v>
      </c>
      <c r="G746" s="190">
        <v>255</v>
      </c>
      <c r="H746" s="140">
        <v>1</v>
      </c>
      <c r="I746" s="170"/>
    </row>
    <row r="747" spans="1:9">
      <c r="A747" s="95" t="s">
        <v>180</v>
      </c>
      <c r="B747" s="95" t="s">
        <v>271</v>
      </c>
      <c r="C747" s="189">
        <v>49</v>
      </c>
      <c r="D747" s="95" t="s">
        <v>760</v>
      </c>
      <c r="E747" s="95" t="s">
        <v>251</v>
      </c>
      <c r="F747" s="175">
        <v>33.6</v>
      </c>
      <c r="G747" s="190">
        <v>255</v>
      </c>
      <c r="H747" s="140">
        <v>1</v>
      </c>
      <c r="I747" s="170"/>
    </row>
    <row r="748" spans="1:9">
      <c r="A748" s="95" t="s">
        <v>180</v>
      </c>
      <c r="B748" s="95" t="s">
        <v>271</v>
      </c>
      <c r="C748" s="189">
        <v>51</v>
      </c>
      <c r="D748" s="95" t="s">
        <v>758</v>
      </c>
      <c r="E748" s="95" t="s">
        <v>612</v>
      </c>
      <c r="F748" s="175">
        <v>3.6</v>
      </c>
      <c r="G748" s="190">
        <v>255</v>
      </c>
      <c r="H748" s="140">
        <v>1</v>
      </c>
      <c r="I748" s="170"/>
    </row>
    <row r="749" spans="1:9">
      <c r="A749" s="95" t="s">
        <v>180</v>
      </c>
      <c r="B749" s="95" t="s">
        <v>271</v>
      </c>
      <c r="C749" s="189">
        <v>52</v>
      </c>
      <c r="D749" s="95" t="s">
        <v>756</v>
      </c>
      <c r="E749" s="95" t="s">
        <v>757</v>
      </c>
      <c r="F749" s="175">
        <v>3.5</v>
      </c>
      <c r="G749" s="190">
        <v>255</v>
      </c>
      <c r="H749" s="140">
        <v>1</v>
      </c>
      <c r="I749" s="170"/>
    </row>
    <row r="750" spans="1:9">
      <c r="A750" s="95" t="s">
        <v>180</v>
      </c>
      <c r="B750" s="95" t="s">
        <v>271</v>
      </c>
      <c r="C750" s="189">
        <v>53</v>
      </c>
      <c r="D750" s="95" t="s">
        <v>756</v>
      </c>
      <c r="E750" s="95" t="s">
        <v>757</v>
      </c>
      <c r="F750" s="175">
        <v>10.4</v>
      </c>
      <c r="G750" s="190">
        <v>255</v>
      </c>
      <c r="H750" s="140">
        <v>1</v>
      </c>
      <c r="I750" s="170"/>
    </row>
    <row r="751" spans="1:9">
      <c r="A751" s="95" t="s">
        <v>180</v>
      </c>
      <c r="B751" s="95" t="s">
        <v>271</v>
      </c>
      <c r="C751" s="189">
        <v>54</v>
      </c>
      <c r="D751" s="95" t="s">
        <v>751</v>
      </c>
      <c r="E751" s="95" t="s">
        <v>752</v>
      </c>
      <c r="F751" s="175">
        <v>1.8</v>
      </c>
      <c r="G751" s="190">
        <v>12</v>
      </c>
      <c r="H751" s="140">
        <v>1</v>
      </c>
      <c r="I751" s="170"/>
    </row>
    <row r="752" spans="1:9">
      <c r="A752" s="95"/>
      <c r="B752" s="95"/>
      <c r="C752" s="189"/>
      <c r="D752" s="95"/>
      <c r="E752" s="95"/>
      <c r="F752" s="175"/>
      <c r="G752" s="190"/>
      <c r="H752" s="190"/>
      <c r="I752" s="172"/>
    </row>
    <row r="753" spans="1:9">
      <c r="A753" s="95" t="s">
        <v>138</v>
      </c>
      <c r="B753" s="188">
        <v>0</v>
      </c>
      <c r="C753" s="99">
        <v>1</v>
      </c>
      <c r="D753" s="95" t="s">
        <v>306</v>
      </c>
      <c r="E753" s="95" t="s">
        <v>275</v>
      </c>
      <c r="F753" s="175">
        <v>6.11</v>
      </c>
      <c r="G753" s="190">
        <v>104</v>
      </c>
      <c r="H753" s="140">
        <v>1</v>
      </c>
      <c r="I753" s="170"/>
    </row>
    <row r="754" spans="1:9">
      <c r="A754" s="95" t="s">
        <v>138</v>
      </c>
      <c r="B754" s="188">
        <v>0</v>
      </c>
      <c r="C754" s="99">
        <v>2</v>
      </c>
      <c r="D754" s="95" t="s">
        <v>764</v>
      </c>
      <c r="E754" s="95" t="s">
        <v>275</v>
      </c>
      <c r="F754" s="175">
        <v>15.68</v>
      </c>
      <c r="G754" s="190">
        <v>104</v>
      </c>
      <c r="H754" s="140">
        <v>1</v>
      </c>
      <c r="I754" s="170"/>
    </row>
    <row r="755" spans="1:9">
      <c r="A755" s="95" t="s">
        <v>138</v>
      </c>
      <c r="B755" s="188">
        <v>0</v>
      </c>
      <c r="C755" s="99">
        <v>3</v>
      </c>
      <c r="D755" s="95" t="s">
        <v>291</v>
      </c>
      <c r="E755" s="95" t="s">
        <v>275</v>
      </c>
      <c r="F755" s="175">
        <v>6.65</v>
      </c>
      <c r="G755" s="190">
        <v>104</v>
      </c>
      <c r="H755" s="140">
        <v>1</v>
      </c>
      <c r="I755" s="170"/>
    </row>
    <row r="756" spans="1:9">
      <c r="A756" s="95" t="s">
        <v>138</v>
      </c>
      <c r="B756" s="188">
        <v>0</v>
      </c>
      <c r="C756" s="99">
        <v>4</v>
      </c>
      <c r="D756" s="95" t="s">
        <v>318</v>
      </c>
      <c r="E756" s="95" t="s">
        <v>262</v>
      </c>
      <c r="F756" s="175">
        <v>1.01</v>
      </c>
      <c r="G756" s="190">
        <v>104</v>
      </c>
      <c r="H756" s="140">
        <v>1</v>
      </c>
      <c r="I756" s="170"/>
    </row>
    <row r="757" spans="1:9">
      <c r="A757" s="95" t="s">
        <v>138</v>
      </c>
      <c r="B757" s="188">
        <v>0</v>
      </c>
      <c r="C757" s="99">
        <v>5</v>
      </c>
      <c r="D757" s="95" t="s">
        <v>765</v>
      </c>
      <c r="E757" s="95" t="s">
        <v>275</v>
      </c>
      <c r="F757" s="175">
        <v>13.61</v>
      </c>
      <c r="G757" s="190">
        <v>104</v>
      </c>
      <c r="H757" s="140">
        <v>1</v>
      </c>
      <c r="I757" s="170"/>
    </row>
    <row r="758" spans="1:9">
      <c r="A758" s="95" t="s">
        <v>138</v>
      </c>
      <c r="B758" s="188">
        <v>0</v>
      </c>
      <c r="C758" s="99">
        <v>6</v>
      </c>
      <c r="D758" s="95" t="s">
        <v>450</v>
      </c>
      <c r="E758" s="95" t="s">
        <v>275</v>
      </c>
      <c r="F758" s="175">
        <v>21.4</v>
      </c>
      <c r="G758" s="190">
        <v>104</v>
      </c>
      <c r="H758" s="140">
        <v>1</v>
      </c>
      <c r="I758" s="170"/>
    </row>
    <row r="759" spans="1:9">
      <c r="A759" s="95" t="s">
        <v>138</v>
      </c>
      <c r="B759" s="188">
        <v>0</v>
      </c>
      <c r="C759" s="99">
        <v>7</v>
      </c>
      <c r="D759" s="95" t="s">
        <v>766</v>
      </c>
      <c r="E759" s="95" t="s">
        <v>275</v>
      </c>
      <c r="F759" s="175">
        <v>36.299999999999997</v>
      </c>
      <c r="G759" s="190">
        <v>104</v>
      </c>
      <c r="H759" s="140">
        <v>1</v>
      </c>
      <c r="I759" s="170"/>
    </row>
    <row r="760" spans="1:9">
      <c r="A760" s="95"/>
      <c r="B760" s="95"/>
      <c r="C760" s="99"/>
      <c r="D760" s="95"/>
      <c r="E760" s="95"/>
      <c r="F760" s="175"/>
      <c r="G760" s="190"/>
      <c r="H760" s="190"/>
      <c r="I760" s="172"/>
    </row>
    <row r="761" spans="1:9">
      <c r="A761" s="95" t="s">
        <v>209</v>
      </c>
      <c r="B761" s="188">
        <v>0</v>
      </c>
      <c r="C761" s="99">
        <v>1</v>
      </c>
      <c r="D761" s="95" t="s">
        <v>119</v>
      </c>
      <c r="E761" s="95" t="s">
        <v>251</v>
      </c>
      <c r="F761" s="175">
        <v>10</v>
      </c>
      <c r="G761" s="190">
        <v>104</v>
      </c>
      <c r="H761" s="140">
        <v>1</v>
      </c>
      <c r="I761" s="170"/>
    </row>
    <row r="762" spans="1:9">
      <c r="A762" s="95" t="s">
        <v>209</v>
      </c>
      <c r="B762" s="188">
        <v>0</v>
      </c>
      <c r="C762" s="99">
        <v>2</v>
      </c>
      <c r="D762" s="95" t="s">
        <v>339</v>
      </c>
      <c r="E762" s="95" t="s">
        <v>504</v>
      </c>
      <c r="F762" s="175">
        <v>24</v>
      </c>
      <c r="G762" s="190">
        <v>104</v>
      </c>
      <c r="H762" s="140">
        <v>1</v>
      </c>
      <c r="I762" s="170"/>
    </row>
    <row r="763" spans="1:9">
      <c r="A763" s="95" t="s">
        <v>209</v>
      </c>
      <c r="B763" s="188">
        <v>0</v>
      </c>
      <c r="C763" s="99">
        <v>3</v>
      </c>
      <c r="D763" s="95" t="s">
        <v>339</v>
      </c>
      <c r="E763" s="95" t="s">
        <v>504</v>
      </c>
      <c r="F763" s="175">
        <v>24</v>
      </c>
      <c r="G763" s="190">
        <v>104</v>
      </c>
      <c r="H763" s="140">
        <v>1</v>
      </c>
      <c r="I763" s="170"/>
    </row>
    <row r="764" spans="1:9">
      <c r="A764" s="95" t="s">
        <v>209</v>
      </c>
      <c r="B764" s="188">
        <v>0</v>
      </c>
      <c r="C764" s="99">
        <v>4</v>
      </c>
      <c r="D764" s="95" t="s">
        <v>339</v>
      </c>
      <c r="E764" s="95" t="s">
        <v>504</v>
      </c>
      <c r="F764" s="175">
        <v>6</v>
      </c>
      <c r="G764" s="190">
        <v>104</v>
      </c>
      <c r="H764" s="140">
        <v>1</v>
      </c>
      <c r="I764" s="170"/>
    </row>
    <row r="765" spans="1:9">
      <c r="A765" s="95" t="s">
        <v>209</v>
      </c>
      <c r="B765" s="188">
        <v>0</v>
      </c>
      <c r="C765" s="99">
        <v>5</v>
      </c>
      <c r="D765" s="95" t="s">
        <v>377</v>
      </c>
      <c r="E765" s="95" t="s">
        <v>504</v>
      </c>
      <c r="F765" s="175">
        <v>6</v>
      </c>
      <c r="G765" s="190">
        <v>104</v>
      </c>
      <c r="H765" s="140">
        <v>1</v>
      </c>
      <c r="I765" s="170"/>
    </row>
    <row r="766" spans="1:9">
      <c r="A766" s="95" t="s">
        <v>209</v>
      </c>
      <c r="B766" s="188">
        <v>0</v>
      </c>
      <c r="C766" s="99">
        <v>6</v>
      </c>
      <c r="D766" s="95" t="s">
        <v>318</v>
      </c>
      <c r="E766" s="95" t="s">
        <v>502</v>
      </c>
      <c r="F766" s="175">
        <v>5</v>
      </c>
      <c r="G766" s="190">
        <v>104</v>
      </c>
      <c r="H766" s="140">
        <v>1</v>
      </c>
      <c r="I766" s="170"/>
    </row>
    <row r="767" spans="1:9">
      <c r="A767" s="95" t="s">
        <v>209</v>
      </c>
      <c r="B767" s="188">
        <v>0</v>
      </c>
      <c r="C767" s="99">
        <v>7</v>
      </c>
      <c r="D767" s="95" t="s">
        <v>767</v>
      </c>
      <c r="E767" s="95" t="s">
        <v>504</v>
      </c>
      <c r="F767" s="175">
        <v>38</v>
      </c>
      <c r="G767" s="190">
        <v>104</v>
      </c>
      <c r="H767" s="140">
        <v>1</v>
      </c>
      <c r="I767" s="170"/>
    </row>
    <row r="768" spans="1:9">
      <c r="A768" s="95"/>
      <c r="B768" s="95"/>
      <c r="C768" s="99"/>
      <c r="D768" s="95"/>
      <c r="E768" s="95"/>
      <c r="F768" s="175"/>
      <c r="G768" s="190"/>
      <c r="H768" s="190"/>
      <c r="I768" s="172"/>
    </row>
    <row r="769" spans="1:9">
      <c r="A769" s="95" t="s">
        <v>210</v>
      </c>
      <c r="B769" s="95" t="s">
        <v>271</v>
      </c>
      <c r="C769" s="99" t="s">
        <v>768</v>
      </c>
      <c r="D769" s="95" t="s">
        <v>769</v>
      </c>
      <c r="E769" s="95" t="s">
        <v>504</v>
      </c>
      <c r="F769" s="175">
        <v>21.65</v>
      </c>
      <c r="G769" s="190">
        <v>255</v>
      </c>
      <c r="H769" s="140">
        <v>1</v>
      </c>
      <c r="I769" s="170"/>
    </row>
    <row r="770" spans="1:9">
      <c r="A770" s="95" t="s">
        <v>210</v>
      </c>
      <c r="B770" s="95" t="s">
        <v>271</v>
      </c>
      <c r="C770" s="99" t="s">
        <v>770</v>
      </c>
      <c r="D770" s="95" t="s">
        <v>769</v>
      </c>
      <c r="E770" s="95" t="s">
        <v>504</v>
      </c>
      <c r="F770" s="175">
        <v>21.65</v>
      </c>
      <c r="G770" s="190">
        <v>255</v>
      </c>
      <c r="H770" s="140">
        <v>1</v>
      </c>
      <c r="I770" s="170"/>
    </row>
    <row r="771" spans="1:9">
      <c r="A771" s="95" t="s">
        <v>210</v>
      </c>
      <c r="B771" s="95" t="s">
        <v>271</v>
      </c>
      <c r="C771" s="99" t="s">
        <v>771</v>
      </c>
      <c r="D771" s="95" t="s">
        <v>769</v>
      </c>
      <c r="E771" s="95" t="s">
        <v>504</v>
      </c>
      <c r="F771" s="175">
        <v>21.65</v>
      </c>
      <c r="G771" s="190">
        <v>255</v>
      </c>
      <c r="H771" s="140">
        <v>1</v>
      </c>
      <c r="I771" s="170"/>
    </row>
    <row r="772" spans="1:9">
      <c r="A772" s="95" t="s">
        <v>210</v>
      </c>
      <c r="B772" s="95" t="s">
        <v>271</v>
      </c>
      <c r="C772" s="99" t="s">
        <v>772</v>
      </c>
      <c r="D772" s="95" t="s">
        <v>769</v>
      </c>
      <c r="E772" s="95" t="s">
        <v>504</v>
      </c>
      <c r="F772" s="175">
        <v>21.65</v>
      </c>
      <c r="G772" s="190">
        <v>255</v>
      </c>
      <c r="H772" s="140">
        <v>1</v>
      </c>
      <c r="I772" s="170"/>
    </row>
    <row r="773" spans="1:9">
      <c r="A773" s="95" t="s">
        <v>210</v>
      </c>
      <c r="B773" s="95" t="s">
        <v>271</v>
      </c>
      <c r="C773" s="99" t="s">
        <v>773</v>
      </c>
      <c r="D773" s="95" t="s">
        <v>339</v>
      </c>
      <c r="E773" s="95" t="s">
        <v>504</v>
      </c>
      <c r="F773" s="175">
        <v>27.96</v>
      </c>
      <c r="G773" s="190">
        <v>255</v>
      </c>
      <c r="H773" s="140">
        <v>1</v>
      </c>
      <c r="I773" s="170"/>
    </row>
    <row r="774" spans="1:9">
      <c r="A774" s="95" t="s">
        <v>210</v>
      </c>
      <c r="B774" s="95" t="s">
        <v>271</v>
      </c>
      <c r="C774" s="99" t="s">
        <v>774</v>
      </c>
      <c r="D774" s="95" t="s">
        <v>775</v>
      </c>
      <c r="E774" s="95" t="s">
        <v>504</v>
      </c>
      <c r="F774" s="175">
        <v>5.99</v>
      </c>
      <c r="G774" s="190">
        <v>255</v>
      </c>
      <c r="H774" s="140">
        <v>1</v>
      </c>
      <c r="I774" s="170"/>
    </row>
    <row r="775" spans="1:9">
      <c r="A775" s="95" t="s">
        <v>210</v>
      </c>
      <c r="B775" s="95" t="s">
        <v>271</v>
      </c>
      <c r="C775" s="99" t="s">
        <v>776</v>
      </c>
      <c r="D775" s="95" t="s">
        <v>291</v>
      </c>
      <c r="E775" s="95" t="s">
        <v>504</v>
      </c>
      <c r="F775" s="175">
        <v>44.83</v>
      </c>
      <c r="G775" s="190">
        <v>255</v>
      </c>
      <c r="H775" s="140">
        <v>1</v>
      </c>
      <c r="I775" s="170"/>
    </row>
    <row r="776" spans="1:9">
      <c r="A776" s="95" t="s">
        <v>210</v>
      </c>
      <c r="B776" s="95" t="s">
        <v>271</v>
      </c>
      <c r="C776" s="99" t="s">
        <v>777</v>
      </c>
      <c r="D776" s="95" t="s">
        <v>318</v>
      </c>
      <c r="E776" s="95" t="s">
        <v>504</v>
      </c>
      <c r="F776" s="175">
        <v>1.74</v>
      </c>
      <c r="G776" s="190">
        <v>255</v>
      </c>
      <c r="H776" s="140">
        <v>1</v>
      </c>
      <c r="I776" s="170"/>
    </row>
    <row r="777" spans="1:9">
      <c r="A777" s="95" t="s">
        <v>210</v>
      </c>
      <c r="B777" s="95" t="s">
        <v>271</v>
      </c>
      <c r="C777" s="99" t="s">
        <v>778</v>
      </c>
      <c r="D777" s="95" t="s">
        <v>264</v>
      </c>
      <c r="E777" s="95" t="s">
        <v>504</v>
      </c>
      <c r="F777" s="175">
        <v>2.34</v>
      </c>
      <c r="G777" s="190">
        <v>255</v>
      </c>
      <c r="H777" s="140">
        <v>1</v>
      </c>
      <c r="I777" s="170"/>
    </row>
    <row r="778" spans="1:9">
      <c r="A778" s="95" t="s">
        <v>210</v>
      </c>
      <c r="B778" s="95" t="s">
        <v>271</v>
      </c>
      <c r="C778" s="99" t="s">
        <v>779</v>
      </c>
      <c r="D778" s="95" t="s">
        <v>377</v>
      </c>
      <c r="E778" s="95" t="s">
        <v>504</v>
      </c>
      <c r="F778" s="175">
        <v>4.59</v>
      </c>
      <c r="G778" s="190">
        <v>255</v>
      </c>
      <c r="H778" s="140">
        <v>1</v>
      </c>
      <c r="I778" s="170"/>
    </row>
    <row r="779" spans="1:9">
      <c r="A779" s="95" t="s">
        <v>210</v>
      </c>
      <c r="B779" s="95" t="s">
        <v>271</v>
      </c>
      <c r="C779" s="99" t="s">
        <v>780</v>
      </c>
      <c r="D779" s="95" t="s">
        <v>775</v>
      </c>
      <c r="E779" s="95" t="s">
        <v>504</v>
      </c>
      <c r="F779" s="175">
        <v>6.31</v>
      </c>
      <c r="G779" s="190">
        <v>255</v>
      </c>
      <c r="H779" s="140">
        <v>1</v>
      </c>
      <c r="I779" s="170"/>
    </row>
    <row r="780" spans="1:9">
      <c r="A780" s="95" t="s">
        <v>210</v>
      </c>
      <c r="B780" s="95" t="s">
        <v>271</v>
      </c>
      <c r="C780" s="99" t="s">
        <v>781</v>
      </c>
      <c r="D780" s="95" t="s">
        <v>782</v>
      </c>
      <c r="E780" s="95" t="s">
        <v>504</v>
      </c>
      <c r="F780" s="175">
        <v>8.1</v>
      </c>
      <c r="G780" s="190">
        <v>104</v>
      </c>
      <c r="H780" s="140">
        <v>1</v>
      </c>
      <c r="I780" s="170"/>
    </row>
    <row r="781" spans="1:9">
      <c r="A781" s="95" t="s">
        <v>210</v>
      </c>
      <c r="B781" s="95" t="s">
        <v>271</v>
      </c>
      <c r="C781" s="99" t="s">
        <v>783</v>
      </c>
      <c r="D781" s="95" t="s">
        <v>769</v>
      </c>
      <c r="E781" s="95" t="s">
        <v>504</v>
      </c>
      <c r="F781" s="175">
        <v>21.13</v>
      </c>
      <c r="G781" s="190">
        <v>255</v>
      </c>
      <c r="H781" s="140">
        <v>1</v>
      </c>
      <c r="I781" s="170"/>
    </row>
    <row r="782" spans="1:9">
      <c r="A782" s="95" t="s">
        <v>210</v>
      </c>
      <c r="B782" s="95" t="s">
        <v>271</v>
      </c>
      <c r="C782" s="99" t="s">
        <v>784</v>
      </c>
      <c r="D782" s="95" t="s">
        <v>339</v>
      </c>
      <c r="E782" s="95" t="s">
        <v>504</v>
      </c>
      <c r="F782" s="175">
        <v>18.28</v>
      </c>
      <c r="G782" s="190">
        <v>255</v>
      </c>
      <c r="H782" s="140">
        <v>1</v>
      </c>
      <c r="I782" s="170"/>
    </row>
    <row r="783" spans="1:9">
      <c r="A783" s="95"/>
      <c r="B783" s="95"/>
      <c r="C783" s="99"/>
      <c r="D783" s="95"/>
      <c r="E783" s="95"/>
      <c r="F783" s="175"/>
      <c r="G783" s="190"/>
      <c r="H783" s="190"/>
      <c r="I783" s="172"/>
    </row>
    <row r="784" spans="1:9">
      <c r="A784" s="95" t="s">
        <v>211</v>
      </c>
      <c r="B784" s="188">
        <v>0</v>
      </c>
      <c r="C784" s="99" t="s">
        <v>497</v>
      </c>
      <c r="D784" s="95" t="s">
        <v>785</v>
      </c>
      <c r="E784" s="95" t="s">
        <v>504</v>
      </c>
      <c r="F784" s="175">
        <v>4</v>
      </c>
      <c r="G784" s="190">
        <v>52</v>
      </c>
      <c r="H784" s="140">
        <v>1</v>
      </c>
      <c r="I784" s="170"/>
    </row>
    <row r="785" spans="1:9">
      <c r="A785" s="95" t="s">
        <v>211</v>
      </c>
      <c r="B785" s="188">
        <v>0</v>
      </c>
      <c r="C785" s="99" t="s">
        <v>499</v>
      </c>
      <c r="D785" s="95" t="s">
        <v>786</v>
      </c>
      <c r="E785" s="95" t="s">
        <v>251</v>
      </c>
      <c r="F785" s="175">
        <v>16</v>
      </c>
      <c r="G785" s="190">
        <v>104</v>
      </c>
      <c r="H785" s="140">
        <v>1</v>
      </c>
      <c r="I785" s="170"/>
    </row>
    <row r="786" spans="1:9">
      <c r="A786" s="95" t="s">
        <v>211</v>
      </c>
      <c r="B786" s="188">
        <v>0</v>
      </c>
      <c r="C786" s="99" t="s">
        <v>501</v>
      </c>
      <c r="D786" s="95" t="s">
        <v>787</v>
      </c>
      <c r="E786" s="95" t="s">
        <v>504</v>
      </c>
      <c r="F786" s="175">
        <v>59</v>
      </c>
      <c r="G786" s="190">
        <v>255</v>
      </c>
      <c r="H786" s="140">
        <v>1</v>
      </c>
      <c r="I786" s="170"/>
    </row>
    <row r="787" spans="1:9">
      <c r="A787" s="95" t="s">
        <v>211</v>
      </c>
      <c r="B787" s="188">
        <v>0</v>
      </c>
      <c r="C787" s="99" t="s">
        <v>673</v>
      </c>
      <c r="D787" s="95" t="s">
        <v>767</v>
      </c>
      <c r="E787" s="95" t="s">
        <v>504</v>
      </c>
      <c r="F787" s="175">
        <v>16</v>
      </c>
      <c r="G787" s="190">
        <v>255</v>
      </c>
      <c r="H787" s="140">
        <v>1</v>
      </c>
      <c r="I787" s="170"/>
    </row>
    <row r="788" spans="1:9">
      <c r="A788" s="95" t="s">
        <v>211</v>
      </c>
      <c r="B788" s="188">
        <v>0</v>
      </c>
      <c r="C788" s="99" t="s">
        <v>674</v>
      </c>
      <c r="D788" s="95" t="s">
        <v>788</v>
      </c>
      <c r="E788" s="95" t="s">
        <v>504</v>
      </c>
      <c r="F788" s="175">
        <v>16</v>
      </c>
      <c r="G788" s="190">
        <v>255</v>
      </c>
      <c r="H788" s="140">
        <v>1</v>
      </c>
      <c r="I788" s="170"/>
    </row>
    <row r="789" spans="1:9">
      <c r="A789" s="95" t="s">
        <v>211</v>
      </c>
      <c r="B789" s="188">
        <v>0</v>
      </c>
      <c r="C789" s="99" t="s">
        <v>505</v>
      </c>
      <c r="D789" s="95" t="s">
        <v>789</v>
      </c>
      <c r="E789" s="95" t="s">
        <v>262</v>
      </c>
      <c r="F789" s="175">
        <v>5</v>
      </c>
      <c r="G789" s="190">
        <v>255</v>
      </c>
      <c r="H789" s="140">
        <v>1</v>
      </c>
      <c r="I789" s="170"/>
    </row>
    <row r="790" spans="1:9">
      <c r="A790" s="95" t="s">
        <v>211</v>
      </c>
      <c r="B790" s="188">
        <v>0</v>
      </c>
      <c r="C790" s="99" t="s">
        <v>507</v>
      </c>
      <c r="D790" s="95" t="s">
        <v>790</v>
      </c>
      <c r="E790" s="95" t="s">
        <v>504</v>
      </c>
      <c r="F790" s="175">
        <v>79</v>
      </c>
      <c r="G790" s="190">
        <v>255</v>
      </c>
      <c r="H790" s="140">
        <v>1</v>
      </c>
      <c r="I790" s="170"/>
    </row>
    <row r="791" spans="1:9">
      <c r="A791" s="95" t="s">
        <v>211</v>
      </c>
      <c r="B791" s="188">
        <v>0</v>
      </c>
      <c r="C791" s="99" t="s">
        <v>509</v>
      </c>
      <c r="D791" s="95" t="s">
        <v>791</v>
      </c>
      <c r="E791" s="95" t="s">
        <v>251</v>
      </c>
      <c r="F791" s="175">
        <v>9</v>
      </c>
      <c r="G791" s="190">
        <v>104</v>
      </c>
      <c r="H791" s="140">
        <v>1</v>
      </c>
      <c r="I791" s="170"/>
    </row>
    <row r="792" spans="1:9">
      <c r="A792" s="95" t="s">
        <v>211</v>
      </c>
      <c r="B792" s="188">
        <v>0</v>
      </c>
      <c r="C792" s="99" t="s">
        <v>676</v>
      </c>
      <c r="D792" s="95" t="s">
        <v>792</v>
      </c>
      <c r="E792" s="95" t="s">
        <v>251</v>
      </c>
      <c r="F792" s="175">
        <v>9</v>
      </c>
      <c r="G792" s="190">
        <v>104</v>
      </c>
      <c r="H792" s="140">
        <v>1</v>
      </c>
      <c r="I792" s="170"/>
    </row>
    <row r="793" spans="1:9">
      <c r="A793" s="95" t="s">
        <v>211</v>
      </c>
      <c r="B793" s="188">
        <v>0</v>
      </c>
      <c r="C793" s="99" t="s">
        <v>511</v>
      </c>
      <c r="D793" s="95" t="s">
        <v>793</v>
      </c>
      <c r="E793" s="95" t="s">
        <v>504</v>
      </c>
      <c r="F793" s="175">
        <v>9</v>
      </c>
      <c r="G793" s="190">
        <v>104</v>
      </c>
      <c r="H793" s="140">
        <v>1</v>
      </c>
      <c r="I793" s="170"/>
    </row>
    <row r="794" spans="1:9">
      <c r="A794" s="95"/>
      <c r="B794" s="95"/>
      <c r="C794" s="99"/>
      <c r="D794" s="95"/>
      <c r="E794" s="95"/>
      <c r="F794" s="175"/>
      <c r="G794" s="190"/>
      <c r="H794" s="190"/>
      <c r="I794" s="172"/>
    </row>
    <row r="795" spans="1:9">
      <c r="A795" s="95" t="s">
        <v>212</v>
      </c>
      <c r="B795" s="188">
        <v>0</v>
      </c>
      <c r="C795" s="189">
        <v>1</v>
      </c>
      <c r="D795" s="198" t="s">
        <v>119</v>
      </c>
      <c r="E795" s="95" t="s">
        <v>262</v>
      </c>
      <c r="F795" s="174">
        <v>23.23</v>
      </c>
      <c r="G795" s="190">
        <v>52</v>
      </c>
      <c r="H795" s="140">
        <v>1</v>
      </c>
      <c r="I795" s="170"/>
    </row>
    <row r="796" spans="1:9">
      <c r="A796" s="95" t="s">
        <v>212</v>
      </c>
      <c r="B796" s="188">
        <v>0</v>
      </c>
      <c r="C796" s="189">
        <v>2</v>
      </c>
      <c r="D796" s="198" t="s">
        <v>318</v>
      </c>
      <c r="E796" s="95" t="s">
        <v>262</v>
      </c>
      <c r="F796" s="174">
        <v>1.52</v>
      </c>
      <c r="G796" s="190">
        <v>52</v>
      </c>
      <c r="H796" s="140">
        <v>1</v>
      </c>
      <c r="I796" s="170"/>
    </row>
    <row r="797" spans="1:9">
      <c r="A797" s="95" t="s">
        <v>212</v>
      </c>
      <c r="B797" s="188">
        <v>0</v>
      </c>
      <c r="C797" s="189">
        <v>3</v>
      </c>
      <c r="D797" s="198" t="s">
        <v>339</v>
      </c>
      <c r="E797" s="95" t="s">
        <v>262</v>
      </c>
      <c r="F797" s="174">
        <v>18.48</v>
      </c>
      <c r="G797" s="190">
        <v>52</v>
      </c>
      <c r="H797" s="140">
        <v>1</v>
      </c>
      <c r="I797" s="170"/>
    </row>
    <row r="798" spans="1:9">
      <c r="A798" s="95" t="s">
        <v>212</v>
      </c>
      <c r="B798" s="188">
        <v>0</v>
      </c>
      <c r="C798" s="189">
        <v>4</v>
      </c>
      <c r="D798" s="198" t="s">
        <v>291</v>
      </c>
      <c r="E798" s="95" t="s">
        <v>262</v>
      </c>
      <c r="F798" s="174">
        <v>31.1</v>
      </c>
      <c r="G798" s="190">
        <v>52</v>
      </c>
      <c r="H798" s="140">
        <v>1</v>
      </c>
      <c r="I798" s="170"/>
    </row>
    <row r="799" spans="1:9">
      <c r="A799" s="95" t="s">
        <v>212</v>
      </c>
      <c r="B799" s="188">
        <v>0</v>
      </c>
      <c r="C799" s="189">
        <v>5</v>
      </c>
      <c r="D799" s="95" t="s">
        <v>297</v>
      </c>
      <c r="E799" s="95" t="s">
        <v>262</v>
      </c>
      <c r="F799" s="174">
        <v>102.14</v>
      </c>
      <c r="G799" s="190">
        <v>12</v>
      </c>
      <c r="H799" s="140">
        <v>1</v>
      </c>
      <c r="I799" s="170"/>
    </row>
    <row r="800" spans="1:9">
      <c r="A800" s="95" t="s">
        <v>212</v>
      </c>
      <c r="B800" s="188">
        <v>0</v>
      </c>
      <c r="C800" s="189">
        <v>6</v>
      </c>
      <c r="D800" s="95" t="s">
        <v>551</v>
      </c>
      <c r="E800" s="95" t="s">
        <v>262</v>
      </c>
      <c r="F800" s="174">
        <v>14.5</v>
      </c>
      <c r="G800" s="190">
        <v>52</v>
      </c>
      <c r="H800" s="140">
        <v>1</v>
      </c>
      <c r="I800" s="170"/>
    </row>
    <row r="801" spans="1:9">
      <c r="A801" s="95" t="s">
        <v>212</v>
      </c>
      <c r="B801" s="188">
        <v>0</v>
      </c>
      <c r="C801" s="189">
        <v>7</v>
      </c>
      <c r="D801" s="95" t="s">
        <v>549</v>
      </c>
      <c r="E801" s="95" t="s">
        <v>262</v>
      </c>
      <c r="F801" s="174">
        <v>14.5</v>
      </c>
      <c r="G801" s="190">
        <v>52</v>
      </c>
      <c r="H801" s="140">
        <v>1</v>
      </c>
      <c r="I801" s="170"/>
    </row>
    <row r="802" spans="1:9">
      <c r="A802" s="95" t="s">
        <v>212</v>
      </c>
      <c r="B802" s="188">
        <v>0</v>
      </c>
      <c r="C802" s="189">
        <v>8</v>
      </c>
      <c r="D802" s="95" t="s">
        <v>433</v>
      </c>
      <c r="E802" s="95" t="s">
        <v>262</v>
      </c>
      <c r="F802" s="174">
        <v>36.840000000000003</v>
      </c>
      <c r="G802" s="190">
        <v>52</v>
      </c>
      <c r="H802" s="140">
        <v>1</v>
      </c>
      <c r="I802" s="170"/>
    </row>
    <row r="803" spans="1:9">
      <c r="A803" s="95" t="s">
        <v>212</v>
      </c>
      <c r="B803" s="188">
        <v>0</v>
      </c>
      <c r="C803" s="189">
        <v>9</v>
      </c>
      <c r="D803" s="95" t="s">
        <v>372</v>
      </c>
      <c r="E803" s="95" t="s">
        <v>262</v>
      </c>
      <c r="F803" s="174">
        <v>7.19</v>
      </c>
      <c r="G803" s="190">
        <v>52</v>
      </c>
      <c r="H803" s="140">
        <v>1</v>
      </c>
      <c r="I803" s="170"/>
    </row>
    <row r="804" spans="1:9">
      <c r="A804" s="95"/>
      <c r="B804" s="188"/>
      <c r="C804" s="189"/>
      <c r="D804" s="95"/>
      <c r="E804" s="95"/>
      <c r="F804" s="174"/>
      <c r="G804" s="190"/>
      <c r="H804" s="190"/>
      <c r="I804" s="172"/>
    </row>
    <row r="805" spans="1:9">
      <c r="A805" s="95" t="s">
        <v>213</v>
      </c>
      <c r="B805" s="188">
        <v>0</v>
      </c>
      <c r="C805" s="189">
        <v>6</v>
      </c>
      <c r="D805" s="198" t="s">
        <v>794</v>
      </c>
      <c r="E805" s="95" t="s">
        <v>262</v>
      </c>
      <c r="F805" s="174">
        <f>(2.9*0.9)</f>
        <v>2.61</v>
      </c>
      <c r="G805" s="190">
        <v>52</v>
      </c>
      <c r="H805" s="140">
        <v>1</v>
      </c>
      <c r="I805" s="170"/>
    </row>
    <row r="806" spans="1:9">
      <c r="A806" s="95" t="s">
        <v>213</v>
      </c>
      <c r="B806" s="188">
        <v>0</v>
      </c>
      <c r="C806" s="189">
        <v>3</v>
      </c>
      <c r="D806" s="198" t="s">
        <v>318</v>
      </c>
      <c r="E806" s="95" t="s">
        <v>262</v>
      </c>
      <c r="F806" s="174">
        <f>1.3*1</f>
        <v>1.3</v>
      </c>
      <c r="G806" s="190">
        <v>52</v>
      </c>
      <c r="H806" s="140">
        <v>1</v>
      </c>
      <c r="I806" s="170"/>
    </row>
    <row r="807" spans="1:9">
      <c r="A807" s="95" t="s">
        <v>213</v>
      </c>
      <c r="B807" s="188">
        <v>0</v>
      </c>
      <c r="C807" s="189">
        <v>4</v>
      </c>
      <c r="D807" s="198" t="s">
        <v>318</v>
      </c>
      <c r="E807" s="95" t="s">
        <v>262</v>
      </c>
      <c r="F807" s="174">
        <f>1.3*1</f>
        <v>1.3</v>
      </c>
      <c r="G807" s="190">
        <v>52</v>
      </c>
      <c r="H807" s="140">
        <v>1</v>
      </c>
      <c r="I807" s="170"/>
    </row>
    <row r="808" spans="1:9">
      <c r="A808" s="95" t="s">
        <v>213</v>
      </c>
      <c r="B808" s="188">
        <v>0</v>
      </c>
      <c r="C808" s="189">
        <v>5</v>
      </c>
      <c r="D808" s="198" t="s">
        <v>795</v>
      </c>
      <c r="E808" s="95" t="s">
        <v>262</v>
      </c>
      <c r="F808" s="174">
        <f>2*1.4</f>
        <v>2.8</v>
      </c>
      <c r="G808" s="190">
        <v>52</v>
      </c>
      <c r="H808" s="140">
        <v>1</v>
      </c>
      <c r="I808" s="170"/>
    </row>
    <row r="809" spans="1:9">
      <c r="A809" s="95" t="s">
        <v>213</v>
      </c>
      <c r="B809" s="188">
        <v>0</v>
      </c>
      <c r="C809" s="189">
        <v>7</v>
      </c>
      <c r="D809" s="95" t="s">
        <v>685</v>
      </c>
      <c r="E809" s="95" t="s">
        <v>262</v>
      </c>
      <c r="F809" s="174">
        <f>1.4*2.25</f>
        <v>3.15</v>
      </c>
      <c r="G809" s="190">
        <v>52</v>
      </c>
      <c r="H809" s="140">
        <v>1</v>
      </c>
      <c r="I809" s="170"/>
    </row>
    <row r="810" spans="1:9">
      <c r="A810" s="95" t="s">
        <v>213</v>
      </c>
      <c r="B810" s="188">
        <v>0</v>
      </c>
      <c r="C810" s="189">
        <v>8</v>
      </c>
      <c r="D810" s="95" t="s">
        <v>685</v>
      </c>
      <c r="E810" s="95" t="s">
        <v>262</v>
      </c>
      <c r="F810" s="174">
        <f>2.21*1.49</f>
        <v>3.2928999999999999</v>
      </c>
      <c r="G810" s="190">
        <v>52</v>
      </c>
      <c r="H810" s="140">
        <v>1</v>
      </c>
      <c r="I810" s="170"/>
    </row>
    <row r="811" spans="1:9">
      <c r="A811" s="95" t="s">
        <v>213</v>
      </c>
      <c r="B811" s="188">
        <v>0</v>
      </c>
      <c r="C811" s="189">
        <v>9</v>
      </c>
      <c r="D811" s="95" t="s">
        <v>313</v>
      </c>
      <c r="E811" s="95" t="s">
        <v>262</v>
      </c>
      <c r="F811" s="174">
        <f>4.4*5.05</f>
        <v>22.220000000000002</v>
      </c>
      <c r="G811" s="190">
        <v>52</v>
      </c>
      <c r="H811" s="140">
        <v>1</v>
      </c>
      <c r="I811" s="170"/>
    </row>
    <row r="812" spans="1:9">
      <c r="A812" s="95" t="s">
        <v>213</v>
      </c>
      <c r="B812" s="188">
        <v>0</v>
      </c>
      <c r="C812" s="189">
        <v>8</v>
      </c>
      <c r="D812" s="95" t="s">
        <v>796</v>
      </c>
      <c r="E812" s="95" t="s">
        <v>502</v>
      </c>
      <c r="F812" s="174">
        <f>(8.9*4.9)+(4.4*(12.7-4.9))</f>
        <v>77.930000000000007</v>
      </c>
      <c r="G812" s="190">
        <v>52</v>
      </c>
      <c r="H812" s="140">
        <v>1</v>
      </c>
      <c r="I812" s="170"/>
    </row>
    <row r="813" spans="1:9">
      <c r="A813" s="95" t="s">
        <v>213</v>
      </c>
      <c r="B813" s="188"/>
      <c r="C813" s="189" t="s">
        <v>547</v>
      </c>
      <c r="D813" s="95" t="s">
        <v>344</v>
      </c>
      <c r="E813" s="95" t="s">
        <v>797</v>
      </c>
      <c r="F813" s="174">
        <v>5.841533304498272</v>
      </c>
      <c r="G813" s="190">
        <v>52</v>
      </c>
      <c r="H813" s="140">
        <v>1</v>
      </c>
      <c r="I813" s="170"/>
    </row>
    <row r="814" spans="1:9">
      <c r="A814" s="95" t="s">
        <v>213</v>
      </c>
      <c r="B814" s="188"/>
      <c r="C814" s="189" t="s">
        <v>677</v>
      </c>
      <c r="D814" s="95" t="s">
        <v>339</v>
      </c>
      <c r="E814" s="95" t="s">
        <v>251</v>
      </c>
      <c r="F814" s="174">
        <f>4.9*3.35</f>
        <v>16.415000000000003</v>
      </c>
      <c r="G814" s="190">
        <v>52</v>
      </c>
      <c r="H814" s="140">
        <v>1</v>
      </c>
      <c r="I814" s="170"/>
    </row>
    <row r="815" spans="1:9">
      <c r="A815" s="95"/>
      <c r="B815" s="188"/>
      <c r="C815" s="189"/>
      <c r="D815" s="95"/>
      <c r="E815" s="95"/>
      <c r="F815" s="174"/>
      <c r="G815" s="190"/>
      <c r="H815" s="190"/>
      <c r="I815" s="172"/>
    </row>
    <row r="816" spans="1:9">
      <c r="A816" s="95" t="s">
        <v>214</v>
      </c>
      <c r="B816" s="188">
        <v>0</v>
      </c>
      <c r="C816" s="189">
        <v>1</v>
      </c>
      <c r="D816" s="198" t="s">
        <v>798</v>
      </c>
      <c r="E816" s="95" t="s">
        <v>262</v>
      </c>
      <c r="F816" s="174">
        <f>6.29*3.49</f>
        <v>21.952100000000002</v>
      </c>
      <c r="G816" s="190">
        <v>26</v>
      </c>
      <c r="H816" s="140">
        <v>1</v>
      </c>
      <c r="I816" s="170"/>
    </row>
    <row r="817" spans="1:9">
      <c r="A817" s="95" t="s">
        <v>214</v>
      </c>
      <c r="B817" s="188">
        <v>0</v>
      </c>
      <c r="C817" s="189">
        <v>2</v>
      </c>
      <c r="D817" s="198" t="s">
        <v>798</v>
      </c>
      <c r="E817" s="95" t="s">
        <v>262</v>
      </c>
      <c r="F817" s="174">
        <f>4.6*1.96</f>
        <v>9.016</v>
      </c>
      <c r="G817" s="190">
        <v>26</v>
      </c>
      <c r="H817" s="140">
        <v>1</v>
      </c>
      <c r="I817" s="170"/>
    </row>
    <row r="818" spans="1:9">
      <c r="A818" s="95" t="s">
        <v>214</v>
      </c>
      <c r="B818" s="188">
        <v>0</v>
      </c>
      <c r="C818" s="189">
        <v>3</v>
      </c>
      <c r="D818" s="198" t="s">
        <v>603</v>
      </c>
      <c r="E818" s="95" t="s">
        <v>262</v>
      </c>
      <c r="F818" s="174">
        <f>1.76*0.96</f>
        <v>1.6896</v>
      </c>
      <c r="G818" s="190">
        <v>26</v>
      </c>
      <c r="H818" s="140">
        <v>1</v>
      </c>
      <c r="I818" s="170"/>
    </row>
    <row r="819" spans="1:9">
      <c r="A819" s="95" t="s">
        <v>214</v>
      </c>
      <c r="B819" s="188">
        <v>0</v>
      </c>
      <c r="C819" s="189">
        <v>4</v>
      </c>
      <c r="D819" s="198" t="s">
        <v>590</v>
      </c>
      <c r="E819" s="95" t="s">
        <v>262</v>
      </c>
      <c r="F819" s="174">
        <f>2.09*1.1</f>
        <v>2.2989999999999999</v>
      </c>
      <c r="G819" s="190">
        <v>26</v>
      </c>
      <c r="H819" s="140">
        <v>1</v>
      </c>
      <c r="I819" s="170"/>
    </row>
    <row r="820" spans="1:9">
      <c r="A820" s="95" t="s">
        <v>214</v>
      </c>
      <c r="B820" s="188">
        <v>0</v>
      </c>
      <c r="C820" s="189">
        <v>5</v>
      </c>
      <c r="D820" s="95" t="s">
        <v>799</v>
      </c>
      <c r="E820" s="95" t="s">
        <v>262</v>
      </c>
      <c r="F820" s="174">
        <f>1.76*0.96</f>
        <v>1.6896</v>
      </c>
      <c r="G820" s="190">
        <v>26</v>
      </c>
      <c r="H820" s="140">
        <v>1</v>
      </c>
      <c r="I820" s="170"/>
    </row>
    <row r="821" spans="1:9">
      <c r="A821" s="95" t="s">
        <v>214</v>
      </c>
      <c r="B821" s="188">
        <v>0</v>
      </c>
      <c r="C821" s="189">
        <v>6</v>
      </c>
      <c r="D821" s="95" t="s">
        <v>318</v>
      </c>
      <c r="E821" s="95" t="s">
        <v>262</v>
      </c>
      <c r="F821" s="174">
        <f>0.96*1.17</f>
        <v>1.1232</v>
      </c>
      <c r="G821" s="190">
        <v>26</v>
      </c>
      <c r="H821" s="140">
        <v>1</v>
      </c>
      <c r="I821" s="170"/>
    </row>
    <row r="822" spans="1:9">
      <c r="A822" s="95" t="s">
        <v>214</v>
      </c>
      <c r="B822" s="188">
        <v>0</v>
      </c>
      <c r="C822" s="189">
        <v>7</v>
      </c>
      <c r="D822" s="95" t="s">
        <v>306</v>
      </c>
      <c r="E822" s="95" t="s">
        <v>262</v>
      </c>
      <c r="F822" s="174">
        <f>(3.1*2)+(2.21*1.94)</f>
        <v>10.487400000000001</v>
      </c>
      <c r="G822" s="190">
        <v>26</v>
      </c>
      <c r="H822" s="140">
        <v>1</v>
      </c>
      <c r="I822" s="170"/>
    </row>
    <row r="823" spans="1:9">
      <c r="A823" s="95" t="s">
        <v>214</v>
      </c>
      <c r="B823" s="188">
        <v>0</v>
      </c>
      <c r="C823" s="189">
        <v>8</v>
      </c>
      <c r="D823" s="95" t="s">
        <v>318</v>
      </c>
      <c r="E823" s="95" t="s">
        <v>262</v>
      </c>
      <c r="F823" s="174">
        <f>(0.81*1.27)</f>
        <v>1.0287000000000002</v>
      </c>
      <c r="G823" s="190">
        <v>26</v>
      </c>
      <c r="H823" s="140">
        <v>1</v>
      </c>
      <c r="I823" s="170"/>
    </row>
    <row r="824" spans="1:9">
      <c r="A824" s="95" t="s">
        <v>214</v>
      </c>
      <c r="B824" s="188">
        <v>1</v>
      </c>
      <c r="C824" s="189">
        <v>101</v>
      </c>
      <c r="D824" s="95" t="s">
        <v>344</v>
      </c>
      <c r="E824" s="95" t="s">
        <v>295</v>
      </c>
      <c r="F824" s="174">
        <f>1.19*3.85</f>
        <v>4.5815000000000001</v>
      </c>
      <c r="G824" s="190">
        <v>26</v>
      </c>
      <c r="H824" s="140">
        <v>1</v>
      </c>
      <c r="I824" s="170"/>
    </row>
    <row r="825" spans="1:9">
      <c r="A825" s="95" t="s">
        <v>214</v>
      </c>
      <c r="B825" s="188">
        <v>1</v>
      </c>
      <c r="C825" s="189">
        <v>102</v>
      </c>
      <c r="D825" s="95" t="s">
        <v>291</v>
      </c>
      <c r="E825" s="95" t="s">
        <v>504</v>
      </c>
      <c r="F825" s="174">
        <f>5.1*1.43</f>
        <v>7.2929999999999993</v>
      </c>
      <c r="G825" s="190">
        <v>26</v>
      </c>
      <c r="H825" s="140">
        <v>1</v>
      </c>
      <c r="I825" s="170"/>
    </row>
    <row r="826" spans="1:9">
      <c r="A826" s="95" t="s">
        <v>214</v>
      </c>
      <c r="B826" s="188">
        <v>1</v>
      </c>
      <c r="C826" s="189">
        <v>103</v>
      </c>
      <c r="D826" s="95" t="s">
        <v>297</v>
      </c>
      <c r="E826" s="95" t="s">
        <v>504</v>
      </c>
      <c r="F826" s="174">
        <f>(3.85*4.68)+(1.32*2.67)</f>
        <v>21.542400000000001</v>
      </c>
      <c r="G826" s="190">
        <v>26</v>
      </c>
      <c r="H826" s="140">
        <v>1</v>
      </c>
      <c r="I826" s="170"/>
    </row>
    <row r="827" spans="1:9">
      <c r="A827" s="95" t="s">
        <v>214</v>
      </c>
      <c r="B827" s="188">
        <v>1</v>
      </c>
      <c r="C827" s="189">
        <v>104</v>
      </c>
      <c r="D827" s="95" t="s">
        <v>354</v>
      </c>
      <c r="E827" s="95" t="s">
        <v>262</v>
      </c>
      <c r="F827" s="174">
        <f>2.46*1.58</f>
        <v>3.8868</v>
      </c>
      <c r="G827" s="190">
        <v>26</v>
      </c>
      <c r="H827" s="140">
        <v>1</v>
      </c>
      <c r="I827" s="170"/>
    </row>
    <row r="828" spans="1:9">
      <c r="A828" s="95" t="s">
        <v>214</v>
      </c>
      <c r="B828" s="188">
        <v>1</v>
      </c>
      <c r="C828" s="189">
        <v>105</v>
      </c>
      <c r="D828" s="95" t="s">
        <v>372</v>
      </c>
      <c r="E828" s="95" t="s">
        <v>262</v>
      </c>
      <c r="F828" s="174">
        <f>2.47*1.63</f>
        <v>4.0261000000000005</v>
      </c>
      <c r="G828" s="190">
        <v>26</v>
      </c>
      <c r="H828" s="140">
        <v>1</v>
      </c>
      <c r="I828" s="170"/>
    </row>
    <row r="829" spans="1:9">
      <c r="A829" s="95" t="s">
        <v>214</v>
      </c>
      <c r="B829" s="188">
        <v>1</v>
      </c>
      <c r="C829" s="189">
        <v>106</v>
      </c>
      <c r="D829" s="95" t="s">
        <v>433</v>
      </c>
      <c r="E829" s="95" t="s">
        <v>504</v>
      </c>
      <c r="F829" s="174">
        <f>(7.33*6.15)+(1.5*2.06)</f>
        <v>48.169499999999999</v>
      </c>
      <c r="G829" s="190">
        <v>26</v>
      </c>
      <c r="H829" s="140">
        <v>1</v>
      </c>
      <c r="I829" s="170"/>
    </row>
    <row r="830" spans="1:9">
      <c r="A830" s="95"/>
      <c r="B830" s="188"/>
      <c r="C830" s="189"/>
      <c r="D830" s="95"/>
      <c r="E830" s="95"/>
      <c r="F830" s="174"/>
      <c r="G830" s="190"/>
      <c r="H830" s="190"/>
      <c r="I830" s="172"/>
    </row>
    <row r="831" spans="1:9">
      <c r="A831" s="95" t="s">
        <v>215</v>
      </c>
      <c r="B831" s="188">
        <v>0</v>
      </c>
      <c r="C831" s="189">
        <v>1</v>
      </c>
      <c r="D831" s="198" t="s">
        <v>119</v>
      </c>
      <c r="E831" s="95" t="s">
        <v>245</v>
      </c>
      <c r="F831" s="174">
        <f>2.98*1.96</f>
        <v>5.8407999999999998</v>
      </c>
      <c r="G831" s="190">
        <v>52</v>
      </c>
      <c r="H831" s="140">
        <v>1</v>
      </c>
      <c r="I831" s="170"/>
    </row>
    <row r="832" spans="1:9">
      <c r="A832" s="95" t="s">
        <v>215</v>
      </c>
      <c r="B832" s="188">
        <v>0</v>
      </c>
      <c r="C832" s="189">
        <v>2</v>
      </c>
      <c r="D832" s="198" t="s">
        <v>433</v>
      </c>
      <c r="E832" s="95" t="s">
        <v>504</v>
      </c>
      <c r="F832" s="174">
        <f>(7.18*6.51)+(3.62*2.1)</f>
        <v>54.343800000000002</v>
      </c>
      <c r="G832" s="190">
        <v>52</v>
      </c>
      <c r="H832" s="140">
        <v>1</v>
      </c>
      <c r="I832" s="170"/>
    </row>
    <row r="833" spans="1:9">
      <c r="A833" s="95" t="s">
        <v>215</v>
      </c>
      <c r="B833" s="188">
        <v>0</v>
      </c>
      <c r="C833" s="189">
        <v>3</v>
      </c>
      <c r="D833" s="198" t="s">
        <v>339</v>
      </c>
      <c r="E833" s="95" t="s">
        <v>504</v>
      </c>
      <c r="F833" s="174">
        <f>4.5*5.05</f>
        <v>22.724999999999998</v>
      </c>
      <c r="G833" s="190">
        <v>52</v>
      </c>
      <c r="H833" s="140">
        <v>1</v>
      </c>
      <c r="I833" s="170"/>
    </row>
    <row r="834" spans="1:9">
      <c r="A834" s="95" t="s">
        <v>215</v>
      </c>
      <c r="B834" s="188">
        <v>0</v>
      </c>
      <c r="C834" s="189">
        <v>4</v>
      </c>
      <c r="D834" s="198" t="s">
        <v>297</v>
      </c>
      <c r="E834" s="95" t="s">
        <v>504</v>
      </c>
      <c r="F834" s="174">
        <f>4.49*9.26</f>
        <v>41.577400000000004</v>
      </c>
      <c r="G834" s="190">
        <v>52</v>
      </c>
      <c r="H834" s="140">
        <v>1</v>
      </c>
      <c r="I834" s="170"/>
    </row>
    <row r="835" spans="1:9">
      <c r="A835" s="95" t="s">
        <v>215</v>
      </c>
      <c r="B835" s="188">
        <v>0</v>
      </c>
      <c r="C835" s="189">
        <v>5</v>
      </c>
      <c r="D835" s="95" t="s">
        <v>794</v>
      </c>
      <c r="E835" s="95" t="s">
        <v>262</v>
      </c>
      <c r="F835" s="174">
        <f>1.96*1.59</f>
        <v>3.1164000000000001</v>
      </c>
      <c r="G835" s="190">
        <v>52</v>
      </c>
      <c r="H835" s="140">
        <v>1</v>
      </c>
      <c r="I835" s="170"/>
    </row>
    <row r="836" spans="1:9">
      <c r="A836" s="95" t="s">
        <v>215</v>
      </c>
      <c r="B836" s="188">
        <v>0</v>
      </c>
      <c r="C836" s="189">
        <v>6</v>
      </c>
      <c r="D836" s="95" t="s">
        <v>318</v>
      </c>
      <c r="E836" s="95" t="s">
        <v>262</v>
      </c>
      <c r="F836" s="174">
        <f>1.53*0.95</f>
        <v>1.4535</v>
      </c>
      <c r="G836" s="190">
        <v>52</v>
      </c>
      <c r="H836" s="140">
        <v>1</v>
      </c>
      <c r="I836" s="170"/>
    </row>
    <row r="837" spans="1:9">
      <c r="A837" s="95" t="s">
        <v>215</v>
      </c>
      <c r="B837" s="188">
        <v>0</v>
      </c>
      <c r="C837" s="189">
        <v>7</v>
      </c>
      <c r="D837" s="95" t="s">
        <v>603</v>
      </c>
      <c r="E837" s="95" t="s">
        <v>262</v>
      </c>
      <c r="F837" s="174">
        <f>(0.89*1.03)+(2.49*0.95)</f>
        <v>3.2822</v>
      </c>
      <c r="G837" s="190">
        <v>52</v>
      </c>
      <c r="H837" s="140">
        <v>1</v>
      </c>
      <c r="I837" s="170"/>
    </row>
    <row r="838" spans="1:9">
      <c r="A838" s="95" t="s">
        <v>215</v>
      </c>
      <c r="B838" s="188">
        <v>0</v>
      </c>
      <c r="C838" s="189">
        <v>8</v>
      </c>
      <c r="D838" s="95" t="s">
        <v>318</v>
      </c>
      <c r="E838" s="95" t="s">
        <v>262</v>
      </c>
      <c r="F838" s="174">
        <f>1.7*1.11</f>
        <v>1.887</v>
      </c>
      <c r="G838" s="190">
        <v>52</v>
      </c>
      <c r="H838" s="140">
        <v>1</v>
      </c>
      <c r="I838" s="170"/>
    </row>
    <row r="839" spans="1:9">
      <c r="A839" s="95" t="s">
        <v>215</v>
      </c>
      <c r="B839" s="188">
        <v>0</v>
      </c>
      <c r="C839" s="189">
        <v>9</v>
      </c>
      <c r="D839" s="95" t="s">
        <v>313</v>
      </c>
      <c r="E839" s="95" t="s">
        <v>262</v>
      </c>
      <c r="F839" s="174">
        <f>(7.15*3.98)+(2.38*3.69)+(1.23*2.32)</f>
        <v>40.092799999999997</v>
      </c>
      <c r="G839" s="190">
        <v>52</v>
      </c>
      <c r="H839" s="140">
        <v>1</v>
      </c>
      <c r="I839" s="170"/>
    </row>
    <row r="840" spans="1:9">
      <c r="A840" s="95" t="s">
        <v>215</v>
      </c>
      <c r="B840" s="188">
        <v>0</v>
      </c>
      <c r="C840" s="189">
        <v>10</v>
      </c>
      <c r="D840" s="95" t="s">
        <v>318</v>
      </c>
      <c r="E840" s="95" t="s">
        <v>262</v>
      </c>
      <c r="F840" s="174">
        <f>1.57*1.13</f>
        <v>1.7741</v>
      </c>
      <c r="G840" s="190">
        <v>52</v>
      </c>
      <c r="H840" s="140">
        <v>1</v>
      </c>
      <c r="I840" s="170"/>
    </row>
    <row r="841" spans="1:9">
      <c r="A841" s="95" t="s">
        <v>215</v>
      </c>
      <c r="B841" s="188">
        <v>0</v>
      </c>
      <c r="C841" s="189">
        <v>11</v>
      </c>
      <c r="D841" s="95" t="s">
        <v>603</v>
      </c>
      <c r="E841" s="95" t="s">
        <v>262</v>
      </c>
      <c r="F841" s="174">
        <f>(2.19*1.12)*2</f>
        <v>4.9056000000000006</v>
      </c>
      <c r="G841" s="190">
        <v>52</v>
      </c>
      <c r="H841" s="140">
        <v>1</v>
      </c>
      <c r="I841" s="170"/>
    </row>
    <row r="842" spans="1:9">
      <c r="A842" s="95"/>
      <c r="B842" s="188"/>
      <c r="C842" s="189"/>
      <c r="D842" s="95"/>
      <c r="E842" s="95"/>
      <c r="F842" s="174"/>
      <c r="G842" s="190"/>
      <c r="H842" s="190"/>
      <c r="I842" s="172"/>
    </row>
    <row r="843" spans="1:9">
      <c r="A843" s="95" t="s">
        <v>216</v>
      </c>
      <c r="B843" s="188">
        <v>0</v>
      </c>
      <c r="C843" s="189">
        <v>1</v>
      </c>
      <c r="D843" s="198" t="s">
        <v>313</v>
      </c>
      <c r="E843" s="95" t="s">
        <v>262</v>
      </c>
      <c r="F843" s="174">
        <f>3.3*2.2</f>
        <v>7.26</v>
      </c>
      <c r="G843" s="190">
        <v>52</v>
      </c>
      <c r="H843" s="140">
        <v>1</v>
      </c>
      <c r="I843" s="170"/>
    </row>
    <row r="844" spans="1:9">
      <c r="A844" s="95" t="s">
        <v>216</v>
      </c>
      <c r="B844" s="188">
        <v>0</v>
      </c>
      <c r="C844" s="189">
        <v>2</v>
      </c>
      <c r="D844" s="198" t="s">
        <v>603</v>
      </c>
      <c r="E844" s="95" t="s">
        <v>262</v>
      </c>
      <c r="F844" s="174">
        <f>(3.9*3.3)+(3.5*1.48)</f>
        <v>18.049999999999997</v>
      </c>
      <c r="G844" s="190">
        <v>52</v>
      </c>
      <c r="H844" s="140">
        <v>1</v>
      </c>
      <c r="I844" s="170"/>
    </row>
    <row r="845" spans="1:9">
      <c r="A845" s="95" t="s">
        <v>216</v>
      </c>
      <c r="B845" s="188">
        <v>0</v>
      </c>
      <c r="C845" s="189">
        <v>3</v>
      </c>
      <c r="D845" s="198" t="s">
        <v>318</v>
      </c>
      <c r="E845" s="95" t="s">
        <v>262</v>
      </c>
      <c r="F845" s="174">
        <f>(1.97*2.34)</f>
        <v>4.6097999999999999</v>
      </c>
      <c r="G845" s="190">
        <v>52</v>
      </c>
      <c r="H845" s="140">
        <v>1</v>
      </c>
      <c r="I845" s="170"/>
    </row>
    <row r="846" spans="1:9">
      <c r="A846" s="95" t="s">
        <v>216</v>
      </c>
      <c r="B846" s="188">
        <v>0</v>
      </c>
      <c r="C846" s="189">
        <v>4</v>
      </c>
      <c r="D846" s="198" t="s">
        <v>318</v>
      </c>
      <c r="E846" s="95" t="s">
        <v>262</v>
      </c>
      <c r="F846" s="174">
        <f>2.33*1.3</f>
        <v>3.0290000000000004</v>
      </c>
      <c r="G846" s="190">
        <v>52</v>
      </c>
      <c r="H846" s="140">
        <v>1</v>
      </c>
      <c r="I846" s="170"/>
    </row>
    <row r="847" spans="1:9">
      <c r="A847" s="95" t="s">
        <v>216</v>
      </c>
      <c r="B847" s="188">
        <v>0</v>
      </c>
      <c r="C847" s="189">
        <v>5</v>
      </c>
      <c r="D847" s="95" t="s">
        <v>603</v>
      </c>
      <c r="E847" s="95" t="s">
        <v>262</v>
      </c>
      <c r="F847" s="174">
        <f>3.97*6.3</f>
        <v>25.010999999999999</v>
      </c>
      <c r="G847" s="190">
        <v>52</v>
      </c>
      <c r="H847" s="140">
        <v>1</v>
      </c>
      <c r="I847" s="170"/>
    </row>
    <row r="848" spans="1:9">
      <c r="A848" s="95" t="s">
        <v>216</v>
      </c>
      <c r="B848" s="188">
        <v>0</v>
      </c>
      <c r="C848" s="189">
        <v>6</v>
      </c>
      <c r="D848" s="95" t="s">
        <v>738</v>
      </c>
      <c r="E848" s="95" t="s">
        <v>502</v>
      </c>
      <c r="F848" s="174">
        <f>5.06*3.6</f>
        <v>18.215999999999998</v>
      </c>
      <c r="G848" s="190">
        <v>52</v>
      </c>
      <c r="H848" s="140">
        <v>1</v>
      </c>
      <c r="I848" s="170"/>
    </row>
    <row r="849" spans="1:9">
      <c r="A849" s="95" t="s">
        <v>216</v>
      </c>
      <c r="B849" s="188">
        <v>0</v>
      </c>
      <c r="C849" s="189">
        <v>7</v>
      </c>
      <c r="D849" s="95" t="s">
        <v>339</v>
      </c>
      <c r="E849" s="95" t="s">
        <v>502</v>
      </c>
      <c r="F849" s="174">
        <f>3.18*3.85</f>
        <v>12.243</v>
      </c>
      <c r="G849" s="190">
        <v>52</v>
      </c>
      <c r="H849" s="140">
        <v>1</v>
      </c>
      <c r="I849" s="170"/>
    </row>
    <row r="850" spans="1:9">
      <c r="A850" s="95"/>
      <c r="B850" s="188"/>
      <c r="C850" s="189"/>
      <c r="D850" s="95"/>
      <c r="E850" s="95"/>
      <c r="F850" s="174"/>
      <c r="G850" s="190"/>
      <c r="H850" s="190"/>
      <c r="I850" s="172"/>
    </row>
    <row r="851" spans="1:9">
      <c r="A851" s="95" t="s">
        <v>217</v>
      </c>
      <c r="B851" s="188">
        <v>1</v>
      </c>
      <c r="C851" s="189">
        <v>1</v>
      </c>
      <c r="D851" s="198" t="s">
        <v>318</v>
      </c>
      <c r="E851" s="95" t="s">
        <v>262</v>
      </c>
      <c r="F851" s="174">
        <v>2.5304009999999999</v>
      </c>
      <c r="G851" s="190">
        <v>104</v>
      </c>
      <c r="H851" s="140">
        <v>1</v>
      </c>
      <c r="I851" s="170"/>
    </row>
    <row r="852" spans="1:9">
      <c r="A852" s="95" t="s">
        <v>217</v>
      </c>
      <c r="B852" s="188">
        <v>1</v>
      </c>
      <c r="C852" s="189">
        <v>2</v>
      </c>
      <c r="D852" s="198" t="s">
        <v>377</v>
      </c>
      <c r="E852" s="95" t="s">
        <v>502</v>
      </c>
      <c r="F852" s="174">
        <v>6.7313679999999998</v>
      </c>
      <c r="G852" s="190">
        <v>104</v>
      </c>
      <c r="H852" s="140">
        <v>1</v>
      </c>
      <c r="I852" s="170"/>
    </row>
    <row r="853" spans="1:9">
      <c r="A853" s="95" t="s">
        <v>217</v>
      </c>
      <c r="B853" s="188">
        <v>1</v>
      </c>
      <c r="C853" s="189">
        <v>3</v>
      </c>
      <c r="D853" s="198" t="s">
        <v>766</v>
      </c>
      <c r="E853" s="95" t="s">
        <v>502</v>
      </c>
      <c r="F853" s="174">
        <v>33.175545000000007</v>
      </c>
      <c r="G853" s="190">
        <v>104</v>
      </c>
      <c r="H853" s="140">
        <v>1</v>
      </c>
      <c r="I853" s="170"/>
    </row>
    <row r="854" spans="1:9">
      <c r="A854" s="95" t="s">
        <v>217</v>
      </c>
      <c r="B854" s="188">
        <v>1</v>
      </c>
      <c r="C854" s="189">
        <v>4</v>
      </c>
      <c r="D854" s="198" t="s">
        <v>766</v>
      </c>
      <c r="E854" s="95" t="s">
        <v>502</v>
      </c>
      <c r="F854" s="174">
        <v>17.449568000000003</v>
      </c>
      <c r="G854" s="190">
        <v>104</v>
      </c>
      <c r="H854" s="140">
        <v>1</v>
      </c>
      <c r="I854" s="170"/>
    </row>
    <row r="855" spans="1:9">
      <c r="A855" s="95" t="s">
        <v>217</v>
      </c>
      <c r="B855" s="188">
        <v>1</v>
      </c>
      <c r="C855" s="189">
        <v>5</v>
      </c>
      <c r="D855" s="95" t="s">
        <v>766</v>
      </c>
      <c r="E855" s="95" t="s">
        <v>502</v>
      </c>
      <c r="F855" s="174">
        <v>18.493772999999997</v>
      </c>
      <c r="G855" s="190">
        <v>104</v>
      </c>
      <c r="H855" s="140">
        <v>1</v>
      </c>
      <c r="I855" s="170"/>
    </row>
    <row r="856" spans="1:9">
      <c r="A856" s="95"/>
      <c r="B856" s="188"/>
      <c r="C856" s="189"/>
      <c r="D856" s="95"/>
      <c r="E856" s="95"/>
      <c r="F856" s="174"/>
      <c r="G856" s="190"/>
      <c r="H856" s="190"/>
      <c r="I856" s="172"/>
    </row>
    <row r="857" spans="1:9">
      <c r="A857" s="95" t="s">
        <v>800</v>
      </c>
      <c r="B857" s="188">
        <v>0</v>
      </c>
      <c r="C857" s="189">
        <v>1</v>
      </c>
      <c r="D857" s="198" t="s">
        <v>306</v>
      </c>
      <c r="E857" s="95" t="s">
        <v>251</v>
      </c>
      <c r="F857" s="174">
        <f>3.149*3.664</f>
        <v>11.537936</v>
      </c>
      <c r="G857" s="190">
        <v>208</v>
      </c>
      <c r="H857" s="140">
        <v>1</v>
      </c>
      <c r="I857" s="170"/>
    </row>
    <row r="858" spans="1:9">
      <c r="A858" s="95" t="s">
        <v>800</v>
      </c>
      <c r="B858" s="188">
        <v>0</v>
      </c>
      <c r="C858" s="189">
        <v>2</v>
      </c>
      <c r="D858" s="198" t="s">
        <v>292</v>
      </c>
      <c r="E858" s="95" t="s">
        <v>504</v>
      </c>
      <c r="F858" s="174">
        <f>(3.085*3.904)+(9.466*4.697)</f>
        <v>56.505641999999995</v>
      </c>
      <c r="G858" s="190">
        <v>208</v>
      </c>
      <c r="H858" s="140">
        <v>1</v>
      </c>
      <c r="I858" s="170"/>
    </row>
    <row r="859" spans="1:9">
      <c r="A859" s="95" t="s">
        <v>800</v>
      </c>
      <c r="B859" s="188">
        <v>0</v>
      </c>
      <c r="C859" s="189">
        <v>3</v>
      </c>
      <c r="D859" s="198" t="s">
        <v>775</v>
      </c>
      <c r="E859" s="95" t="s">
        <v>504</v>
      </c>
      <c r="F859" s="174">
        <f>(7.493*6.663)+(1.362*3.854)</f>
        <v>55.175007000000001</v>
      </c>
      <c r="G859" s="190">
        <v>208</v>
      </c>
      <c r="H859" s="140">
        <v>1</v>
      </c>
      <c r="I859" s="170"/>
    </row>
    <row r="860" spans="1:9">
      <c r="A860" s="95" t="s">
        <v>800</v>
      </c>
      <c r="B860" s="188">
        <v>0</v>
      </c>
      <c r="C860" s="189">
        <v>4</v>
      </c>
      <c r="D860" s="198" t="s">
        <v>318</v>
      </c>
      <c r="E860" s="95" t="s">
        <v>262</v>
      </c>
      <c r="F860" s="174">
        <f>1.208*2.486</f>
        <v>3.003088</v>
      </c>
      <c r="G860" s="190">
        <v>208</v>
      </c>
      <c r="H860" s="140">
        <v>1</v>
      </c>
      <c r="I860" s="170"/>
    </row>
    <row r="861" spans="1:9">
      <c r="A861" s="95" t="s">
        <v>800</v>
      </c>
      <c r="B861" s="188">
        <v>0</v>
      </c>
      <c r="C861" s="189">
        <v>5</v>
      </c>
      <c r="D861" s="95" t="s">
        <v>801</v>
      </c>
      <c r="E861" s="95" t="s">
        <v>504</v>
      </c>
      <c r="F861" s="174">
        <f>3.277*4.886</f>
        <v>16.011422</v>
      </c>
      <c r="G861" s="190">
        <v>208</v>
      </c>
      <c r="H861" s="140">
        <v>1</v>
      </c>
      <c r="I861" s="170"/>
    </row>
    <row r="862" spans="1:9">
      <c r="A862" s="95" t="s">
        <v>800</v>
      </c>
      <c r="B862" s="188">
        <v>0</v>
      </c>
      <c r="C862" s="189">
        <v>6</v>
      </c>
      <c r="D862" s="198" t="s">
        <v>801</v>
      </c>
      <c r="E862" s="95" t="s">
        <v>504</v>
      </c>
      <c r="F862" s="174">
        <f>2.968*7.668</f>
        <v>22.758624000000001</v>
      </c>
      <c r="G862" s="190">
        <v>208</v>
      </c>
      <c r="H862" s="140">
        <v>1</v>
      </c>
      <c r="I862" s="170"/>
    </row>
    <row r="863" spans="1:9">
      <c r="A863" s="95" t="s">
        <v>800</v>
      </c>
      <c r="B863" s="188">
        <v>0</v>
      </c>
      <c r="C863" s="189">
        <v>7</v>
      </c>
      <c r="D863" s="198" t="s">
        <v>801</v>
      </c>
      <c r="E863" s="95" t="s">
        <v>504</v>
      </c>
      <c r="F863" s="174">
        <f>3.253*4.833</f>
        <v>15.721749000000001</v>
      </c>
      <c r="G863" s="190">
        <v>208</v>
      </c>
      <c r="H863" s="140">
        <v>1</v>
      </c>
      <c r="I863" s="170"/>
    </row>
    <row r="864" spans="1:9">
      <c r="A864" s="95" t="s">
        <v>800</v>
      </c>
      <c r="B864" s="188">
        <v>0</v>
      </c>
      <c r="C864" s="189">
        <v>8</v>
      </c>
      <c r="D864" s="198" t="s">
        <v>339</v>
      </c>
      <c r="E864" s="95" t="s">
        <v>504</v>
      </c>
      <c r="F864" s="174">
        <f>(5.781*4.244)+(2.259*1.058)</f>
        <v>26.924585999999998</v>
      </c>
      <c r="G864" s="190">
        <v>104</v>
      </c>
      <c r="H864" s="140">
        <v>1</v>
      </c>
      <c r="I864" s="170"/>
    </row>
    <row r="865" spans="1:9">
      <c r="A865" s="95" t="s">
        <v>800</v>
      </c>
      <c r="B865" s="188">
        <v>0</v>
      </c>
      <c r="C865" s="189">
        <v>9</v>
      </c>
      <c r="D865" s="198" t="s">
        <v>526</v>
      </c>
      <c r="E865" s="95" t="s">
        <v>262</v>
      </c>
      <c r="F865" s="174">
        <f>1.779*2.633</f>
        <v>4.684107</v>
      </c>
      <c r="G865" s="190">
        <v>208</v>
      </c>
      <c r="H865" s="140">
        <v>1</v>
      </c>
      <c r="I865" s="170"/>
    </row>
    <row r="866" spans="1:9">
      <c r="A866" s="95" t="s">
        <v>800</v>
      </c>
      <c r="B866" s="188">
        <v>0</v>
      </c>
      <c r="C866" s="189">
        <v>10</v>
      </c>
      <c r="D866" s="95" t="s">
        <v>518</v>
      </c>
      <c r="E866" s="95" t="s">
        <v>262</v>
      </c>
      <c r="F866" s="174">
        <f>1.779*2.633</f>
        <v>4.684107</v>
      </c>
      <c r="G866" s="190">
        <v>208</v>
      </c>
      <c r="H866" s="140">
        <v>1</v>
      </c>
      <c r="I866" s="170"/>
    </row>
    <row r="867" spans="1:9">
      <c r="A867" s="95" t="s">
        <v>800</v>
      </c>
      <c r="B867" s="188">
        <v>0</v>
      </c>
      <c r="C867" s="189">
        <v>11</v>
      </c>
      <c r="D867" s="95" t="s">
        <v>377</v>
      </c>
      <c r="E867" s="95" t="s">
        <v>504</v>
      </c>
      <c r="F867" s="174">
        <f>2.68*2.081</f>
        <v>5.5770800000000005</v>
      </c>
      <c r="G867" s="190">
        <v>208</v>
      </c>
      <c r="H867" s="140">
        <v>1</v>
      </c>
      <c r="I867" s="170"/>
    </row>
    <row r="868" spans="1:9">
      <c r="A868" s="95"/>
      <c r="B868" s="188"/>
      <c r="C868" s="189"/>
      <c r="D868" s="95"/>
      <c r="E868" s="95"/>
      <c r="F868" s="174"/>
      <c r="G868" s="190"/>
      <c r="H868" s="190"/>
      <c r="I868" s="172"/>
    </row>
    <row r="869" spans="1:9">
      <c r="A869" s="95" t="s">
        <v>218</v>
      </c>
      <c r="B869" s="188">
        <v>0</v>
      </c>
      <c r="C869" s="189">
        <v>1</v>
      </c>
      <c r="D869" s="198" t="s">
        <v>291</v>
      </c>
      <c r="E869" s="95" t="s">
        <v>262</v>
      </c>
      <c r="F869" s="174">
        <v>20.930085000000005</v>
      </c>
      <c r="G869" s="190">
        <v>52</v>
      </c>
      <c r="H869" s="140">
        <v>1</v>
      </c>
      <c r="I869" s="170"/>
    </row>
    <row r="870" spans="1:9">
      <c r="A870" s="95" t="s">
        <v>218</v>
      </c>
      <c r="B870" s="188">
        <v>0</v>
      </c>
      <c r="C870" s="189">
        <v>2</v>
      </c>
      <c r="D870" s="198" t="s">
        <v>799</v>
      </c>
      <c r="E870" s="95" t="s">
        <v>262</v>
      </c>
      <c r="F870" s="174">
        <v>4.78104</v>
      </c>
      <c r="G870" s="190">
        <v>52</v>
      </c>
      <c r="H870" s="140">
        <v>1</v>
      </c>
      <c r="I870" s="170"/>
    </row>
    <row r="871" spans="1:9">
      <c r="A871" s="95" t="s">
        <v>218</v>
      </c>
      <c r="B871" s="188">
        <v>0</v>
      </c>
      <c r="C871" s="189">
        <v>3</v>
      </c>
      <c r="D871" s="198" t="s">
        <v>318</v>
      </c>
      <c r="E871" s="95" t="s">
        <v>262</v>
      </c>
      <c r="F871" s="174">
        <v>0.78539999999999999</v>
      </c>
      <c r="G871" s="190">
        <v>52</v>
      </c>
      <c r="H871" s="140">
        <v>1</v>
      </c>
      <c r="I871" s="170"/>
    </row>
    <row r="872" spans="1:9">
      <c r="A872" s="95" t="s">
        <v>218</v>
      </c>
      <c r="B872" s="188">
        <v>0</v>
      </c>
      <c r="C872" s="189">
        <v>4</v>
      </c>
      <c r="D872" s="198" t="s">
        <v>318</v>
      </c>
      <c r="E872" s="95" t="s">
        <v>262</v>
      </c>
      <c r="F872" s="174">
        <v>0.78539999999999999</v>
      </c>
      <c r="G872" s="190">
        <v>52</v>
      </c>
      <c r="H872" s="140">
        <v>1</v>
      </c>
      <c r="I872" s="170"/>
    </row>
    <row r="873" spans="1:9">
      <c r="A873" s="95" t="s">
        <v>218</v>
      </c>
      <c r="B873" s="188">
        <v>0</v>
      </c>
      <c r="C873" s="189">
        <v>5</v>
      </c>
      <c r="D873" s="95" t="s">
        <v>802</v>
      </c>
      <c r="E873" s="95" t="s">
        <v>262</v>
      </c>
      <c r="F873" s="174">
        <v>29.244649999999996</v>
      </c>
      <c r="G873" s="190">
        <v>52</v>
      </c>
      <c r="H873" s="140">
        <v>1</v>
      </c>
      <c r="I873" s="170"/>
    </row>
    <row r="874" spans="1:9">
      <c r="A874" s="95" t="s">
        <v>218</v>
      </c>
      <c r="B874" s="188">
        <v>0</v>
      </c>
      <c r="C874" s="189">
        <v>6</v>
      </c>
      <c r="D874" s="198" t="s">
        <v>372</v>
      </c>
      <c r="E874" s="95" t="s">
        <v>262</v>
      </c>
      <c r="F874" s="174">
        <v>4.80844</v>
      </c>
      <c r="G874" s="190">
        <v>52</v>
      </c>
      <c r="H874" s="140">
        <v>1</v>
      </c>
      <c r="I874" s="170"/>
    </row>
    <row r="875" spans="1:9">
      <c r="A875" s="37"/>
      <c r="B875" s="37"/>
      <c r="C875" s="37"/>
      <c r="D875" s="37"/>
      <c r="E875" s="37"/>
      <c r="F875" s="199"/>
      <c r="G875" s="197"/>
      <c r="H875" s="197"/>
      <c r="I875" s="170"/>
    </row>
    <row r="876" spans="1:9">
      <c r="A876" s="95" t="s">
        <v>803</v>
      </c>
      <c r="B876" s="188">
        <v>0</v>
      </c>
      <c r="C876" s="189">
        <v>1</v>
      </c>
      <c r="D876" s="95" t="s">
        <v>606</v>
      </c>
      <c r="E876" s="95" t="s">
        <v>481</v>
      </c>
      <c r="F876" s="174">
        <v>22.350000381469727</v>
      </c>
      <c r="G876" s="190">
        <v>255</v>
      </c>
      <c r="H876" s="140">
        <v>1</v>
      </c>
      <c r="I876" s="170"/>
    </row>
    <row r="877" spans="1:9">
      <c r="A877" s="95" t="s">
        <v>803</v>
      </c>
      <c r="B877" s="200">
        <v>0</v>
      </c>
      <c r="C877" s="189">
        <v>2</v>
      </c>
      <c r="D877" s="95" t="s">
        <v>298</v>
      </c>
      <c r="E877" s="95" t="s">
        <v>740</v>
      </c>
      <c r="F877" s="174">
        <v>1</v>
      </c>
      <c r="G877" s="190">
        <v>255</v>
      </c>
      <c r="H877" s="140">
        <v>1</v>
      </c>
      <c r="I877" s="170"/>
    </row>
    <row r="878" spans="1:9">
      <c r="A878" s="95" t="s">
        <v>803</v>
      </c>
      <c r="B878" s="200">
        <v>0</v>
      </c>
      <c r="C878" s="189">
        <v>3</v>
      </c>
      <c r="D878" s="95" t="s">
        <v>256</v>
      </c>
      <c r="E878" s="95" t="s">
        <v>740</v>
      </c>
      <c r="F878" s="174">
        <v>2</v>
      </c>
      <c r="G878" s="190">
        <v>255</v>
      </c>
      <c r="H878" s="140">
        <v>1</v>
      </c>
      <c r="I878" s="170"/>
    </row>
    <row r="879" spans="1:9">
      <c r="A879" s="197"/>
      <c r="B879" s="197"/>
      <c r="C879" s="197"/>
      <c r="D879" s="197"/>
      <c r="E879" s="197"/>
      <c r="F879" s="197"/>
      <c r="G879" s="197"/>
      <c r="H879" s="197"/>
      <c r="I879" s="170"/>
    </row>
    <row r="880" spans="1:9">
      <c r="A880" s="95" t="s">
        <v>219</v>
      </c>
      <c r="B880" s="188">
        <v>0</v>
      </c>
      <c r="C880" s="189">
        <v>1</v>
      </c>
      <c r="D880" s="198" t="s">
        <v>304</v>
      </c>
      <c r="E880" s="95" t="s">
        <v>251</v>
      </c>
      <c r="F880" s="174">
        <f>2.205*2.71</f>
        <v>5.9755500000000001</v>
      </c>
      <c r="G880" s="190">
        <v>255</v>
      </c>
      <c r="H880" s="140">
        <v>1</v>
      </c>
      <c r="I880" s="170"/>
    </row>
    <row r="881" spans="1:9">
      <c r="A881" s="95" t="s">
        <v>219</v>
      </c>
      <c r="B881" s="188">
        <v>0</v>
      </c>
      <c r="C881" s="189">
        <v>2</v>
      </c>
      <c r="D881" s="198" t="s">
        <v>297</v>
      </c>
      <c r="E881" s="95" t="s">
        <v>251</v>
      </c>
      <c r="F881" s="174">
        <f>4.985*4.217</f>
        <v>21.021744999999999</v>
      </c>
      <c r="G881" s="190">
        <v>255</v>
      </c>
      <c r="H881" s="140">
        <v>1</v>
      </c>
      <c r="I881" s="170"/>
    </row>
    <row r="882" spans="1:9">
      <c r="A882" s="95" t="s">
        <v>219</v>
      </c>
      <c r="B882" s="188">
        <v>0</v>
      </c>
      <c r="C882" s="189">
        <v>3</v>
      </c>
      <c r="D882" s="198" t="s">
        <v>294</v>
      </c>
      <c r="E882" s="95" t="s">
        <v>251</v>
      </c>
      <c r="F882" s="174">
        <f>((1.787*2.367)*2)+((3.438*1.7087)*2)</f>
        <v>20.208679199999999</v>
      </c>
      <c r="G882" s="190">
        <v>255</v>
      </c>
      <c r="H882" s="140">
        <v>1</v>
      </c>
      <c r="I882" s="170"/>
    </row>
    <row r="883" spans="1:9">
      <c r="A883" s="95" t="s">
        <v>219</v>
      </c>
      <c r="B883" s="188">
        <v>1</v>
      </c>
      <c r="C883" s="189">
        <v>1</v>
      </c>
      <c r="D883" s="198" t="s">
        <v>292</v>
      </c>
      <c r="E883" s="95" t="s">
        <v>502</v>
      </c>
      <c r="F883" s="174">
        <f>3.036*6.952</f>
        <v>21.106272000000001</v>
      </c>
      <c r="G883" s="190">
        <v>255</v>
      </c>
      <c r="H883" s="140">
        <v>1</v>
      </c>
      <c r="I883" s="170"/>
    </row>
    <row r="884" spans="1:9">
      <c r="A884" s="95" t="s">
        <v>219</v>
      </c>
      <c r="B884" s="188">
        <v>1</v>
      </c>
      <c r="C884" s="189">
        <v>2</v>
      </c>
      <c r="D884" s="95" t="s">
        <v>339</v>
      </c>
      <c r="E884" s="95" t="s">
        <v>251</v>
      </c>
      <c r="F884" s="174">
        <f>3.855*7.039</f>
        <v>27.135344999999997</v>
      </c>
      <c r="G884" s="190">
        <v>255</v>
      </c>
      <c r="H884" s="140">
        <v>1</v>
      </c>
      <c r="I884" s="170"/>
    </row>
    <row r="885" spans="1:9">
      <c r="A885" s="95" t="s">
        <v>219</v>
      </c>
      <c r="B885" s="188">
        <v>1</v>
      </c>
      <c r="C885" s="189">
        <v>3</v>
      </c>
      <c r="D885" s="95" t="s">
        <v>339</v>
      </c>
      <c r="E885" s="95" t="s">
        <v>251</v>
      </c>
      <c r="F885" s="174">
        <f>3.394*4.206</f>
        <v>14.275164000000002</v>
      </c>
      <c r="G885" s="190">
        <v>255</v>
      </c>
      <c r="H885" s="140">
        <v>1</v>
      </c>
      <c r="I885" s="170"/>
    </row>
    <row r="886" spans="1:9">
      <c r="A886" s="95" t="s">
        <v>219</v>
      </c>
      <c r="B886" s="188">
        <v>1</v>
      </c>
      <c r="C886" s="189">
        <v>4</v>
      </c>
      <c r="D886" s="95" t="s">
        <v>339</v>
      </c>
      <c r="E886" s="95" t="s">
        <v>251</v>
      </c>
      <c r="F886" s="174">
        <f>3.497*4.241</f>
        <v>14.830776999999998</v>
      </c>
      <c r="G886" s="190">
        <v>255</v>
      </c>
      <c r="H886" s="140">
        <v>1</v>
      </c>
      <c r="I886" s="170"/>
    </row>
    <row r="887" spans="1:9">
      <c r="A887" s="95" t="s">
        <v>219</v>
      </c>
      <c r="B887" s="188">
        <v>1</v>
      </c>
      <c r="C887" s="189">
        <v>5</v>
      </c>
      <c r="D887" s="198" t="s">
        <v>339</v>
      </c>
      <c r="E887" s="95" t="s">
        <v>251</v>
      </c>
      <c r="F887" s="174">
        <f>4.25*3.501</f>
        <v>14.879249999999999</v>
      </c>
      <c r="G887" s="190">
        <v>255</v>
      </c>
      <c r="H887" s="140">
        <v>1</v>
      </c>
      <c r="I887" s="170"/>
    </row>
    <row r="888" spans="1:9">
      <c r="A888" s="95" t="s">
        <v>219</v>
      </c>
      <c r="B888" s="188">
        <v>1</v>
      </c>
      <c r="C888" s="189">
        <v>6</v>
      </c>
      <c r="D888" s="198" t="s">
        <v>339</v>
      </c>
      <c r="E888" s="95" t="s">
        <v>251</v>
      </c>
      <c r="F888" s="174">
        <f>5.895*3.387</f>
        <v>19.966365</v>
      </c>
      <c r="G888" s="190">
        <v>255</v>
      </c>
      <c r="H888" s="140">
        <v>1</v>
      </c>
      <c r="I888" s="170"/>
    </row>
    <row r="889" spans="1:9">
      <c r="A889" s="95" t="s">
        <v>219</v>
      </c>
      <c r="B889" s="188">
        <v>1</v>
      </c>
      <c r="C889" s="189">
        <v>7</v>
      </c>
      <c r="D889" s="198" t="s">
        <v>339</v>
      </c>
      <c r="E889" s="95" t="s">
        <v>251</v>
      </c>
      <c r="F889" s="174">
        <f>4.314*3.503</f>
        <v>15.111942000000001</v>
      </c>
      <c r="G889" s="190">
        <v>255</v>
      </c>
      <c r="H889" s="140">
        <v>1</v>
      </c>
      <c r="I889" s="170"/>
    </row>
    <row r="890" spans="1:9">
      <c r="A890" s="95" t="s">
        <v>219</v>
      </c>
      <c r="B890" s="188">
        <v>1</v>
      </c>
      <c r="C890" s="189">
        <v>8</v>
      </c>
      <c r="D890" s="95" t="s">
        <v>339</v>
      </c>
      <c r="E890" s="95" t="s">
        <v>251</v>
      </c>
      <c r="F890" s="174">
        <f>4.32*3.613</f>
        <v>15.608160000000002</v>
      </c>
      <c r="G890" s="190">
        <v>255</v>
      </c>
      <c r="H890" s="140">
        <v>1</v>
      </c>
      <c r="I890" s="170"/>
    </row>
    <row r="891" spans="1:9">
      <c r="A891" s="95" t="s">
        <v>219</v>
      </c>
      <c r="B891" s="188">
        <v>1</v>
      </c>
      <c r="C891" s="189">
        <v>9</v>
      </c>
      <c r="D891" s="95" t="s">
        <v>291</v>
      </c>
      <c r="E891" s="95" t="s">
        <v>502</v>
      </c>
      <c r="F891" s="174">
        <v>144.98566599999998</v>
      </c>
      <c r="G891" s="190">
        <v>255</v>
      </c>
      <c r="H891" s="140">
        <v>1</v>
      </c>
      <c r="I891" s="170"/>
    </row>
    <row r="892" spans="1:9">
      <c r="A892" s="95" t="s">
        <v>219</v>
      </c>
      <c r="B892" s="188">
        <v>1</v>
      </c>
      <c r="C892" s="189">
        <v>10</v>
      </c>
      <c r="D892" s="95" t="s">
        <v>377</v>
      </c>
      <c r="E892" s="95" t="s">
        <v>377</v>
      </c>
      <c r="F892" s="174">
        <f>4.675*2.252</f>
        <v>10.528099999999998</v>
      </c>
      <c r="G892" s="190">
        <v>255</v>
      </c>
      <c r="H892" s="140">
        <v>1</v>
      </c>
      <c r="I892" s="170"/>
    </row>
    <row r="893" spans="1:9">
      <c r="A893" s="95" t="s">
        <v>219</v>
      </c>
      <c r="B893" s="188">
        <v>1</v>
      </c>
      <c r="C893" s="189">
        <v>11</v>
      </c>
      <c r="D893" s="198" t="s">
        <v>297</v>
      </c>
      <c r="E893" s="95" t="s">
        <v>251</v>
      </c>
      <c r="F893" s="174">
        <f>7.194*5.08</f>
        <v>36.545520000000003</v>
      </c>
      <c r="G893" s="190">
        <v>255</v>
      </c>
      <c r="H893" s="140">
        <v>1</v>
      </c>
      <c r="I893" s="170"/>
    </row>
    <row r="894" spans="1:9">
      <c r="A894" s="95" t="s">
        <v>219</v>
      </c>
      <c r="B894" s="188">
        <v>1</v>
      </c>
      <c r="C894" s="189">
        <v>12</v>
      </c>
      <c r="D894" s="198" t="s">
        <v>297</v>
      </c>
      <c r="E894" s="95" t="s">
        <v>251</v>
      </c>
      <c r="F894" s="174">
        <f>7.269*4.93</f>
        <v>35.836169999999996</v>
      </c>
      <c r="G894" s="190">
        <v>255</v>
      </c>
      <c r="H894" s="140">
        <v>1</v>
      </c>
      <c r="I894" s="170"/>
    </row>
    <row r="895" spans="1:9">
      <c r="A895" s="95" t="s">
        <v>219</v>
      </c>
      <c r="B895" s="188">
        <v>1</v>
      </c>
      <c r="C895" s="189">
        <v>13</v>
      </c>
      <c r="D895" s="198" t="s">
        <v>339</v>
      </c>
      <c r="E895" s="95" t="s">
        <v>251</v>
      </c>
      <c r="F895" s="174">
        <f>5.558*4.993</f>
        <v>27.751094000000002</v>
      </c>
      <c r="G895" s="190">
        <v>255</v>
      </c>
      <c r="H895" s="140">
        <v>1</v>
      </c>
      <c r="I895" s="170"/>
    </row>
    <row r="896" spans="1:9">
      <c r="A896" s="95" t="s">
        <v>219</v>
      </c>
      <c r="B896" s="188">
        <v>1</v>
      </c>
      <c r="C896" s="189">
        <v>14</v>
      </c>
      <c r="D896" s="198" t="s">
        <v>297</v>
      </c>
      <c r="E896" s="95" t="s">
        <v>251</v>
      </c>
      <c r="F896" s="174">
        <f>7*9.021</f>
        <v>63.147000000000006</v>
      </c>
      <c r="G896" s="190">
        <v>255</v>
      </c>
      <c r="H896" s="140">
        <v>1</v>
      </c>
      <c r="I896" s="170"/>
    </row>
    <row r="897" spans="1:9">
      <c r="A897" s="95" t="s">
        <v>219</v>
      </c>
      <c r="B897" s="188">
        <v>1</v>
      </c>
      <c r="C897" s="189">
        <v>15</v>
      </c>
      <c r="D897" s="95" t="s">
        <v>339</v>
      </c>
      <c r="E897" s="95" t="s">
        <v>251</v>
      </c>
      <c r="F897" s="174">
        <f>5.197*6.832</f>
        <v>35.505904000000001</v>
      </c>
      <c r="G897" s="190">
        <v>255</v>
      </c>
      <c r="H897" s="140">
        <v>1</v>
      </c>
      <c r="I897" s="170"/>
    </row>
    <row r="898" spans="1:9">
      <c r="A898" s="95" t="s">
        <v>219</v>
      </c>
      <c r="B898" s="188">
        <v>1</v>
      </c>
      <c r="C898" s="189">
        <v>16</v>
      </c>
      <c r="D898" s="95" t="s">
        <v>264</v>
      </c>
      <c r="E898" s="95" t="s">
        <v>251</v>
      </c>
      <c r="F898" s="174">
        <f>2.479*2.653</f>
        <v>6.5767870000000004</v>
      </c>
      <c r="G898" s="190">
        <v>255</v>
      </c>
      <c r="H898" s="140">
        <v>1</v>
      </c>
      <c r="I898" s="170"/>
    </row>
    <row r="899" spans="1:9">
      <c r="A899" s="95" t="s">
        <v>219</v>
      </c>
      <c r="B899" s="188">
        <v>1</v>
      </c>
      <c r="C899" s="189">
        <v>17</v>
      </c>
      <c r="D899" s="95" t="s">
        <v>297</v>
      </c>
      <c r="E899" s="95" t="s">
        <v>251</v>
      </c>
      <c r="F899" s="174">
        <f>3.094*5.206</f>
        <v>16.107364</v>
      </c>
      <c r="G899" s="190">
        <v>255</v>
      </c>
      <c r="H899" s="140">
        <v>1</v>
      </c>
      <c r="I899" s="170"/>
    </row>
    <row r="900" spans="1:9">
      <c r="A900" s="95" t="s">
        <v>219</v>
      </c>
      <c r="B900" s="188">
        <v>1</v>
      </c>
      <c r="C900" s="189">
        <v>18</v>
      </c>
      <c r="D900" s="198" t="s">
        <v>354</v>
      </c>
      <c r="E900" s="95" t="s">
        <v>262</v>
      </c>
      <c r="F900" s="174">
        <f>4.788*1.863</f>
        <v>8.9200440000000008</v>
      </c>
      <c r="G900" s="190">
        <v>255</v>
      </c>
      <c r="H900" s="140">
        <v>1</v>
      </c>
      <c r="I900" s="170"/>
    </row>
    <row r="901" spans="1:9">
      <c r="A901" s="95" t="s">
        <v>219</v>
      </c>
      <c r="B901" s="188">
        <v>1</v>
      </c>
      <c r="C901" s="189">
        <v>19</v>
      </c>
      <c r="D901" s="198" t="s">
        <v>354</v>
      </c>
      <c r="E901" s="95" t="s">
        <v>262</v>
      </c>
      <c r="F901" s="174">
        <f>4.788*2.172</f>
        <v>10.399536000000001</v>
      </c>
      <c r="G901" s="190">
        <v>255</v>
      </c>
      <c r="H901" s="140">
        <v>1</v>
      </c>
      <c r="I901" s="170"/>
    </row>
    <row r="902" spans="1:9">
      <c r="A902" s="95" t="s">
        <v>219</v>
      </c>
      <c r="B902" s="188">
        <v>1</v>
      </c>
      <c r="C902" s="189">
        <v>20</v>
      </c>
      <c r="D902" s="198" t="s">
        <v>804</v>
      </c>
      <c r="E902" s="95" t="s">
        <v>262</v>
      </c>
      <c r="F902" s="174">
        <f>2.678*2.529</f>
        <v>6.7726619999999995</v>
      </c>
      <c r="G902" s="190">
        <v>255</v>
      </c>
      <c r="H902" s="140">
        <v>1</v>
      </c>
      <c r="I902" s="170"/>
    </row>
    <row r="903" spans="1:9">
      <c r="A903" s="95" t="s">
        <v>219</v>
      </c>
      <c r="B903" s="188">
        <v>2</v>
      </c>
      <c r="C903" s="189">
        <v>1</v>
      </c>
      <c r="D903" s="95" t="s">
        <v>297</v>
      </c>
      <c r="E903" s="95" t="s">
        <v>251</v>
      </c>
      <c r="F903" s="174">
        <f>3.422*4.876</f>
        <v>16.685672</v>
      </c>
      <c r="G903" s="190">
        <v>255</v>
      </c>
      <c r="H903" s="140">
        <v>1</v>
      </c>
      <c r="I903" s="170"/>
    </row>
    <row r="904" spans="1:9">
      <c r="A904" s="95" t="s">
        <v>219</v>
      </c>
      <c r="B904" s="188">
        <v>2</v>
      </c>
      <c r="C904" s="189">
        <v>2</v>
      </c>
      <c r="D904" s="95" t="s">
        <v>297</v>
      </c>
      <c r="E904" s="95" t="s">
        <v>251</v>
      </c>
      <c r="F904" s="174">
        <f>3.503*4.824</f>
        <v>16.898472000000002</v>
      </c>
      <c r="G904" s="190">
        <v>255</v>
      </c>
      <c r="H904" s="140">
        <v>1</v>
      </c>
      <c r="I904" s="170"/>
    </row>
    <row r="905" spans="1:9">
      <c r="A905" s="95" t="s">
        <v>219</v>
      </c>
      <c r="B905" s="188">
        <v>2</v>
      </c>
      <c r="C905" s="189">
        <v>3</v>
      </c>
      <c r="D905" s="95" t="s">
        <v>339</v>
      </c>
      <c r="E905" s="95" t="s">
        <v>251</v>
      </c>
      <c r="F905" s="174">
        <f>4.89*3.609</f>
        <v>17.648009999999999</v>
      </c>
      <c r="G905" s="190">
        <v>255</v>
      </c>
      <c r="H905" s="140">
        <v>1</v>
      </c>
      <c r="I905" s="170"/>
    </row>
    <row r="906" spans="1:9">
      <c r="A906" s="95" t="s">
        <v>219</v>
      </c>
      <c r="B906" s="188">
        <v>2</v>
      </c>
      <c r="C906" s="189">
        <v>4</v>
      </c>
      <c r="D906" s="198" t="s">
        <v>339</v>
      </c>
      <c r="E906" s="95" t="s">
        <v>251</v>
      </c>
      <c r="F906" s="174">
        <f>4.89*3.403</f>
        <v>16.64067</v>
      </c>
      <c r="G906" s="190">
        <v>255</v>
      </c>
      <c r="H906" s="140">
        <v>1</v>
      </c>
      <c r="I906" s="170"/>
    </row>
    <row r="907" spans="1:9">
      <c r="A907" s="95" t="s">
        <v>219</v>
      </c>
      <c r="B907" s="188">
        <v>2</v>
      </c>
      <c r="C907" s="189">
        <v>5</v>
      </c>
      <c r="D907" s="198" t="s">
        <v>339</v>
      </c>
      <c r="E907" s="95" t="s">
        <v>251</v>
      </c>
      <c r="F907" s="174">
        <f>4.89*3.504</f>
        <v>17.13456</v>
      </c>
      <c r="G907" s="190">
        <v>255</v>
      </c>
      <c r="H907" s="140">
        <v>1</v>
      </c>
      <c r="I907" s="170"/>
    </row>
    <row r="908" spans="1:9">
      <c r="A908" s="95" t="s">
        <v>219</v>
      </c>
      <c r="B908" s="188">
        <v>2</v>
      </c>
      <c r="C908" s="189">
        <v>6</v>
      </c>
      <c r="D908" s="198" t="s">
        <v>339</v>
      </c>
      <c r="E908" s="95" t="s">
        <v>251</v>
      </c>
      <c r="F908" s="174">
        <f>4.89*3.758</f>
        <v>18.376619999999999</v>
      </c>
      <c r="G908" s="190">
        <v>255</v>
      </c>
      <c r="H908" s="140">
        <v>1</v>
      </c>
      <c r="I908" s="170"/>
    </row>
    <row r="909" spans="1:9">
      <c r="A909" s="95" t="s">
        <v>219</v>
      </c>
      <c r="B909" s="188">
        <v>2</v>
      </c>
      <c r="C909" s="189">
        <v>8</v>
      </c>
      <c r="D909" s="95" t="s">
        <v>291</v>
      </c>
      <c r="E909" s="95" t="s">
        <v>502</v>
      </c>
      <c r="F909" s="174">
        <v>138.34791500000003</v>
      </c>
      <c r="G909" s="190">
        <v>255</v>
      </c>
      <c r="H909" s="140">
        <v>1</v>
      </c>
      <c r="I909" s="170"/>
    </row>
    <row r="910" spans="1:9">
      <c r="A910" s="95" t="s">
        <v>219</v>
      </c>
      <c r="B910" s="188">
        <v>2</v>
      </c>
      <c r="C910" s="189">
        <v>9</v>
      </c>
      <c r="D910" s="95" t="s">
        <v>339</v>
      </c>
      <c r="E910" s="95" t="s">
        <v>251</v>
      </c>
      <c r="F910" s="174">
        <f>4.224*3.506</f>
        <v>14.809343999999999</v>
      </c>
      <c r="G910" s="190">
        <v>255</v>
      </c>
      <c r="H910" s="140">
        <v>1</v>
      </c>
      <c r="I910" s="170"/>
    </row>
    <row r="911" spans="1:9">
      <c r="A911" s="95" t="s">
        <v>219</v>
      </c>
      <c r="B911" s="188">
        <v>2</v>
      </c>
      <c r="C911" s="189">
        <v>10</v>
      </c>
      <c r="D911" s="95" t="s">
        <v>339</v>
      </c>
      <c r="E911" s="95" t="s">
        <v>251</v>
      </c>
      <c r="F911" s="174">
        <f>4.218*3.503</f>
        <v>14.775654000000001</v>
      </c>
      <c r="G911" s="190">
        <v>255</v>
      </c>
      <c r="H911" s="140">
        <v>1</v>
      </c>
      <c r="I911" s="170"/>
    </row>
    <row r="912" spans="1:9">
      <c r="A912" s="95" t="s">
        <v>219</v>
      </c>
      <c r="B912" s="188">
        <v>2</v>
      </c>
      <c r="C912" s="189">
        <v>11</v>
      </c>
      <c r="D912" s="198" t="s">
        <v>339</v>
      </c>
      <c r="E912" s="95" t="s">
        <v>251</v>
      </c>
      <c r="F912" s="174">
        <f>(7.314*4.115)+(2.985*4.288)</f>
        <v>42.896790000000003</v>
      </c>
      <c r="G912" s="190">
        <v>255</v>
      </c>
      <c r="H912" s="140">
        <v>1</v>
      </c>
      <c r="I912" s="170"/>
    </row>
    <row r="913" spans="1:9">
      <c r="A913" s="95" t="s">
        <v>219</v>
      </c>
      <c r="B913" s="188">
        <v>2</v>
      </c>
      <c r="C913" s="189">
        <v>12</v>
      </c>
      <c r="D913" s="198" t="s">
        <v>805</v>
      </c>
      <c r="E913" s="95" t="s">
        <v>251</v>
      </c>
      <c r="F913" s="174">
        <f>3.97*2.743</f>
        <v>10.889710000000001</v>
      </c>
      <c r="G913" s="190">
        <v>255</v>
      </c>
      <c r="H913" s="140">
        <v>1</v>
      </c>
      <c r="I913" s="170"/>
    </row>
    <row r="914" spans="1:9">
      <c r="A914" s="95" t="s">
        <v>219</v>
      </c>
      <c r="B914" s="188">
        <v>2</v>
      </c>
      <c r="C914" s="189">
        <v>13</v>
      </c>
      <c r="D914" s="198" t="s">
        <v>339</v>
      </c>
      <c r="E914" s="95" t="s">
        <v>251</v>
      </c>
      <c r="F914" s="174">
        <f>3.502*4.212</f>
        <v>14.750423999999999</v>
      </c>
      <c r="G914" s="190">
        <v>255</v>
      </c>
      <c r="H914" s="140">
        <v>1</v>
      </c>
      <c r="I914" s="170"/>
    </row>
    <row r="915" spans="1:9">
      <c r="A915" s="95" t="s">
        <v>219</v>
      </c>
      <c r="B915" s="188">
        <v>2</v>
      </c>
      <c r="C915" s="189">
        <v>14</v>
      </c>
      <c r="D915" s="95" t="s">
        <v>339</v>
      </c>
      <c r="E915" s="95" t="s">
        <v>251</v>
      </c>
      <c r="F915" s="174">
        <f>4.268*3.5</f>
        <v>14.937999999999999</v>
      </c>
      <c r="G915" s="190">
        <v>255</v>
      </c>
      <c r="H915" s="140">
        <v>1</v>
      </c>
      <c r="I915" s="170"/>
    </row>
    <row r="916" spans="1:9">
      <c r="A916" s="95" t="s">
        <v>219</v>
      </c>
      <c r="B916" s="188">
        <v>2</v>
      </c>
      <c r="C916" s="189">
        <v>15</v>
      </c>
      <c r="D916" s="95" t="s">
        <v>297</v>
      </c>
      <c r="E916" s="95" t="s">
        <v>251</v>
      </c>
      <c r="F916" s="174">
        <f>3.974*2.595</f>
        <v>10.312530000000001</v>
      </c>
      <c r="G916" s="190">
        <v>255</v>
      </c>
      <c r="H916" s="140">
        <v>1</v>
      </c>
      <c r="I916" s="170"/>
    </row>
    <row r="917" spans="1:9">
      <c r="A917" s="95" t="s">
        <v>219</v>
      </c>
      <c r="B917" s="188">
        <v>2</v>
      </c>
      <c r="C917" s="189">
        <v>16</v>
      </c>
      <c r="D917" s="95" t="s">
        <v>339</v>
      </c>
      <c r="E917" s="95" t="s">
        <v>251</v>
      </c>
      <c r="F917" s="174">
        <f>3.482*4.364</f>
        <v>15.195448000000001</v>
      </c>
      <c r="G917" s="190">
        <v>255</v>
      </c>
      <c r="H917" s="140">
        <v>1</v>
      </c>
      <c r="I917" s="170"/>
    </row>
    <row r="918" spans="1:9">
      <c r="A918" s="95" t="s">
        <v>219</v>
      </c>
      <c r="B918" s="188">
        <v>2</v>
      </c>
      <c r="C918" s="189">
        <v>17</v>
      </c>
      <c r="D918" s="198" t="s">
        <v>339</v>
      </c>
      <c r="E918" s="95" t="s">
        <v>251</v>
      </c>
      <c r="F918" s="174">
        <f>3.75*3.753</f>
        <v>14.07375</v>
      </c>
      <c r="G918" s="190">
        <v>255</v>
      </c>
      <c r="H918" s="140">
        <v>1</v>
      </c>
      <c r="I918" s="170"/>
    </row>
    <row r="919" spans="1:9">
      <c r="A919" s="95" t="s">
        <v>219</v>
      </c>
      <c r="B919" s="188">
        <v>2</v>
      </c>
      <c r="C919" s="189">
        <v>18</v>
      </c>
      <c r="D919" s="198" t="s">
        <v>339</v>
      </c>
      <c r="E919" s="95" t="s">
        <v>251</v>
      </c>
      <c r="F919" s="174">
        <f>3.861*5.567</f>
        <v>21.494187</v>
      </c>
      <c r="G919" s="190">
        <v>255</v>
      </c>
      <c r="H919" s="140">
        <v>1</v>
      </c>
      <c r="I919" s="170"/>
    </row>
    <row r="920" spans="1:9">
      <c r="A920" s="95" t="s">
        <v>219</v>
      </c>
      <c r="B920" s="188">
        <v>2</v>
      </c>
      <c r="C920" s="189">
        <v>19</v>
      </c>
      <c r="D920" s="198" t="s">
        <v>339</v>
      </c>
      <c r="E920" s="95" t="s">
        <v>251</v>
      </c>
      <c r="F920" s="174">
        <f>3.301*5.459</f>
        <v>18.020159</v>
      </c>
      <c r="G920" s="190">
        <v>255</v>
      </c>
      <c r="H920" s="140">
        <v>1</v>
      </c>
      <c r="I920" s="170"/>
    </row>
    <row r="921" spans="1:9">
      <c r="A921" s="95" t="s">
        <v>219</v>
      </c>
      <c r="B921" s="188">
        <v>2</v>
      </c>
      <c r="C921" s="189">
        <v>20</v>
      </c>
      <c r="D921" s="198" t="s">
        <v>377</v>
      </c>
      <c r="E921" s="95" t="s">
        <v>502</v>
      </c>
      <c r="F921" s="174">
        <f>1.828*2.342</f>
        <v>4.2811760000000003</v>
      </c>
      <c r="G921" s="190">
        <v>255</v>
      </c>
      <c r="H921" s="140">
        <v>1</v>
      </c>
      <c r="I921" s="170"/>
    </row>
    <row r="922" spans="1:9">
      <c r="A922" s="95" t="s">
        <v>219</v>
      </c>
      <c r="B922" s="188">
        <v>2</v>
      </c>
      <c r="C922" s="189">
        <v>21</v>
      </c>
      <c r="D922" s="95" t="s">
        <v>354</v>
      </c>
      <c r="E922" s="95" t="s">
        <v>502</v>
      </c>
      <c r="F922" s="174">
        <f>3.88*1.472</f>
        <v>5.71136</v>
      </c>
      <c r="G922" s="190">
        <v>255</v>
      </c>
      <c r="H922" s="140">
        <v>1</v>
      </c>
      <c r="I922" s="170"/>
    </row>
    <row r="923" spans="1:9">
      <c r="A923" s="95" t="s">
        <v>219</v>
      </c>
      <c r="B923" s="188">
        <v>2</v>
      </c>
      <c r="C923" s="189">
        <v>22</v>
      </c>
      <c r="D923" s="95" t="s">
        <v>354</v>
      </c>
      <c r="E923" s="95" t="s">
        <v>806</v>
      </c>
      <c r="F923" s="174">
        <f>3.896*2.074</f>
        <v>8.0803039999999999</v>
      </c>
      <c r="G923" s="190">
        <v>255</v>
      </c>
      <c r="H923" s="140">
        <v>1</v>
      </c>
      <c r="I923" s="17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13"/>
  <sheetViews>
    <sheetView showGridLines="0" tabSelected="1" view="pageBreakPreview" zoomScaleNormal="100" zoomScaleSheetLayoutView="100" workbookViewId="0">
      <selection activeCell="G3" sqref="G3"/>
    </sheetView>
  </sheetViews>
  <sheetFormatPr defaultColWidth="9.140625" defaultRowHeight="12.75"/>
  <cols>
    <col min="1" max="1" width="54" style="7" bestFit="1" customWidth="1"/>
    <col min="2" max="2" width="37.28515625" style="7" bestFit="1" customWidth="1"/>
    <col min="3" max="6" width="9.140625" style="7"/>
    <col min="7" max="7" width="11.85546875" style="7" bestFit="1" customWidth="1"/>
    <col min="8" max="16384" width="9.140625" style="7"/>
  </cols>
  <sheetData>
    <row r="1" spans="1:7">
      <c r="A1" s="91" t="s">
        <v>27</v>
      </c>
    </row>
    <row r="2" spans="1:7" ht="63.75">
      <c r="A2" s="139" t="s">
        <v>20</v>
      </c>
      <c r="B2" s="139" t="s">
        <v>126</v>
      </c>
      <c r="C2" s="139" t="s">
        <v>127</v>
      </c>
      <c r="D2" s="139" t="s">
        <v>128</v>
      </c>
      <c r="E2" s="139" t="s">
        <v>819</v>
      </c>
      <c r="F2" s="139" t="s">
        <v>129</v>
      </c>
      <c r="G2" s="139" t="s">
        <v>130</v>
      </c>
    </row>
    <row r="3" spans="1:7">
      <c r="A3" s="96" t="s">
        <v>137</v>
      </c>
      <c r="B3" s="96" t="s">
        <v>202</v>
      </c>
      <c r="C3" s="98">
        <v>498.13</v>
      </c>
      <c r="D3" s="96">
        <v>2</v>
      </c>
      <c r="E3" s="140">
        <v>1</v>
      </c>
      <c r="F3" s="140">
        <v>1</v>
      </c>
      <c r="G3" s="201">
        <f>D3*(E3+F3)</f>
        <v>4</v>
      </c>
    </row>
    <row r="4" spans="1:7">
      <c r="A4" s="96" t="s">
        <v>137</v>
      </c>
      <c r="B4" s="96" t="s">
        <v>132</v>
      </c>
      <c r="C4" s="98">
        <v>498.13</v>
      </c>
      <c r="D4" s="96">
        <v>2</v>
      </c>
      <c r="E4" s="140">
        <v>1</v>
      </c>
      <c r="F4" s="140">
        <v>1</v>
      </c>
      <c r="G4" s="201">
        <f t="shared" ref="G4:G67" si="0">D4*(E4+F4)</f>
        <v>4</v>
      </c>
    </row>
    <row r="5" spans="1:7">
      <c r="A5" s="96" t="s">
        <v>137</v>
      </c>
      <c r="B5" s="96" t="s">
        <v>133</v>
      </c>
      <c r="C5" s="98">
        <v>93.3</v>
      </c>
      <c r="D5" s="96">
        <v>2</v>
      </c>
      <c r="E5" s="140">
        <v>1</v>
      </c>
      <c r="F5" s="140">
        <v>1</v>
      </c>
      <c r="G5" s="201">
        <f t="shared" si="0"/>
        <v>4</v>
      </c>
    </row>
    <row r="6" spans="1:7">
      <c r="A6" s="96" t="s">
        <v>137</v>
      </c>
      <c r="B6" s="96" t="s">
        <v>134</v>
      </c>
      <c r="C6" s="98">
        <v>82.68</v>
      </c>
      <c r="D6" s="96">
        <v>2</v>
      </c>
      <c r="E6" s="140">
        <v>1</v>
      </c>
      <c r="F6" s="140">
        <v>1</v>
      </c>
      <c r="G6" s="201">
        <f t="shared" si="0"/>
        <v>4</v>
      </c>
    </row>
    <row r="7" spans="1:7">
      <c r="A7" s="96" t="s">
        <v>137</v>
      </c>
      <c r="B7" s="96" t="s">
        <v>203</v>
      </c>
      <c r="C7" s="98">
        <v>49.58</v>
      </c>
      <c r="D7" s="96">
        <v>2</v>
      </c>
      <c r="E7" s="140">
        <v>1</v>
      </c>
      <c r="F7" s="140">
        <v>1</v>
      </c>
      <c r="G7" s="201">
        <f t="shared" si="0"/>
        <v>4</v>
      </c>
    </row>
    <row r="8" spans="1:7">
      <c r="A8" s="96" t="s">
        <v>137</v>
      </c>
      <c r="B8" s="96" t="s">
        <v>204</v>
      </c>
      <c r="C8" s="98">
        <v>49.58</v>
      </c>
      <c r="D8" s="96">
        <v>2</v>
      </c>
      <c r="E8" s="140">
        <v>1</v>
      </c>
      <c r="F8" s="140">
        <v>1</v>
      </c>
      <c r="G8" s="201">
        <f t="shared" si="0"/>
        <v>4</v>
      </c>
    </row>
    <row r="9" spans="1:7">
      <c r="A9" s="96" t="s">
        <v>137</v>
      </c>
      <c r="B9" s="96" t="s">
        <v>205</v>
      </c>
      <c r="C9" s="98">
        <v>16.670000000000002</v>
      </c>
      <c r="D9" s="96">
        <v>2</v>
      </c>
      <c r="E9" s="140">
        <v>1</v>
      </c>
      <c r="F9" s="140">
        <v>1</v>
      </c>
      <c r="G9" s="201">
        <f t="shared" si="0"/>
        <v>4</v>
      </c>
    </row>
    <row r="10" spans="1:7">
      <c r="A10" s="96" t="s">
        <v>809</v>
      </c>
      <c r="B10" s="96" t="s">
        <v>131</v>
      </c>
      <c r="C10" s="98">
        <v>109.7</v>
      </c>
      <c r="D10" s="96">
        <v>2</v>
      </c>
      <c r="E10" s="140">
        <v>1</v>
      </c>
      <c r="F10" s="140">
        <v>1</v>
      </c>
      <c r="G10" s="201">
        <f t="shared" si="0"/>
        <v>4</v>
      </c>
    </row>
    <row r="11" spans="1:7">
      <c r="A11" s="96" t="s">
        <v>809</v>
      </c>
      <c r="B11" s="96" t="s">
        <v>132</v>
      </c>
      <c r="C11" s="98">
        <v>109.7</v>
      </c>
      <c r="D11" s="96">
        <v>2</v>
      </c>
      <c r="E11" s="140">
        <v>1</v>
      </c>
      <c r="F11" s="140">
        <v>1</v>
      </c>
      <c r="G11" s="201">
        <f t="shared" si="0"/>
        <v>4</v>
      </c>
    </row>
    <row r="12" spans="1:7">
      <c r="A12" s="96" t="s">
        <v>809</v>
      </c>
      <c r="B12" s="96" t="s">
        <v>133</v>
      </c>
      <c r="C12" s="98">
        <v>29.61</v>
      </c>
      <c r="D12" s="96">
        <v>2</v>
      </c>
      <c r="E12" s="140">
        <v>1</v>
      </c>
      <c r="F12" s="140">
        <v>1</v>
      </c>
      <c r="G12" s="201">
        <f t="shared" si="0"/>
        <v>4</v>
      </c>
    </row>
    <row r="13" spans="1:7">
      <c r="A13" s="96" t="s">
        <v>809</v>
      </c>
      <c r="B13" s="96" t="s">
        <v>134</v>
      </c>
      <c r="C13" s="98">
        <v>11.86</v>
      </c>
      <c r="D13" s="96">
        <v>2</v>
      </c>
      <c r="E13" s="140">
        <v>1</v>
      </c>
      <c r="F13" s="140">
        <v>1</v>
      </c>
      <c r="G13" s="201">
        <f t="shared" si="0"/>
        <v>4</v>
      </c>
    </row>
    <row r="14" spans="1:7">
      <c r="A14" s="96" t="s">
        <v>100</v>
      </c>
      <c r="B14" s="96" t="s">
        <v>202</v>
      </c>
      <c r="C14" s="98">
        <v>806.49</v>
      </c>
      <c r="D14" s="96">
        <v>2</v>
      </c>
      <c r="E14" s="140">
        <v>1</v>
      </c>
      <c r="F14" s="140">
        <v>1</v>
      </c>
      <c r="G14" s="201">
        <f t="shared" si="0"/>
        <v>4</v>
      </c>
    </row>
    <row r="15" spans="1:7">
      <c r="A15" s="96" t="s">
        <v>100</v>
      </c>
      <c r="B15" s="96" t="s">
        <v>132</v>
      </c>
      <c r="C15" s="98">
        <v>806.49</v>
      </c>
      <c r="D15" s="96">
        <v>2</v>
      </c>
      <c r="E15" s="140">
        <v>1</v>
      </c>
      <c r="F15" s="140">
        <v>1</v>
      </c>
      <c r="G15" s="201">
        <f t="shared" si="0"/>
        <v>4</v>
      </c>
    </row>
    <row r="16" spans="1:7">
      <c r="A16" s="96" t="s">
        <v>100</v>
      </c>
      <c r="B16" s="96" t="s">
        <v>133</v>
      </c>
      <c r="C16" s="98">
        <v>766.52</v>
      </c>
      <c r="D16" s="96">
        <v>2</v>
      </c>
      <c r="E16" s="140">
        <v>1</v>
      </c>
      <c r="F16" s="140">
        <v>1</v>
      </c>
      <c r="G16" s="201">
        <f t="shared" si="0"/>
        <v>4</v>
      </c>
    </row>
    <row r="17" spans="1:7">
      <c r="A17" s="96" t="s">
        <v>122</v>
      </c>
      <c r="B17" s="96" t="s">
        <v>131</v>
      </c>
      <c r="C17" s="98">
        <v>124.67</v>
      </c>
      <c r="D17" s="96">
        <v>2</v>
      </c>
      <c r="E17" s="140">
        <v>1</v>
      </c>
      <c r="F17" s="140">
        <v>1</v>
      </c>
      <c r="G17" s="201">
        <f t="shared" si="0"/>
        <v>4</v>
      </c>
    </row>
    <row r="18" spans="1:7">
      <c r="A18" s="96" t="s">
        <v>122</v>
      </c>
      <c r="B18" s="96" t="s">
        <v>132</v>
      </c>
      <c r="C18" s="98">
        <v>124.67</v>
      </c>
      <c r="D18" s="96">
        <v>2</v>
      </c>
      <c r="E18" s="140">
        <v>1</v>
      </c>
      <c r="F18" s="140">
        <v>1</v>
      </c>
      <c r="G18" s="201">
        <f t="shared" si="0"/>
        <v>4</v>
      </c>
    </row>
    <row r="19" spans="1:7">
      <c r="A19" s="96" t="s">
        <v>122</v>
      </c>
      <c r="B19" s="96" t="s">
        <v>133</v>
      </c>
      <c r="C19" s="98">
        <v>8.9499999999999993</v>
      </c>
      <c r="D19" s="96">
        <v>2</v>
      </c>
      <c r="E19" s="140">
        <v>1</v>
      </c>
      <c r="F19" s="140">
        <v>1</v>
      </c>
      <c r="G19" s="201">
        <f t="shared" si="0"/>
        <v>4</v>
      </c>
    </row>
    <row r="20" spans="1:7">
      <c r="A20" s="96" t="s">
        <v>122</v>
      </c>
      <c r="B20" s="96" t="s">
        <v>135</v>
      </c>
      <c r="C20" s="98">
        <v>118.74</v>
      </c>
      <c r="D20" s="96">
        <v>2</v>
      </c>
      <c r="E20" s="140">
        <v>1</v>
      </c>
      <c r="F20" s="140">
        <v>1</v>
      </c>
      <c r="G20" s="201">
        <f t="shared" si="0"/>
        <v>4</v>
      </c>
    </row>
    <row r="21" spans="1:7">
      <c r="A21" s="96" t="s">
        <v>101</v>
      </c>
      <c r="B21" s="96" t="s">
        <v>131</v>
      </c>
      <c r="C21" s="98">
        <v>86.54</v>
      </c>
      <c r="D21" s="96">
        <v>2</v>
      </c>
      <c r="E21" s="140">
        <v>1</v>
      </c>
      <c r="F21" s="140">
        <v>1</v>
      </c>
      <c r="G21" s="201">
        <f t="shared" si="0"/>
        <v>4</v>
      </c>
    </row>
    <row r="22" spans="1:7">
      <c r="A22" s="96" t="s">
        <v>101</v>
      </c>
      <c r="B22" s="96" t="s">
        <v>132</v>
      </c>
      <c r="C22" s="98">
        <v>86.54</v>
      </c>
      <c r="D22" s="96">
        <v>2</v>
      </c>
      <c r="E22" s="140">
        <v>1</v>
      </c>
      <c r="F22" s="140">
        <v>1</v>
      </c>
      <c r="G22" s="201">
        <f t="shared" si="0"/>
        <v>4</v>
      </c>
    </row>
    <row r="23" spans="1:7">
      <c r="A23" s="96" t="s">
        <v>101</v>
      </c>
      <c r="B23" s="96" t="s">
        <v>133</v>
      </c>
      <c r="C23" s="98">
        <v>25.42</v>
      </c>
      <c r="D23" s="96">
        <v>2</v>
      </c>
      <c r="E23" s="140">
        <v>1</v>
      </c>
      <c r="F23" s="140">
        <v>1</v>
      </c>
      <c r="G23" s="201">
        <f t="shared" si="0"/>
        <v>4</v>
      </c>
    </row>
    <row r="24" spans="1:7">
      <c r="A24" s="96" t="s">
        <v>101</v>
      </c>
      <c r="B24" s="96" t="s">
        <v>135</v>
      </c>
      <c r="C24" s="98">
        <v>197.57</v>
      </c>
      <c r="D24" s="96">
        <v>2</v>
      </c>
      <c r="E24" s="140">
        <v>1</v>
      </c>
      <c r="F24" s="140">
        <v>1</v>
      </c>
      <c r="G24" s="201">
        <f t="shared" si="0"/>
        <v>4</v>
      </c>
    </row>
    <row r="25" spans="1:7">
      <c r="A25" s="152" t="s">
        <v>172</v>
      </c>
      <c r="B25" s="96" t="s">
        <v>131</v>
      </c>
      <c r="C25" s="98">
        <v>190</v>
      </c>
      <c r="D25" s="96">
        <v>2</v>
      </c>
      <c r="E25" s="140">
        <v>1</v>
      </c>
      <c r="F25" s="140">
        <v>1</v>
      </c>
      <c r="G25" s="201">
        <f t="shared" si="0"/>
        <v>4</v>
      </c>
    </row>
    <row r="26" spans="1:7">
      <c r="A26" s="152" t="s">
        <v>172</v>
      </c>
      <c r="B26" s="96" t="s">
        <v>132</v>
      </c>
      <c r="C26" s="98">
        <v>190</v>
      </c>
      <c r="D26" s="96">
        <v>2</v>
      </c>
      <c r="E26" s="140">
        <v>1</v>
      </c>
      <c r="F26" s="140">
        <v>1</v>
      </c>
      <c r="G26" s="201">
        <f t="shared" si="0"/>
        <v>4</v>
      </c>
    </row>
    <row r="27" spans="1:7">
      <c r="A27" s="152" t="s">
        <v>172</v>
      </c>
      <c r="B27" s="96" t="s">
        <v>133</v>
      </c>
      <c r="C27" s="98">
        <v>196</v>
      </c>
      <c r="D27" s="96">
        <v>2</v>
      </c>
      <c r="E27" s="140">
        <v>1</v>
      </c>
      <c r="F27" s="140">
        <v>1</v>
      </c>
      <c r="G27" s="201">
        <f t="shared" si="0"/>
        <v>4</v>
      </c>
    </row>
    <row r="28" spans="1:7">
      <c r="A28" s="95" t="s">
        <v>172</v>
      </c>
      <c r="B28" s="95" t="s">
        <v>135</v>
      </c>
      <c r="C28" s="198">
        <v>96</v>
      </c>
      <c r="D28" s="96">
        <v>2</v>
      </c>
      <c r="E28" s="140">
        <v>1</v>
      </c>
      <c r="F28" s="140">
        <v>1</v>
      </c>
      <c r="G28" s="201">
        <f t="shared" si="0"/>
        <v>4</v>
      </c>
    </row>
    <row r="29" spans="1:7">
      <c r="A29" s="96" t="s">
        <v>206</v>
      </c>
      <c r="B29" s="96" t="s">
        <v>131</v>
      </c>
      <c r="C29" s="98">
        <v>28.494212999999998</v>
      </c>
      <c r="D29" s="96">
        <v>2</v>
      </c>
      <c r="E29" s="140">
        <v>1</v>
      </c>
      <c r="F29" s="140">
        <v>1</v>
      </c>
      <c r="G29" s="201">
        <f t="shared" si="0"/>
        <v>4</v>
      </c>
    </row>
    <row r="30" spans="1:7">
      <c r="A30" s="96" t="s">
        <v>206</v>
      </c>
      <c r="B30" s="96" t="s">
        <v>132</v>
      </c>
      <c r="C30" s="98">
        <v>28.494212999999998</v>
      </c>
      <c r="D30" s="96">
        <v>2</v>
      </c>
      <c r="E30" s="140">
        <v>1</v>
      </c>
      <c r="F30" s="140">
        <v>1</v>
      </c>
      <c r="G30" s="201">
        <f t="shared" si="0"/>
        <v>4</v>
      </c>
    </row>
    <row r="31" spans="1:7">
      <c r="A31" s="96" t="s">
        <v>206</v>
      </c>
      <c r="B31" s="96" t="s">
        <v>133</v>
      </c>
      <c r="C31" s="98">
        <v>19.515023999999997</v>
      </c>
      <c r="D31" s="96">
        <v>2</v>
      </c>
      <c r="E31" s="140">
        <v>1</v>
      </c>
      <c r="F31" s="140">
        <v>1</v>
      </c>
      <c r="G31" s="201">
        <f t="shared" si="0"/>
        <v>4</v>
      </c>
    </row>
    <row r="32" spans="1:7">
      <c r="A32" s="96" t="s">
        <v>103</v>
      </c>
      <c r="B32" s="96" t="s">
        <v>131</v>
      </c>
      <c r="C32" s="98">
        <v>10.54</v>
      </c>
      <c r="D32" s="96">
        <v>2</v>
      </c>
      <c r="E32" s="140">
        <v>1</v>
      </c>
      <c r="F32" s="140">
        <v>1</v>
      </c>
      <c r="G32" s="201">
        <f t="shared" si="0"/>
        <v>4</v>
      </c>
    </row>
    <row r="33" spans="1:7">
      <c r="A33" s="96" t="s">
        <v>103</v>
      </c>
      <c r="B33" s="96" t="s">
        <v>132</v>
      </c>
      <c r="C33" s="98">
        <v>10.54</v>
      </c>
      <c r="D33" s="96">
        <v>2</v>
      </c>
      <c r="E33" s="140">
        <v>1</v>
      </c>
      <c r="F33" s="140">
        <v>1</v>
      </c>
      <c r="G33" s="201">
        <f t="shared" si="0"/>
        <v>4</v>
      </c>
    </row>
    <row r="34" spans="1:7">
      <c r="A34" s="96" t="s">
        <v>103</v>
      </c>
      <c r="B34" s="96" t="s">
        <v>133</v>
      </c>
      <c r="C34" s="98">
        <v>0.37</v>
      </c>
      <c r="D34" s="96">
        <v>2</v>
      </c>
      <c r="E34" s="140">
        <v>1</v>
      </c>
      <c r="F34" s="140">
        <v>1</v>
      </c>
      <c r="G34" s="201">
        <f t="shared" si="0"/>
        <v>4</v>
      </c>
    </row>
    <row r="35" spans="1:7">
      <c r="A35" s="96" t="s">
        <v>103</v>
      </c>
      <c r="B35" s="96" t="s">
        <v>135</v>
      </c>
      <c r="C35" s="98">
        <v>19.29</v>
      </c>
      <c r="D35" s="96">
        <v>2</v>
      </c>
      <c r="E35" s="140">
        <v>1</v>
      </c>
      <c r="F35" s="140">
        <v>1</v>
      </c>
      <c r="G35" s="201">
        <f t="shared" si="0"/>
        <v>4</v>
      </c>
    </row>
    <row r="36" spans="1:7">
      <c r="A36" s="96" t="s">
        <v>105</v>
      </c>
      <c r="B36" s="96" t="s">
        <v>131</v>
      </c>
      <c r="C36" s="98">
        <v>17</v>
      </c>
      <c r="D36" s="96">
        <v>2</v>
      </c>
      <c r="E36" s="140">
        <v>1</v>
      </c>
      <c r="F36" s="140">
        <v>1</v>
      </c>
      <c r="G36" s="201">
        <f t="shared" si="0"/>
        <v>4</v>
      </c>
    </row>
    <row r="37" spans="1:7">
      <c r="A37" s="96" t="s">
        <v>105</v>
      </c>
      <c r="B37" s="96" t="s">
        <v>132</v>
      </c>
      <c r="C37" s="98">
        <v>17</v>
      </c>
      <c r="D37" s="96">
        <v>2</v>
      </c>
      <c r="E37" s="140">
        <v>1</v>
      </c>
      <c r="F37" s="140">
        <v>1</v>
      </c>
      <c r="G37" s="201">
        <f t="shared" si="0"/>
        <v>4</v>
      </c>
    </row>
    <row r="38" spans="1:7">
      <c r="A38" s="96" t="s">
        <v>105</v>
      </c>
      <c r="B38" s="96" t="s">
        <v>133</v>
      </c>
      <c r="C38" s="98">
        <v>4</v>
      </c>
      <c r="D38" s="96">
        <v>2</v>
      </c>
      <c r="E38" s="140">
        <v>1</v>
      </c>
      <c r="F38" s="140">
        <v>1</v>
      </c>
      <c r="G38" s="201">
        <f t="shared" si="0"/>
        <v>4</v>
      </c>
    </row>
    <row r="39" spans="1:7">
      <c r="A39" s="96" t="s">
        <v>106</v>
      </c>
      <c r="B39" s="96" t="s">
        <v>131</v>
      </c>
      <c r="C39" s="98">
        <v>25</v>
      </c>
      <c r="D39" s="96">
        <v>2</v>
      </c>
      <c r="E39" s="140">
        <v>1</v>
      </c>
      <c r="F39" s="140">
        <v>1</v>
      </c>
      <c r="G39" s="201">
        <f t="shared" si="0"/>
        <v>4</v>
      </c>
    </row>
    <row r="40" spans="1:7">
      <c r="A40" s="96" t="s">
        <v>106</v>
      </c>
      <c r="B40" s="96" t="s">
        <v>132</v>
      </c>
      <c r="C40" s="98">
        <v>25</v>
      </c>
      <c r="D40" s="96">
        <v>2</v>
      </c>
      <c r="E40" s="140">
        <v>1</v>
      </c>
      <c r="F40" s="140">
        <v>1</v>
      </c>
      <c r="G40" s="201">
        <f t="shared" si="0"/>
        <v>4</v>
      </c>
    </row>
    <row r="41" spans="1:7">
      <c r="A41" s="96" t="s">
        <v>106</v>
      </c>
      <c r="B41" s="96" t="s">
        <v>133</v>
      </c>
      <c r="C41" s="98">
        <v>4</v>
      </c>
      <c r="D41" s="96">
        <v>2</v>
      </c>
      <c r="E41" s="140">
        <v>1</v>
      </c>
      <c r="F41" s="140">
        <v>1</v>
      </c>
      <c r="G41" s="201">
        <f t="shared" si="0"/>
        <v>4</v>
      </c>
    </row>
    <row r="42" spans="1:7">
      <c r="A42" s="96" t="s">
        <v>107</v>
      </c>
      <c r="B42" s="96" t="s">
        <v>131</v>
      </c>
      <c r="C42" s="98">
        <v>20</v>
      </c>
      <c r="D42" s="96">
        <v>2</v>
      </c>
      <c r="E42" s="140">
        <v>1</v>
      </c>
      <c r="F42" s="140">
        <v>1</v>
      </c>
      <c r="G42" s="201">
        <f t="shared" si="0"/>
        <v>4</v>
      </c>
    </row>
    <row r="43" spans="1:7">
      <c r="A43" s="96" t="s">
        <v>107</v>
      </c>
      <c r="B43" s="96" t="s">
        <v>132</v>
      </c>
      <c r="C43" s="98">
        <v>20</v>
      </c>
      <c r="D43" s="96">
        <v>2</v>
      </c>
      <c r="E43" s="140">
        <v>1</v>
      </c>
      <c r="F43" s="140">
        <v>1</v>
      </c>
      <c r="G43" s="201">
        <f t="shared" si="0"/>
        <v>4</v>
      </c>
    </row>
    <row r="44" spans="1:7">
      <c r="A44" s="96" t="s">
        <v>107</v>
      </c>
      <c r="B44" s="96" t="s">
        <v>133</v>
      </c>
      <c r="C44" s="98">
        <v>8</v>
      </c>
      <c r="D44" s="96">
        <v>2</v>
      </c>
      <c r="E44" s="140">
        <v>1</v>
      </c>
      <c r="F44" s="140">
        <v>1</v>
      </c>
      <c r="G44" s="201">
        <f t="shared" si="0"/>
        <v>4</v>
      </c>
    </row>
    <row r="45" spans="1:7">
      <c r="A45" s="96" t="s">
        <v>108</v>
      </c>
      <c r="B45" s="96" t="s">
        <v>131</v>
      </c>
      <c r="C45" s="98">
        <v>231</v>
      </c>
      <c r="D45" s="96">
        <v>2</v>
      </c>
      <c r="E45" s="140">
        <v>1</v>
      </c>
      <c r="F45" s="140">
        <v>1</v>
      </c>
      <c r="G45" s="201">
        <f t="shared" si="0"/>
        <v>4</v>
      </c>
    </row>
    <row r="46" spans="1:7">
      <c r="A46" s="96" t="s">
        <v>108</v>
      </c>
      <c r="B46" s="96" t="s">
        <v>132</v>
      </c>
      <c r="C46" s="98">
        <v>231</v>
      </c>
      <c r="D46" s="96">
        <v>2</v>
      </c>
      <c r="E46" s="140">
        <v>1</v>
      </c>
      <c r="F46" s="140">
        <v>1</v>
      </c>
      <c r="G46" s="201">
        <f t="shared" si="0"/>
        <v>4</v>
      </c>
    </row>
    <row r="47" spans="1:7">
      <c r="A47" s="96" t="s">
        <v>108</v>
      </c>
      <c r="B47" s="96" t="s">
        <v>133</v>
      </c>
      <c r="C47" s="98">
        <v>112</v>
      </c>
      <c r="D47" s="96">
        <v>2</v>
      </c>
      <c r="E47" s="140">
        <v>1</v>
      </c>
      <c r="F47" s="140">
        <v>1</v>
      </c>
      <c r="G47" s="201">
        <f t="shared" si="0"/>
        <v>4</v>
      </c>
    </row>
    <row r="48" spans="1:7">
      <c r="A48" s="96" t="s">
        <v>109</v>
      </c>
      <c r="B48" s="96" t="s">
        <v>131</v>
      </c>
      <c r="C48" s="98">
        <v>41</v>
      </c>
      <c r="D48" s="96">
        <v>2</v>
      </c>
      <c r="E48" s="140">
        <v>1</v>
      </c>
      <c r="F48" s="140">
        <v>1</v>
      </c>
      <c r="G48" s="201">
        <f t="shared" si="0"/>
        <v>4</v>
      </c>
    </row>
    <row r="49" spans="1:7">
      <c r="A49" s="96" t="s">
        <v>109</v>
      </c>
      <c r="B49" s="96" t="s">
        <v>132</v>
      </c>
      <c r="C49" s="98">
        <v>41</v>
      </c>
      <c r="D49" s="96">
        <v>2</v>
      </c>
      <c r="E49" s="140">
        <v>1</v>
      </c>
      <c r="F49" s="140">
        <v>1</v>
      </c>
      <c r="G49" s="201">
        <f t="shared" si="0"/>
        <v>4</v>
      </c>
    </row>
    <row r="50" spans="1:7">
      <c r="A50" s="96" t="s">
        <v>109</v>
      </c>
      <c r="B50" s="96" t="s">
        <v>133</v>
      </c>
      <c r="C50" s="98">
        <v>2</v>
      </c>
      <c r="D50" s="96">
        <v>2</v>
      </c>
      <c r="E50" s="140">
        <v>1</v>
      </c>
      <c r="F50" s="140">
        <v>1</v>
      </c>
      <c r="G50" s="201">
        <f t="shared" si="0"/>
        <v>4</v>
      </c>
    </row>
    <row r="51" spans="1:7">
      <c r="A51" s="96" t="s">
        <v>110</v>
      </c>
      <c r="B51" s="96" t="s">
        <v>131</v>
      </c>
      <c r="C51" s="98">
        <v>78.994460000000004</v>
      </c>
      <c r="D51" s="96">
        <v>2</v>
      </c>
      <c r="E51" s="140">
        <v>1</v>
      </c>
      <c r="F51" s="140">
        <v>1</v>
      </c>
      <c r="G51" s="201">
        <f t="shared" si="0"/>
        <v>4</v>
      </c>
    </row>
    <row r="52" spans="1:7">
      <c r="A52" s="96" t="s">
        <v>110</v>
      </c>
      <c r="B52" s="96" t="s">
        <v>132</v>
      </c>
      <c r="C52" s="98">
        <v>78.994460000000004</v>
      </c>
      <c r="D52" s="96">
        <v>2</v>
      </c>
      <c r="E52" s="140">
        <v>1</v>
      </c>
      <c r="F52" s="140">
        <v>1</v>
      </c>
      <c r="G52" s="201">
        <f t="shared" si="0"/>
        <v>4</v>
      </c>
    </row>
    <row r="53" spans="1:7">
      <c r="A53" s="96" t="s">
        <v>110</v>
      </c>
      <c r="B53" s="96" t="s">
        <v>133</v>
      </c>
      <c r="C53" s="98">
        <v>2.4601500000000001</v>
      </c>
      <c r="D53" s="96">
        <v>2</v>
      </c>
      <c r="E53" s="140">
        <v>1</v>
      </c>
      <c r="F53" s="140">
        <v>1</v>
      </c>
      <c r="G53" s="201">
        <f t="shared" si="0"/>
        <v>4</v>
      </c>
    </row>
    <row r="54" spans="1:7">
      <c r="A54" s="96" t="s">
        <v>111</v>
      </c>
      <c r="B54" s="96" t="s">
        <v>131</v>
      </c>
      <c r="C54" s="98">
        <v>229.8032</v>
      </c>
      <c r="D54" s="96">
        <v>2</v>
      </c>
      <c r="E54" s="140">
        <v>1</v>
      </c>
      <c r="F54" s="140">
        <v>1</v>
      </c>
      <c r="G54" s="201">
        <f t="shared" si="0"/>
        <v>4</v>
      </c>
    </row>
    <row r="55" spans="1:7">
      <c r="A55" s="96" t="s">
        <v>111</v>
      </c>
      <c r="B55" s="96" t="s">
        <v>132</v>
      </c>
      <c r="C55" s="98">
        <v>229.8032</v>
      </c>
      <c r="D55" s="96">
        <v>2</v>
      </c>
      <c r="E55" s="140">
        <v>1</v>
      </c>
      <c r="F55" s="140">
        <v>1</v>
      </c>
      <c r="G55" s="201">
        <f t="shared" si="0"/>
        <v>4</v>
      </c>
    </row>
    <row r="56" spans="1:7">
      <c r="A56" s="96" t="s">
        <v>111</v>
      </c>
      <c r="B56" s="96" t="s">
        <v>133</v>
      </c>
      <c r="C56" s="98">
        <v>30.950120000000002</v>
      </c>
      <c r="D56" s="96">
        <v>2</v>
      </c>
      <c r="E56" s="140">
        <v>1</v>
      </c>
      <c r="F56" s="140">
        <v>1</v>
      </c>
      <c r="G56" s="201">
        <f t="shared" si="0"/>
        <v>4</v>
      </c>
    </row>
    <row r="57" spans="1:7">
      <c r="A57" s="96" t="s">
        <v>112</v>
      </c>
      <c r="B57" s="96" t="s">
        <v>131</v>
      </c>
      <c r="C57" s="98">
        <v>135.78630000000001</v>
      </c>
      <c r="D57" s="96">
        <v>2</v>
      </c>
      <c r="E57" s="140">
        <v>1</v>
      </c>
      <c r="F57" s="140">
        <v>1</v>
      </c>
      <c r="G57" s="201">
        <f t="shared" si="0"/>
        <v>4</v>
      </c>
    </row>
    <row r="58" spans="1:7">
      <c r="A58" s="96" t="s">
        <v>112</v>
      </c>
      <c r="B58" s="96" t="s">
        <v>132</v>
      </c>
      <c r="C58" s="98">
        <v>135.78630000000001</v>
      </c>
      <c r="D58" s="96">
        <v>2</v>
      </c>
      <c r="E58" s="140">
        <v>1</v>
      </c>
      <c r="F58" s="140">
        <v>1</v>
      </c>
      <c r="G58" s="201">
        <f t="shared" si="0"/>
        <v>4</v>
      </c>
    </row>
    <row r="59" spans="1:7">
      <c r="A59" s="96" t="s">
        <v>112</v>
      </c>
      <c r="B59" s="96" t="s">
        <v>133</v>
      </c>
      <c r="C59" s="98">
        <v>27.883400000000005</v>
      </c>
      <c r="D59" s="96">
        <v>2</v>
      </c>
      <c r="E59" s="140">
        <v>1</v>
      </c>
      <c r="F59" s="140">
        <v>1</v>
      </c>
      <c r="G59" s="201">
        <f t="shared" si="0"/>
        <v>4</v>
      </c>
    </row>
    <row r="60" spans="1:7">
      <c r="A60" s="96" t="s">
        <v>113</v>
      </c>
      <c r="B60" s="96" t="s">
        <v>131</v>
      </c>
      <c r="C60" s="98">
        <v>25.025000000000002</v>
      </c>
      <c r="D60" s="96">
        <v>2</v>
      </c>
      <c r="E60" s="140">
        <v>1</v>
      </c>
      <c r="F60" s="140">
        <v>1</v>
      </c>
      <c r="G60" s="201">
        <f t="shared" si="0"/>
        <v>4</v>
      </c>
    </row>
    <row r="61" spans="1:7">
      <c r="A61" s="96" t="s">
        <v>113</v>
      </c>
      <c r="B61" s="96" t="s">
        <v>132</v>
      </c>
      <c r="C61" s="98">
        <v>25.025000000000002</v>
      </c>
      <c r="D61" s="96">
        <v>2</v>
      </c>
      <c r="E61" s="140">
        <v>1</v>
      </c>
      <c r="F61" s="140">
        <v>1</v>
      </c>
      <c r="G61" s="201">
        <f t="shared" si="0"/>
        <v>4</v>
      </c>
    </row>
    <row r="62" spans="1:7">
      <c r="A62" s="96" t="s">
        <v>113</v>
      </c>
      <c r="B62" s="96" t="s">
        <v>133</v>
      </c>
      <c r="C62" s="98">
        <v>2.2399999999999998</v>
      </c>
      <c r="D62" s="96">
        <v>2</v>
      </c>
      <c r="E62" s="140">
        <v>1</v>
      </c>
      <c r="F62" s="140">
        <v>1</v>
      </c>
      <c r="G62" s="201">
        <f t="shared" si="0"/>
        <v>4</v>
      </c>
    </row>
    <row r="63" spans="1:7">
      <c r="A63" s="96" t="s">
        <v>114</v>
      </c>
      <c r="B63" s="96" t="s">
        <v>131</v>
      </c>
      <c r="C63" s="98">
        <v>225</v>
      </c>
      <c r="D63" s="96">
        <v>2</v>
      </c>
      <c r="E63" s="140">
        <v>1</v>
      </c>
      <c r="F63" s="140">
        <v>1</v>
      </c>
      <c r="G63" s="201">
        <f t="shared" si="0"/>
        <v>4</v>
      </c>
    </row>
    <row r="64" spans="1:7">
      <c r="A64" s="96" t="s">
        <v>114</v>
      </c>
      <c r="B64" s="96" t="s">
        <v>132</v>
      </c>
      <c r="C64" s="98">
        <v>225</v>
      </c>
      <c r="D64" s="96">
        <v>2</v>
      </c>
      <c r="E64" s="140">
        <v>1</v>
      </c>
      <c r="F64" s="140">
        <v>1</v>
      </c>
      <c r="G64" s="201">
        <f t="shared" si="0"/>
        <v>4</v>
      </c>
    </row>
    <row r="65" spans="1:7">
      <c r="A65" s="96" t="s">
        <v>115</v>
      </c>
      <c r="B65" s="96" t="s">
        <v>131</v>
      </c>
      <c r="C65" s="98">
        <v>51.92</v>
      </c>
      <c r="D65" s="96">
        <v>2</v>
      </c>
      <c r="E65" s="140">
        <v>1</v>
      </c>
      <c r="F65" s="140">
        <v>1</v>
      </c>
      <c r="G65" s="201">
        <f t="shared" si="0"/>
        <v>4</v>
      </c>
    </row>
    <row r="66" spans="1:7">
      <c r="A66" s="96" t="s">
        <v>115</v>
      </c>
      <c r="B66" s="96" t="s">
        <v>132</v>
      </c>
      <c r="C66" s="98">
        <v>51.92</v>
      </c>
      <c r="D66" s="96">
        <v>2</v>
      </c>
      <c r="E66" s="140">
        <v>1</v>
      </c>
      <c r="F66" s="140">
        <v>1</v>
      </c>
      <c r="G66" s="201">
        <f t="shared" si="0"/>
        <v>4</v>
      </c>
    </row>
    <row r="67" spans="1:7">
      <c r="A67" s="96" t="s">
        <v>207</v>
      </c>
      <c r="B67" s="96" t="s">
        <v>131</v>
      </c>
      <c r="C67" s="98">
        <v>75.877052000000006</v>
      </c>
      <c r="D67" s="96">
        <v>2</v>
      </c>
      <c r="E67" s="140">
        <v>1</v>
      </c>
      <c r="F67" s="140">
        <v>1</v>
      </c>
      <c r="G67" s="201">
        <f t="shared" si="0"/>
        <v>4</v>
      </c>
    </row>
    <row r="68" spans="1:7">
      <c r="A68" s="96" t="s">
        <v>207</v>
      </c>
      <c r="B68" s="96" t="s">
        <v>132</v>
      </c>
      <c r="C68" s="98">
        <v>75.877052000000006</v>
      </c>
      <c r="D68" s="96">
        <v>2</v>
      </c>
      <c r="E68" s="140">
        <v>1</v>
      </c>
      <c r="F68" s="140">
        <v>1</v>
      </c>
      <c r="G68" s="201">
        <f t="shared" ref="G68:G113" si="1">D68*(E68+F68)</f>
        <v>4</v>
      </c>
    </row>
    <row r="69" spans="1:7">
      <c r="A69" s="96" t="s">
        <v>207</v>
      </c>
      <c r="B69" s="96" t="s">
        <v>133</v>
      </c>
      <c r="C69" s="98">
        <v>86.554130000000001</v>
      </c>
      <c r="D69" s="96">
        <v>2</v>
      </c>
      <c r="E69" s="140">
        <v>1</v>
      </c>
      <c r="F69" s="140">
        <v>1</v>
      </c>
      <c r="G69" s="201">
        <f t="shared" si="1"/>
        <v>4</v>
      </c>
    </row>
    <row r="70" spans="1:7">
      <c r="A70" s="96" t="s">
        <v>117</v>
      </c>
      <c r="B70" s="96" t="s">
        <v>131</v>
      </c>
      <c r="C70" s="98">
        <v>115</v>
      </c>
      <c r="D70" s="96">
        <v>2</v>
      </c>
      <c r="E70" s="140">
        <v>1</v>
      </c>
      <c r="F70" s="140">
        <v>1</v>
      </c>
      <c r="G70" s="201">
        <f t="shared" si="1"/>
        <v>4</v>
      </c>
    </row>
    <row r="71" spans="1:7">
      <c r="A71" s="96" t="s">
        <v>117</v>
      </c>
      <c r="B71" s="96" t="s">
        <v>132</v>
      </c>
      <c r="C71" s="98">
        <v>115</v>
      </c>
      <c r="D71" s="96">
        <v>2</v>
      </c>
      <c r="E71" s="140">
        <v>1</v>
      </c>
      <c r="F71" s="140">
        <v>1</v>
      </c>
      <c r="G71" s="201">
        <f t="shared" si="1"/>
        <v>4</v>
      </c>
    </row>
    <row r="72" spans="1:7">
      <c r="A72" s="96" t="s">
        <v>117</v>
      </c>
      <c r="B72" s="96" t="s">
        <v>133</v>
      </c>
      <c r="C72" s="98">
        <v>26</v>
      </c>
      <c r="D72" s="96">
        <v>2</v>
      </c>
      <c r="E72" s="140">
        <v>1</v>
      </c>
      <c r="F72" s="140">
        <v>1</v>
      </c>
      <c r="G72" s="201">
        <f t="shared" si="1"/>
        <v>4</v>
      </c>
    </row>
    <row r="73" spans="1:7">
      <c r="A73" s="96" t="s">
        <v>118</v>
      </c>
      <c r="B73" s="96" t="s">
        <v>131</v>
      </c>
      <c r="C73" s="98">
        <v>61.732964000000003</v>
      </c>
      <c r="D73" s="96">
        <v>2</v>
      </c>
      <c r="E73" s="140">
        <v>1</v>
      </c>
      <c r="F73" s="140">
        <v>1</v>
      </c>
      <c r="G73" s="201">
        <f t="shared" si="1"/>
        <v>4</v>
      </c>
    </row>
    <row r="74" spans="1:7">
      <c r="A74" s="96" t="s">
        <v>118</v>
      </c>
      <c r="B74" s="96" t="s">
        <v>132</v>
      </c>
      <c r="C74" s="98">
        <v>37.663092999999996</v>
      </c>
      <c r="D74" s="96">
        <v>2</v>
      </c>
      <c r="E74" s="140">
        <v>1</v>
      </c>
      <c r="F74" s="140">
        <v>1</v>
      </c>
      <c r="G74" s="201">
        <f t="shared" si="1"/>
        <v>4</v>
      </c>
    </row>
    <row r="75" spans="1:7">
      <c r="A75" s="96" t="s">
        <v>118</v>
      </c>
      <c r="B75" s="96" t="s">
        <v>133</v>
      </c>
      <c r="C75" s="98">
        <v>46.046249999999993</v>
      </c>
      <c r="D75" s="96">
        <v>2</v>
      </c>
      <c r="E75" s="140">
        <v>1</v>
      </c>
      <c r="F75" s="140">
        <v>1</v>
      </c>
      <c r="G75" s="201">
        <f t="shared" si="1"/>
        <v>4</v>
      </c>
    </row>
    <row r="76" spans="1:7">
      <c r="A76" s="152" t="s">
        <v>138</v>
      </c>
      <c r="B76" s="96" t="s">
        <v>208</v>
      </c>
      <c r="C76" s="98">
        <v>14.134699999999999</v>
      </c>
      <c r="D76" s="96">
        <v>2</v>
      </c>
      <c r="E76" s="140">
        <v>1</v>
      </c>
      <c r="F76" s="140">
        <v>1</v>
      </c>
      <c r="G76" s="201">
        <f t="shared" si="1"/>
        <v>4</v>
      </c>
    </row>
    <row r="77" spans="1:7" s="63" customFormat="1">
      <c r="A77" s="152" t="s">
        <v>138</v>
      </c>
      <c r="B77" s="96" t="s">
        <v>132</v>
      </c>
      <c r="C77" s="98">
        <v>14.134699999999999</v>
      </c>
      <c r="D77" s="96">
        <v>2</v>
      </c>
      <c r="E77" s="140">
        <v>1</v>
      </c>
      <c r="F77" s="140">
        <v>1</v>
      </c>
      <c r="G77" s="201">
        <f t="shared" si="1"/>
        <v>4</v>
      </c>
    </row>
    <row r="78" spans="1:7">
      <c r="A78" s="152" t="s">
        <v>138</v>
      </c>
      <c r="B78" s="96" t="s">
        <v>133</v>
      </c>
      <c r="C78" s="98">
        <v>2.5542000000000002</v>
      </c>
      <c r="D78" s="96">
        <v>2</v>
      </c>
      <c r="E78" s="140">
        <v>1</v>
      </c>
      <c r="F78" s="140">
        <v>1</v>
      </c>
      <c r="G78" s="201">
        <f t="shared" si="1"/>
        <v>4</v>
      </c>
    </row>
    <row r="79" spans="1:7">
      <c r="A79" s="152" t="s">
        <v>180</v>
      </c>
      <c r="B79" s="96" t="s">
        <v>202</v>
      </c>
      <c r="C79" s="98">
        <v>587.21</v>
      </c>
      <c r="D79" s="96">
        <v>2</v>
      </c>
      <c r="E79" s="140">
        <v>1</v>
      </c>
      <c r="F79" s="140">
        <v>1</v>
      </c>
      <c r="G79" s="201">
        <f t="shared" si="1"/>
        <v>4</v>
      </c>
    </row>
    <row r="80" spans="1:7">
      <c r="A80" s="152" t="s">
        <v>180</v>
      </c>
      <c r="B80" s="96" t="s">
        <v>132</v>
      </c>
      <c r="C80" s="98">
        <v>587.21</v>
      </c>
      <c r="D80" s="96">
        <v>2</v>
      </c>
      <c r="E80" s="140">
        <v>1</v>
      </c>
      <c r="F80" s="140">
        <v>1</v>
      </c>
      <c r="G80" s="201">
        <f t="shared" si="1"/>
        <v>4</v>
      </c>
    </row>
    <row r="81" spans="1:7">
      <c r="A81" s="152" t="s">
        <v>180</v>
      </c>
      <c r="B81" s="96" t="s">
        <v>133</v>
      </c>
      <c r="C81" s="98">
        <v>88.98</v>
      </c>
      <c r="D81" s="96">
        <v>2</v>
      </c>
      <c r="E81" s="140">
        <v>1</v>
      </c>
      <c r="F81" s="140">
        <v>1</v>
      </c>
      <c r="G81" s="201">
        <f t="shared" si="1"/>
        <v>4</v>
      </c>
    </row>
    <row r="82" spans="1:7">
      <c r="A82" s="152" t="s">
        <v>209</v>
      </c>
      <c r="B82" s="96" t="s">
        <v>131</v>
      </c>
      <c r="C82" s="156">
        <v>25</v>
      </c>
      <c r="D82" s="96">
        <v>2</v>
      </c>
      <c r="E82" s="140">
        <v>1</v>
      </c>
      <c r="F82" s="140">
        <v>1</v>
      </c>
      <c r="G82" s="201">
        <f t="shared" si="1"/>
        <v>4</v>
      </c>
    </row>
    <row r="83" spans="1:7">
      <c r="A83" s="152" t="s">
        <v>209</v>
      </c>
      <c r="B83" s="96" t="s">
        <v>132</v>
      </c>
      <c r="C83" s="156">
        <v>25</v>
      </c>
      <c r="D83" s="96">
        <v>2</v>
      </c>
      <c r="E83" s="140">
        <v>1</v>
      </c>
      <c r="F83" s="140">
        <v>1</v>
      </c>
      <c r="G83" s="201">
        <f t="shared" si="1"/>
        <v>4</v>
      </c>
    </row>
    <row r="84" spans="1:7">
      <c r="A84" s="152" t="s">
        <v>209</v>
      </c>
      <c r="B84" s="96" t="s">
        <v>133</v>
      </c>
      <c r="C84" s="156">
        <v>20</v>
      </c>
      <c r="D84" s="96">
        <v>2</v>
      </c>
      <c r="E84" s="140">
        <v>1</v>
      </c>
      <c r="F84" s="140">
        <v>1</v>
      </c>
      <c r="G84" s="201">
        <f t="shared" si="1"/>
        <v>4</v>
      </c>
    </row>
    <row r="85" spans="1:7">
      <c r="A85" s="152" t="s">
        <v>210</v>
      </c>
      <c r="B85" s="96" t="s">
        <v>132</v>
      </c>
      <c r="C85" s="98">
        <v>52.214020000000005</v>
      </c>
      <c r="D85" s="96">
        <v>2</v>
      </c>
      <c r="E85" s="140">
        <v>1</v>
      </c>
      <c r="F85" s="140">
        <v>1</v>
      </c>
      <c r="G85" s="201">
        <f t="shared" si="1"/>
        <v>4</v>
      </c>
    </row>
    <row r="86" spans="1:7">
      <c r="A86" s="152" t="s">
        <v>210</v>
      </c>
      <c r="B86" s="96" t="s">
        <v>133</v>
      </c>
      <c r="C86" s="98">
        <v>3.8128319999999998</v>
      </c>
      <c r="D86" s="96">
        <v>2</v>
      </c>
      <c r="E86" s="140">
        <v>1</v>
      </c>
      <c r="F86" s="140">
        <v>1</v>
      </c>
      <c r="G86" s="201">
        <f t="shared" si="1"/>
        <v>4</v>
      </c>
    </row>
    <row r="87" spans="1:7">
      <c r="A87" s="152" t="s">
        <v>211</v>
      </c>
      <c r="B87" s="96" t="s">
        <v>208</v>
      </c>
      <c r="C87" s="156">
        <v>93.72</v>
      </c>
      <c r="D87" s="96">
        <v>2</v>
      </c>
      <c r="E87" s="140">
        <v>1</v>
      </c>
      <c r="F87" s="140">
        <v>1</v>
      </c>
      <c r="G87" s="201">
        <f t="shared" si="1"/>
        <v>4</v>
      </c>
    </row>
    <row r="88" spans="1:7">
      <c r="A88" s="152" t="s">
        <v>211</v>
      </c>
      <c r="B88" s="96" t="s">
        <v>132</v>
      </c>
      <c r="C88" s="156">
        <v>93.72</v>
      </c>
      <c r="D88" s="96">
        <v>2</v>
      </c>
      <c r="E88" s="140">
        <v>1</v>
      </c>
      <c r="F88" s="140">
        <v>1</v>
      </c>
      <c r="G88" s="201">
        <f t="shared" si="1"/>
        <v>4</v>
      </c>
    </row>
    <row r="89" spans="1:7">
      <c r="A89" s="152" t="s">
        <v>211</v>
      </c>
      <c r="B89" s="96" t="s">
        <v>133</v>
      </c>
      <c r="C89" s="156">
        <v>27.8</v>
      </c>
      <c r="D89" s="96">
        <v>2</v>
      </c>
      <c r="E89" s="140">
        <v>1</v>
      </c>
      <c r="F89" s="140">
        <v>1</v>
      </c>
      <c r="G89" s="201">
        <f t="shared" si="1"/>
        <v>4</v>
      </c>
    </row>
    <row r="90" spans="1:7">
      <c r="A90" s="96" t="s">
        <v>212</v>
      </c>
      <c r="B90" s="96" t="s">
        <v>131</v>
      </c>
      <c r="C90" s="98">
        <f>47.88+1</f>
        <v>48.88</v>
      </c>
      <c r="D90" s="96">
        <v>2</v>
      </c>
      <c r="E90" s="140">
        <v>1</v>
      </c>
      <c r="F90" s="140">
        <v>1</v>
      </c>
      <c r="G90" s="201">
        <f t="shared" si="1"/>
        <v>4</v>
      </c>
    </row>
    <row r="91" spans="1:7">
      <c r="A91" s="96" t="s">
        <v>212</v>
      </c>
      <c r="B91" s="96" t="s">
        <v>132</v>
      </c>
      <c r="C91" s="98">
        <v>42</v>
      </c>
      <c r="D91" s="96">
        <v>2</v>
      </c>
      <c r="E91" s="140">
        <v>1</v>
      </c>
      <c r="F91" s="140">
        <v>1</v>
      </c>
      <c r="G91" s="201">
        <f t="shared" si="1"/>
        <v>4</v>
      </c>
    </row>
    <row r="92" spans="1:7">
      <c r="A92" s="96" t="s">
        <v>212</v>
      </c>
      <c r="B92" s="96" t="s">
        <v>133</v>
      </c>
      <c r="C92" s="98">
        <v>21.66</v>
      </c>
      <c r="D92" s="96">
        <v>2</v>
      </c>
      <c r="E92" s="140">
        <v>1</v>
      </c>
      <c r="F92" s="140">
        <v>1</v>
      </c>
      <c r="G92" s="201">
        <f t="shared" si="1"/>
        <v>4</v>
      </c>
    </row>
    <row r="93" spans="1:7">
      <c r="A93" s="96" t="s">
        <v>212</v>
      </c>
      <c r="B93" s="96" t="s">
        <v>135</v>
      </c>
      <c r="C93" s="98">
        <v>74.12</v>
      </c>
      <c r="D93" s="96">
        <v>2</v>
      </c>
      <c r="E93" s="140">
        <v>1</v>
      </c>
      <c r="F93" s="140">
        <v>1</v>
      </c>
      <c r="G93" s="201">
        <f t="shared" si="1"/>
        <v>4</v>
      </c>
    </row>
    <row r="94" spans="1:7">
      <c r="A94" s="96" t="s">
        <v>213</v>
      </c>
      <c r="B94" s="96" t="s">
        <v>131</v>
      </c>
      <c r="C94" s="98">
        <v>2.5783999999999998</v>
      </c>
      <c r="D94" s="96">
        <v>2</v>
      </c>
      <c r="E94" s="140">
        <v>1</v>
      </c>
      <c r="F94" s="140">
        <v>1</v>
      </c>
      <c r="G94" s="201">
        <f t="shared" si="1"/>
        <v>4</v>
      </c>
    </row>
    <row r="95" spans="1:7">
      <c r="A95" s="96" t="s">
        <v>213</v>
      </c>
      <c r="B95" s="96" t="s">
        <v>132</v>
      </c>
      <c r="C95" s="98">
        <v>2.5783999999999998</v>
      </c>
      <c r="D95" s="96">
        <v>2</v>
      </c>
      <c r="E95" s="140">
        <v>1</v>
      </c>
      <c r="F95" s="140">
        <v>1</v>
      </c>
      <c r="G95" s="201">
        <f t="shared" si="1"/>
        <v>4</v>
      </c>
    </row>
    <row r="96" spans="1:7">
      <c r="A96" s="96" t="s">
        <v>213</v>
      </c>
      <c r="B96" s="96" t="s">
        <v>133</v>
      </c>
      <c r="C96" s="98">
        <v>24.811999999999998</v>
      </c>
      <c r="D96" s="96">
        <v>2</v>
      </c>
      <c r="E96" s="140">
        <v>1</v>
      </c>
      <c r="F96" s="140">
        <v>1</v>
      </c>
      <c r="G96" s="201">
        <f t="shared" si="1"/>
        <v>4</v>
      </c>
    </row>
    <row r="97" spans="1:7">
      <c r="A97" s="96" t="s">
        <v>214</v>
      </c>
      <c r="B97" s="96" t="s">
        <v>131</v>
      </c>
      <c r="C97" s="98">
        <f>((0.66*2.54)*6)+((3.02*4.95)*2)+(1*1.5)+((0.64*0.61)*4)+((0.67*4.39)*4)+((2.21*4.35)*2)+(0.5*1.35)+(0.37*1.04)</f>
        <v>75.069999999999993</v>
      </c>
      <c r="D97" s="96">
        <v>2</v>
      </c>
      <c r="E97" s="140">
        <v>1</v>
      </c>
      <c r="F97" s="140">
        <v>1</v>
      </c>
      <c r="G97" s="201">
        <f t="shared" si="1"/>
        <v>4</v>
      </c>
    </row>
    <row r="98" spans="1:7">
      <c r="A98" s="96" t="s">
        <v>214</v>
      </c>
      <c r="B98" s="96" t="s">
        <v>132</v>
      </c>
      <c r="C98" s="98">
        <f>((0.66*2.54)*6)+((3.02*4.95)*2)+(1*1.5)+((0.64*0.61)*4)+((0.67*4.39)*4)+((2.21*4.35)*2)+(0.5*1.35)+(0.37*1.04)</f>
        <v>75.069999999999993</v>
      </c>
      <c r="D98" s="96">
        <v>2</v>
      </c>
      <c r="E98" s="140">
        <v>1</v>
      </c>
      <c r="F98" s="140">
        <v>1</v>
      </c>
      <c r="G98" s="201">
        <f t="shared" si="1"/>
        <v>4</v>
      </c>
    </row>
    <row r="99" spans="1:7">
      <c r="A99" s="96" t="s">
        <v>214</v>
      </c>
      <c r="B99" s="96" t="s">
        <v>135</v>
      </c>
      <c r="C99" s="98">
        <f>(4*1.5)*2*2</f>
        <v>24</v>
      </c>
      <c r="D99" s="96">
        <v>2</v>
      </c>
      <c r="E99" s="140">
        <v>1</v>
      </c>
      <c r="F99" s="140">
        <v>1</v>
      </c>
      <c r="G99" s="201">
        <f t="shared" si="1"/>
        <v>4</v>
      </c>
    </row>
    <row r="100" spans="1:7">
      <c r="A100" s="96" t="s">
        <v>215</v>
      </c>
      <c r="B100" s="96" t="s">
        <v>131</v>
      </c>
      <c r="C100" s="98">
        <v>20.229300000000002</v>
      </c>
      <c r="D100" s="96">
        <v>2</v>
      </c>
      <c r="E100" s="140">
        <v>1</v>
      </c>
      <c r="F100" s="140">
        <v>1</v>
      </c>
      <c r="G100" s="201">
        <f t="shared" si="1"/>
        <v>4</v>
      </c>
    </row>
    <row r="101" spans="1:7">
      <c r="A101" s="96" t="s">
        <v>215</v>
      </c>
      <c r="B101" s="96" t="s">
        <v>132</v>
      </c>
      <c r="C101" s="98">
        <v>20.229300000000002</v>
      </c>
      <c r="D101" s="96">
        <v>2</v>
      </c>
      <c r="E101" s="140">
        <v>1</v>
      </c>
      <c r="F101" s="140">
        <v>1</v>
      </c>
      <c r="G101" s="201">
        <f t="shared" si="1"/>
        <v>4</v>
      </c>
    </row>
    <row r="102" spans="1:7">
      <c r="A102" s="96" t="s">
        <v>215</v>
      </c>
      <c r="B102" s="96" t="s">
        <v>133</v>
      </c>
      <c r="C102" s="98">
        <v>28.241599999999998</v>
      </c>
      <c r="D102" s="96">
        <v>2</v>
      </c>
      <c r="E102" s="140">
        <v>1</v>
      </c>
      <c r="F102" s="140">
        <v>1</v>
      </c>
      <c r="G102" s="201">
        <f t="shared" si="1"/>
        <v>4</v>
      </c>
    </row>
    <row r="103" spans="1:7">
      <c r="A103" s="96" t="s">
        <v>215</v>
      </c>
      <c r="B103" s="96" t="s">
        <v>135</v>
      </c>
      <c r="C103" s="98">
        <v>8.8452000000000002</v>
      </c>
      <c r="D103" s="96">
        <v>2</v>
      </c>
      <c r="E103" s="140">
        <v>1</v>
      </c>
      <c r="F103" s="140">
        <v>1</v>
      </c>
      <c r="G103" s="201">
        <f t="shared" si="1"/>
        <v>4</v>
      </c>
    </row>
    <row r="104" spans="1:7">
      <c r="A104" s="96" t="s">
        <v>216</v>
      </c>
      <c r="B104" s="96" t="s">
        <v>131</v>
      </c>
      <c r="C104" s="98">
        <f>(4*0.5)*5</f>
        <v>10</v>
      </c>
      <c r="D104" s="96">
        <v>2</v>
      </c>
      <c r="E104" s="140">
        <v>1</v>
      </c>
      <c r="F104" s="140">
        <v>1</v>
      </c>
      <c r="G104" s="201">
        <f t="shared" si="1"/>
        <v>4</v>
      </c>
    </row>
    <row r="105" spans="1:7">
      <c r="A105" s="96" t="s">
        <v>216</v>
      </c>
      <c r="B105" s="96" t="s">
        <v>132</v>
      </c>
      <c r="C105" s="98">
        <f>C104</f>
        <v>10</v>
      </c>
      <c r="D105" s="96">
        <v>2</v>
      </c>
      <c r="E105" s="140">
        <v>1</v>
      </c>
      <c r="F105" s="140">
        <v>1</v>
      </c>
      <c r="G105" s="201">
        <f t="shared" si="1"/>
        <v>4</v>
      </c>
    </row>
    <row r="106" spans="1:7">
      <c r="A106" s="96" t="s">
        <v>216</v>
      </c>
      <c r="B106" s="96" t="s">
        <v>133</v>
      </c>
      <c r="C106" s="98">
        <f>(((2.55*0.873)*2)+(0.886*0.3))*2</f>
        <v>9.4361999999999977</v>
      </c>
      <c r="D106" s="96">
        <v>2</v>
      </c>
      <c r="E106" s="140">
        <v>1</v>
      </c>
      <c r="F106" s="140">
        <v>1</v>
      </c>
      <c r="G106" s="201">
        <f t="shared" si="1"/>
        <v>4</v>
      </c>
    </row>
    <row r="107" spans="1:7">
      <c r="A107" s="96" t="s">
        <v>217</v>
      </c>
      <c r="B107" s="96" t="s">
        <v>132</v>
      </c>
      <c r="C107" s="98">
        <v>14.887124999999999</v>
      </c>
      <c r="D107" s="96">
        <v>2</v>
      </c>
      <c r="E107" s="140">
        <v>1</v>
      </c>
      <c r="F107" s="140">
        <v>1</v>
      </c>
      <c r="G107" s="201">
        <f t="shared" si="1"/>
        <v>4</v>
      </c>
    </row>
    <row r="108" spans="1:7">
      <c r="A108" s="96" t="s">
        <v>217</v>
      </c>
      <c r="B108" s="96" t="s">
        <v>133</v>
      </c>
      <c r="C108" s="98">
        <v>3.881964</v>
      </c>
      <c r="D108" s="96">
        <v>2</v>
      </c>
      <c r="E108" s="140">
        <v>1</v>
      </c>
      <c r="F108" s="140">
        <v>1</v>
      </c>
      <c r="G108" s="201">
        <f t="shared" si="1"/>
        <v>4</v>
      </c>
    </row>
    <row r="109" spans="1:7">
      <c r="A109" s="96" t="s">
        <v>218</v>
      </c>
      <c r="B109" s="96" t="s">
        <v>131</v>
      </c>
      <c r="C109" s="98">
        <v>17.32</v>
      </c>
      <c r="D109" s="96">
        <v>2</v>
      </c>
      <c r="E109" s="140">
        <v>1</v>
      </c>
      <c r="F109" s="140">
        <v>1</v>
      </c>
      <c r="G109" s="201">
        <f t="shared" si="1"/>
        <v>4</v>
      </c>
    </row>
    <row r="110" spans="1:7">
      <c r="A110" s="96" t="s">
        <v>218</v>
      </c>
      <c r="B110" s="96" t="s">
        <v>132</v>
      </c>
      <c r="C110" s="98">
        <v>17.32</v>
      </c>
      <c r="D110" s="96">
        <v>2</v>
      </c>
      <c r="E110" s="140">
        <v>1</v>
      </c>
      <c r="F110" s="140">
        <v>1</v>
      </c>
      <c r="G110" s="201">
        <f t="shared" si="1"/>
        <v>4</v>
      </c>
    </row>
    <row r="111" spans="1:7">
      <c r="A111" s="96" t="s">
        <v>218</v>
      </c>
      <c r="B111" s="96" t="s">
        <v>133</v>
      </c>
      <c r="C111" s="98">
        <v>2.99</v>
      </c>
      <c r="D111" s="96">
        <v>2</v>
      </c>
      <c r="E111" s="140">
        <v>1</v>
      </c>
      <c r="F111" s="140">
        <v>1</v>
      </c>
      <c r="G111" s="201">
        <f t="shared" si="1"/>
        <v>4</v>
      </c>
    </row>
    <row r="112" spans="1:7">
      <c r="A112" s="157" t="s">
        <v>219</v>
      </c>
      <c r="B112" s="157" t="s">
        <v>132</v>
      </c>
      <c r="C112" s="158">
        <v>134.89793600000002</v>
      </c>
      <c r="D112" s="157">
        <v>2</v>
      </c>
      <c r="E112" s="140">
        <v>1</v>
      </c>
      <c r="F112" s="140">
        <v>1</v>
      </c>
      <c r="G112" s="201">
        <f t="shared" si="1"/>
        <v>4</v>
      </c>
    </row>
    <row r="113" spans="1:7">
      <c r="A113" s="157" t="s">
        <v>219</v>
      </c>
      <c r="B113" s="157" t="s">
        <v>133</v>
      </c>
      <c r="C113" s="158">
        <v>224.83569399999999</v>
      </c>
      <c r="D113" s="157">
        <v>2</v>
      </c>
      <c r="E113" s="140">
        <v>1</v>
      </c>
      <c r="F113" s="140">
        <v>1</v>
      </c>
      <c r="G113" s="201">
        <f t="shared" si="1"/>
        <v>4</v>
      </c>
    </row>
  </sheetData>
  <autoFilter ref="A2:G77" xr:uid="{00000000-0009-0000-0000-00000C000000}"/>
  <pageMargins left="0.7" right="0.7" top="0.75" bottom="0.75" header="0.3" footer="0.3"/>
  <pageSetup paperSize="9" scale="60"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30"/>
  <sheetViews>
    <sheetView showGridLines="0" zoomScaleNormal="100" zoomScaleSheetLayoutView="110" workbookViewId="0">
      <selection activeCell="F30" sqref="F30"/>
    </sheetView>
  </sheetViews>
  <sheetFormatPr defaultColWidth="9.140625" defaultRowHeight="12.75"/>
  <cols>
    <col min="1" max="1" width="54" style="7" bestFit="1" customWidth="1"/>
    <col min="2" max="2" width="50" style="7" customWidth="1"/>
    <col min="3" max="3" width="10.140625" style="7" customWidth="1"/>
    <col min="4" max="4" width="9.140625" style="7"/>
    <col min="5" max="5" width="10.85546875" style="7" customWidth="1"/>
    <col min="6" max="6" width="13.28515625" style="7" customWidth="1"/>
    <col min="7" max="11" width="9.140625" style="7"/>
    <col min="12" max="12" width="18" style="7" customWidth="1"/>
    <col min="13" max="16384" width="9.140625" style="7"/>
  </cols>
  <sheetData>
    <row r="1" spans="1:12">
      <c r="A1" s="91" t="s">
        <v>27</v>
      </c>
    </row>
    <row r="2" spans="1:12" ht="15">
      <c r="A2" s="235" t="s">
        <v>158</v>
      </c>
      <c r="B2" s="236"/>
      <c r="C2" s="236"/>
      <c r="D2" s="236"/>
      <c r="E2" s="236"/>
      <c r="F2" s="236"/>
      <c r="G2" s="236"/>
      <c r="H2" s="236"/>
      <c r="I2" s="236"/>
      <c r="J2" s="236"/>
      <c r="K2" s="236"/>
      <c r="L2" s="237"/>
    </row>
    <row r="3" spans="1:12" ht="38.25">
      <c r="A3" s="139" t="s">
        <v>144</v>
      </c>
      <c r="B3" s="139" t="s">
        <v>145</v>
      </c>
      <c r="C3" s="139" t="s">
        <v>37</v>
      </c>
      <c r="D3" s="139" t="s">
        <v>143</v>
      </c>
      <c r="E3" s="139" t="s">
        <v>170</v>
      </c>
      <c r="F3" s="139" t="s">
        <v>35</v>
      </c>
      <c r="G3" s="238" t="s">
        <v>151</v>
      </c>
      <c r="H3" s="236"/>
      <c r="I3" s="236"/>
      <c r="J3" s="236"/>
      <c r="K3" s="236"/>
      <c r="L3" s="237"/>
    </row>
    <row r="4" spans="1:12">
      <c r="A4" s="154">
        <v>120776</v>
      </c>
      <c r="B4" s="96" t="s">
        <v>146</v>
      </c>
      <c r="C4" s="96" t="s">
        <v>157</v>
      </c>
      <c r="D4" s="150">
        <v>1</v>
      </c>
      <c r="E4" s="96">
        <v>50</v>
      </c>
      <c r="F4" s="201">
        <f>+D4*E4</f>
        <v>50</v>
      </c>
      <c r="G4" s="96" t="s">
        <v>152</v>
      </c>
      <c r="H4" s="96"/>
      <c r="I4" s="96"/>
      <c r="J4" s="96"/>
      <c r="K4" s="96"/>
      <c r="L4" s="96"/>
    </row>
    <row r="5" spans="1:12">
      <c r="A5" s="154">
        <v>420810</v>
      </c>
      <c r="B5" s="96" t="s">
        <v>147</v>
      </c>
      <c r="C5" s="96" t="s">
        <v>157</v>
      </c>
      <c r="D5" s="150">
        <v>1</v>
      </c>
      <c r="E5" s="96">
        <v>25</v>
      </c>
      <c r="F5" s="201">
        <f t="shared" ref="F5:F8" si="0">+D5*E5</f>
        <v>25</v>
      </c>
      <c r="G5" s="96" t="s">
        <v>153</v>
      </c>
      <c r="H5" s="96"/>
      <c r="I5" s="96"/>
      <c r="J5" s="96"/>
      <c r="K5" s="96"/>
      <c r="L5" s="96"/>
    </row>
    <row r="6" spans="1:12">
      <c r="A6" s="154">
        <v>100297</v>
      </c>
      <c r="B6" s="96" t="s">
        <v>148</v>
      </c>
      <c r="C6" s="96" t="s">
        <v>157</v>
      </c>
      <c r="D6" s="150">
        <v>1</v>
      </c>
      <c r="E6" s="96">
        <v>300</v>
      </c>
      <c r="F6" s="201">
        <f t="shared" si="0"/>
        <v>300</v>
      </c>
      <c r="G6" s="96" t="s">
        <v>154</v>
      </c>
      <c r="H6" s="96"/>
      <c r="I6" s="96"/>
      <c r="J6" s="96"/>
      <c r="K6" s="96"/>
      <c r="L6" s="96"/>
    </row>
    <row r="7" spans="1:12">
      <c r="A7" s="154">
        <v>290067</v>
      </c>
      <c r="B7" s="96" t="s">
        <v>149</v>
      </c>
      <c r="C7" s="96" t="s">
        <v>157</v>
      </c>
      <c r="D7" s="150">
        <v>1</v>
      </c>
      <c r="E7" s="152">
        <v>20</v>
      </c>
      <c r="F7" s="201">
        <f t="shared" si="0"/>
        <v>20</v>
      </c>
      <c r="G7" s="96" t="s">
        <v>155</v>
      </c>
      <c r="H7" s="96"/>
      <c r="I7" s="96"/>
      <c r="J7" s="96"/>
      <c r="K7" s="96"/>
      <c r="L7" s="96"/>
    </row>
    <row r="8" spans="1:12">
      <c r="A8" s="154">
        <v>110273</v>
      </c>
      <c r="B8" s="96" t="s">
        <v>150</v>
      </c>
      <c r="C8" s="96" t="s">
        <v>157</v>
      </c>
      <c r="D8" s="150">
        <v>1</v>
      </c>
      <c r="E8" s="96">
        <v>50</v>
      </c>
      <c r="F8" s="201">
        <f t="shared" si="0"/>
        <v>50</v>
      </c>
      <c r="G8" s="96" t="s">
        <v>156</v>
      </c>
      <c r="H8" s="96"/>
      <c r="I8" s="96"/>
      <c r="J8" s="96"/>
      <c r="K8" s="96"/>
      <c r="L8" s="96"/>
    </row>
    <row r="9" spans="1:12">
      <c r="A9" s="205" t="s">
        <v>814</v>
      </c>
      <c r="B9" s="82"/>
      <c r="C9" s="82"/>
      <c r="D9" s="82"/>
      <c r="E9" s="82"/>
      <c r="F9" s="206">
        <f>SUM(F4:F8)</f>
        <v>445</v>
      </c>
      <c r="G9" s="82"/>
      <c r="H9" s="82"/>
      <c r="I9" s="82"/>
      <c r="J9" s="82"/>
      <c r="K9" s="82"/>
      <c r="L9" s="82"/>
    </row>
    <row r="11" spans="1:12" ht="15">
      <c r="A11" s="235" t="s">
        <v>159</v>
      </c>
      <c r="B11" s="236"/>
      <c r="C11" s="236"/>
      <c r="D11" s="236"/>
      <c r="E11" s="236"/>
      <c r="F11" s="237"/>
    </row>
    <row r="12" spans="1:12" ht="25.5">
      <c r="A12" s="139" t="s">
        <v>93</v>
      </c>
      <c r="B12" s="139" t="s">
        <v>145</v>
      </c>
      <c r="C12" s="139" t="s">
        <v>162</v>
      </c>
      <c r="D12" s="139" t="s">
        <v>160</v>
      </c>
      <c r="E12" s="139" t="s">
        <v>161</v>
      </c>
      <c r="F12" s="139" t="s">
        <v>35</v>
      </c>
    </row>
    <row r="13" spans="1:12">
      <c r="A13" s="95" t="s">
        <v>108</v>
      </c>
      <c r="B13" s="96" t="s">
        <v>163</v>
      </c>
      <c r="C13" s="96">
        <v>8</v>
      </c>
      <c r="D13" s="150">
        <v>1</v>
      </c>
      <c r="E13" s="141">
        <f>+C13*D13</f>
        <v>8</v>
      </c>
      <c r="F13" s="201">
        <f>+E13*52</f>
        <v>416</v>
      </c>
    </row>
    <row r="14" spans="1:12">
      <c r="A14" s="95" t="s">
        <v>108</v>
      </c>
      <c r="B14" s="96" t="s">
        <v>164</v>
      </c>
      <c r="C14" s="96">
        <v>2</v>
      </c>
      <c r="D14" s="150">
        <v>1</v>
      </c>
      <c r="E14" s="141">
        <f t="shared" ref="E14:E18" si="1">+C14*D14</f>
        <v>2</v>
      </c>
      <c r="F14" s="201">
        <f t="shared" ref="F14:F18" si="2">+E14*52</f>
        <v>104</v>
      </c>
    </row>
    <row r="15" spans="1:12">
      <c r="A15" s="95" t="s">
        <v>108</v>
      </c>
      <c r="B15" s="96" t="s">
        <v>165</v>
      </c>
      <c r="C15" s="96">
        <v>6</v>
      </c>
      <c r="D15" s="150">
        <v>1</v>
      </c>
      <c r="E15" s="141">
        <f t="shared" si="1"/>
        <v>6</v>
      </c>
      <c r="F15" s="201">
        <f t="shared" si="2"/>
        <v>312</v>
      </c>
    </row>
    <row r="16" spans="1:12">
      <c r="A16" s="95" t="s">
        <v>108</v>
      </c>
      <c r="B16" s="96" t="s">
        <v>166</v>
      </c>
      <c r="C16" s="96">
        <v>6</v>
      </c>
      <c r="D16" s="150">
        <v>1</v>
      </c>
      <c r="E16" s="141">
        <f t="shared" si="1"/>
        <v>6</v>
      </c>
      <c r="F16" s="201">
        <f t="shared" si="2"/>
        <v>312</v>
      </c>
    </row>
    <row r="17" spans="1:6">
      <c r="A17" s="95" t="s">
        <v>108</v>
      </c>
      <c r="B17" s="96" t="s">
        <v>167</v>
      </c>
      <c r="C17" s="96">
        <v>8</v>
      </c>
      <c r="D17" s="150">
        <v>1</v>
      </c>
      <c r="E17" s="141">
        <f t="shared" si="1"/>
        <v>8</v>
      </c>
      <c r="F17" s="201">
        <f t="shared" si="2"/>
        <v>416</v>
      </c>
    </row>
    <row r="18" spans="1:6">
      <c r="A18" s="95" t="s">
        <v>171</v>
      </c>
      <c r="B18" s="152" t="s">
        <v>179</v>
      </c>
      <c r="C18" s="96">
        <v>10</v>
      </c>
      <c r="D18" s="150">
        <v>1</v>
      </c>
      <c r="E18" s="141">
        <f t="shared" si="1"/>
        <v>10</v>
      </c>
      <c r="F18" s="201">
        <f t="shared" si="2"/>
        <v>520</v>
      </c>
    </row>
    <row r="19" spans="1:6">
      <c r="A19" s="95" t="s">
        <v>175</v>
      </c>
      <c r="B19" s="96" t="s">
        <v>177</v>
      </c>
      <c r="C19" s="96">
        <v>7</v>
      </c>
      <c r="D19" s="150">
        <v>1</v>
      </c>
      <c r="E19" s="141">
        <f t="shared" ref="E19:E28" si="3">+C19*D19</f>
        <v>7</v>
      </c>
      <c r="F19" s="201">
        <f t="shared" ref="F19:F28" si="4">+E19*52</f>
        <v>364</v>
      </c>
    </row>
    <row r="20" spans="1:6">
      <c r="A20" s="95" t="s">
        <v>98</v>
      </c>
      <c r="B20" s="96" t="s">
        <v>168</v>
      </c>
      <c r="C20" s="96">
        <v>3</v>
      </c>
      <c r="D20" s="150">
        <v>1</v>
      </c>
      <c r="E20" s="141">
        <f t="shared" si="3"/>
        <v>3</v>
      </c>
      <c r="F20" s="201">
        <f t="shared" si="4"/>
        <v>156</v>
      </c>
    </row>
    <row r="21" spans="1:6">
      <c r="A21" s="95" t="s">
        <v>99</v>
      </c>
      <c r="B21" s="96" t="s">
        <v>177</v>
      </c>
      <c r="C21" s="96">
        <v>1</v>
      </c>
      <c r="D21" s="150">
        <v>1</v>
      </c>
      <c r="E21" s="141">
        <f t="shared" si="3"/>
        <v>1</v>
      </c>
      <c r="F21" s="201">
        <f t="shared" si="4"/>
        <v>52</v>
      </c>
    </row>
    <row r="22" spans="1:6">
      <c r="A22" s="95" t="s">
        <v>100</v>
      </c>
      <c r="B22" s="96" t="s">
        <v>168</v>
      </c>
      <c r="C22" s="96">
        <v>9</v>
      </c>
      <c r="D22" s="150">
        <v>1</v>
      </c>
      <c r="E22" s="141">
        <f t="shared" si="3"/>
        <v>9</v>
      </c>
      <c r="F22" s="201">
        <f t="shared" si="4"/>
        <v>468</v>
      </c>
    </row>
    <row r="23" spans="1:6">
      <c r="A23" s="95" t="s">
        <v>176</v>
      </c>
      <c r="B23" s="96" t="s">
        <v>168</v>
      </c>
      <c r="C23" s="96">
        <v>2</v>
      </c>
      <c r="D23" s="150">
        <v>1</v>
      </c>
      <c r="E23" s="141">
        <f t="shared" si="3"/>
        <v>2</v>
      </c>
      <c r="F23" s="201">
        <f t="shared" si="4"/>
        <v>104</v>
      </c>
    </row>
    <row r="24" spans="1:6">
      <c r="A24" s="95" t="s">
        <v>101</v>
      </c>
      <c r="B24" s="96" t="s">
        <v>168</v>
      </c>
      <c r="C24" s="96">
        <v>3</v>
      </c>
      <c r="D24" s="150">
        <v>1</v>
      </c>
      <c r="E24" s="141">
        <f t="shared" si="3"/>
        <v>3</v>
      </c>
      <c r="F24" s="201">
        <f t="shared" si="4"/>
        <v>156</v>
      </c>
    </row>
    <row r="25" spans="1:6">
      <c r="A25" s="95" t="s">
        <v>102</v>
      </c>
      <c r="B25" s="96" t="s">
        <v>168</v>
      </c>
      <c r="C25" s="96">
        <v>5</v>
      </c>
      <c r="D25" s="150">
        <v>1</v>
      </c>
      <c r="E25" s="141">
        <f t="shared" si="3"/>
        <v>5</v>
      </c>
      <c r="F25" s="201">
        <f t="shared" si="4"/>
        <v>260</v>
      </c>
    </row>
    <row r="26" spans="1:6">
      <c r="A26" s="95" t="s">
        <v>103</v>
      </c>
      <c r="B26" s="96" t="s">
        <v>168</v>
      </c>
      <c r="C26" s="96">
        <v>1</v>
      </c>
      <c r="D26" s="150">
        <v>1</v>
      </c>
      <c r="E26" s="141">
        <f t="shared" si="3"/>
        <v>1</v>
      </c>
      <c r="F26" s="201">
        <f t="shared" si="4"/>
        <v>52</v>
      </c>
    </row>
    <row r="27" spans="1:6">
      <c r="A27" s="95" t="s">
        <v>220</v>
      </c>
      <c r="B27" s="96" t="s">
        <v>168</v>
      </c>
      <c r="C27" s="96">
        <v>1</v>
      </c>
      <c r="D27" s="150">
        <v>1</v>
      </c>
      <c r="E27" s="141">
        <f t="shared" si="3"/>
        <v>1</v>
      </c>
      <c r="F27" s="201">
        <f t="shared" si="4"/>
        <v>52</v>
      </c>
    </row>
    <row r="28" spans="1:6">
      <c r="A28" s="95" t="s">
        <v>112</v>
      </c>
      <c r="B28" s="96" t="s">
        <v>168</v>
      </c>
      <c r="C28" s="96">
        <v>2</v>
      </c>
      <c r="D28" s="150">
        <v>1</v>
      </c>
      <c r="E28" s="141">
        <f t="shared" si="3"/>
        <v>2</v>
      </c>
      <c r="F28" s="201">
        <f t="shared" si="4"/>
        <v>104</v>
      </c>
    </row>
    <row r="29" spans="1:6" s="63" customFormat="1">
      <c r="A29" s="151" t="s">
        <v>814</v>
      </c>
      <c r="F29" s="142">
        <f>+SUM(F13:F17)</f>
        <v>1560</v>
      </c>
    </row>
    <row r="30" spans="1:6">
      <c r="A30" s="63" t="s">
        <v>815</v>
      </c>
      <c r="F30" s="142">
        <f>F9+F29</f>
        <v>2005</v>
      </c>
    </row>
  </sheetData>
  <mergeCells count="3">
    <mergeCell ref="A2:L2"/>
    <mergeCell ref="A11:F11"/>
    <mergeCell ref="G3:L3"/>
  </mergeCells>
  <pageMargins left="0.7" right="0.7" top="0.75" bottom="0.75" header="0.3" footer="0.3"/>
  <pageSetup paperSize="9" scale="42"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1"/>
  <sheetViews>
    <sheetView showGridLines="0" showZeros="0" zoomScaleNormal="100" zoomScaleSheetLayoutView="140" workbookViewId="0">
      <pane ySplit="3" topLeftCell="A10" activePane="bottomLeft" state="frozen"/>
      <selection sqref="A1:XFD1048576"/>
      <selection pane="bottomLeft" activeCell="B26" sqref="B26"/>
    </sheetView>
  </sheetViews>
  <sheetFormatPr defaultColWidth="11.42578125" defaultRowHeight="12.75"/>
  <cols>
    <col min="1" max="1" width="33.85546875" style="7" customWidth="1"/>
    <col min="2" max="6" width="17.5703125" style="7" customWidth="1"/>
    <col min="7" max="16384" width="11.42578125" style="7"/>
  </cols>
  <sheetData>
    <row r="1" spans="1:6">
      <c r="A1" s="91" t="s">
        <v>27</v>
      </c>
      <c r="B1" s="92"/>
      <c r="C1" s="93"/>
      <c r="D1" s="94"/>
    </row>
    <row r="3" spans="1:6" ht="15">
      <c r="A3" s="38" t="s">
        <v>45</v>
      </c>
      <c r="B3" s="39"/>
      <c r="C3" s="39"/>
      <c r="D3" s="40"/>
      <c r="E3" s="40"/>
      <c r="F3" s="41"/>
    </row>
    <row r="5" spans="1:6">
      <c r="A5" s="42"/>
      <c r="B5" s="43"/>
      <c r="C5" s="239" t="s">
        <v>23</v>
      </c>
      <c r="D5" s="240"/>
      <c r="E5" s="240"/>
      <c r="F5" s="241"/>
    </row>
    <row r="6" spans="1:6">
      <c r="A6" s="44" t="s">
        <v>39</v>
      </c>
      <c r="B6" s="44" t="s">
        <v>13</v>
      </c>
      <c r="C6" s="45" t="s">
        <v>8</v>
      </c>
      <c r="D6" s="46" t="s">
        <v>9</v>
      </c>
      <c r="E6" s="46" t="s">
        <v>10</v>
      </c>
      <c r="F6" s="46" t="s">
        <v>11</v>
      </c>
    </row>
    <row r="7" spans="1:6">
      <c r="A7" s="47" t="s">
        <v>48</v>
      </c>
      <c r="B7" s="48" t="s">
        <v>30</v>
      </c>
      <c r="C7" s="49">
        <v>0</v>
      </c>
      <c r="D7" s="49">
        <v>0</v>
      </c>
      <c r="E7" s="49">
        <v>0</v>
      </c>
      <c r="F7" s="49">
        <v>0</v>
      </c>
    </row>
    <row r="8" spans="1:6">
      <c r="A8" s="47" t="s">
        <v>49</v>
      </c>
      <c r="B8" s="48" t="s">
        <v>31</v>
      </c>
      <c r="C8" s="49">
        <v>0</v>
      </c>
      <c r="D8" s="49">
        <v>0</v>
      </c>
      <c r="E8" s="49">
        <v>0</v>
      </c>
      <c r="F8" s="49">
        <v>0</v>
      </c>
    </row>
    <row r="9" spans="1:6">
      <c r="A9" s="50" t="s">
        <v>50</v>
      </c>
      <c r="B9" s="48"/>
      <c r="C9" s="49">
        <v>0</v>
      </c>
      <c r="D9" s="49">
        <v>0</v>
      </c>
      <c r="E9" s="49">
        <v>0</v>
      </c>
      <c r="F9" s="49">
        <v>0</v>
      </c>
    </row>
    <row r="10" spans="1:6">
      <c r="A10" s="50" t="s">
        <v>4</v>
      </c>
      <c r="B10" s="48"/>
      <c r="C10" s="49">
        <v>0</v>
      </c>
      <c r="D10" s="49">
        <v>0</v>
      </c>
      <c r="E10" s="49">
        <v>0</v>
      </c>
      <c r="F10" s="49">
        <v>0</v>
      </c>
    </row>
    <row r="11" spans="1:6" ht="12" customHeight="1">
      <c r="A11" s="51" t="s">
        <v>5</v>
      </c>
      <c r="B11" s="48"/>
      <c r="C11" s="49">
        <v>0</v>
      </c>
      <c r="D11" s="49">
        <v>0</v>
      </c>
      <c r="E11" s="49">
        <v>0</v>
      </c>
      <c r="F11" s="49">
        <v>0</v>
      </c>
    </row>
    <row r="12" spans="1:6">
      <c r="A12" s="51" t="s">
        <v>7</v>
      </c>
      <c r="B12" s="48"/>
      <c r="C12" s="49">
        <v>0</v>
      </c>
      <c r="D12" s="49">
        <v>0</v>
      </c>
      <c r="E12" s="49">
        <v>0</v>
      </c>
      <c r="F12" s="49">
        <v>0</v>
      </c>
    </row>
    <row r="13" spans="1:6">
      <c r="A13" s="52"/>
      <c r="B13" s="52"/>
      <c r="C13" s="52"/>
      <c r="D13" s="53"/>
    </row>
    <row r="14" spans="1:6" ht="15">
      <c r="A14" s="54" t="s">
        <v>47</v>
      </c>
      <c r="B14" s="55"/>
      <c r="C14" s="55"/>
      <c r="D14" s="56"/>
      <c r="E14" s="56"/>
      <c r="F14" s="57"/>
    </row>
    <row r="15" spans="1:6">
      <c r="A15" s="58" t="s">
        <v>25</v>
      </c>
      <c r="B15" s="59"/>
      <c r="C15" s="59"/>
      <c r="D15" s="60"/>
      <c r="E15" s="60"/>
      <c r="F15" s="61"/>
    </row>
    <row r="16" spans="1:6">
      <c r="A16" s="62"/>
      <c r="B16" s="62"/>
      <c r="C16" s="62"/>
      <c r="D16" s="62"/>
      <c r="E16" s="63"/>
      <c r="F16" s="63"/>
    </row>
    <row r="17" spans="1:7">
      <c r="A17" s="64"/>
      <c r="B17" s="65"/>
      <c r="C17" s="239" t="s">
        <v>24</v>
      </c>
      <c r="D17" s="240"/>
      <c r="E17" s="240"/>
      <c r="F17" s="241"/>
    </row>
    <row r="18" spans="1:7" s="66" customFormat="1">
      <c r="A18" s="44" t="s">
        <v>39</v>
      </c>
      <c r="B18" s="44" t="s">
        <v>13</v>
      </c>
      <c r="C18" s="45" t="s">
        <v>2</v>
      </c>
      <c r="D18" s="45" t="s">
        <v>41</v>
      </c>
      <c r="E18" s="45" t="s">
        <v>19</v>
      </c>
      <c r="F18" s="45" t="s">
        <v>16</v>
      </c>
    </row>
    <row r="19" spans="1:7">
      <c r="A19" s="67" t="s">
        <v>6</v>
      </c>
      <c r="B19" s="68"/>
      <c r="C19" s="49">
        <v>0</v>
      </c>
      <c r="D19" s="49">
        <v>0</v>
      </c>
      <c r="E19" s="49">
        <v>0</v>
      </c>
      <c r="F19" s="49">
        <v>0</v>
      </c>
    </row>
    <row r="20" spans="1:7">
      <c r="A20" s="67" t="s">
        <v>44</v>
      </c>
      <c r="B20" s="68"/>
      <c r="C20" s="49">
        <v>0</v>
      </c>
      <c r="D20" s="49">
        <v>0</v>
      </c>
      <c r="E20" s="49">
        <v>0</v>
      </c>
      <c r="F20" s="49">
        <v>0</v>
      </c>
    </row>
    <row r="21" spans="1:7">
      <c r="A21" s="67" t="s">
        <v>36</v>
      </c>
      <c r="B21" s="69"/>
      <c r="C21" s="49">
        <v>0</v>
      </c>
      <c r="D21" s="49">
        <v>0</v>
      </c>
      <c r="E21" s="49">
        <v>0</v>
      </c>
      <c r="F21" s="49">
        <v>0</v>
      </c>
    </row>
    <row r="22" spans="1:7">
      <c r="A22" s="70"/>
      <c r="B22" s="71"/>
      <c r="C22" s="71"/>
      <c r="D22" s="72"/>
    </row>
    <row r="23" spans="1:7" ht="15">
      <c r="A23" s="38" t="s">
        <v>15</v>
      </c>
      <c r="B23" s="73"/>
      <c r="C23" s="73"/>
      <c r="D23" s="73"/>
      <c r="E23" s="73"/>
      <c r="F23" s="74"/>
    </row>
    <row r="24" spans="1:7">
      <c r="A24" s="75"/>
      <c r="B24" s="52"/>
      <c r="C24" s="52"/>
      <c r="D24" s="53"/>
    </row>
    <row r="25" spans="1:7">
      <c r="A25" s="76" t="s">
        <v>39</v>
      </c>
      <c r="B25" s="42" t="s">
        <v>13</v>
      </c>
      <c r="C25" s="77"/>
      <c r="D25" s="77"/>
      <c r="E25" s="77"/>
      <c r="F25" s="78" t="s">
        <v>38</v>
      </c>
    </row>
    <row r="26" spans="1:7">
      <c r="A26" s="51" t="s">
        <v>0</v>
      </c>
      <c r="B26" s="79"/>
      <c r="C26" s="79"/>
      <c r="D26" s="79"/>
      <c r="E26" s="79"/>
      <c r="F26" s="80">
        <v>0</v>
      </c>
    </row>
    <row r="27" spans="1:7">
      <c r="A27" s="51" t="s">
        <v>43</v>
      </c>
      <c r="B27" s="81"/>
      <c r="C27" s="81"/>
      <c r="D27" s="81"/>
      <c r="E27" s="81"/>
      <c r="F27" s="80">
        <v>0</v>
      </c>
    </row>
    <row r="28" spans="1:7">
      <c r="A28" s="77"/>
      <c r="B28" s="77"/>
      <c r="C28" s="77"/>
      <c r="D28" s="77"/>
      <c r="E28" s="82"/>
      <c r="F28" s="82"/>
      <c r="G28" s="82"/>
    </row>
    <row r="29" spans="1:7" ht="25.5">
      <c r="A29" s="76" t="s">
        <v>39</v>
      </c>
      <c r="B29" s="83" t="s">
        <v>13</v>
      </c>
      <c r="C29" s="84"/>
      <c r="D29" s="85"/>
      <c r="E29" s="86" t="s">
        <v>52</v>
      </c>
      <c r="F29" s="87" t="s">
        <v>28</v>
      </c>
    </row>
    <row r="30" spans="1:7">
      <c r="A30" s="51" t="s">
        <v>29</v>
      </c>
      <c r="B30" s="88" t="s">
        <v>17</v>
      </c>
      <c r="C30" s="89"/>
      <c r="D30" s="81"/>
      <c r="E30" s="80">
        <v>0</v>
      </c>
      <c r="F30" s="80">
        <v>0</v>
      </c>
    </row>
    <row r="31" spans="1:7">
      <c r="A31" s="51" t="s">
        <v>3</v>
      </c>
      <c r="B31" s="88" t="s">
        <v>17</v>
      </c>
      <c r="C31" s="89"/>
      <c r="D31" s="81"/>
      <c r="E31" s="80">
        <v>0</v>
      </c>
      <c r="F31" s="80">
        <v>0</v>
      </c>
    </row>
    <row r="32" spans="1:7">
      <c r="A32" s="77"/>
      <c r="B32" s="77"/>
      <c r="C32" s="77"/>
      <c r="D32" s="77"/>
      <c r="E32" s="82"/>
      <c r="F32" s="82"/>
      <c r="G32" s="82"/>
    </row>
    <row r="33" spans="1:6" ht="25.5">
      <c r="A33" s="76" t="s">
        <v>39</v>
      </c>
      <c r="B33" s="83" t="s">
        <v>13</v>
      </c>
      <c r="C33" s="84"/>
      <c r="D33" s="85"/>
      <c r="E33" s="86" t="s">
        <v>33</v>
      </c>
      <c r="F33" s="87" t="s">
        <v>32</v>
      </c>
    </row>
    <row r="34" spans="1:6">
      <c r="A34" s="51" t="s">
        <v>51</v>
      </c>
      <c r="B34" s="88" t="s">
        <v>17</v>
      </c>
      <c r="C34" s="89"/>
      <c r="D34" s="81"/>
      <c r="E34" s="80">
        <v>0</v>
      </c>
      <c r="F34" s="80">
        <v>0</v>
      </c>
    </row>
    <row r="35" spans="1:6">
      <c r="A35" s="52"/>
      <c r="B35" s="53"/>
      <c r="C35" s="53"/>
      <c r="D35" s="52"/>
    </row>
    <row r="36" spans="1:6" ht="15">
      <c r="A36" s="90" t="s">
        <v>1</v>
      </c>
      <c r="B36" s="53"/>
      <c r="C36" s="53"/>
      <c r="D36" s="52"/>
    </row>
    <row r="37" spans="1:6">
      <c r="A37" s="52" t="s">
        <v>34</v>
      </c>
      <c r="B37" s="53"/>
      <c r="C37" s="53"/>
      <c r="D37" s="52"/>
    </row>
    <row r="38" spans="1:6">
      <c r="A38" s="52" t="s">
        <v>14</v>
      </c>
      <c r="B38" s="53"/>
      <c r="C38" s="53"/>
      <c r="D38" s="52"/>
    </row>
    <row r="39" spans="1:6">
      <c r="A39" s="52"/>
      <c r="B39" s="53"/>
      <c r="C39" s="53"/>
      <c r="D39" s="52"/>
    </row>
    <row r="41" spans="1:6">
      <c r="A41" s="92"/>
      <c r="B41" s="92"/>
      <c r="C41" s="92"/>
      <c r="D41" s="92"/>
    </row>
  </sheetData>
  <mergeCells count="2">
    <mergeCell ref="C17:F17"/>
    <mergeCell ref="C5:F5"/>
  </mergeCells>
  <phoneticPr fontId="8"/>
  <conditionalFormatting sqref="F26:F27 C19:F21 E34:F34 E30:F31">
    <cfRule type="cellIs" dxfId="0" priority="1" stopIfTrue="1" operator="equal">
      <formula>"nvt"</formula>
    </cfRule>
  </conditionalFormatting>
  <printOptions horizontalCentered="1"/>
  <pageMargins left="0.59055118110236227" right="0.59055118110236227" top="0.59055118110236227" bottom="0.78740157480314965" header="0.39370078740157483" footer="0.19685039370078741"/>
  <pageSetup paperSize="9" scale="75" orientation="portrait" r:id="rId1"/>
  <headerFooter alignWithMargins="0">
    <oddFooter>&amp;L&amp;"Verdana,Regular"&amp;F-&amp;A
Atir b.v. ©&amp;C&amp;R&amp;"Verdana,Regular"printversie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1612FE230EBB44AFB9BAF93548099F" ma:contentTypeVersion="13" ma:contentTypeDescription="Een nieuw document maken." ma:contentTypeScope="" ma:versionID="80939db7441588a9ac44704eac36508b">
  <xsd:schema xmlns:xsd="http://www.w3.org/2001/XMLSchema" xmlns:xs="http://www.w3.org/2001/XMLSchema" xmlns:p="http://schemas.microsoft.com/office/2006/metadata/properties" xmlns:ns2="209ba6de-25e1-4b58-8b3b-98a90ea43f6a" xmlns:ns3="388c4e1c-eb8f-4144-9aae-dfb22c71954f" targetNamespace="http://schemas.microsoft.com/office/2006/metadata/properties" ma:root="true" ma:fieldsID="b8cf4cf587ea7e904d5898cb6ff55b1d" ns2:_="" ns3:_="">
    <xsd:import namespace="209ba6de-25e1-4b58-8b3b-98a90ea43f6a"/>
    <xsd:import namespace="388c4e1c-eb8f-4144-9aae-dfb22c71954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ba6de-25e1-4b58-8b3b-98a90ea43f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8c4e1c-eb8f-4144-9aae-dfb22c71954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8B6141-A4E4-4546-B85C-A78FF11B350A}">
  <ds:schemaRefs>
    <ds:schemaRef ds:uri="http://schemas.microsoft.com/sharepoint/v3/contenttype/forms"/>
  </ds:schemaRefs>
</ds:datastoreItem>
</file>

<file path=customXml/itemProps2.xml><?xml version="1.0" encoding="utf-8"?>
<ds:datastoreItem xmlns:ds="http://schemas.openxmlformats.org/officeDocument/2006/customXml" ds:itemID="{4247D705-DDF5-4A90-A9EC-C7C1E3B619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B170757-B840-44C4-AC06-2FE238BB3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ba6de-25e1-4b58-8b3b-98a90ea43f6a"/>
    <ds:schemaRef ds:uri="388c4e1c-eb8f-4144-9aae-dfb22c7195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Toelichting calculatiemodel</vt:lpstr>
      <vt:lpstr>Info blad</vt:lpstr>
      <vt:lpstr>Kostenoverzicht</vt:lpstr>
      <vt:lpstr>Additioneel</vt:lpstr>
      <vt:lpstr>Ruimtestaat</vt:lpstr>
      <vt:lpstr>Glas</vt:lpstr>
      <vt:lpstr>Sanitair</vt:lpstr>
      <vt:lpstr>Afroepprijs</vt:lpstr>
      <vt:lpstr>Afroepprijs!Afdrukbereik</vt:lpstr>
      <vt:lpstr>'Info blad'!Afdrukbereik</vt:lpstr>
      <vt:lpstr>Kostenoverzicht!Afdrukbereik</vt:lpstr>
      <vt:lpstr>'Toelichting calculatiemodel'!Afdrukbereik</vt:lpstr>
      <vt:lpstr>Kostenoverzicht!Afdruktitels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van der Velde</dc:creator>
  <cp:lastModifiedBy>Bas</cp:lastModifiedBy>
  <cp:lastPrinted>2016-06-21T12:19:32Z</cp:lastPrinted>
  <dcterms:created xsi:type="dcterms:W3CDTF">1999-10-05T12:28:40Z</dcterms:created>
  <dcterms:modified xsi:type="dcterms:W3CDTF">2021-10-04T11:49:46Z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0x010100BF1612FE230EBB44AFB9BAF93548099F</vt:lpwstr>
  </property>
</Properties>
</file>