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I:\VPR\02 Projecten\Lopend\603842201 RO maaien stedelijk schraal gras en sloten Eindhoven Oost\06. Aanbesteding\05. Nota van Inlichtingen\Nota 2\"/>
    </mc:Choice>
  </mc:AlternateContent>
  <xr:revisionPtr revIDLastSave="0" documentId="8_{4B51ABBD-CBBE-488D-B1A8-7E033C5B7D4A}" xr6:coauthVersionLast="47" xr6:coauthVersionMax="47" xr10:uidLastSave="{00000000-0000-0000-0000-000000000000}"/>
  <workbookProtection workbookAlgorithmName="SHA-512" workbookHashValue="W8Rkm4DRkM6xhkcEBHSm55UEFsxwSlC/ci07LLQ9w3lhsYJ7sN89Qn4dkFdTjLwDAC+S4v6mXs82Iz13IuJPKA==" workbookSaltValue="Z1d1uBZdYr1LMHyEo2yxlg==" workbookSpinCount="100000" lockStructure="1"/>
  <bookViews>
    <workbookView xWindow="-110" yWindow="-110" windowWidth="22780" windowHeight="14660" tabRatio="775" firstSheet="2" activeTab="3" xr2:uid="{00000000-000D-0000-FFFF-FFFF00000000}"/>
  </bookViews>
  <sheets>
    <sheet name="dashboard" sheetId="9" state="hidden" r:id="rId1"/>
    <sheet name="output" sheetId="10" state="hidden" r:id="rId2"/>
    <sheet name="voorbeeldberekening" sheetId="19" r:id="rId3"/>
    <sheet name="invulblad" sheetId="18" r:id="rId4"/>
  </sheets>
  <definedNames>
    <definedName name="asfaltMAXkorting">dashboard!$B$25</definedName>
    <definedName name="bandenCIRCdrempel">dashboard!$B$10</definedName>
    <definedName name="bandenCIRCfactor">output!#REF!</definedName>
    <definedName name="bandenCIRCkorting">dashboard!$B$13</definedName>
    <definedName name="bandenCIRCplafond">dashboard!$B$11</definedName>
    <definedName name="bandenMAXkorting">dashboard!$B$7</definedName>
    <definedName name="bandenMKIdrempel">dashboard!$B$8</definedName>
    <definedName name="bandenMKIfactor">output!#REF!</definedName>
    <definedName name="bandenMKIkorting">dashboard!$B$12</definedName>
    <definedName name="bandenMKIplafond">dashboard!$B$9</definedName>
    <definedName name="bandMKIdrempel">output!#REF!</definedName>
    <definedName name="bandMKIplafond">output!#REF!</definedName>
    <definedName name="betonMAXkorting">dashboard!$B$3</definedName>
    <definedName name="buizenCIRCdrempel">dashboard!$B$20</definedName>
    <definedName name="buizenCIRCfactor">output!#REF!</definedName>
    <definedName name="buizenCIRCkorting">dashboard!$B$23</definedName>
    <definedName name="buizenCIRCplafond">dashboard!$B$21</definedName>
    <definedName name="buizenMAXkorting">dashboard!$B$17</definedName>
    <definedName name="buizenMKIdrempel">dashboard!$B$18</definedName>
    <definedName name="buizenMKIfactor">output!#REF!</definedName>
    <definedName name="buizenMKIkorting">dashboard!$B$22</definedName>
    <definedName name="buizenMKIplafond">dashboard!$B$19</definedName>
    <definedName name="deklaagCIRCdrempel">dashboard!$B$31</definedName>
    <definedName name="deklaagCIRCfactor">output!$W$11</definedName>
    <definedName name="deklaagCIRCkorting">dashboard!$B$36</definedName>
    <definedName name="deklaagCIRCplafond">dashboard!$B$32</definedName>
    <definedName name="deklaagGARdrempel">dashboard!$B$33</definedName>
    <definedName name="deklaagGARkorting">dashboard!$B$37</definedName>
    <definedName name="deklaagGARplafond">dashboard!$B$34</definedName>
    <definedName name="deklaagMAXkorting">dashboard!$B$28</definedName>
    <definedName name="deklaagMKIdrempel">dashboard!$B$29</definedName>
    <definedName name="deklaagMKIfactor">output!$V$11</definedName>
    <definedName name="deklaagMKIkorting">dashboard!$B$35</definedName>
    <definedName name="deklaagMKIplafond">dashboard!$B$30</definedName>
    <definedName name="kortingTOTAAL">dashboard!$B$1</definedName>
    <definedName name="onderCIRCdrempel">dashboard!$B$67</definedName>
    <definedName name="onderCIRCfactor">output!$W$49</definedName>
    <definedName name="onderCIRCkorting">dashboard!$B$72</definedName>
    <definedName name="onderCIRCplafond">dashboard!$B$68</definedName>
    <definedName name="onderGARdrempel">dashboard!$B$69</definedName>
    <definedName name="onderGARkorting">dashboard!$B$73</definedName>
    <definedName name="onderGARplafond">dashboard!$B$70</definedName>
    <definedName name="onderMAXkorting">dashboard!$B$64</definedName>
    <definedName name="onderMKIdrempel">dashboard!$B$65</definedName>
    <definedName name="onderMKIfactor">output!$V$49</definedName>
    <definedName name="onderMKIkorting">dashboard!$B$71</definedName>
    <definedName name="onderMKIplafond">dashboard!$B$66</definedName>
    <definedName name="roodCIRCdrempel">dashboard!$B$43</definedName>
    <definedName name="roodCIRCkorting">dashboard!$B$48</definedName>
    <definedName name="roodCIRCplafond">dashboard!$B$44</definedName>
    <definedName name="roodGARdrempel">dashboard!$B$45</definedName>
    <definedName name="roodGARkorting">dashboard!$B$49</definedName>
    <definedName name="roodGARplafond">dashboard!$B$46</definedName>
    <definedName name="roodMKIdrempel">dashboard!$B$41</definedName>
    <definedName name="roodMKIkorting">dashboard!$B$47</definedName>
    <definedName name="roodMKIplafond">dashboard!$B$42</definedName>
    <definedName name="stenenCIRdrempel">dashboard!#REF!</definedName>
    <definedName name="stenenCIRkorting">dashboard!#REF!</definedName>
    <definedName name="stenenCIRplafond">dashboard!#REF!</definedName>
    <definedName name="stenenMAXkorting">dashboard!#REF!</definedName>
    <definedName name="stenenMKIdrempel">dashboard!#REF!</definedName>
    <definedName name="stenenMKIkorting">dashboard!#REF!</definedName>
    <definedName name="stenenMKIplafond">dashboard!#REF!</definedName>
    <definedName name="tegelsCIRdrempel">dashboard!#REF!</definedName>
    <definedName name="tegelsCIRkorting">dashboard!#REF!</definedName>
    <definedName name="tegelsCIRplafond">dashboard!#REF!</definedName>
    <definedName name="tegelsMAXkorting">dashboard!#REF!</definedName>
    <definedName name="tegelsMKIdrempel">dashboard!#REF!</definedName>
    <definedName name="tegelsMKIkoritng">dashboard!#REF!</definedName>
    <definedName name="tegelsMKIkorting">dashboard!#REF!</definedName>
    <definedName name="tegelsMKIplafond">dashboard!#REF!</definedName>
    <definedName name="tussenCIRCdrempel">dashboard!$B$55</definedName>
    <definedName name="tussenCIRCfactor">output!$W$34</definedName>
    <definedName name="tussenCIRCkorting">dashboard!$B$60</definedName>
    <definedName name="tussenCIRCplafond">dashboard!$B$56</definedName>
    <definedName name="tussenGARdrempel">dashboard!$B$57</definedName>
    <definedName name="tussenGARkorting">dashboard!$B$61</definedName>
    <definedName name="tussenGARplafond">dashboard!$B$58</definedName>
    <definedName name="tussenMAXkorting">dashboard!$B$52</definedName>
    <definedName name="tussenMKIdrempel">dashboard!$B$53</definedName>
    <definedName name="tussenMKIkorting">dashboard!$B$59</definedName>
    <definedName name="tussenMKIplafond">dashboard!$B$54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4" i="19" l="1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H59" i="19"/>
  <c r="F59" i="19"/>
  <c r="H58" i="19"/>
  <c r="F58" i="19"/>
  <c r="H57" i="19"/>
  <c r="F57" i="19"/>
  <c r="H56" i="19"/>
  <c r="F56" i="19"/>
  <c r="H55" i="19"/>
  <c r="F55" i="19"/>
  <c r="L50" i="19"/>
  <c r="K48" i="19"/>
  <c r="I48" i="19"/>
  <c r="G48" i="19"/>
  <c r="E48" i="19"/>
  <c r="J47" i="19"/>
  <c r="H47" i="19"/>
  <c r="F47" i="19"/>
  <c r="D47" i="19"/>
  <c r="J46" i="19"/>
  <c r="H46" i="19"/>
  <c r="F46" i="19"/>
  <c r="F48" i="19" s="1"/>
  <c r="G49" i="19" s="1"/>
  <c r="D46" i="19"/>
  <c r="J45" i="19"/>
  <c r="H45" i="19"/>
  <c r="F45" i="19"/>
  <c r="D45" i="19"/>
  <c r="L40" i="19"/>
  <c r="I38" i="19"/>
  <c r="G38" i="19"/>
  <c r="E38" i="19"/>
  <c r="H37" i="19"/>
  <c r="F37" i="19"/>
  <c r="D37" i="19"/>
  <c r="H36" i="19"/>
  <c r="F36" i="19"/>
  <c r="D36" i="19"/>
  <c r="H35" i="19"/>
  <c r="F35" i="19"/>
  <c r="D35" i="19"/>
  <c r="H34" i="19"/>
  <c r="F34" i="19"/>
  <c r="D34" i="19"/>
  <c r="H33" i="19"/>
  <c r="F33" i="19"/>
  <c r="D33" i="19"/>
  <c r="H32" i="19"/>
  <c r="F32" i="19"/>
  <c r="D32" i="19"/>
  <c r="H31" i="19"/>
  <c r="F31" i="19"/>
  <c r="D31" i="19"/>
  <c r="H30" i="19"/>
  <c r="F30" i="19"/>
  <c r="D30" i="19"/>
  <c r="H29" i="19"/>
  <c r="F29" i="19"/>
  <c r="D29" i="19"/>
  <c r="H28" i="19"/>
  <c r="F28" i="19"/>
  <c r="D28" i="19"/>
  <c r="H27" i="19"/>
  <c r="F27" i="19"/>
  <c r="D27" i="19"/>
  <c r="H26" i="19"/>
  <c r="F26" i="19"/>
  <c r="D26" i="19"/>
  <c r="H25" i="19"/>
  <c r="F25" i="19"/>
  <c r="D25" i="19"/>
  <c r="H24" i="19"/>
  <c r="F24" i="19"/>
  <c r="D24" i="19"/>
  <c r="H23" i="19"/>
  <c r="F23" i="19"/>
  <c r="D23" i="19"/>
  <c r="L18" i="19"/>
  <c r="K16" i="19"/>
  <c r="I16" i="19"/>
  <c r="G16" i="19"/>
  <c r="E16" i="19"/>
  <c r="J15" i="19"/>
  <c r="H15" i="19"/>
  <c r="F15" i="19"/>
  <c r="D15" i="19"/>
  <c r="J14" i="19"/>
  <c r="H14" i="19"/>
  <c r="F14" i="19"/>
  <c r="D14" i="19"/>
  <c r="J13" i="19"/>
  <c r="H13" i="19"/>
  <c r="F13" i="19"/>
  <c r="D13" i="19"/>
  <c r="J12" i="19"/>
  <c r="H12" i="19"/>
  <c r="F12" i="19"/>
  <c r="D12" i="19"/>
  <c r="J11" i="19"/>
  <c r="H11" i="19"/>
  <c r="F11" i="19"/>
  <c r="D11" i="19"/>
  <c r="J10" i="19"/>
  <c r="H10" i="19"/>
  <c r="F10" i="19"/>
  <c r="D10" i="19"/>
  <c r="J9" i="19"/>
  <c r="H9" i="19"/>
  <c r="F9" i="19"/>
  <c r="D9" i="19"/>
  <c r="J8" i="19"/>
  <c r="J16" i="19" s="1"/>
  <c r="K17" i="19" s="1"/>
  <c r="H8" i="19"/>
  <c r="H16" i="19" s="1"/>
  <c r="I17" i="19" s="1"/>
  <c r="F8" i="19"/>
  <c r="D8" i="19"/>
  <c r="I74" i="18"/>
  <c r="L40" i="18"/>
  <c r="L50" i="18"/>
  <c r="K48" i="18"/>
  <c r="I48" i="18"/>
  <c r="G48" i="18"/>
  <c r="E48" i="18"/>
  <c r="J47" i="18"/>
  <c r="H47" i="18"/>
  <c r="F47" i="18"/>
  <c r="D47" i="18"/>
  <c r="J46" i="18"/>
  <c r="H46" i="18"/>
  <c r="F46" i="18"/>
  <c r="D46" i="18"/>
  <c r="J45" i="18"/>
  <c r="H45" i="18"/>
  <c r="F45" i="18"/>
  <c r="D45" i="18"/>
  <c r="E38" i="18"/>
  <c r="K16" i="18"/>
  <c r="I16" i="18"/>
  <c r="G16" i="18"/>
  <c r="E16" i="18"/>
  <c r="L18" i="18"/>
  <c r="F55" i="18"/>
  <c r="H55" i="18"/>
  <c r="F56" i="18"/>
  <c r="H56" i="18"/>
  <c r="F57" i="18"/>
  <c r="H57" i="18"/>
  <c r="F58" i="18"/>
  <c r="H58" i="18"/>
  <c r="F59" i="18"/>
  <c r="H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I38" i="18"/>
  <c r="G38" i="18"/>
  <c r="H37" i="18"/>
  <c r="F37" i="18"/>
  <c r="D37" i="18"/>
  <c r="H36" i="18"/>
  <c r="F36" i="18"/>
  <c r="D36" i="18"/>
  <c r="H35" i="18"/>
  <c r="F35" i="18"/>
  <c r="D35" i="18"/>
  <c r="H34" i="18"/>
  <c r="F34" i="18"/>
  <c r="D34" i="18"/>
  <c r="H33" i="18"/>
  <c r="F33" i="18"/>
  <c r="D33" i="18"/>
  <c r="H32" i="18"/>
  <c r="F32" i="18"/>
  <c r="D32" i="18"/>
  <c r="H31" i="18"/>
  <c r="F31" i="18"/>
  <c r="D31" i="18"/>
  <c r="H30" i="18"/>
  <c r="F30" i="18"/>
  <c r="D30" i="18"/>
  <c r="H29" i="18"/>
  <c r="F29" i="18"/>
  <c r="D29" i="18"/>
  <c r="H28" i="18"/>
  <c r="F28" i="18"/>
  <c r="D28" i="18"/>
  <c r="H27" i="18"/>
  <c r="F27" i="18"/>
  <c r="D27" i="18"/>
  <c r="H26" i="18"/>
  <c r="F26" i="18"/>
  <c r="D26" i="18"/>
  <c r="H25" i="18"/>
  <c r="F25" i="18"/>
  <c r="D25" i="18"/>
  <c r="H24" i="18"/>
  <c r="F24" i="18"/>
  <c r="D24" i="18"/>
  <c r="H23" i="18"/>
  <c r="F23" i="18"/>
  <c r="D23" i="18"/>
  <c r="D10" i="18"/>
  <c r="F10" i="18"/>
  <c r="H10" i="18"/>
  <c r="J10" i="18"/>
  <c r="D11" i="18"/>
  <c r="F11" i="18"/>
  <c r="H11" i="18"/>
  <c r="J11" i="18"/>
  <c r="D12" i="18"/>
  <c r="F12" i="18"/>
  <c r="H12" i="18"/>
  <c r="J12" i="18"/>
  <c r="D13" i="18"/>
  <c r="F13" i="18"/>
  <c r="H13" i="18"/>
  <c r="J13" i="18"/>
  <c r="D14" i="18"/>
  <c r="F14" i="18"/>
  <c r="H14" i="18"/>
  <c r="J14" i="18"/>
  <c r="D15" i="18"/>
  <c r="F15" i="18"/>
  <c r="H15" i="18"/>
  <c r="J15" i="18"/>
  <c r="J9" i="18"/>
  <c r="H9" i="18"/>
  <c r="F9" i="18"/>
  <c r="D9" i="18"/>
  <c r="J8" i="18"/>
  <c r="H8" i="18"/>
  <c r="F8" i="18"/>
  <c r="D8" i="18"/>
  <c r="K4" i="19" l="1"/>
  <c r="K4" i="18"/>
  <c r="F38" i="19"/>
  <c r="G39" i="19" s="1"/>
  <c r="H48" i="19"/>
  <c r="I49" i="19" s="1"/>
  <c r="D38" i="19"/>
  <c r="E39" i="19" s="1"/>
  <c r="H38" i="19"/>
  <c r="I39" i="19" s="1"/>
  <c r="J48" i="19"/>
  <c r="K49" i="19" s="1"/>
  <c r="D16" i="19"/>
  <c r="E17" i="19" s="1"/>
  <c r="D48" i="19"/>
  <c r="E49" i="19" s="1"/>
  <c r="L49" i="19" s="1"/>
  <c r="F16" i="19"/>
  <c r="G17" i="19" s="1"/>
  <c r="F16" i="18"/>
  <c r="D38" i="18"/>
  <c r="H48" i="18"/>
  <c r="D48" i="18"/>
  <c r="E49" i="18" s="1"/>
  <c r="F48" i="18"/>
  <c r="G49" i="18" s="1"/>
  <c r="J48" i="18"/>
  <c r="K49" i="18" s="1"/>
  <c r="I49" i="18"/>
  <c r="H16" i="18"/>
  <c r="I17" i="18" s="1"/>
  <c r="J16" i="18"/>
  <c r="K17" i="18" s="1"/>
  <c r="D16" i="18"/>
  <c r="E17" i="18" s="1"/>
  <c r="F38" i="18"/>
  <c r="G39" i="18" s="1"/>
  <c r="H38" i="18"/>
  <c r="I39" i="18" s="1"/>
  <c r="G17" i="18"/>
  <c r="E39" i="18"/>
  <c r="L39" i="18" l="1"/>
  <c r="L39" i="19"/>
  <c r="L17" i="19"/>
  <c r="L49" i="18"/>
  <c r="L17" i="18"/>
  <c r="B23" i="9" l="1"/>
  <c r="B13" i="9"/>
  <c r="B22" i="9"/>
  <c r="B72" i="9"/>
  <c r="B60" i="9"/>
  <c r="B47" i="9"/>
  <c r="B36" i="9"/>
  <c r="B48" i="9" s="1"/>
  <c r="G57" i="18" l="1"/>
  <c r="G56" i="19"/>
  <c r="G55" i="18"/>
  <c r="I55" i="18" s="1"/>
  <c r="G55" i="19"/>
  <c r="I55" i="19" s="1"/>
  <c r="G57" i="19"/>
  <c r="G56" i="18"/>
  <c r="G58" i="19"/>
  <c r="I58" i="19" s="1"/>
  <c r="G58" i="18"/>
  <c r="I58" i="18" s="1"/>
  <c r="G59" i="19"/>
  <c r="I59" i="19" s="1"/>
  <c r="G59" i="18"/>
  <c r="I59" i="18" s="1"/>
  <c r="G67" i="19"/>
  <c r="G60" i="19"/>
  <c r="G60" i="18"/>
  <c r="G64" i="18"/>
  <c r="G68" i="18"/>
  <c r="G69" i="18"/>
  <c r="G62" i="19"/>
  <c r="G69" i="19"/>
  <c r="G68" i="19"/>
  <c r="G67" i="18"/>
  <c r="G70" i="19"/>
  <c r="G63" i="19"/>
  <c r="G66" i="19"/>
  <c r="G61" i="18"/>
  <c r="G65" i="18"/>
  <c r="G65" i="19"/>
  <c r="G62" i="18"/>
  <c r="G66" i="18"/>
  <c r="G70" i="18"/>
  <c r="G61" i="19"/>
  <c r="G64" i="19"/>
  <c r="G63" i="18"/>
  <c r="I63" i="18" s="1"/>
  <c r="G71" i="19"/>
  <c r="G72" i="18"/>
  <c r="G72" i="19"/>
  <c r="G71" i="18"/>
  <c r="I71" i="18" s="1"/>
  <c r="B7" i="9"/>
  <c r="B49" i="9"/>
  <c r="I69" i="18" l="1"/>
  <c r="I69" i="19"/>
  <c r="I63" i="19"/>
  <c r="I60" i="18"/>
  <c r="I73" i="18" s="1"/>
  <c r="K3" i="18" s="1"/>
  <c r="I60" i="19"/>
  <c r="I71" i="19"/>
  <c r="B28" i="9"/>
  <c r="V78" i="10"/>
  <c r="V80" i="10" s="1"/>
  <c r="V77" i="10"/>
  <c r="V68" i="10"/>
  <c r="V70" i="10" s="1"/>
  <c r="V67" i="10"/>
  <c r="V59" i="10"/>
  <c r="V58" i="10"/>
  <c r="V60" i="10" s="1"/>
  <c r="V57" i="10"/>
  <c r="V61" i="10" s="1"/>
  <c r="B58" i="10"/>
  <c r="V69" i="10"/>
  <c r="I73" i="19" l="1"/>
  <c r="K3" i="19" s="1"/>
  <c r="V62" i="10"/>
  <c r="V79" i="10"/>
  <c r="V81" i="10"/>
  <c r="V71" i="10"/>
  <c r="V72" i="10" s="1"/>
  <c r="V82" i="10" l="1"/>
  <c r="B78" i="10"/>
  <c r="B68" i="10"/>
  <c r="Y77" i="10"/>
  <c r="Z77" i="10" s="1"/>
  <c r="H77" i="10"/>
  <c r="C77" i="10"/>
  <c r="C78" i="10" s="1"/>
  <c r="Y67" i="10"/>
  <c r="Z67" i="10" s="1"/>
  <c r="H67" i="10"/>
  <c r="C67" i="10"/>
  <c r="C68" i="10" s="1"/>
  <c r="Y57" i="10"/>
  <c r="Z57" i="10" s="1"/>
  <c r="H57" i="10"/>
  <c r="C57" i="10"/>
  <c r="D57" i="10" s="1"/>
  <c r="E57" i="10" s="1"/>
  <c r="F57" i="10" s="1"/>
  <c r="G57" i="10" s="1"/>
  <c r="G58" i="10" s="1"/>
  <c r="B18" i="10"/>
  <c r="B51" i="10"/>
  <c r="B36" i="10"/>
  <c r="W46" i="10"/>
  <c r="W45" i="10"/>
  <c r="W47" i="10" s="1"/>
  <c r="W44" i="10"/>
  <c r="W48" i="10" s="1"/>
  <c r="V46" i="10"/>
  <c r="V45" i="10"/>
  <c r="V47" i="10" s="1"/>
  <c r="V44" i="10"/>
  <c r="V48" i="10" s="1"/>
  <c r="L6" i="10"/>
  <c r="I44" i="10"/>
  <c r="I29" i="10"/>
  <c r="C44" i="10"/>
  <c r="Z45" i="10" s="1"/>
  <c r="B35" i="10"/>
  <c r="B45" i="10"/>
  <c r="AE45" i="10" s="1"/>
  <c r="AE46" i="10" s="1"/>
  <c r="B64" i="9"/>
  <c r="B30" i="10"/>
  <c r="AE30" i="10" s="1"/>
  <c r="C29" i="10"/>
  <c r="D29" i="10" s="1"/>
  <c r="E29" i="10" s="1"/>
  <c r="F29" i="10" s="1"/>
  <c r="G29" i="10" s="1"/>
  <c r="H29" i="10" s="1"/>
  <c r="Z35" i="10" s="1"/>
  <c r="B7" i="10"/>
  <c r="C6" i="10"/>
  <c r="Z7" i="10" s="1"/>
  <c r="W31" i="10"/>
  <c r="V31" i="10"/>
  <c r="W30" i="10"/>
  <c r="W32" i="10" s="1"/>
  <c r="V30" i="10"/>
  <c r="V32" i="10" s="1"/>
  <c r="W29" i="10"/>
  <c r="W33" i="10" s="1"/>
  <c r="V29" i="10"/>
  <c r="W8" i="10"/>
  <c r="V8" i="10"/>
  <c r="W7" i="10"/>
  <c r="V7" i="10"/>
  <c r="V9" i="10" s="1"/>
  <c r="W6" i="10"/>
  <c r="W10" i="10" s="1"/>
  <c r="V6" i="10"/>
  <c r="W34" i="10" l="1"/>
  <c r="A30" i="10" s="1"/>
  <c r="V49" i="10"/>
  <c r="W49" i="10"/>
  <c r="Y58" i="10"/>
  <c r="Z58" i="10" s="1"/>
  <c r="V10" i="10"/>
  <c r="V11" i="10" s="1"/>
  <c r="D77" i="10"/>
  <c r="D78" i="10" s="1"/>
  <c r="Y78" i="10"/>
  <c r="D67" i="10"/>
  <c r="D68" i="10" s="1"/>
  <c r="Y68" i="10"/>
  <c r="C58" i="10"/>
  <c r="F58" i="10"/>
  <c r="E58" i="10"/>
  <c r="D58" i="10"/>
  <c r="B46" i="10"/>
  <c r="AE47" i="10"/>
  <c r="D44" i="10"/>
  <c r="Z31" i="10"/>
  <c r="B8" i="10"/>
  <c r="Z32" i="10"/>
  <c r="Z33" i="10"/>
  <c r="B31" i="10"/>
  <c r="Z34" i="10"/>
  <c r="AE7" i="10"/>
  <c r="Z30" i="10"/>
  <c r="AE31" i="10"/>
  <c r="D6" i="10"/>
  <c r="W9" i="10"/>
  <c r="W11" i="10" s="1"/>
  <c r="A7" i="10" s="1"/>
  <c r="V33" i="10"/>
  <c r="V34" i="10" s="1"/>
  <c r="F56" i="10" s="1"/>
  <c r="B17" i="9"/>
  <c r="B3" i="9" s="1"/>
  <c r="B52" i="9"/>
  <c r="B25" i="9" s="1"/>
  <c r="B1" i="9" l="1"/>
  <c r="Y59" i="10"/>
  <c r="Z59" i="10" s="1"/>
  <c r="D66" i="10"/>
  <c r="G56" i="10"/>
  <c r="E76" i="10"/>
  <c r="B66" i="10"/>
  <c r="E66" i="10"/>
  <c r="G76" i="10"/>
  <c r="D76" i="10"/>
  <c r="F66" i="10"/>
  <c r="F76" i="10"/>
  <c r="B76" i="10"/>
  <c r="G66" i="10"/>
  <c r="C66" i="10"/>
  <c r="C76" i="10"/>
  <c r="Z78" i="10"/>
  <c r="Y79" i="10"/>
  <c r="E77" i="10"/>
  <c r="E78" i="10" s="1"/>
  <c r="Z68" i="10"/>
  <c r="Y69" i="10"/>
  <c r="E67" i="10"/>
  <c r="E68" i="10" s="1"/>
  <c r="E56" i="10"/>
  <c r="B32" i="10"/>
  <c r="A31" i="10"/>
  <c r="D56" i="10"/>
  <c r="B9" i="10"/>
  <c r="A8" i="10"/>
  <c r="A45" i="10"/>
  <c r="B47" i="10"/>
  <c r="A47" i="10" s="1"/>
  <c r="A46" i="10"/>
  <c r="A35" i="10"/>
  <c r="C56" i="10"/>
  <c r="B56" i="10"/>
  <c r="AA7" i="10"/>
  <c r="G43" i="10"/>
  <c r="AA45" i="10"/>
  <c r="H43" i="10"/>
  <c r="F43" i="10"/>
  <c r="AF45" i="10"/>
  <c r="E43" i="10"/>
  <c r="D43" i="10"/>
  <c r="AF46" i="10"/>
  <c r="C43" i="10"/>
  <c r="Z46" i="10"/>
  <c r="AA46" i="10" s="1"/>
  <c r="AB45" i="10" s="1"/>
  <c r="E44" i="10"/>
  <c r="AE48" i="10"/>
  <c r="AF47" i="10"/>
  <c r="AA30" i="10"/>
  <c r="AA31" i="10"/>
  <c r="AA32" i="10"/>
  <c r="AA33" i="10"/>
  <c r="AA34" i="10"/>
  <c r="AA35" i="10"/>
  <c r="AB35" i="10" s="1"/>
  <c r="AF30" i="10"/>
  <c r="AF31" i="10"/>
  <c r="AE32" i="10"/>
  <c r="AE8" i="10"/>
  <c r="AE9" i="10" s="1"/>
  <c r="AE10" i="10" s="1"/>
  <c r="AE11" i="10" s="1"/>
  <c r="AE12" i="10" s="1"/>
  <c r="AE13" i="10" s="1"/>
  <c r="AE14" i="10" s="1"/>
  <c r="AE15" i="10" s="1"/>
  <c r="AE16" i="10" s="1"/>
  <c r="AF7" i="10"/>
  <c r="C5" i="10"/>
  <c r="C7" i="10" s="1"/>
  <c r="D5" i="10"/>
  <c r="D7" i="10" s="1"/>
  <c r="Z8" i="10"/>
  <c r="E6" i="10"/>
  <c r="E5" i="10" s="1"/>
  <c r="E7" i="10" s="1"/>
  <c r="D28" i="10"/>
  <c r="E28" i="10"/>
  <c r="F28" i="10"/>
  <c r="H28" i="10"/>
  <c r="C28" i="10"/>
  <c r="G28" i="10"/>
  <c r="B48" i="10" l="1"/>
  <c r="A48" i="10" s="1"/>
  <c r="Y60" i="10"/>
  <c r="Z60" i="10" s="1"/>
  <c r="E46" i="10"/>
  <c r="Y80" i="10"/>
  <c r="Z79" i="10"/>
  <c r="F77" i="10"/>
  <c r="F78" i="10" s="1"/>
  <c r="Y70" i="10"/>
  <c r="Z69" i="10"/>
  <c r="F67" i="10"/>
  <c r="F68" i="10" s="1"/>
  <c r="B33" i="10"/>
  <c r="A32" i="10"/>
  <c r="G32" i="10" s="1"/>
  <c r="B10" i="10"/>
  <c r="A9" i="10"/>
  <c r="C9" i="10" s="1"/>
  <c r="C46" i="10"/>
  <c r="D45" i="10"/>
  <c r="G46" i="10"/>
  <c r="H45" i="10"/>
  <c r="F46" i="10"/>
  <c r="AG45" i="10"/>
  <c r="AG46" i="10"/>
  <c r="E45" i="10"/>
  <c r="D46" i="10"/>
  <c r="F45" i="10"/>
  <c r="C45" i="10"/>
  <c r="G45" i="10"/>
  <c r="H46" i="10"/>
  <c r="AE49" i="10"/>
  <c r="AF49" i="10" s="1"/>
  <c r="AF48" i="10"/>
  <c r="AG47" i="10" s="1"/>
  <c r="C47" i="10"/>
  <c r="E47" i="10"/>
  <c r="D47" i="10"/>
  <c r="H47" i="10"/>
  <c r="G47" i="10"/>
  <c r="F47" i="10"/>
  <c r="Z47" i="10"/>
  <c r="AA47" i="10" s="1"/>
  <c r="AB46" i="10" s="1"/>
  <c r="F44" i="10"/>
  <c r="AG30" i="10"/>
  <c r="AB33" i="10"/>
  <c r="AB31" i="10"/>
  <c r="AB30" i="10"/>
  <c r="AF8" i="10"/>
  <c r="AG7" i="10" s="1"/>
  <c r="AB34" i="10"/>
  <c r="AB32" i="10"/>
  <c r="AA8" i="10"/>
  <c r="AB7" i="10" s="1"/>
  <c r="AE33" i="10"/>
  <c r="AF32" i="10"/>
  <c r="AG31" i="10" s="1"/>
  <c r="AF9" i="10"/>
  <c r="D8" i="10"/>
  <c r="E8" i="10"/>
  <c r="C8" i="10"/>
  <c r="F6" i="10"/>
  <c r="F5" i="10" s="1"/>
  <c r="F7" i="10" s="1"/>
  <c r="Z9" i="10"/>
  <c r="D30" i="10"/>
  <c r="D35" i="10"/>
  <c r="D31" i="10"/>
  <c r="C30" i="10"/>
  <c r="C31" i="10"/>
  <c r="C35" i="10"/>
  <c r="H31" i="10"/>
  <c r="H30" i="10"/>
  <c r="H35" i="10"/>
  <c r="F30" i="10"/>
  <c r="F35" i="10"/>
  <c r="F31" i="10"/>
  <c r="G35" i="10"/>
  <c r="G31" i="10"/>
  <c r="G30" i="10"/>
  <c r="E35" i="10"/>
  <c r="E31" i="10"/>
  <c r="E30" i="10"/>
  <c r="B49" i="10" l="1"/>
  <c r="B50" i="10" s="1"/>
  <c r="C32" i="10"/>
  <c r="F32" i="10"/>
  <c r="Y61" i="10"/>
  <c r="Z61" i="10" s="1"/>
  <c r="E32" i="10"/>
  <c r="D9" i="10"/>
  <c r="E9" i="10"/>
  <c r="Y81" i="10"/>
  <c r="Z80" i="10"/>
  <c r="G77" i="10"/>
  <c r="G78" i="10" s="1"/>
  <c r="Y71" i="10"/>
  <c r="Z70" i="10"/>
  <c r="G67" i="10"/>
  <c r="G68" i="10" s="1"/>
  <c r="D32" i="10"/>
  <c r="H32" i="10"/>
  <c r="B11" i="10"/>
  <c r="A10" i="10"/>
  <c r="C10" i="10" s="1"/>
  <c r="B34" i="10"/>
  <c r="A33" i="10"/>
  <c r="AG48" i="10"/>
  <c r="Z48" i="10"/>
  <c r="AA48" i="10" s="1"/>
  <c r="AB47" i="10" s="1"/>
  <c r="G44" i="10"/>
  <c r="H44" i="10" s="1"/>
  <c r="C48" i="10"/>
  <c r="E48" i="10"/>
  <c r="H48" i="10"/>
  <c r="G48" i="10"/>
  <c r="F48" i="10"/>
  <c r="D48" i="10"/>
  <c r="AG8" i="10"/>
  <c r="AA9" i="10"/>
  <c r="AB8" i="10" s="1"/>
  <c r="AE34" i="10"/>
  <c r="AF34" i="10" s="1"/>
  <c r="AF33" i="10"/>
  <c r="AG32" i="10" s="1"/>
  <c r="F9" i="10"/>
  <c r="F8" i="10"/>
  <c r="AF10" i="10"/>
  <c r="AG9" i="10" s="1"/>
  <c r="G6" i="10"/>
  <c r="G5" i="10" s="1"/>
  <c r="Z10" i="10"/>
  <c r="A49" i="10" l="1"/>
  <c r="F49" i="10" s="1"/>
  <c r="Y62" i="10"/>
  <c r="Z62" i="10" s="1"/>
  <c r="E10" i="10"/>
  <c r="D10" i="10"/>
  <c r="F10" i="10"/>
  <c r="Y82" i="10"/>
  <c r="Z82" i="10" s="1"/>
  <c r="Z81" i="10"/>
  <c r="Y72" i="10"/>
  <c r="Z72" i="10" s="1"/>
  <c r="Z71" i="10"/>
  <c r="H33" i="10"/>
  <c r="D33" i="10"/>
  <c r="C33" i="10"/>
  <c r="E33" i="10"/>
  <c r="F33" i="10"/>
  <c r="G33" i="10"/>
  <c r="AE35" i="10"/>
  <c r="AF35" i="10" s="1"/>
  <c r="AG34" i="10" s="1"/>
  <c r="A34" i="10"/>
  <c r="G10" i="10"/>
  <c r="AE50" i="10"/>
  <c r="AF50" i="10" s="1"/>
  <c r="A50" i="10"/>
  <c r="B12" i="10"/>
  <c r="A11" i="10"/>
  <c r="D11" i="10" s="1"/>
  <c r="G49" i="10"/>
  <c r="Z49" i="10"/>
  <c r="AA49" i="10" s="1"/>
  <c r="AB48" i="10" s="1"/>
  <c r="Z50" i="10"/>
  <c r="AA50" i="10" s="1"/>
  <c r="AG33" i="10"/>
  <c r="G7" i="10"/>
  <c r="G8" i="10"/>
  <c r="G9" i="10"/>
  <c r="AA10" i="10"/>
  <c r="AB9" i="10" s="1"/>
  <c r="AF11" i="10"/>
  <c r="AG10" i="10" s="1"/>
  <c r="H6" i="10"/>
  <c r="H5" i="10" s="1"/>
  <c r="Z11" i="10"/>
  <c r="H49" i="10" l="1"/>
  <c r="D49" i="10"/>
  <c r="E49" i="10"/>
  <c r="C49" i="10"/>
  <c r="AG35" i="10"/>
  <c r="E11" i="10"/>
  <c r="C11" i="10"/>
  <c r="G11" i="10"/>
  <c r="F11" i="10"/>
  <c r="B13" i="10"/>
  <c r="A12" i="10"/>
  <c r="H12" i="10" s="1"/>
  <c r="F34" i="10"/>
  <c r="G34" i="10"/>
  <c r="D34" i="10"/>
  <c r="E34" i="10"/>
  <c r="H34" i="10"/>
  <c r="C34" i="10"/>
  <c r="AB50" i="10"/>
  <c r="AB49" i="10"/>
  <c r="AG50" i="10"/>
  <c r="AG49" i="10"/>
  <c r="C50" i="10"/>
  <c r="E50" i="10"/>
  <c r="D50" i="10"/>
  <c r="H50" i="10"/>
  <c r="G50" i="10"/>
  <c r="F50" i="10"/>
  <c r="H7" i="10"/>
  <c r="H9" i="10"/>
  <c r="H8" i="10"/>
  <c r="H10" i="10"/>
  <c r="AA11" i="10"/>
  <c r="AB10" i="10" s="1"/>
  <c r="H11" i="10"/>
  <c r="AF12" i="10"/>
  <c r="AG11" i="10" s="1"/>
  <c r="I6" i="10"/>
  <c r="I5" i="10" s="1"/>
  <c r="Z12" i="10"/>
  <c r="I12" i="10" l="1"/>
  <c r="D12" i="10"/>
  <c r="F12" i="10"/>
  <c r="E12" i="10"/>
  <c r="C12" i="10"/>
  <c r="G12" i="10"/>
  <c r="B14" i="10"/>
  <c r="A13" i="10"/>
  <c r="D13" i="10" s="1"/>
  <c r="AA12" i="10"/>
  <c r="AB11" i="10" s="1"/>
  <c r="I7" i="10"/>
  <c r="I8" i="10"/>
  <c r="I9" i="10"/>
  <c r="I10" i="10"/>
  <c r="I11" i="10"/>
  <c r="AF13" i="10"/>
  <c r="AG12" i="10" s="1"/>
  <c r="J6" i="10"/>
  <c r="J5" i="10" s="1"/>
  <c r="Z13" i="10"/>
  <c r="I13" i="10" l="1"/>
  <c r="H13" i="10"/>
  <c r="G13" i="10"/>
  <c r="F13" i="10"/>
  <c r="B15" i="10"/>
  <c r="A14" i="10"/>
  <c r="E14" i="10" s="1"/>
  <c r="E13" i="10"/>
  <c r="C13" i="10"/>
  <c r="AA13" i="10"/>
  <c r="AB12" i="10" s="1"/>
  <c r="J7" i="10"/>
  <c r="J8" i="10"/>
  <c r="J9" i="10"/>
  <c r="J10" i="10"/>
  <c r="J11" i="10"/>
  <c r="J12" i="10"/>
  <c r="J13" i="10"/>
  <c r="AF14" i="10"/>
  <c r="AG13" i="10" s="1"/>
  <c r="Z14" i="10"/>
  <c r="K6" i="10"/>
  <c r="K5" i="10" s="1"/>
  <c r="G14" i="10" l="1"/>
  <c r="H14" i="10"/>
  <c r="F14" i="10"/>
  <c r="D14" i="10"/>
  <c r="I14" i="10"/>
  <c r="J14" i="10"/>
  <c r="C14" i="10"/>
  <c r="B16" i="10"/>
  <c r="A15" i="10"/>
  <c r="H15" i="10" s="1"/>
  <c r="K7" i="10"/>
  <c r="K8" i="10"/>
  <c r="K9" i="10"/>
  <c r="K10" i="10"/>
  <c r="K11" i="10"/>
  <c r="K12" i="10"/>
  <c r="K13" i="10"/>
  <c r="AA14" i="10"/>
  <c r="AB13" i="10" s="1"/>
  <c r="K14" i="10"/>
  <c r="AF15" i="10"/>
  <c r="AG14" i="10" s="1"/>
  <c r="Z15" i="10"/>
  <c r="G15" i="10" l="1"/>
  <c r="J15" i="10"/>
  <c r="E15" i="10"/>
  <c r="D15" i="10"/>
  <c r="B17" i="10"/>
  <c r="A16" i="10"/>
  <c r="H16" i="10" s="1"/>
  <c r="K15" i="10"/>
  <c r="F15" i="10"/>
  <c r="C15" i="10"/>
  <c r="I15" i="10"/>
  <c r="AA15" i="10"/>
  <c r="AB14" i="10" s="1"/>
  <c r="AF16" i="10"/>
  <c r="AG15" i="10" s="1"/>
  <c r="G16" i="10" l="1"/>
  <c r="F16" i="10"/>
  <c r="E16" i="10"/>
  <c r="D16" i="10"/>
  <c r="C16" i="10"/>
  <c r="I16" i="10"/>
  <c r="K16" i="10"/>
  <c r="J16" i="10"/>
  <c r="AE17" i="10"/>
  <c r="AF17" i="10" s="1"/>
  <c r="AG16" i="10" s="1"/>
  <c r="A17" i="10"/>
  <c r="AB15" i="10"/>
  <c r="J17" i="10" l="1"/>
  <c r="C17" i="10"/>
  <c r="K17" i="10"/>
  <c r="E17" i="10"/>
  <c r="F17" i="10"/>
  <c r="G17" i="10"/>
  <c r="H17" i="10"/>
  <c r="D17" i="10"/>
  <c r="I17" i="10"/>
  <c r="AG17" i="10"/>
</calcChain>
</file>

<file path=xl/sharedStrings.xml><?xml version="1.0" encoding="utf-8"?>
<sst xmlns="http://schemas.openxmlformats.org/spreadsheetml/2006/main" count="442" uniqueCount="130">
  <si>
    <t>MKI</t>
  </si>
  <si>
    <t>factor</t>
  </si>
  <si>
    <t>variabele</t>
  </si>
  <si>
    <t>rekenwaarde minst gunstig</t>
  </si>
  <si>
    <t>rekenwaarde max korting</t>
  </si>
  <si>
    <t>korting</t>
  </si>
  <si>
    <t>legenda</t>
  </si>
  <si>
    <t>cumulatief</t>
  </si>
  <si>
    <t>max. fictieve korting</t>
  </si>
  <si>
    <t>drempel</t>
  </si>
  <si>
    <t>plafond</t>
  </si>
  <si>
    <t>max. fictieve meerwaarde garantie</t>
  </si>
  <si>
    <t>max. fictieve meerwaarde MKI</t>
  </si>
  <si>
    <t>garantie drempel</t>
  </si>
  <si>
    <t>garantie plafond</t>
  </si>
  <si>
    <t>fictieve meerwaarde</t>
  </si>
  <si>
    <t>garantie</t>
  </si>
  <si>
    <t>circulariteit drempel</t>
  </si>
  <si>
    <t>circulariteit plafond</t>
  </si>
  <si>
    <t>max. fictieve meerwaarde circulariteit</t>
  </si>
  <si>
    <t>deklaag</t>
  </si>
  <si>
    <t>tussenlaag</t>
  </si>
  <si>
    <t>onderlaag</t>
  </si>
  <si>
    <t>circulariteit</t>
  </si>
  <si>
    <t>buizen</t>
  </si>
  <si>
    <t>MKI drempel</t>
  </si>
  <si>
    <t>banden / stenen / tegels</t>
  </si>
  <si>
    <t>onderdeel</t>
  </si>
  <si>
    <t>berekening</t>
  </si>
  <si>
    <t>invoer</t>
  </si>
  <si>
    <t>uitvoer</t>
  </si>
  <si>
    <t>aantal onderdelen</t>
  </si>
  <si>
    <t>BETONMATERIALEN</t>
  </si>
  <si>
    <t>ASFALTMATERIALEN</t>
  </si>
  <si>
    <t>BEREKENINGEN</t>
  </si>
  <si>
    <t>VOORBEELDBEREKENINGEN</t>
  </si>
  <si>
    <t>absoluut</t>
  </si>
  <si>
    <t>circ</t>
  </si>
  <si>
    <t xml:space="preserve">MKI plafond </t>
  </si>
  <si>
    <t>BEREKENING DASHBOARDS</t>
  </si>
  <si>
    <t>controlekolom moet gelijk zijn aan vorige kolom</t>
  </si>
  <si>
    <t>controlecel moet gelijk zijn aan vorige cel</t>
  </si>
  <si>
    <t>garantie deklaag</t>
  </si>
  <si>
    <t>garantie tussenlaag</t>
  </si>
  <si>
    <t>garantie onderlaag</t>
  </si>
  <si>
    <t>deklaag zwart</t>
  </si>
  <si>
    <t>deklaag rood</t>
  </si>
  <si>
    <t>totaal behaalde fictieve meerwaarde</t>
  </si>
  <si>
    <t xml:space="preserve">Inschrijver </t>
  </si>
  <si>
    <t>totaal te behalen fictieve meerwaarde</t>
  </si>
  <si>
    <t>Inschrijver</t>
  </si>
  <si>
    <t>gevestigd te</t>
  </si>
  <si>
    <t>KVK-nummer</t>
  </si>
  <si>
    <t>(Bij een natuurlijk persoon naam en voornamen voluit, bij een rechtspersoon de statutaire naam; bij een natuurlijk persoon de woonplaats, bij een rechtspersoon de vestigingsplaats)</t>
  </si>
  <si>
    <t>Inschrijver verklaart zich door ondertekening dezes bereid de verplichtingen uit te zullen voeren welke behoren bij de aangeboden waarden uit bovenstaande tabel.</t>
  </si>
  <si>
    <t>(De inschrijver(s) (zie inschrijvingsbiljet) wijzen als gemachtigde om hen voor alle zaken het werk betreffende te vertegenwoordigen aan, de hierboven onder genoemde inschrijver.)</t>
  </si>
  <si>
    <t>De inschrijver verklaart deze aanbieding te doen met inachtneming van de bepalingen (inclusief de boetebepalingen en garantiebepalingen) en gegevens zoals deze zijn omschreven</t>
  </si>
  <si>
    <t>in de voor de inschrijving relevante stukken.</t>
  </si>
  <si>
    <t>Gedaan op (datum)</t>
  </si>
  <si>
    <t>te (plaats)</t>
  </si>
  <si>
    <t>handtekening</t>
  </si>
  <si>
    <t xml:space="preserve">naam </t>
  </si>
  <si>
    <t>functie</t>
  </si>
  <si>
    <t>Dit Invulblad geheel invullen, ondertekenen en bij de inschrijving voegen.</t>
  </si>
  <si>
    <t>De inschrijver draagt het risico van aanwezigheid van dit Invulblad bij de inschrijving.</t>
  </si>
  <si>
    <t xml:space="preserve">dashboard </t>
  </si>
  <si>
    <t xml:space="preserve">onderlaag  </t>
  </si>
  <si>
    <t xml:space="preserve">tussenlaag  </t>
  </si>
  <si>
    <t>betonstraatstenen</t>
  </si>
  <si>
    <t>besteks-post(en)</t>
  </si>
  <si>
    <t>betontegels</t>
  </si>
  <si>
    <t>betonbanden</t>
  </si>
  <si>
    <t>betonbuizen</t>
  </si>
  <si>
    <t>voorbeeld</t>
  </si>
  <si>
    <t>*1 Aangeboden waarden conform de omschrijving in de bijbehorende inschrijvingsleidraad.</t>
  </si>
  <si>
    <r>
      <t xml:space="preserve">MKI (A1-A3) 
</t>
    </r>
    <r>
      <rPr>
        <sz val="11"/>
        <color theme="0"/>
        <rFont val="Calibri"/>
        <family val="2"/>
        <scheme val="minor"/>
      </rPr>
      <t xml:space="preserve">(€/ton) *1 </t>
    </r>
  </si>
  <si>
    <r>
      <t xml:space="preserve">garantie 
</t>
    </r>
    <r>
      <rPr>
        <sz val="11"/>
        <color theme="0"/>
        <rFont val="Calibri"/>
        <family val="2"/>
        <scheme val="minor"/>
      </rPr>
      <t>(jaar) *1</t>
    </r>
  </si>
  <si>
    <t>totale fictieve meerwaarde</t>
  </si>
  <si>
    <t>MKI fictieve meerwaarde</t>
  </si>
  <si>
    <t>circulariteit fictieve meerw</t>
  </si>
  <si>
    <t>garantie fictieve meerwaarde</t>
  </si>
  <si>
    <r>
      <t>circulariteit</t>
    </r>
    <r>
      <rPr>
        <sz val="11"/>
        <color theme="0"/>
        <rFont val="Calibri"/>
        <family val="2"/>
        <scheme val="minor"/>
      </rPr>
      <t xml:space="preserve"> 
(%m/m)</t>
    </r>
    <r>
      <rPr>
        <b/>
        <sz val="11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*1</t>
    </r>
  </si>
  <si>
    <t>stage klasse</t>
  </si>
  <si>
    <t>brandstof</t>
  </si>
  <si>
    <t>weegfactor</t>
  </si>
  <si>
    <t>zero-emissie</t>
  </si>
  <si>
    <t>stroom</t>
  </si>
  <si>
    <t>waterstof</t>
  </si>
  <si>
    <t>stage V</t>
  </si>
  <si>
    <t>HVO 100</t>
  </si>
  <si>
    <t>diesel / HVO(&lt;100)</t>
  </si>
  <si>
    <t xml:space="preserve">totaal </t>
  </si>
  <si>
    <t xml:space="preserve">behaald </t>
  </si>
  <si>
    <t xml:space="preserve">te behalen </t>
  </si>
  <si>
    <t>aandrijving</t>
  </si>
  <si>
    <t xml:space="preserve">elektromotor </t>
  </si>
  <si>
    <t>verbrandingsmotor</t>
  </si>
  <si>
    <t>verbrandingsmotor &amp; elektromotor</t>
  </si>
  <si>
    <t>groen gas (BNG/LBG)</t>
  </si>
  <si>
    <t>(plug-in hybride)</t>
  </si>
  <si>
    <t>aardgas (CNG/LNG)</t>
  </si>
  <si>
    <t>HVO(&lt;100)/GTL</t>
  </si>
  <si>
    <t>benzine/diesel</t>
  </si>
  <si>
    <t>(hybride)</t>
  </si>
  <si>
    <t xml:space="preserve">verbrandingsmotor </t>
  </si>
  <si>
    <t>HVO 100 / ASPEN</t>
  </si>
  <si>
    <t>diesel / HVO (&lt;100) / benzine</t>
  </si>
  <si>
    <t xml:space="preserve">G2 EN G3: ASFALTMATERIALEN EN BETONMATERIALEN </t>
  </si>
  <si>
    <t>G1: GEREEDSCHAP</t>
  </si>
  <si>
    <t>(zero emissie)</t>
  </si>
  <si>
    <t>Raamovereenkomst maaien stedelijk schraal gras en sloten Eindhoven Oost</t>
  </si>
  <si>
    <t>waardering 1e contractjaar</t>
  </si>
  <si>
    <t>in te zetten werktuigen 1e contractjaar</t>
  </si>
  <si>
    <t>waardering 2e contractjaar</t>
  </si>
  <si>
    <t>in te zetten werktuigen 2e contractjaar</t>
  </si>
  <si>
    <t>waardering 3e contractjaar</t>
  </si>
  <si>
    <t>in te zetten werktuigen 3e contractjaar</t>
  </si>
  <si>
    <t>waardering 4e contractjaar en verder</t>
  </si>
  <si>
    <t>in te zetten werktuigen 4e contractjaar en verder</t>
  </si>
  <si>
    <t>in te zetten voertuigen 1e contractjaar</t>
  </si>
  <si>
    <t>in te zetten voertuigen 2e contractjaar</t>
  </si>
  <si>
    <t>in te zetten voertuigen 3e contractjaar</t>
  </si>
  <si>
    <t>4e contractjaar en verder</t>
  </si>
  <si>
    <t>wordt niet gewaardeerd: 
100% zero-emissie verplicht</t>
  </si>
  <si>
    <t>WERKTUIGEN</t>
  </si>
  <si>
    <t>VOERTUIGEN</t>
  </si>
  <si>
    <t>stage IV / Tier 4</t>
  </si>
  <si>
    <t>stage IIIb / Tier 3</t>
  </si>
  <si>
    <t>stage IIIb (eis) / Tier 3</t>
  </si>
  <si>
    <t>Invulblad Inzet duurzame werktuigen en voertuigen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</si>
</sst>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00000"/>
    <numFmt numFmtId="166" formatCode="0.00000"/>
    <numFmt numFmtId="167" formatCode="_ * #,##0_ ;_ * \-#,##0_ ;_ * &quot;-&quot;??_ ;_ @_ "/>
    <numFmt numFmtId="168" formatCode="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 "/>
    </font>
    <font>
      <b/>
      <u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2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3" borderId="14" applyNumberFormat="0" applyAlignment="0" applyProtection="0"/>
    <xf numFmtId="0" fontId="17" fillId="4" borderId="15" applyNumberFormat="0" applyAlignment="0" applyProtection="0"/>
    <xf numFmtId="0" fontId="18" fillId="4" borderId="14" applyNumberFormat="0" applyAlignment="0" applyProtection="0"/>
  </cellStyleXfs>
  <cellXfs count="366">
    <xf numFmtId="0" fontId="0" fillId="0" borderId="0" xfId="0"/>
    <xf numFmtId="0" fontId="0" fillId="2" borderId="2" xfId="0" applyFont="1" applyFill="1" applyBorder="1"/>
    <xf numFmtId="0" fontId="0" fillId="0" borderId="2" xfId="0" applyFont="1" applyBorder="1"/>
    <xf numFmtId="0" fontId="0" fillId="0" borderId="0" xfId="0" applyFill="1"/>
    <xf numFmtId="164" fontId="0" fillId="0" borderId="0" xfId="1" applyNumberFormat="1" applyFont="1"/>
    <xf numFmtId="0" fontId="4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164" fontId="0" fillId="0" borderId="0" xfId="1" quotePrefix="1" applyNumberFormat="1" applyFont="1"/>
    <xf numFmtId="0" fontId="6" fillId="0" borderId="0" xfId="0" applyFont="1" applyFill="1"/>
    <xf numFmtId="0" fontId="6" fillId="0" borderId="2" xfId="0" applyFont="1" applyFill="1" applyBorder="1"/>
    <xf numFmtId="0" fontId="6" fillId="0" borderId="3" xfId="0" applyFont="1" applyFill="1" applyBorder="1"/>
    <xf numFmtId="0" fontId="0" fillId="0" borderId="0" xfId="0" applyBorder="1"/>
    <xf numFmtId="0" fontId="0" fillId="0" borderId="0" xfId="0" applyFont="1" applyFill="1"/>
    <xf numFmtId="0" fontId="0" fillId="0" borderId="0" xfId="0" applyFont="1"/>
    <xf numFmtId="164" fontId="0" fillId="0" borderId="2" xfId="1" applyNumberFormat="1" applyFont="1" applyFill="1" applyBorder="1"/>
    <xf numFmtId="164" fontId="0" fillId="0" borderId="0" xfId="0" applyNumberFormat="1"/>
    <xf numFmtId="164" fontId="0" fillId="0" borderId="0" xfId="1" applyNumberFormat="1" applyFont="1" applyFill="1"/>
    <xf numFmtId="0" fontId="4" fillId="0" borderId="0" xfId="0" applyFont="1"/>
    <xf numFmtId="0" fontId="0" fillId="0" borderId="0" xfId="1" applyNumberFormat="1" applyFont="1" applyFill="1"/>
    <xf numFmtId="0" fontId="4" fillId="0" borderId="0" xfId="0" applyFont="1" applyFill="1" applyBorder="1" applyAlignment="1">
      <alignment horizontal="left" wrapText="1"/>
    </xf>
    <xf numFmtId="0" fontId="8" fillId="0" borderId="0" xfId="0" applyFont="1"/>
    <xf numFmtId="164" fontId="8" fillId="0" borderId="0" xfId="0" applyNumberFormat="1" applyFont="1"/>
    <xf numFmtId="164" fontId="9" fillId="0" borderId="0" xfId="1" applyNumberFormat="1" applyFont="1"/>
    <xf numFmtId="0" fontId="6" fillId="0" borderId="0" xfId="0" applyFont="1" applyFill="1" applyBorder="1"/>
    <xf numFmtId="1" fontId="6" fillId="0" borderId="10" xfId="0" applyNumberFormat="1" applyFont="1" applyFill="1" applyBorder="1"/>
    <xf numFmtId="9" fontId="0" fillId="0" borderId="0" xfId="2" applyFont="1"/>
    <xf numFmtId="164" fontId="0" fillId="0" borderId="0" xfId="0" applyNumberFormat="1" applyFont="1"/>
    <xf numFmtId="1" fontId="0" fillId="0" borderId="0" xfId="0" applyNumberFormat="1" applyFill="1"/>
    <xf numFmtId="1" fontId="6" fillId="0" borderId="0" xfId="0" applyNumberFormat="1" applyFont="1" applyFill="1" applyBorder="1"/>
    <xf numFmtId="164" fontId="6" fillId="0" borderId="0" xfId="0" applyNumberFormat="1" applyFont="1" applyFill="1" applyBorder="1"/>
    <xf numFmtId="0" fontId="4" fillId="0" borderId="0" xfId="0" applyFont="1" applyFill="1"/>
    <xf numFmtId="0" fontId="10" fillId="0" borderId="0" xfId="0" applyFont="1" applyFill="1" applyBorder="1"/>
    <xf numFmtId="44" fontId="7" fillId="0" borderId="0" xfId="1" applyFont="1" applyFill="1"/>
    <xf numFmtId="164" fontId="7" fillId="0" borderId="0" xfId="1" quotePrefix="1" applyNumberFormat="1" applyFont="1" applyFill="1"/>
    <xf numFmtId="164" fontId="7" fillId="0" borderId="0" xfId="1" applyNumberFormat="1" applyFont="1" applyFill="1"/>
    <xf numFmtId="166" fontId="6" fillId="0" borderId="2" xfId="0" applyNumberFormat="1" applyFont="1" applyFill="1" applyBorder="1"/>
    <xf numFmtId="165" fontId="6" fillId="0" borderId="2" xfId="0" applyNumberFormat="1" applyFont="1" applyFill="1" applyBorder="1"/>
    <xf numFmtId="164" fontId="3" fillId="0" borderId="0" xfId="1" applyNumberFormat="1" applyFont="1" applyFill="1"/>
    <xf numFmtId="164" fontId="3" fillId="0" borderId="0" xfId="1" applyNumberFormat="1" applyFont="1" applyFill="1" applyBorder="1"/>
    <xf numFmtId="164" fontId="17" fillId="4" borderId="15" xfId="8" applyNumberFormat="1"/>
    <xf numFmtId="0" fontId="16" fillId="3" borderId="14" xfId="7"/>
    <xf numFmtId="164" fontId="16" fillId="3" borderId="14" xfId="7" applyNumberFormat="1"/>
    <xf numFmtId="0" fontId="17" fillId="4" borderId="15" xfId="8"/>
    <xf numFmtId="164" fontId="18" fillId="4" borderId="14" xfId="9" applyNumberFormat="1"/>
    <xf numFmtId="0" fontId="18" fillId="4" borderId="14" xfId="9"/>
    <xf numFmtId="2" fontId="16" fillId="3" borderId="14" xfId="7" applyNumberFormat="1"/>
    <xf numFmtId="1" fontId="16" fillId="3" borderId="14" xfId="7" applyNumberFormat="1"/>
    <xf numFmtId="0" fontId="13" fillId="0" borderId="11" xfId="4"/>
    <xf numFmtId="0" fontId="12" fillId="0" borderId="11" xfId="3" applyBorder="1"/>
    <xf numFmtId="0" fontId="14" fillId="0" borderId="12" xfId="5"/>
    <xf numFmtId="0" fontId="15" fillId="0" borderId="13" xfId="6"/>
    <xf numFmtId="0" fontId="12" fillId="0" borderId="0" xfId="3" applyBorder="1"/>
    <xf numFmtId="0" fontId="20" fillId="0" borderId="0" xfId="0" applyFont="1"/>
    <xf numFmtId="0" fontId="20" fillId="0" borderId="0" xfId="0" applyFont="1" applyFill="1"/>
    <xf numFmtId="0" fontId="0" fillId="0" borderId="16" xfId="0" applyBorder="1"/>
    <xf numFmtId="0" fontId="21" fillId="0" borderId="0" xfId="0" applyFont="1" applyBorder="1"/>
    <xf numFmtId="0" fontId="3" fillId="0" borderId="0" xfId="0" applyFont="1" applyFill="1" applyBorder="1"/>
    <xf numFmtId="164" fontId="7" fillId="0" borderId="0" xfId="1" applyNumberFormat="1" applyFont="1"/>
    <xf numFmtId="0" fontId="5" fillId="0" borderId="0" xfId="0" applyFont="1"/>
    <xf numFmtId="164" fontId="21" fillId="0" borderId="0" xfId="0" applyNumberFormat="1" applyFont="1"/>
    <xf numFmtId="44" fontId="0" fillId="0" borderId="0" xfId="0" applyNumberFormat="1" applyBorder="1"/>
    <xf numFmtId="44" fontId="0" fillId="0" borderId="0" xfId="1" applyFont="1" applyBorder="1"/>
    <xf numFmtId="44" fontId="20" fillId="0" borderId="0" xfId="1" applyFont="1"/>
    <xf numFmtId="44" fontId="4" fillId="0" borderId="0" xfId="1" applyFont="1" applyBorder="1"/>
    <xf numFmtId="44" fontId="21" fillId="0" borderId="0" xfId="0" applyNumberFormat="1" applyFont="1" applyBorder="1"/>
    <xf numFmtId="0" fontId="5" fillId="0" borderId="0" xfId="0" applyFont="1" applyBorder="1"/>
    <xf numFmtId="0" fontId="5" fillId="0" borderId="0" xfId="0" applyFont="1" applyFill="1" applyBorder="1"/>
    <xf numFmtId="164" fontId="5" fillId="0" borderId="0" xfId="1" applyNumberFormat="1" applyFont="1" applyFill="1" applyBorder="1"/>
    <xf numFmtId="44" fontId="4" fillId="0" borderId="0" xfId="1" applyFont="1"/>
    <xf numFmtId="164" fontId="5" fillId="0" borderId="0" xfId="0" applyNumberFormat="1" applyFont="1" applyFill="1" applyBorder="1"/>
    <xf numFmtId="44" fontId="2" fillId="0" borderId="0" xfId="1" applyFont="1" applyFill="1" applyBorder="1"/>
    <xf numFmtId="0" fontId="9" fillId="0" borderId="0" xfId="0" applyFont="1" applyFill="1"/>
    <xf numFmtId="164" fontId="0" fillId="0" borderId="0" xfId="0" applyNumberFormat="1" applyBorder="1"/>
    <xf numFmtId="164" fontId="21" fillId="0" borderId="0" xfId="0" applyNumberFormat="1" applyFont="1" applyBorder="1"/>
    <xf numFmtId="164" fontId="22" fillId="0" borderId="0" xfId="1" applyNumberFormat="1" applyFont="1" applyFill="1" applyBorder="1"/>
    <xf numFmtId="0" fontId="22" fillId="0" borderId="0" xfId="0" applyFont="1" applyFill="1"/>
    <xf numFmtId="0" fontId="22" fillId="0" borderId="10" xfId="0" applyFont="1" applyFill="1" applyBorder="1"/>
    <xf numFmtId="0" fontId="22" fillId="0" borderId="0" xfId="0" applyFont="1" applyBorder="1"/>
    <xf numFmtId="1" fontId="4" fillId="0" borderId="0" xfId="1" applyNumberFormat="1" applyFont="1"/>
    <xf numFmtId="1" fontId="23" fillId="0" borderId="0" xfId="1" applyNumberFormat="1" applyFont="1" applyFill="1" applyBorder="1"/>
    <xf numFmtId="44" fontId="0" fillId="2" borderId="3" xfId="1" applyFont="1" applyFill="1" applyBorder="1"/>
    <xf numFmtId="1" fontId="0" fillId="0" borderId="0" xfId="1" applyNumberFormat="1" applyFont="1" applyFill="1"/>
    <xf numFmtId="0" fontId="4" fillId="2" borderId="1" xfId="0" applyFont="1" applyFill="1" applyBorder="1"/>
    <xf numFmtId="0" fontId="4" fillId="0" borderId="1" xfId="0" applyFont="1" applyBorder="1"/>
    <xf numFmtId="164" fontId="0" fillId="2" borderId="2" xfId="1" applyNumberFormat="1" applyFont="1" applyFill="1" applyBorder="1"/>
    <xf numFmtId="0" fontId="10" fillId="0" borderId="1" xfId="0" applyFont="1" applyBorder="1"/>
    <xf numFmtId="0" fontId="6" fillId="0" borderId="3" xfId="0" applyFont="1" applyBorder="1"/>
    <xf numFmtId="0" fontId="10" fillId="2" borderId="1" xfId="0" applyFont="1" applyFill="1" applyBorder="1"/>
    <xf numFmtId="0" fontId="6" fillId="2" borderId="2" xfId="0" applyFont="1" applyFill="1" applyBorder="1"/>
    <xf numFmtId="1" fontId="6" fillId="0" borderId="10" xfId="0" applyNumberFormat="1" applyFont="1" applyBorder="1"/>
    <xf numFmtId="0" fontId="10" fillId="0" borderId="21" xfId="0" applyFont="1" applyBorder="1"/>
    <xf numFmtId="0" fontId="25" fillId="0" borderId="0" xfId="0" applyFont="1" applyFill="1" applyProtection="1"/>
    <xf numFmtId="0" fontId="25" fillId="0" borderId="0" xfId="0" applyFont="1" applyProtection="1"/>
    <xf numFmtId="0" fontId="26" fillId="0" borderId="0" xfId="0" applyFont="1" applyProtection="1"/>
    <xf numFmtId="0" fontId="7" fillId="0" borderId="0" xfId="0" applyFont="1" applyProtection="1"/>
    <xf numFmtId="167" fontId="7" fillId="0" borderId="0" xfId="0" applyNumberFormat="1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horizontal="left"/>
    </xf>
    <xf numFmtId="0" fontId="27" fillId="0" borderId="0" xfId="0" applyFont="1" applyProtection="1"/>
    <xf numFmtId="0" fontId="24" fillId="6" borderId="0" xfId="0" applyFont="1" applyFill="1" applyAlignment="1" applyProtection="1">
      <alignment vertical="center"/>
    </xf>
    <xf numFmtId="0" fontId="0" fillId="0" borderId="0" xfId="0" applyProtection="1"/>
    <xf numFmtId="0" fontId="0" fillId="0" borderId="0" xfId="0" applyBorder="1" applyProtection="1"/>
    <xf numFmtId="0" fontId="19" fillId="0" borderId="0" xfId="0" applyFont="1" applyAlignment="1" applyProtection="1">
      <alignment horizontal="center"/>
    </xf>
    <xf numFmtId="0" fontId="21" fillId="0" borderId="0" xfId="0" applyFont="1" applyProtection="1"/>
    <xf numFmtId="164" fontId="0" fillId="0" borderId="0" xfId="1" applyNumberFormat="1" applyFont="1" applyProtection="1"/>
    <xf numFmtId="164" fontId="6" fillId="3" borderId="14" xfId="7" applyNumberFormat="1" applyFont="1"/>
    <xf numFmtId="9" fontId="0" fillId="0" borderId="0" xfId="0" applyNumberFormat="1" applyFont="1"/>
    <xf numFmtId="0" fontId="2" fillId="5" borderId="22" xfId="0" applyFont="1" applyFill="1" applyBorder="1" applyAlignment="1" applyProtection="1">
      <alignment vertical="center" wrapText="1"/>
    </xf>
    <xf numFmtId="164" fontId="7" fillId="0" borderId="30" xfId="1" applyNumberFormat="1" applyFont="1" applyBorder="1" applyProtection="1"/>
    <xf numFmtId="164" fontId="17" fillId="4" borderId="15" xfId="1" applyNumberFormat="1" applyFont="1" applyFill="1" applyBorder="1"/>
    <xf numFmtId="164" fontId="29" fillId="0" borderId="33" xfId="1" applyNumberFormat="1" applyFont="1" applyBorder="1" applyProtection="1"/>
    <xf numFmtId="164" fontId="7" fillId="0" borderId="36" xfId="1" applyNumberFormat="1" applyFont="1" applyBorder="1" applyProtection="1"/>
    <xf numFmtId="164" fontId="7" fillId="0" borderId="37" xfId="1" applyNumberFormat="1" applyFont="1" applyBorder="1" applyProtection="1"/>
    <xf numFmtId="164" fontId="7" fillId="0" borderId="28" xfId="1" applyNumberFormat="1" applyFont="1" applyBorder="1" applyProtection="1"/>
    <xf numFmtId="164" fontId="7" fillId="0" borderId="17" xfId="1" applyNumberFormat="1" applyFont="1" applyBorder="1" applyProtection="1"/>
    <xf numFmtId="164" fontId="7" fillId="0" borderId="43" xfId="1" applyNumberFormat="1" applyFont="1" applyBorder="1" applyProtection="1"/>
    <xf numFmtId="164" fontId="7" fillId="0" borderId="29" xfId="1" applyNumberFormat="1" applyFont="1" applyBorder="1" applyProtection="1"/>
    <xf numFmtId="164" fontId="7" fillId="0" borderId="18" xfId="1" applyNumberFormat="1" applyFont="1" applyBorder="1" applyProtection="1"/>
    <xf numFmtId="164" fontId="7" fillId="0" borderId="26" xfId="1" applyNumberFormat="1" applyFont="1" applyBorder="1" applyProtection="1"/>
    <xf numFmtId="0" fontId="2" fillId="5" borderId="32" xfId="0" applyFont="1" applyFill="1" applyBorder="1" applyAlignment="1" applyProtection="1">
      <alignment vertical="center" wrapText="1"/>
    </xf>
    <xf numFmtId="0" fontId="2" fillId="5" borderId="5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40" xfId="0" applyFont="1" applyFill="1" applyBorder="1" applyAlignment="1" applyProtection="1">
      <alignment vertical="center" wrapText="1"/>
    </xf>
    <xf numFmtId="0" fontId="2" fillId="5" borderId="24" xfId="0" applyFont="1" applyFill="1" applyBorder="1" applyAlignment="1" applyProtection="1">
      <alignment vertical="center" wrapText="1"/>
    </xf>
    <xf numFmtId="44" fontId="7" fillId="7" borderId="27" xfId="1" applyFont="1" applyFill="1" applyBorder="1" applyAlignment="1" applyProtection="1">
      <alignment horizontal="center"/>
    </xf>
    <xf numFmtId="0" fontId="7" fillId="7" borderId="28" xfId="0" applyFont="1" applyFill="1" applyBorder="1" applyAlignment="1" applyProtection="1">
      <alignment horizontal="center"/>
    </xf>
    <xf numFmtId="44" fontId="7" fillId="7" borderId="19" xfId="1" applyFont="1" applyFill="1" applyBorder="1" applyAlignment="1" applyProtection="1">
      <alignment horizontal="center"/>
    </xf>
    <xf numFmtId="0" fontId="7" fillId="7" borderId="17" xfId="0" applyFont="1" applyFill="1" applyBorder="1" applyAlignment="1" applyProtection="1">
      <alignment horizontal="center"/>
    </xf>
    <xf numFmtId="44" fontId="7" fillId="7" borderId="42" xfId="1" applyFont="1" applyFill="1" applyBorder="1" applyAlignment="1" applyProtection="1">
      <alignment horizontal="center"/>
    </xf>
    <xf numFmtId="0" fontId="7" fillId="7" borderId="43" xfId="0" applyFont="1" applyFill="1" applyBorder="1" applyAlignment="1" applyProtection="1">
      <alignment horizontal="center"/>
    </xf>
    <xf numFmtId="44" fontId="7" fillId="7" borderId="45" xfId="1" applyFont="1" applyFill="1" applyBorder="1" applyAlignment="1" applyProtection="1">
      <alignment horizontal="center"/>
    </xf>
    <xf numFmtId="0" fontId="7" fillId="7" borderId="46" xfId="0" applyFont="1" applyFill="1" applyBorder="1" applyAlignment="1" applyProtection="1">
      <alignment horizontal="center"/>
    </xf>
    <xf numFmtId="0" fontId="0" fillId="0" borderId="31" xfId="0" applyBorder="1" applyAlignment="1" applyProtection="1">
      <alignment horizontal="left" vertical="top"/>
    </xf>
    <xf numFmtId="44" fontId="7" fillId="7" borderId="20" xfId="1" applyFont="1" applyFill="1" applyBorder="1" applyAlignment="1" applyProtection="1">
      <alignment horizontal="center"/>
    </xf>
    <xf numFmtId="0" fontId="7" fillId="7" borderId="18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44" fontId="0" fillId="0" borderId="0" xfId="1" applyFont="1" applyProtection="1"/>
    <xf numFmtId="44" fontId="0" fillId="0" borderId="0" xfId="0" applyNumberFormat="1" applyProtection="1"/>
    <xf numFmtId="0" fontId="0" fillId="0" borderId="47" xfId="0" applyBorder="1" applyAlignment="1" applyProtection="1">
      <alignment horizontal="left" vertical="top"/>
    </xf>
    <xf numFmtId="0" fontId="0" fillId="0" borderId="48" xfId="0" applyBorder="1" applyAlignment="1" applyProtection="1">
      <alignment horizontal="left" vertical="top"/>
    </xf>
    <xf numFmtId="0" fontId="0" fillId="0" borderId="49" xfId="0" applyBorder="1" applyAlignment="1" applyProtection="1">
      <alignment horizontal="left" vertical="top"/>
    </xf>
    <xf numFmtId="164" fontId="7" fillId="0" borderId="47" xfId="1" applyNumberFormat="1" applyFont="1" applyBorder="1" applyProtection="1"/>
    <xf numFmtId="164" fontId="7" fillId="0" borderId="48" xfId="1" applyNumberFormat="1" applyFont="1" applyBorder="1" applyProtection="1"/>
    <xf numFmtId="0" fontId="0" fillId="0" borderId="19" xfId="0" applyFont="1" applyBorder="1" applyAlignment="1" applyProtection="1">
      <alignment horizontal="left" vertical="top"/>
    </xf>
    <xf numFmtId="0" fontId="0" fillId="0" borderId="52" xfId="0" applyBorder="1" applyAlignment="1" applyProtection="1">
      <alignment horizontal="left" vertical="top"/>
    </xf>
    <xf numFmtId="0" fontId="0" fillId="0" borderId="54" xfId="0" applyBorder="1" applyAlignment="1" applyProtection="1">
      <alignment horizontal="left" vertical="top"/>
    </xf>
    <xf numFmtId="164" fontId="7" fillId="0" borderId="57" xfId="1" applyNumberFormat="1" applyFont="1" applyBorder="1" applyProtection="1"/>
    <xf numFmtId="164" fontId="7" fillId="0" borderId="49" xfId="1" applyNumberFormat="1" applyFont="1" applyBorder="1" applyProtection="1"/>
    <xf numFmtId="164" fontId="7" fillId="0" borderId="58" xfId="1" applyNumberFormat="1" applyFont="1" applyBorder="1" applyProtection="1"/>
    <xf numFmtId="164" fontId="7" fillId="0" borderId="59" xfId="1" applyNumberFormat="1" applyFont="1" applyBorder="1" applyProtection="1"/>
    <xf numFmtId="164" fontId="7" fillId="0" borderId="60" xfId="1" applyNumberFormat="1" applyFont="1" applyBorder="1" applyProtection="1"/>
    <xf numFmtId="0" fontId="0" fillId="0" borderId="51" xfId="0" applyFont="1" applyBorder="1" applyAlignment="1" applyProtection="1">
      <alignment horizontal="left" vertical="top"/>
    </xf>
    <xf numFmtId="164" fontId="7" fillId="0" borderId="52" xfId="1" applyNumberFormat="1" applyFont="1" applyBorder="1" applyProtection="1"/>
    <xf numFmtId="0" fontId="0" fillId="0" borderId="62" xfId="0" applyBorder="1" applyAlignment="1" applyProtection="1">
      <alignment horizontal="left" vertical="top"/>
    </xf>
    <xf numFmtId="164" fontId="7" fillId="0" borderId="63" xfId="1" applyNumberFormat="1" applyFont="1" applyBorder="1" applyProtection="1"/>
    <xf numFmtId="164" fontId="29" fillId="0" borderId="7" xfId="1" applyNumberFormat="1" applyFont="1" applyBorder="1" applyAlignment="1" applyProtection="1">
      <alignment vertical="center"/>
    </xf>
    <xf numFmtId="0" fontId="0" fillId="0" borderId="64" xfId="0" applyBorder="1" applyAlignment="1" applyProtection="1">
      <alignment horizontal="left" vertical="top"/>
    </xf>
    <xf numFmtId="164" fontId="7" fillId="0" borderId="64" xfId="1" applyNumberFormat="1" applyFont="1" applyBorder="1" applyProtection="1"/>
    <xf numFmtId="164" fontId="7" fillId="0" borderId="46" xfId="1" applyNumberFormat="1" applyFont="1" applyBorder="1" applyProtection="1"/>
    <xf numFmtId="164" fontId="7" fillId="0" borderId="44" xfId="1" applyNumberFormat="1" applyFont="1" applyBorder="1" applyProtection="1"/>
    <xf numFmtId="0" fontId="0" fillId="0" borderId="27" xfId="0" applyFont="1" applyBorder="1" applyProtection="1"/>
    <xf numFmtId="44" fontId="7" fillId="7" borderId="51" xfId="1" applyFont="1" applyFill="1" applyBorder="1" applyAlignment="1" applyProtection="1">
      <alignment horizontal="center"/>
    </xf>
    <xf numFmtId="0" fontId="7" fillId="7" borderId="26" xfId="0" applyFont="1" applyFill="1" applyBorder="1" applyAlignment="1" applyProtection="1">
      <alignment horizontal="center"/>
    </xf>
    <xf numFmtId="0" fontId="0" fillId="0" borderId="45" xfId="0" applyFont="1" applyBorder="1" applyProtection="1"/>
    <xf numFmtId="0" fontId="0" fillId="0" borderId="61" xfId="0" applyFont="1" applyBorder="1" applyProtection="1"/>
    <xf numFmtId="44" fontId="7" fillId="7" borderId="61" xfId="1" applyFont="1" applyFill="1" applyBorder="1" applyAlignment="1" applyProtection="1">
      <alignment horizontal="center"/>
    </xf>
    <xf numFmtId="0" fontId="7" fillId="7" borderId="63" xfId="0" applyFont="1" applyFill="1" applyBorder="1" applyAlignment="1" applyProtection="1">
      <alignment horizontal="center"/>
    </xf>
    <xf numFmtId="0" fontId="0" fillId="0" borderId="34" xfId="0" applyFont="1" applyBorder="1" applyProtection="1"/>
    <xf numFmtId="0" fontId="7" fillId="0" borderId="28" xfId="0" applyFont="1" applyFill="1" applyBorder="1" applyAlignment="1" applyProtection="1">
      <alignment horizontal="center"/>
    </xf>
    <xf numFmtId="0" fontId="0" fillId="0" borderId="35" xfId="0" applyFont="1" applyBorder="1" applyProtection="1"/>
    <xf numFmtId="0" fontId="7" fillId="0" borderId="17" xfId="0" applyFont="1" applyFill="1" applyBorder="1" applyAlignment="1" applyProtection="1">
      <alignment horizontal="center"/>
    </xf>
    <xf numFmtId="0" fontId="0" fillId="0" borderId="41" xfId="0" applyFont="1" applyBorder="1" applyProtection="1"/>
    <xf numFmtId="0" fontId="7" fillId="0" borderId="43" xfId="0" applyFont="1" applyFill="1" applyBorder="1" applyAlignment="1" applyProtection="1">
      <alignment horizontal="center"/>
    </xf>
    <xf numFmtId="0" fontId="0" fillId="0" borderId="53" xfId="0" applyFont="1" applyBorder="1" applyProtection="1"/>
    <xf numFmtId="44" fontId="7" fillId="7" borderId="55" xfId="1" applyFont="1" applyFill="1" applyBorder="1" applyAlignment="1" applyProtection="1">
      <alignment horizontal="center"/>
    </xf>
    <xf numFmtId="0" fontId="7" fillId="7" borderId="56" xfId="0" applyFont="1" applyFill="1" applyBorder="1" applyAlignment="1" applyProtection="1">
      <alignment horizontal="center"/>
    </xf>
    <xf numFmtId="0" fontId="7" fillId="0" borderId="56" xfId="0" applyFont="1" applyFill="1" applyBorder="1" applyAlignment="1" applyProtection="1">
      <alignment horizontal="center"/>
    </xf>
    <xf numFmtId="0" fontId="0" fillId="0" borderId="20" xfId="0" applyFont="1" applyBorder="1" applyProtection="1"/>
    <xf numFmtId="0" fontId="7" fillId="0" borderId="18" xfId="0" applyFont="1" applyFill="1" applyBorder="1" applyAlignment="1" applyProtection="1">
      <alignment horizontal="center"/>
    </xf>
    <xf numFmtId="164" fontId="7" fillId="0" borderId="65" xfId="1" applyNumberFormat="1" applyFont="1" applyBorder="1" applyProtection="1"/>
    <xf numFmtId="0" fontId="0" fillId="0" borderId="66" xfId="0" applyFont="1" applyBorder="1" applyProtection="1"/>
    <xf numFmtId="0" fontId="7" fillId="0" borderId="26" xfId="0" applyFont="1" applyFill="1" applyBorder="1" applyAlignment="1" applyProtection="1">
      <alignment horizontal="center"/>
    </xf>
    <xf numFmtId="164" fontId="28" fillId="0" borderId="0" xfId="1" applyNumberFormat="1" applyFont="1" applyBorder="1" applyAlignment="1" applyProtection="1">
      <alignment horizontal="center" vertical="center"/>
    </xf>
    <xf numFmtId="1" fontId="7" fillId="0" borderId="51" xfId="1" applyNumberFormat="1" applyFont="1" applyBorder="1" applyAlignment="1" applyProtection="1">
      <alignment horizontal="center"/>
    </xf>
    <xf numFmtId="1" fontId="7" fillId="7" borderId="52" xfId="2" applyNumberFormat="1" applyFont="1" applyFill="1" applyBorder="1" applyAlignment="1" applyProtection="1">
      <alignment horizontal="center"/>
      <protection locked="0"/>
    </xf>
    <xf numFmtId="1" fontId="7" fillId="0" borderId="78" xfId="1" applyNumberFormat="1" applyFont="1" applyBorder="1" applyAlignment="1" applyProtection="1">
      <alignment horizontal="center"/>
    </xf>
    <xf numFmtId="1" fontId="7" fillId="7" borderId="57" xfId="2" applyNumberFormat="1" applyFont="1" applyFill="1" applyBorder="1" applyAlignment="1" applyProtection="1">
      <alignment horizontal="center"/>
      <protection locked="0"/>
    </xf>
    <xf numFmtId="1" fontId="7" fillId="0" borderId="19" xfId="1" applyNumberFormat="1" applyFont="1" applyBorder="1" applyAlignment="1" applyProtection="1">
      <alignment horizontal="center"/>
    </xf>
    <xf numFmtId="1" fontId="7" fillId="7" borderId="48" xfId="2" applyNumberFormat="1" applyFont="1" applyFill="1" applyBorder="1" applyAlignment="1" applyProtection="1">
      <alignment horizontal="center"/>
      <protection locked="0"/>
    </xf>
    <xf numFmtId="1" fontId="7" fillId="0" borderId="42" xfId="1" applyNumberFormat="1" applyFont="1" applyBorder="1" applyAlignment="1" applyProtection="1">
      <alignment horizontal="center"/>
    </xf>
    <xf numFmtId="1" fontId="7" fillId="7" borderId="49" xfId="2" applyNumberFormat="1" applyFont="1" applyFill="1" applyBorder="1" applyAlignment="1" applyProtection="1">
      <alignment horizontal="center"/>
      <protection locked="0"/>
    </xf>
    <xf numFmtId="1" fontId="7" fillId="0" borderId="55" xfId="1" applyNumberFormat="1" applyFont="1" applyBorder="1" applyAlignment="1" applyProtection="1">
      <alignment horizontal="center"/>
    </xf>
    <xf numFmtId="1" fontId="7" fillId="7" borderId="54" xfId="2" applyNumberFormat="1" applyFont="1" applyFill="1" applyBorder="1" applyAlignment="1" applyProtection="1">
      <alignment horizontal="center"/>
      <protection locked="0"/>
    </xf>
    <xf numFmtId="1" fontId="7" fillId="0" borderId="20" xfId="1" applyNumberFormat="1" applyFont="1" applyBorder="1" applyAlignment="1" applyProtection="1">
      <alignment horizontal="center"/>
    </xf>
    <xf numFmtId="1" fontId="7" fillId="7" borderId="84" xfId="2" applyNumberFormat="1" applyFont="1" applyFill="1" applyBorder="1" applyAlignment="1" applyProtection="1">
      <alignment horizontal="center"/>
      <protection locked="0"/>
    </xf>
    <xf numFmtId="1" fontId="4" fillId="0" borderId="34" xfId="1" applyNumberFormat="1" applyFont="1" applyBorder="1" applyAlignment="1" applyProtection="1">
      <alignment horizontal="center"/>
    </xf>
    <xf numFmtId="44" fontId="7" fillId="0" borderId="0" xfId="1" applyFont="1" applyProtection="1"/>
    <xf numFmtId="1" fontId="4" fillId="0" borderId="53" xfId="1" applyNumberFormat="1" applyFont="1" applyBorder="1" applyAlignment="1" applyProtection="1">
      <alignment horizontal="center"/>
    </xf>
    <xf numFmtId="1" fontId="7" fillId="0" borderId="89" xfId="1" applyNumberFormat="1" applyFont="1" applyBorder="1" applyAlignment="1" applyProtection="1">
      <alignment horizontal="center"/>
    </xf>
    <xf numFmtId="1" fontId="7" fillId="0" borderId="45" xfId="1" applyNumberFormat="1" applyFont="1" applyBorder="1" applyAlignment="1" applyProtection="1">
      <alignment horizontal="center"/>
    </xf>
    <xf numFmtId="1" fontId="7" fillId="0" borderId="98" xfId="1" applyNumberFormat="1" applyFont="1" applyBorder="1" applyAlignment="1" applyProtection="1">
      <alignment horizontal="center"/>
    </xf>
    <xf numFmtId="1" fontId="7" fillId="0" borderId="47" xfId="2" applyNumberFormat="1" applyFont="1" applyBorder="1" applyAlignment="1" applyProtection="1">
      <alignment horizontal="center"/>
    </xf>
    <xf numFmtId="164" fontId="7" fillId="0" borderId="48" xfId="1" applyNumberFormat="1" applyFont="1" applyBorder="1" applyAlignment="1" applyProtection="1">
      <alignment horizontal="center"/>
    </xf>
    <xf numFmtId="164" fontId="34" fillId="0" borderId="84" xfId="1" applyNumberFormat="1" applyFont="1" applyBorder="1" applyProtection="1"/>
    <xf numFmtId="1" fontId="7" fillId="7" borderId="47" xfId="2" applyNumberFormat="1" applyFont="1" applyFill="1" applyBorder="1" applyAlignment="1" applyProtection="1">
      <alignment horizontal="center"/>
      <protection locked="0"/>
    </xf>
    <xf numFmtId="0" fontId="24" fillId="6" borderId="23" xfId="0" applyFont="1" applyFill="1" applyBorder="1" applyAlignment="1" applyProtection="1">
      <alignment horizontal="left" vertical="center"/>
    </xf>
    <xf numFmtId="0" fontId="32" fillId="6" borderId="23" xfId="0" applyFont="1" applyFill="1" applyBorder="1" applyAlignment="1" applyProtection="1">
      <alignment vertical="center"/>
    </xf>
    <xf numFmtId="0" fontId="2" fillId="5" borderId="68" xfId="0" applyFont="1" applyFill="1" applyBorder="1" applyAlignment="1" applyProtection="1">
      <alignment vertical="center" wrapText="1"/>
    </xf>
    <xf numFmtId="0" fontId="2" fillId="5" borderId="71" xfId="0" applyFont="1" applyFill="1" applyBorder="1" applyAlignment="1" applyProtection="1">
      <alignment vertical="center" wrapText="1"/>
    </xf>
    <xf numFmtId="0" fontId="2" fillId="5" borderId="70" xfId="0" applyFont="1" applyFill="1" applyBorder="1" applyAlignment="1" applyProtection="1">
      <alignment vertical="center"/>
    </xf>
    <xf numFmtId="0" fontId="2" fillId="5" borderId="72" xfId="0" applyFont="1" applyFill="1" applyBorder="1" applyAlignment="1" applyProtection="1">
      <alignment vertical="center" wrapText="1"/>
    </xf>
    <xf numFmtId="0" fontId="2" fillId="5" borderId="24" xfId="0" applyFont="1" applyFill="1" applyBorder="1" applyAlignment="1" applyProtection="1">
      <alignment horizontal="left" wrapText="1"/>
    </xf>
    <xf numFmtId="0" fontId="7" fillId="0" borderId="34" xfId="0" applyFont="1" applyBorder="1" applyAlignment="1" applyProtection="1">
      <alignment wrapText="1"/>
    </xf>
    <xf numFmtId="0" fontId="7" fillId="0" borderId="28" xfId="0" applyFont="1" applyBorder="1" applyAlignment="1" applyProtection="1">
      <alignment wrapText="1"/>
    </xf>
    <xf numFmtId="1" fontId="7" fillId="0" borderId="73" xfId="0" applyNumberFormat="1" applyFont="1" applyBorder="1" applyAlignment="1" applyProtection="1">
      <alignment horizontal="center"/>
    </xf>
    <xf numFmtId="0" fontId="7" fillId="0" borderId="7" xfId="0" applyFont="1" applyBorder="1" applyAlignment="1" applyProtection="1"/>
    <xf numFmtId="0" fontId="7" fillId="0" borderId="75" xfId="0" applyFont="1" applyBorder="1" applyAlignment="1" applyProtection="1">
      <alignment wrapText="1"/>
    </xf>
    <xf numFmtId="0" fontId="7" fillId="0" borderId="63" xfId="0" applyFont="1" applyBorder="1" applyAlignment="1" applyProtection="1">
      <alignment wrapText="1"/>
    </xf>
    <xf numFmtId="1" fontId="7" fillId="0" borderId="74" xfId="0" applyNumberFormat="1" applyFont="1" applyBorder="1" applyAlignment="1" applyProtection="1">
      <alignment horizontal="center"/>
    </xf>
    <xf numFmtId="1" fontId="7" fillId="7" borderId="52" xfId="2" applyNumberFormat="1" applyFont="1" applyFill="1" applyBorder="1" applyAlignment="1" applyProtection="1">
      <alignment horizontal="center"/>
    </xf>
    <xf numFmtId="0" fontId="7" fillId="0" borderId="76" xfId="0" applyFont="1" applyBorder="1" applyAlignment="1" applyProtection="1">
      <alignment wrapText="1"/>
    </xf>
    <xf numFmtId="0" fontId="7" fillId="0" borderId="29" xfId="0" applyFont="1" applyBorder="1" applyAlignment="1" applyProtection="1">
      <alignment wrapText="1"/>
    </xf>
    <xf numFmtId="1" fontId="7" fillId="0" borderId="77" xfId="0" applyNumberFormat="1" applyFont="1" applyBorder="1" applyAlignment="1" applyProtection="1">
      <alignment horizontal="center"/>
    </xf>
    <xf numFmtId="1" fontId="7" fillId="7" borderId="57" xfId="2" applyNumberFormat="1" applyFont="1" applyFill="1" applyBorder="1" applyAlignment="1" applyProtection="1">
      <alignment horizontal="center"/>
    </xf>
    <xf numFmtId="0" fontId="7" fillId="0" borderId="35" xfId="0" applyFont="1" applyBorder="1" applyAlignment="1" applyProtection="1">
      <alignment wrapText="1"/>
    </xf>
    <xf numFmtId="0" fontId="7" fillId="0" borderId="17" xfId="0" applyFont="1" applyBorder="1" applyAlignment="1" applyProtection="1">
      <alignment wrapText="1"/>
    </xf>
    <xf numFmtId="1" fontId="7" fillId="0" borderId="79" xfId="0" applyNumberFormat="1" applyFont="1" applyBorder="1" applyAlignment="1" applyProtection="1">
      <alignment horizontal="center"/>
    </xf>
    <xf numFmtId="1" fontId="7" fillId="7" borderId="48" xfId="2" applyNumberFormat="1" applyFont="1" applyFill="1" applyBorder="1" applyAlignment="1" applyProtection="1">
      <alignment horizontal="center"/>
    </xf>
    <xf numFmtId="0" fontId="7" fillId="0" borderId="41" xfId="0" applyFont="1" applyBorder="1" applyAlignment="1" applyProtection="1">
      <alignment wrapText="1"/>
    </xf>
    <xf numFmtId="0" fontId="7" fillId="0" borderId="43" xfId="0" applyFont="1" applyBorder="1" applyAlignment="1" applyProtection="1">
      <alignment wrapText="1"/>
    </xf>
    <xf numFmtId="1" fontId="7" fillId="0" borderId="80" xfId="0" applyNumberFormat="1" applyFont="1" applyBorder="1" applyAlignment="1" applyProtection="1">
      <alignment horizontal="center"/>
    </xf>
    <xf numFmtId="1" fontId="7" fillId="7" borderId="49" xfId="2" applyNumberFormat="1" applyFont="1" applyFill="1" applyBorder="1" applyAlignment="1" applyProtection="1">
      <alignment horizontal="center"/>
    </xf>
    <xf numFmtId="164" fontId="7" fillId="0" borderId="0" xfId="0" applyNumberFormat="1" applyFont="1" applyProtection="1"/>
    <xf numFmtId="0" fontId="7" fillId="0" borderId="53" xfId="0" applyFont="1" applyBorder="1" applyAlignment="1" applyProtection="1">
      <alignment wrapText="1"/>
    </xf>
    <xf numFmtId="0" fontId="7" fillId="0" borderId="56" xfId="0" applyFont="1" applyBorder="1" applyAlignment="1" applyProtection="1">
      <alignment wrapText="1"/>
    </xf>
    <xf numFmtId="1" fontId="7" fillId="0" borderId="81" xfId="0" applyNumberFormat="1" applyFont="1" applyBorder="1" applyAlignment="1" applyProtection="1">
      <alignment horizontal="center"/>
    </xf>
    <xf numFmtId="1" fontId="7" fillId="7" borderId="54" xfId="2" applyNumberFormat="1" applyFont="1" applyFill="1" applyBorder="1" applyAlignment="1" applyProtection="1">
      <alignment horizontal="center"/>
    </xf>
    <xf numFmtId="0" fontId="7" fillId="0" borderId="82" xfId="0" applyFont="1" applyBorder="1" applyAlignment="1" applyProtection="1">
      <alignment wrapText="1"/>
    </xf>
    <xf numFmtId="0" fontId="7" fillId="0" borderId="18" xfId="0" applyFont="1" applyBorder="1" applyAlignment="1" applyProtection="1">
      <alignment wrapText="1"/>
    </xf>
    <xf numFmtId="1" fontId="7" fillId="0" borderId="83" xfId="0" applyNumberFormat="1" applyFont="1" applyBorder="1" applyAlignment="1" applyProtection="1">
      <alignment horizontal="center"/>
    </xf>
    <xf numFmtId="1" fontId="7" fillId="7" borderId="84" xfId="2" applyNumberFormat="1" applyFont="1" applyFill="1" applyBorder="1" applyAlignment="1" applyProtection="1">
      <alignment horizontal="center"/>
    </xf>
    <xf numFmtId="0" fontId="29" fillId="0" borderId="34" xfId="0" applyFont="1" applyBorder="1" applyProtection="1"/>
    <xf numFmtId="0" fontId="29" fillId="0" borderId="85" xfId="0" applyFont="1" applyBorder="1" applyProtection="1"/>
    <xf numFmtId="0" fontId="29" fillId="0" borderId="73" xfId="0" applyFont="1" applyBorder="1" applyAlignment="1" applyProtection="1">
      <alignment horizontal="right"/>
    </xf>
    <xf numFmtId="0" fontId="29" fillId="0" borderId="0" xfId="0" applyFont="1" applyProtection="1"/>
    <xf numFmtId="0" fontId="29" fillId="0" borderId="35" xfId="0" applyFont="1" applyBorder="1" applyProtection="1"/>
    <xf numFmtId="0" fontId="6" fillId="0" borderId="86" xfId="0" applyFont="1" applyBorder="1" applyProtection="1"/>
    <xf numFmtId="0" fontId="29" fillId="0" borderId="79" xfId="0" applyFont="1" applyBorder="1" applyAlignment="1" applyProtection="1">
      <alignment horizontal="right"/>
    </xf>
    <xf numFmtId="0" fontId="29" fillId="0" borderId="51" xfId="0" applyFont="1" applyBorder="1" applyAlignment="1" applyProtection="1"/>
    <xf numFmtId="164" fontId="33" fillId="0" borderId="7" xfId="0" applyNumberFormat="1" applyFont="1" applyBorder="1" applyProtection="1"/>
    <xf numFmtId="0" fontId="29" fillId="0" borderId="87" xfId="0" applyFont="1" applyBorder="1" applyProtection="1"/>
    <xf numFmtId="0" fontId="6" fillId="0" borderId="87" xfId="0" applyFont="1" applyBorder="1" applyProtection="1"/>
    <xf numFmtId="0" fontId="34" fillId="0" borderId="83" xfId="0" applyFont="1" applyBorder="1" applyAlignment="1" applyProtection="1">
      <alignment horizontal="right"/>
    </xf>
    <xf numFmtId="0" fontId="29" fillId="0" borderId="88" xfId="0" applyFont="1" applyBorder="1" applyAlignment="1" applyProtection="1"/>
    <xf numFmtId="164" fontId="35" fillId="0" borderId="9" xfId="0" applyNumberFormat="1" applyFont="1" applyBorder="1" applyProtection="1"/>
    <xf numFmtId="0" fontId="7" fillId="0" borderId="4" xfId="0" applyFont="1" applyBorder="1" applyAlignment="1" applyProtection="1">
      <alignment wrapText="1"/>
    </xf>
    <xf numFmtId="168" fontId="7" fillId="0" borderId="73" xfId="0" applyNumberFormat="1" applyFont="1" applyBorder="1" applyAlignment="1" applyProtection="1">
      <alignment horizontal="center"/>
    </xf>
    <xf numFmtId="1" fontId="7" fillId="7" borderId="47" xfId="2" applyNumberFormat="1" applyFont="1" applyFill="1" applyBorder="1" applyAlignment="1" applyProtection="1">
      <alignment horizontal="center"/>
    </xf>
    <xf numFmtId="0" fontId="7" fillId="0" borderId="50" xfId="0" applyFont="1" applyBorder="1" applyAlignment="1" applyProtection="1"/>
    <xf numFmtId="0" fontId="7" fillId="0" borderId="26" xfId="0" applyFont="1" applyBorder="1" applyAlignment="1" applyProtection="1">
      <alignment wrapText="1"/>
    </xf>
    <xf numFmtId="168" fontId="7" fillId="0" borderId="90" xfId="0" applyNumberFormat="1" applyFont="1" applyBorder="1" applyAlignment="1" applyProtection="1">
      <alignment horizontal="center"/>
    </xf>
    <xf numFmtId="0" fontId="7" fillId="0" borderId="92" xfId="0" applyFont="1" applyBorder="1" applyAlignment="1" applyProtection="1">
      <alignment wrapText="1"/>
    </xf>
    <xf numFmtId="0" fontId="7" fillId="0" borderId="46" xfId="0" applyFont="1" applyBorder="1" applyAlignment="1" applyProtection="1">
      <alignment wrapText="1"/>
    </xf>
    <xf numFmtId="168" fontId="7" fillId="0" borderId="93" xfId="0" applyNumberFormat="1" applyFont="1" applyBorder="1" applyAlignment="1" applyProtection="1">
      <alignment horizontal="center"/>
    </xf>
    <xf numFmtId="0" fontId="7" fillId="0" borderId="94" xfId="0" applyFont="1" applyBorder="1" applyAlignment="1" applyProtection="1">
      <alignment wrapText="1"/>
    </xf>
    <xf numFmtId="168" fontId="7" fillId="0" borderId="77" xfId="0" applyNumberFormat="1" applyFont="1" applyBorder="1" applyAlignment="1" applyProtection="1">
      <alignment horizontal="center"/>
    </xf>
    <xf numFmtId="168" fontId="7" fillId="0" borderId="79" xfId="0" applyNumberFormat="1" applyFont="1" applyBorder="1" applyAlignment="1" applyProtection="1">
      <alignment horizontal="center"/>
    </xf>
    <xf numFmtId="0" fontId="7" fillId="0" borderId="97" xfId="0" applyFont="1" applyBorder="1" applyAlignment="1" applyProtection="1">
      <alignment wrapText="1"/>
    </xf>
    <xf numFmtId="168" fontId="7" fillId="0" borderId="80" xfId="0" applyNumberFormat="1" applyFont="1" applyBorder="1" applyAlignment="1" applyProtection="1">
      <alignment horizontal="center"/>
    </xf>
    <xf numFmtId="168" fontId="7" fillId="0" borderId="81" xfId="0" applyNumberFormat="1" applyFont="1" applyBorder="1" applyAlignment="1" applyProtection="1">
      <alignment horizontal="center"/>
    </xf>
    <xf numFmtId="0" fontId="29" fillId="0" borderId="75" xfId="0" applyFont="1" applyBorder="1" applyAlignment="1" applyProtection="1">
      <alignment wrapText="1"/>
    </xf>
    <xf numFmtId="0" fontId="7" fillId="0" borderId="86" xfId="0" applyFont="1" applyBorder="1" applyProtection="1"/>
    <xf numFmtId="0" fontId="7" fillId="0" borderId="0" xfId="0" applyFont="1" applyAlignment="1" applyProtection="1"/>
    <xf numFmtId="0" fontId="2" fillId="5" borderId="69" xfId="0" applyFont="1" applyFill="1" applyBorder="1" applyAlignment="1" applyProtection="1">
      <alignment vertical="center" wrapText="1"/>
    </xf>
    <xf numFmtId="0" fontId="2" fillId="5" borderId="99" xfId="0" applyFont="1" applyFill="1" applyBorder="1" applyAlignment="1" applyProtection="1">
      <alignment vertical="center" wrapText="1"/>
    </xf>
    <xf numFmtId="0" fontId="7" fillId="0" borderId="47" xfId="0" applyFont="1" applyBorder="1" applyAlignment="1" applyProtection="1">
      <alignment wrapText="1"/>
    </xf>
    <xf numFmtId="0" fontId="7" fillId="0" borderId="100" xfId="0" applyFont="1" applyBorder="1" applyAlignment="1" applyProtection="1">
      <alignment wrapText="1"/>
    </xf>
    <xf numFmtId="0" fontId="7" fillId="0" borderId="64" xfId="0" applyFont="1" applyBorder="1" applyAlignment="1" applyProtection="1"/>
    <xf numFmtId="0" fontId="7" fillId="0" borderId="101" xfId="0" applyFont="1" applyBorder="1" applyAlignment="1" applyProtection="1">
      <alignment wrapText="1"/>
    </xf>
    <xf numFmtId="1" fontId="7" fillId="0" borderId="93" xfId="0" applyNumberFormat="1" applyFont="1" applyBorder="1" applyAlignment="1" applyProtection="1">
      <alignment horizontal="center"/>
    </xf>
    <xf numFmtId="0" fontId="7" fillId="0" borderId="52" xfId="0" applyFont="1" applyBorder="1" applyAlignment="1" applyProtection="1"/>
    <xf numFmtId="0" fontId="7" fillId="0" borderId="102" xfId="0" applyFont="1" applyBorder="1" applyAlignment="1" applyProtection="1">
      <alignment wrapText="1"/>
    </xf>
    <xf numFmtId="1" fontId="7" fillId="0" borderId="90" xfId="0" applyNumberFormat="1" applyFont="1" applyBorder="1" applyAlignment="1" applyProtection="1">
      <alignment horizontal="center"/>
    </xf>
    <xf numFmtId="0" fontId="0" fillId="0" borderId="67" xfId="0" applyBorder="1" applyProtection="1"/>
    <xf numFmtId="1" fontId="7" fillId="0" borderId="27" xfId="1" applyNumberFormat="1" applyFont="1" applyBorder="1" applyAlignment="1" applyProtection="1">
      <alignment horizontal="center"/>
    </xf>
    <xf numFmtId="1" fontId="7" fillId="7" borderId="105" xfId="2" applyNumberFormat="1" applyFont="1" applyFill="1" applyBorder="1" applyAlignment="1" applyProtection="1">
      <alignment horizontal="center"/>
      <protection locked="0"/>
    </xf>
    <xf numFmtId="1" fontId="7" fillId="0" borderId="106" xfId="1" applyNumberFormat="1" applyFont="1" applyBorder="1" applyAlignment="1" applyProtection="1">
      <alignment horizontal="center"/>
    </xf>
    <xf numFmtId="1" fontId="7" fillId="7" borderId="107" xfId="2" applyNumberFormat="1" applyFont="1" applyFill="1" applyBorder="1" applyAlignment="1" applyProtection="1">
      <alignment horizontal="center"/>
      <protection locked="0"/>
    </xf>
    <xf numFmtId="1" fontId="7" fillId="0" borderId="108" xfId="1" applyNumberFormat="1" applyFont="1" applyBorder="1" applyAlignment="1" applyProtection="1">
      <alignment horizontal="center"/>
    </xf>
    <xf numFmtId="1" fontId="7" fillId="7" borderId="109" xfId="2" applyNumberFormat="1" applyFont="1" applyFill="1" applyBorder="1" applyAlignment="1" applyProtection="1">
      <alignment horizontal="center"/>
      <protection locked="0"/>
    </xf>
    <xf numFmtId="1" fontId="7" fillId="0" borderId="110" xfId="1" applyNumberFormat="1" applyFont="1" applyBorder="1" applyAlignment="1" applyProtection="1">
      <alignment horizontal="center"/>
    </xf>
    <xf numFmtId="1" fontId="7" fillId="0" borderId="105" xfId="2" applyNumberFormat="1" applyFont="1" applyBorder="1" applyAlignment="1" applyProtection="1">
      <alignment horizontal="center"/>
    </xf>
    <xf numFmtId="164" fontId="7" fillId="0" borderId="107" xfId="1" applyNumberFormat="1" applyFont="1" applyBorder="1" applyAlignment="1" applyProtection="1">
      <alignment horizontal="center"/>
    </xf>
    <xf numFmtId="164" fontId="34" fillId="0" borderId="109" xfId="1" applyNumberFormat="1" applyFont="1" applyBorder="1" applyProtection="1"/>
    <xf numFmtId="1" fontId="7" fillId="0" borderId="91" xfId="1" applyNumberFormat="1" applyFont="1" applyBorder="1" applyAlignment="1" applyProtection="1">
      <alignment horizontal="center"/>
    </xf>
    <xf numFmtId="1" fontId="7" fillId="7" borderId="114" xfId="2" applyNumberFormat="1" applyFont="1" applyFill="1" applyBorder="1" applyAlignment="1" applyProtection="1">
      <alignment horizontal="center"/>
      <protection locked="0"/>
    </xf>
    <xf numFmtId="1" fontId="7" fillId="7" borderId="115" xfId="2" applyNumberFormat="1" applyFont="1" applyFill="1" applyBorder="1" applyAlignment="1" applyProtection="1">
      <alignment horizontal="center"/>
      <protection locked="0"/>
    </xf>
    <xf numFmtId="1" fontId="7" fillId="0" borderId="95" xfId="1" applyNumberFormat="1" applyFont="1" applyBorder="1" applyAlignment="1" applyProtection="1">
      <alignment horizontal="center"/>
    </xf>
    <xf numFmtId="1" fontId="7" fillId="7" borderId="116" xfId="2" applyNumberFormat="1" applyFont="1" applyFill="1" applyBorder="1" applyAlignment="1" applyProtection="1">
      <alignment horizontal="center"/>
      <protection locked="0"/>
    </xf>
    <xf numFmtId="1" fontId="7" fillId="0" borderId="96" xfId="1" applyNumberFormat="1" applyFont="1" applyBorder="1" applyAlignment="1" applyProtection="1">
      <alignment horizontal="center"/>
    </xf>
    <xf numFmtId="1" fontId="7" fillId="7" borderId="117" xfId="2" applyNumberFormat="1" applyFont="1" applyFill="1" applyBorder="1" applyAlignment="1" applyProtection="1">
      <alignment horizontal="center"/>
      <protection locked="0"/>
    </xf>
    <xf numFmtId="1" fontId="7" fillId="7" borderId="118" xfId="2" applyNumberFormat="1" applyFont="1" applyFill="1" applyBorder="1" applyAlignment="1" applyProtection="1">
      <alignment horizontal="center"/>
      <protection locked="0"/>
    </xf>
    <xf numFmtId="1" fontId="7" fillId="0" borderId="111" xfId="1" applyNumberFormat="1" applyFont="1" applyBorder="1" applyAlignment="1" applyProtection="1">
      <alignment horizontal="center"/>
    </xf>
    <xf numFmtId="1" fontId="7" fillId="0" borderId="120" xfId="1" applyNumberFormat="1" applyFont="1" applyBorder="1" applyAlignment="1" applyProtection="1">
      <alignment horizontal="center"/>
    </xf>
    <xf numFmtId="1" fontId="7" fillId="0" borderId="121" xfId="1" applyNumberFormat="1" applyFont="1" applyBorder="1" applyAlignment="1" applyProtection="1">
      <alignment horizontal="center"/>
    </xf>
    <xf numFmtId="1" fontId="7" fillId="7" borderId="122" xfId="2" applyNumberFormat="1" applyFont="1" applyFill="1" applyBorder="1" applyAlignment="1" applyProtection="1">
      <alignment horizontal="center"/>
      <protection locked="0"/>
    </xf>
    <xf numFmtId="1" fontId="7" fillId="7" borderId="37" xfId="2" applyNumberFormat="1" applyFont="1" applyFill="1" applyBorder="1" applyAlignment="1" applyProtection="1">
      <alignment horizontal="center"/>
      <protection locked="0"/>
    </xf>
    <xf numFmtId="1" fontId="7" fillId="0" borderId="123" xfId="1" applyNumberFormat="1" applyFont="1" applyBorder="1" applyAlignment="1" applyProtection="1">
      <alignment horizontal="center"/>
    </xf>
    <xf numFmtId="1" fontId="7" fillId="7" borderId="124" xfId="2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Protection="1"/>
    <xf numFmtId="164" fontId="4" fillId="0" borderId="0" xfId="0" applyNumberFormat="1" applyFont="1" applyBorder="1" applyAlignment="1" applyProtection="1">
      <alignment horizontal="center" vertical="center"/>
    </xf>
    <xf numFmtId="0" fontId="7" fillId="0" borderId="74" xfId="0" applyFont="1" applyBorder="1" applyAlignment="1" applyProtection="1"/>
    <xf numFmtId="1" fontId="7" fillId="0" borderId="36" xfId="2" applyNumberFormat="1" applyFont="1" applyBorder="1" applyAlignment="1" applyProtection="1">
      <alignment horizontal="center"/>
    </xf>
    <xf numFmtId="0" fontId="16" fillId="0" borderId="34" xfId="7" applyFill="1" applyBorder="1" applyAlignment="1" applyProtection="1">
      <alignment wrapText="1"/>
    </xf>
    <xf numFmtId="0" fontId="16" fillId="0" borderId="85" xfId="7" applyFill="1" applyBorder="1" applyAlignment="1" applyProtection="1">
      <alignment wrapText="1"/>
    </xf>
    <xf numFmtId="0" fontId="0" fillId="0" borderId="82" xfId="0" applyBorder="1" applyProtection="1"/>
    <xf numFmtId="0" fontId="0" fillId="0" borderId="87" xfId="0" applyBorder="1" applyProtection="1"/>
    <xf numFmtId="0" fontId="7" fillId="0" borderId="0" xfId="0" applyFont="1" applyFill="1" applyBorder="1" applyAlignment="1" applyProtection="1">
      <alignment horizontal="left"/>
    </xf>
    <xf numFmtId="0" fontId="2" fillId="5" borderId="103" xfId="0" applyFont="1" applyFill="1" applyBorder="1" applyAlignment="1" applyProtection="1">
      <alignment vertical="center" wrapText="1"/>
    </xf>
    <xf numFmtId="0" fontId="2" fillId="5" borderId="104" xfId="0" applyFont="1" applyFill="1" applyBorder="1" applyAlignment="1" applyProtection="1">
      <alignment vertical="center" wrapText="1"/>
    </xf>
    <xf numFmtId="0" fontId="2" fillId="5" borderId="50" xfId="0" applyFont="1" applyFill="1" applyBorder="1" applyAlignment="1" applyProtection="1">
      <alignment horizontal="left" wrapText="1"/>
    </xf>
    <xf numFmtId="1" fontId="7" fillId="7" borderId="105" xfId="2" applyNumberFormat="1" applyFont="1" applyFill="1" applyBorder="1" applyAlignment="1" applyProtection="1">
      <alignment horizontal="center"/>
    </xf>
    <xf numFmtId="1" fontId="7" fillId="7" borderId="114" xfId="2" applyNumberFormat="1" applyFont="1" applyFill="1" applyBorder="1" applyAlignment="1" applyProtection="1">
      <alignment horizontal="center"/>
    </xf>
    <xf numFmtId="1" fontId="7" fillId="7" borderId="116" xfId="2" applyNumberFormat="1" applyFont="1" applyFill="1" applyBorder="1" applyAlignment="1" applyProtection="1">
      <alignment horizontal="center"/>
    </xf>
    <xf numFmtId="1" fontId="7" fillId="7" borderId="122" xfId="2" applyNumberFormat="1" applyFont="1" applyFill="1" applyBorder="1" applyAlignment="1" applyProtection="1">
      <alignment horizontal="center"/>
    </xf>
    <xf numFmtId="1" fontId="7" fillId="7" borderId="107" xfId="2" applyNumberFormat="1" applyFont="1" applyFill="1" applyBorder="1" applyAlignment="1" applyProtection="1">
      <alignment horizontal="center"/>
    </xf>
    <xf numFmtId="1" fontId="7" fillId="7" borderId="37" xfId="2" applyNumberFormat="1" applyFont="1" applyFill="1" applyBorder="1" applyAlignment="1" applyProtection="1">
      <alignment horizontal="center"/>
    </xf>
    <xf numFmtId="1" fontId="7" fillId="7" borderId="117" xfId="2" applyNumberFormat="1" applyFont="1" applyFill="1" applyBorder="1" applyAlignment="1" applyProtection="1">
      <alignment horizontal="center"/>
    </xf>
    <xf numFmtId="1" fontId="7" fillId="7" borderId="124" xfId="2" applyNumberFormat="1" applyFont="1" applyFill="1" applyBorder="1" applyAlignment="1" applyProtection="1">
      <alignment horizontal="center"/>
    </xf>
    <xf numFmtId="1" fontId="7" fillId="7" borderId="118" xfId="2" applyNumberFormat="1" applyFont="1" applyFill="1" applyBorder="1" applyAlignment="1" applyProtection="1">
      <alignment horizontal="center"/>
    </xf>
    <xf numFmtId="1" fontId="7" fillId="7" borderId="109" xfId="2" applyNumberFormat="1" applyFont="1" applyFill="1" applyBorder="1" applyAlignment="1" applyProtection="1">
      <alignment horizontal="center"/>
    </xf>
    <xf numFmtId="0" fontId="29" fillId="0" borderId="51" xfId="0" applyFont="1" applyBorder="1" applyAlignment="1" applyProtection="1">
      <alignment horizontal="center"/>
    </xf>
    <xf numFmtId="0" fontId="29" fillId="0" borderId="111" xfId="0" applyFont="1" applyBorder="1" applyAlignment="1" applyProtection="1">
      <alignment horizontal="center"/>
    </xf>
    <xf numFmtId="0" fontId="29" fillId="0" borderId="88" xfId="0" applyFont="1" applyBorder="1" applyAlignment="1" applyProtection="1">
      <alignment horizontal="center"/>
    </xf>
    <xf numFmtId="0" fontId="29" fillId="0" borderId="112" xfId="0" applyFont="1" applyBorder="1" applyAlignment="1" applyProtection="1">
      <alignment horizontal="center"/>
    </xf>
    <xf numFmtId="1" fontId="7" fillId="7" borderId="115" xfId="2" applyNumberFormat="1" applyFont="1" applyFill="1" applyBorder="1" applyAlignment="1" applyProtection="1">
      <alignment horizontal="center"/>
    </xf>
    <xf numFmtId="164" fontId="29" fillId="0" borderId="38" xfId="1" applyNumberFormat="1" applyFont="1" applyBorder="1" applyAlignment="1" applyProtection="1">
      <alignment horizontal="center" vertical="center"/>
    </xf>
    <xf numFmtId="164" fontId="29" fillId="0" borderId="9" xfId="1" applyNumberFormat="1" applyFont="1" applyBorder="1" applyAlignment="1" applyProtection="1">
      <alignment horizontal="center" vertical="center"/>
    </xf>
    <xf numFmtId="164" fontId="7" fillId="0" borderId="103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16" xfId="1" applyNumberFormat="1" applyFont="1" applyBorder="1" applyAlignment="1" applyProtection="1">
      <alignment horizontal="center" vertical="center" wrapText="1"/>
    </xf>
    <xf numFmtId="164" fontId="7" fillId="0" borderId="74" xfId="1" applyNumberFormat="1" applyFont="1" applyBorder="1" applyAlignment="1" applyProtection="1">
      <alignment horizontal="center" vertical="center" wrapText="1"/>
    </xf>
    <xf numFmtId="164" fontId="7" fillId="0" borderId="119" xfId="1" applyNumberFormat="1" applyFont="1" applyBorder="1" applyAlignment="1" applyProtection="1">
      <alignment horizontal="center" vertical="center" wrapText="1"/>
    </xf>
    <xf numFmtId="164" fontId="7" fillId="0" borderId="8" xfId="1" applyNumberFormat="1" applyFont="1" applyBorder="1" applyAlignment="1" applyProtection="1">
      <alignment horizontal="center" vertical="center" wrapText="1"/>
    </xf>
    <xf numFmtId="0" fontId="7" fillId="0" borderId="50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164" fontId="29" fillId="0" borderId="50" xfId="1" applyNumberFormat="1" applyFont="1" applyBorder="1" applyAlignment="1" applyProtection="1">
      <alignment horizontal="center" vertical="center"/>
    </xf>
    <xf numFmtId="164" fontId="29" fillId="0" borderId="7" xfId="1" applyNumberFormat="1" applyFont="1" applyBorder="1" applyAlignment="1" applyProtection="1">
      <alignment horizontal="center" vertical="center"/>
    </xf>
    <xf numFmtId="164" fontId="29" fillId="0" borderId="39" xfId="1" applyNumberFormat="1" applyFont="1" applyBorder="1" applyAlignment="1" applyProtection="1">
      <alignment horizontal="center" vertical="center"/>
    </xf>
    <xf numFmtId="0" fontId="2" fillId="5" borderId="113" xfId="0" applyFont="1" applyFill="1" applyBorder="1" applyAlignment="1" applyProtection="1">
      <alignment horizontal="center" vertical="center" wrapText="1"/>
    </xf>
    <xf numFmtId="0" fontId="2" fillId="5" borderId="69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left" vertical="top" wrapText="1"/>
    </xf>
    <xf numFmtId="0" fontId="2" fillId="5" borderId="22" xfId="0" applyFont="1" applyFill="1" applyBorder="1" applyAlignment="1" applyProtection="1">
      <alignment horizontal="left" vertical="top" wrapText="1"/>
    </xf>
    <xf numFmtId="164" fontId="26" fillId="0" borderId="22" xfId="1" applyNumberFormat="1" applyFont="1" applyBorder="1" applyAlignment="1" applyProtection="1">
      <alignment horizontal="center" vertical="center"/>
    </xf>
    <xf numFmtId="164" fontId="26" fillId="0" borderId="5" xfId="1" applyNumberFormat="1" applyFont="1" applyBorder="1" applyAlignment="1" applyProtection="1">
      <alignment horizontal="center" vertical="center"/>
    </xf>
    <xf numFmtId="0" fontId="7" fillId="7" borderId="25" xfId="0" applyFont="1" applyFill="1" applyBorder="1" applyAlignment="1" applyProtection="1">
      <alignment horizontal="left"/>
    </xf>
    <xf numFmtId="0" fontId="2" fillId="5" borderId="6" xfId="0" applyFont="1" applyFill="1" applyBorder="1" applyAlignment="1" applyProtection="1">
      <alignment horizontal="left" vertical="top" wrapText="1"/>
    </xf>
    <xf numFmtId="0" fontId="2" fillId="5" borderId="23" xfId="0" applyFont="1" applyFill="1" applyBorder="1" applyAlignment="1" applyProtection="1">
      <alignment horizontal="left" vertical="top" wrapText="1"/>
    </xf>
    <xf numFmtId="164" fontId="28" fillId="0" borderId="23" xfId="1" applyNumberFormat="1" applyFont="1" applyBorder="1" applyAlignment="1" applyProtection="1">
      <alignment horizontal="center" vertical="center"/>
    </xf>
    <xf numFmtId="164" fontId="28" fillId="0" borderId="8" xfId="1" applyNumberFormat="1" applyFont="1" applyBorder="1" applyAlignment="1" applyProtection="1">
      <alignment horizontal="center" vertical="center"/>
    </xf>
    <xf numFmtId="0" fontId="7" fillId="7" borderId="25" xfId="0" applyFont="1" applyFill="1" applyBorder="1" applyAlignment="1" applyProtection="1">
      <alignment horizontal="left"/>
      <protection locked="0"/>
    </xf>
    <xf numFmtId="0" fontId="7" fillId="7" borderId="0" xfId="0" applyFont="1" applyFill="1" applyAlignment="1" applyProtection="1">
      <alignment horizontal="left"/>
      <protection locked="0"/>
    </xf>
  </cellXfs>
  <cellStyles count="10">
    <cellStyle name="Berekening" xfId="9" builtinId="22"/>
    <cellStyle name="Invoer" xfId="7" builtinId="20"/>
    <cellStyle name="Kop 1" xfId="4" builtinId="16"/>
    <cellStyle name="Kop 2" xfId="5" builtinId="17"/>
    <cellStyle name="Kop 3" xfId="6" builtinId="18"/>
    <cellStyle name="Procent" xfId="2" builtinId="5"/>
    <cellStyle name="Standaard" xfId="0" builtinId="0"/>
    <cellStyle name="Titel" xfId="3" builtinId="15"/>
    <cellStyle name="Uitvoer" xfId="8" builtinId="21"/>
    <cellStyle name="Valuta" xfId="1" builtinId="4"/>
  </cellStyles>
  <dxfs count="18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border outline="0"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&quot;€&quot;\ * #,##0_ ;_ &quot;€&quot;\ * \-#,##0_ ;_ &quot;€&quot;\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 &quot;€&quot;\ * #,##0_ ;_ &quot;€&quot;\ * \-#,##0_ ;_ &quot;€&quot;\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border diagonalUp="0" diagonalDown="0" outline="0">
        <left/>
        <right/>
        <top/>
        <bottom/>
      </border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€&quot;\ #,##0.00;[Red]&quot;€&quot;\ 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&quot;€&quot;\ * #,##0_ ;_ &quot;€&quot;\ * \-#,##0_ ;_ &quot;€&quot;\ * &quot;-&quot;??_ ;_ @_ 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DE6A50-5376-4E25-860B-F8652BB6847A}" name="Tabel14" displayName="Tabel14" ref="A52:B61" headerRowCount="0" totalsRowShown="0" headerRowDxfId="182" dataDxfId="181">
  <tableColumns count="2">
    <tableColumn id="1" xr3:uid="{43014D1D-CECC-491C-8735-2D53A9853843}" name="Kolom1" headerRowDxfId="180" dataCellStyle="Standaard"/>
    <tableColumn id="2" xr3:uid="{1D017075-D810-4881-A71E-09749B0C40B1}" name="Kolom2" headerRowDxfId="179" headerRowCellStyle="Valuta" dataCellStyle="Invoer"/>
  </tableColumns>
  <tableStyleInfo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2" displayName="Tabel2" ref="Y56:Z62" totalsRowShown="0" dataDxfId="85" dataCellStyle="Valuta">
  <autoFilter ref="Y56:Z62" xr:uid="{00000000-0009-0000-0100-000002000000}"/>
  <tableColumns count="2">
    <tableColumn id="1" xr3:uid="{00000000-0010-0000-0500-000001000000}" name="garantie" dataDxfId="84" dataCellStyle="Valuta"/>
    <tableColumn id="2" xr3:uid="{00000000-0010-0000-0500-000002000000}" name="korting" dataDxfId="83" dataCellStyle="Valuta">
      <calculatedColumnFormula>($Y57-deklaagGARdrempel)*((deklaagGARkorting/(deklaagGARplafond-deklaagGARdrempel)))</calculatedColumnFormula>
    </tableColumn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21B25C2-1E42-43EF-B90E-95397387B605}" name="Tussen" displayName="Tussen" ref="B30:H35" headerRowCount="0" totalsRowShown="0" headerRowDxfId="82" tableBorderDxfId="81" headerRowCellStyle="Valuta">
  <tableColumns count="7">
    <tableColumn id="1" xr3:uid="{E2AC2238-A826-4D22-9B6A-43DCAEA8C721}" name="circ \ MKI" headerRowDxfId="80" dataDxfId="79"/>
    <tableColumn id="12" xr3:uid="{14F20E63-605C-41D7-8834-EBBCA4A7C00D}" name=" € 4,64 " headerRowDxfId="78" dataDxfId="77" headerRowCellStyle="Valuta" dataCellStyle="Valuta">
      <calculatedColumnFormula>C$28+$A30</calculatedColumnFormula>
    </tableColumn>
    <tableColumn id="11" xr3:uid="{1ED4643C-D9BD-4FD5-BF19-B8240DF5EF0A}" name=" € 4,00 " headerRowDxfId="76" dataDxfId="75" headerRowCellStyle="Valuta" dataCellStyle="Valuta">
      <calculatedColumnFormula>D$28+$A30</calculatedColumnFormula>
    </tableColumn>
    <tableColumn id="10" xr3:uid="{04512E84-2CE8-4268-B1A6-C9F63C0BC88D}" name=" € 3,50 " headerRowDxfId="74" dataDxfId="73" headerRowCellStyle="Valuta" dataCellStyle="Valuta">
      <calculatedColumnFormula>E$28+$A30</calculatedColumnFormula>
    </tableColumn>
    <tableColumn id="2" xr3:uid="{5F8101B6-82B6-4374-952D-BC937F874780}" name=" € 3,00 " headerRowDxfId="72" dataDxfId="71" headerRowCellStyle="Valuta" dataCellStyle="Valuta">
      <calculatedColumnFormula>F$28+$A30</calculatedColumnFormula>
    </tableColumn>
    <tableColumn id="3" xr3:uid="{F9C8EB39-D78B-424A-9CFC-AC6F08A6BE2E}" name=" € 2,50 " headerRowDxfId="70" dataDxfId="69" headerRowCellStyle="Valuta" dataCellStyle="Valuta">
      <calculatedColumnFormula>G$28+$A30</calculatedColumnFormula>
    </tableColumn>
    <tableColumn id="4" xr3:uid="{D0915537-26A5-4527-8FB8-490717A40AB5}" name=" € 2,00 " headerRowDxfId="68" dataDxfId="67" headerRowCellStyle="Valuta" dataCellStyle="Valuta">
      <calculatedColumnFormula>H$28+$A30</calculatedColumnFormula>
    </tableColumn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EFD73DC-E415-4A3F-B709-0CBA209942F6}" name="Tabel41323" displayName="Tabel41323" ref="AE6:AG17" totalsRowShown="0" headerRowDxfId="66">
  <autoFilter ref="AE6:AG17" xr:uid="{300CBC6F-A337-4AFC-BA6B-F642B5916418}"/>
  <tableColumns count="3">
    <tableColumn id="1" xr3:uid="{51A8F734-74F2-4892-A56D-512E6F4D8112}" name="circ" dataDxfId="65">
      <calculatedColumnFormula>B7</calculatedColumnFormula>
    </tableColumn>
    <tableColumn id="2" xr3:uid="{F64F9C77-D059-4442-BB81-83C6AC6D239C}" name="cumulatief" dataDxfId="64" dataCellStyle="Valuta">
      <calculatedColumnFormula>(Tabel41323[[#This Row],[circ]]-$W$10)*$W$11</calculatedColumnFormula>
    </tableColumn>
    <tableColumn id="3" xr3:uid="{B23FDA7E-A287-47CE-92AD-A8861B2C97AE}" name="absoluut" dataDxfId="63">
      <calculatedColumnFormula>AF8-Tabel41323[[#This Row],[cumulatief]]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04F81D5-E700-4EB2-9BDE-22F1563B9EC0}" name="Tabel51624" displayName="Tabel51624" ref="Z6:AB15" totalsRowShown="0">
  <autoFilter ref="Z6:AB15" xr:uid="{558A2F21-C27E-4B05-82C8-609455A38BAF}"/>
  <tableColumns count="3">
    <tableColumn id="1" xr3:uid="{E20ECB77-3BCF-4B04-9E43-B5231A174B9C}" name="MKI" dataDxfId="62" dataCellStyle="Valuta"/>
    <tableColumn id="2" xr3:uid="{FCBAAD44-D9B8-40FD-A3A5-B11EA3192273}" name="cumulatief" dataDxfId="61">
      <calculatedColumnFormula>($V$10-$Z7)*$V$11</calculatedColumnFormula>
    </tableColumn>
    <tableColumn id="3" xr3:uid="{BB9CB393-C448-4D58-A536-6246300A1ABD}" name="absoluut" dataDxfId="60">
      <calculatedColumnFormula>AA8-Tabel51624[[#This Row],[cumulatief]]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D01C44E-96B7-4C68-84E9-E8F9ACD33FA1}" name="Tabel4132330" displayName="Tabel4132330" ref="AE29:AG35" totalsRowShown="0" headerRowDxfId="59">
  <autoFilter ref="AE29:AG35" xr:uid="{133A6044-99C1-4C6A-AD0E-E05A5BF689BB}"/>
  <tableColumns count="3">
    <tableColumn id="1" xr3:uid="{F1B9A12B-7C4E-4AEA-8F3A-BB25B2DED8DC}" name="circ" dataDxfId="58">
      <calculatedColumnFormula>B30</calculatedColumnFormula>
    </tableColumn>
    <tableColumn id="2" xr3:uid="{26B98608-7914-410B-B504-EE9BB43725E6}" name="cumulatief" dataDxfId="57" dataCellStyle="Valuta">
      <calculatedColumnFormula>(Tabel4132330[[#This Row],[circ]]-$W$33)*$W$34</calculatedColumnFormula>
    </tableColumn>
    <tableColumn id="3" xr3:uid="{A7BF8127-97FE-4396-B519-F4534154C58A}" name="absoluut" dataDxfId="56">
      <calculatedColumnFormula>AF31-Tabel4132330[[#This Row],[cumulatief]]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31193C6B-A4C8-4701-BA5D-E9843C892EB0}" name="Tabel5162435" displayName="Tabel5162435" ref="Z29:AB35" totalsRowShown="0">
  <autoFilter ref="Z29:AB35" xr:uid="{060A5E08-4F1A-4C5E-85F4-AF5F053AC7C6}"/>
  <tableColumns count="3">
    <tableColumn id="1" xr3:uid="{003C5D04-DA27-4369-B350-030744B22895}" name="MKI" dataDxfId="55" dataCellStyle="Valuta"/>
    <tableColumn id="2" xr3:uid="{769FE828-A183-4D49-9EFB-107B1200E76D}" name="cumulatief" dataDxfId="54">
      <calculatedColumnFormula>($V$33-$Z30)*$V$34</calculatedColumnFormula>
    </tableColumn>
    <tableColumn id="3" xr3:uid="{93933EAB-ABF7-4DE3-86D7-E25E6DE4D26C}" name="absoluut" dataDxfId="53">
      <calculatedColumnFormula>AA31-Tabel5162435[[#This Row],[cumulatief]]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8D395E-972E-4106-9B28-0727CE59EF14}" name="Tabel13258" displayName="Tabel13258" ref="U43:W49" totalsRowShown="0" headerRowDxfId="52" dataDxfId="51">
  <autoFilter ref="U43:W49" xr:uid="{B0080BEB-534C-46D3-8050-FD77C6FAF38A}"/>
  <tableColumns count="3">
    <tableColumn id="1" xr3:uid="{3A9010A8-DBF8-41B2-92FA-9306DDC8B815}" name="variabele" dataDxfId="50"/>
    <tableColumn id="2" xr3:uid="{4264DB4B-B34E-4EF5-B216-5ADE7D2A7585}" name="MKI" dataDxfId="49"/>
    <tableColumn id="3" xr3:uid="{4C260D98-BE86-42D5-A590-D7A404C42976}" name="circulariteit" dataDxfId="48"/>
  </tableColumns>
  <tableStyleInfo name="TableStyleMedium2" showFirstColumn="1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0242E2-2B36-4CEF-BDFB-514C0CDE0ED3}" name="Tussen9" displayName="Tussen9" ref="B45:H50" headerRowCount="0" totalsRowShown="0" headerRowDxfId="47" tableBorderDxfId="46" headerRowCellStyle="Valuta">
  <tableColumns count="7">
    <tableColumn id="1" xr3:uid="{1152A1BF-E5AB-4637-A0A6-7B59A84D009C}" name="circ \ MKI" headerRowDxfId="45" dataDxfId="44"/>
    <tableColumn id="12" xr3:uid="{82FC7FFA-12B7-458E-99C0-15BC00C0655F}" name=" € 4,64 " headerRowDxfId="43" dataDxfId="42" headerRowCellStyle="Valuta" dataCellStyle="Valuta">
      <calculatedColumnFormula>C$28+$A45</calculatedColumnFormula>
    </tableColumn>
    <tableColumn id="11" xr3:uid="{FF230AA7-878C-4A0D-B257-28430046AADD}" name=" € 4,00 " headerRowDxfId="41" dataDxfId="40" headerRowCellStyle="Valuta" dataCellStyle="Valuta">
      <calculatedColumnFormula>D$28+$A45</calculatedColumnFormula>
    </tableColumn>
    <tableColumn id="10" xr3:uid="{E59E15A2-71D4-4A71-91A8-DCE04B4AA566}" name=" € 3,50 " headerRowDxfId="39" dataDxfId="38" headerRowCellStyle="Valuta" dataCellStyle="Valuta">
      <calculatedColumnFormula>E$28+$A45</calculatedColumnFormula>
    </tableColumn>
    <tableColumn id="2" xr3:uid="{D2A48B0A-717F-4CB6-83F3-A9FDEC96471E}" name=" € 3,00 " headerRowDxfId="37" dataDxfId="36" headerRowCellStyle="Valuta" dataCellStyle="Valuta">
      <calculatedColumnFormula>F$28+$A45</calculatedColumnFormula>
    </tableColumn>
    <tableColumn id="3" xr3:uid="{F1F73324-88A9-4915-80EB-CE01EA4CCE2C}" name=" € 2,50 " headerRowDxfId="35" dataDxfId="34" headerRowCellStyle="Valuta" dataCellStyle="Valuta">
      <calculatedColumnFormula>G$28+$A45</calculatedColumnFormula>
    </tableColumn>
    <tableColumn id="4" xr3:uid="{1FCB1E75-29F9-4A3C-B53C-6722E7889F1D}" name=" € 2,00 " headerRowDxfId="33" dataDxfId="32" headerRowCellStyle="Valuta" dataCellStyle="Valuta">
      <calculatedColumnFormula>H$28+$A45</calculatedColumnFormula>
    </tableColumn>
  </tableColumns>
  <tableStyleInfo name="TableStyleMedium2" showFirstColumn="1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87C88D6-0016-4250-A3A3-194532A83339}" name="Tabel413233010" displayName="Tabel413233010" ref="AE44:AG50" totalsRowShown="0" headerRowDxfId="31">
  <autoFilter ref="AE44:AG50" xr:uid="{91BEE93D-37CE-4B39-8CF8-87AE51A50008}"/>
  <tableColumns count="3">
    <tableColumn id="1" xr3:uid="{AC4330F2-1BB9-45F8-BF8C-075DEF9B93E0}" name="circ" dataDxfId="30">
      <calculatedColumnFormula>B45</calculatedColumnFormula>
    </tableColumn>
    <tableColumn id="2" xr3:uid="{08DBB39C-6136-4B6D-880C-999F9753DED6}" name="cumulatief" dataDxfId="29" dataCellStyle="Valuta">
      <calculatedColumnFormula>(Tabel413233010[[#This Row],[circ]]-$W$33)*$W$34</calculatedColumnFormula>
    </tableColumn>
    <tableColumn id="3" xr3:uid="{3DFF4BC2-88CF-427F-99FA-BA2CA62296E6}" name="absoluut" dataDxfId="28">
      <calculatedColumnFormula>AF46-Tabel413233010[[#This Row],[cumulatief]]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4660276-3D6C-4FCA-8B86-02E8796E0EFE}" name="Tabel516243511" displayName="Tabel516243511" ref="Z44:AB50" totalsRowShown="0">
  <autoFilter ref="Z44:AB50" xr:uid="{987B4485-B287-4481-AA78-762FE8724218}"/>
  <tableColumns count="3">
    <tableColumn id="1" xr3:uid="{84AE6721-86B6-4684-8BA9-9E43041D6E8D}" name="MKI" dataDxfId="27" dataCellStyle="Valuta"/>
    <tableColumn id="2" xr3:uid="{6A62D4F8-F5D7-4158-90B2-4347B35A9DCD}" name="cumulatief" dataDxfId="26">
      <calculatedColumnFormula>($V$33-$Z45)*$V$34</calculatedColumnFormula>
    </tableColumn>
    <tableColumn id="3" xr3:uid="{A12D1AB2-4BA4-4BA8-A9FC-80446DB7CFE1}" name="absoluut" dataDxfId="25">
      <calculatedColumnFormula>AA46-Tabel516243511[[#This Row],[cumulatief]]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B6CC301-66CB-424E-B55D-B4381FC5A8B1}" name="Tabel134" displayName="Tabel134" ref="A7:B13" headerRowCount="0" totalsRowShown="0" headerRowDxfId="178" dataDxfId="177">
  <tableColumns count="2">
    <tableColumn id="1" xr3:uid="{B94325FF-ED06-4935-A7DE-5FB1B4CA8B28}" name="Kolom1" headerRowDxfId="176" dataCellStyle="Standaard"/>
    <tableColumn id="2" xr3:uid="{60B9F4F5-ABB6-4094-A506-803825B21358}" name="Kolom2" headerRowDxfId="175" dataDxfId="174" headerRowCellStyle="Valuta"/>
  </tableColumns>
  <tableStyleInfo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737A3F3-8D16-4530-92D7-96D73B9C288D}" name="Tabel217" displayName="Tabel217" ref="Y66:Z72" totalsRowShown="0" dataDxfId="24" dataCellStyle="Valuta">
  <autoFilter ref="Y66:Z72" xr:uid="{55A0AD18-8B16-4C21-922C-CA49055E2485}"/>
  <tableColumns count="2">
    <tableColumn id="1" xr3:uid="{A3A7CC4F-C2A9-432C-AB5C-77E5918F8A0E}" name="garantie" dataDxfId="23" dataCellStyle="Valuta"/>
    <tableColumn id="2" xr3:uid="{51A0F199-E234-4577-B70A-6F0B178D6012}" name="korting" dataDxfId="22" dataCellStyle="Valuta">
      <calculatedColumnFormula>($Y67-deklaagGARdrempel)*((deklaagGARkorting/(deklaagGARplafond-deklaagGARdrempel)))</calculatedColumnFormula>
    </tableColumn>
  </tableColumns>
  <tableStyleInfo name="TableStyleMedium2" showFirstColumn="1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CAA5D00-08F9-4F5D-B3C6-78B857C40D6A}" name="Tabel218" displayName="Tabel218" ref="Y76:Z82" totalsRowShown="0" dataDxfId="21" dataCellStyle="Valuta">
  <autoFilter ref="Y76:Z82" xr:uid="{6A13C683-BFA6-4E9D-8584-F5E3B6754515}"/>
  <tableColumns count="2">
    <tableColumn id="1" xr3:uid="{2CCB8F6E-174E-450B-8CE5-A3A074E38A1D}" name="garantie" dataDxfId="20" dataCellStyle="Valuta"/>
    <tableColumn id="2" xr3:uid="{49D26E0B-CFEB-41C7-AD04-175B7659AC7F}" name="korting" dataDxfId="19" dataCellStyle="Valuta">
      <calculatedColumnFormula>($Y77-deklaagGARdrempel)*((deklaagGARkorting/(deklaagGARplafond-deklaagGARdrempel)))</calculatedColumnFormula>
    </tableColumn>
  </tableColumns>
  <tableStyleInfo name="TableStyleMedium2" showFirstColumn="1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6F0AC43-84E2-487A-B9DE-B9A6AC7F0F23}" name="Tabel19" displayName="Tabel19" ref="U56:V62" totalsRowShown="0" tableBorderDxfId="18">
  <autoFilter ref="U56:V62" xr:uid="{164FF9BD-E11F-4A45-85D0-B1C4063754FF}"/>
  <tableColumns count="2">
    <tableColumn id="1" xr3:uid="{755C31F9-B884-4506-ABFB-8BE4EBA2A9B6}" name="variabele"/>
    <tableColumn id="2" xr3:uid="{96301886-94F4-43A0-9136-9373974946E4}" name="garantie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883229D-C89D-437C-A4BA-2E3B4AB49532}" name="Tabel20" displayName="Tabel20" ref="U66:V72" totalsRowShown="0" tableBorderDxfId="17">
  <autoFilter ref="U66:V72" xr:uid="{04F4F5CE-4CEE-4D98-AE1C-FB63B22BA975}"/>
  <tableColumns count="2">
    <tableColumn id="1" xr3:uid="{947E6AC6-3FEF-492C-9410-36E4C64DC754}" name="variabele"/>
    <tableColumn id="2" xr3:uid="{41653749-6421-4E7F-837E-882E68FB7D9D}" name="garantie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FB871F8-9348-4310-A45D-5F692D872C76}" name="Tabel21" displayName="Tabel21" ref="U76:V82" totalsRowShown="0" tableBorderDxfId="16">
  <autoFilter ref="U76:V82" xr:uid="{F8A590F0-EE98-4AA0-83A2-F373C6FDD711}"/>
  <tableColumns count="2">
    <tableColumn id="1" xr3:uid="{A8DE3D31-00AB-4590-A067-923506C68F36}" name="variabele"/>
    <tableColumn id="2" xr3:uid="{BC3FF577-A8B6-4992-82AB-B1E10CA9ACCA}" name="garanti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52F6331-8A4B-4F74-B08C-9043382A9C86}" name="Tabel1463637" displayName="Tabel1463637" ref="A17:B23" headerRowCount="0" totalsRowShown="0" headerRowDxfId="173" dataDxfId="172">
  <tableColumns count="2">
    <tableColumn id="1" xr3:uid="{F0DB4AA4-32D0-43E3-9353-B13ACAD16BBC}" name="Kolom1" headerRowDxfId="171" dataCellStyle="Standaard"/>
    <tableColumn id="2" xr3:uid="{AF6EA20B-1242-4B1D-9069-845298436755}" name="Kolom2" headerRowDxfId="170" dataDxfId="169" headerRowCellStyle="Valuta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430217-58F3-4568-A2A8-AA141B86A5FB}" name="Tabel147" displayName="Tabel147" ref="A64:B73" headerRowCount="0" totalsRowShown="0" headerRowDxfId="168" dataDxfId="167">
  <tableColumns count="2">
    <tableColumn id="1" xr3:uid="{4A423DE7-2D19-438B-8D0D-83B23FC7450D}" name="Kolom1" headerRowDxfId="166" dataCellStyle="Standaard"/>
    <tableColumn id="2" xr3:uid="{3CD1FDFB-FBEF-4BD3-856B-A591B85D0041}" name="Kolom2" headerRowDxfId="165" headerRowCellStyle="Valuta" dataCellStyle="Invoer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FA1D8A9-3B2B-497B-81AF-DDB9381CC944}" name="Tabel15" displayName="Tabel15" ref="A28:B37" headerRowCount="0" totalsRowShown="0" headerRowDxfId="164" dataDxfId="163">
  <tableColumns count="2">
    <tableColumn id="1" xr3:uid="{DE2C7C9F-8681-489B-B4F1-A53E4F4CE58C}" name="Kolom1" headerRowDxfId="162" dataCellStyle="Standaard"/>
    <tableColumn id="2" xr3:uid="{A0CE5534-8A00-4803-97D3-4352586B921A}" name="Kolom2" headerRowDxfId="161" dataDxfId="160" headerRowCellStyle="Valuta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464294-256B-420A-B9E4-9799DBECFD43}" name="Tabel17" displayName="Tabel17" ref="A40:B49" headerRowCount="0" totalsRowShown="0" headerRowDxfId="159" dataDxfId="158">
  <tableColumns count="2">
    <tableColumn id="1" xr3:uid="{C8AD390C-70DF-421A-97FE-5C4F9CC93138}" name="Kolom1" headerRowDxfId="157" dataCellStyle="Standaard"/>
    <tableColumn id="2" xr3:uid="{1C6C065D-FFEE-4E83-A91C-E8EA2676E19D}" name="Kolom2" headerRowDxfId="156" dataDxfId="155" headerRowCellStyle="Valuta"/>
  </tableColumns>
  <tableStyleInfo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Deklaag" displayName="Deklaag" ref="B7:K17" headerRowCount="0" totalsRowShown="0" headerRowDxfId="127" tableBorderDxfId="126" headerRowCellStyle="Valuta">
  <tableColumns count="10">
    <tableColumn id="1" xr3:uid="{00000000-0010-0000-0100-000001000000}" name="circ \ MKI" headerRowDxfId="125" dataDxfId="124" totalsRowDxfId="123"/>
    <tableColumn id="12" xr3:uid="{00000000-0010-0000-0100-00000C000000}" name="€ 7,78" headerRowDxfId="122" dataDxfId="121" totalsRowDxfId="120" headerRowCellStyle="Valuta">
      <calculatedColumnFormula>C$5+$A7</calculatedColumnFormula>
    </tableColumn>
    <tableColumn id="11" xr3:uid="{00000000-0010-0000-0100-00000B000000}" name=" € 7,00 " headerRowDxfId="119" dataDxfId="118" totalsRowDxfId="117" headerRowCellStyle="Valuta" dataCellStyle="Valuta" totalsRowCellStyle="Valuta">
      <calculatedColumnFormula>D$5+$A7</calculatedColumnFormula>
    </tableColumn>
    <tableColumn id="10" xr3:uid="{00000000-0010-0000-0100-00000A000000}" name=" € 6,00 " headerRowDxfId="116" dataDxfId="115" totalsRowDxfId="114" headerRowCellStyle="Valuta" dataCellStyle="Valuta" totalsRowCellStyle="Valuta">
      <calculatedColumnFormula>E$5+$A7</calculatedColumnFormula>
    </tableColumn>
    <tableColumn id="15" xr3:uid="{00000000-0010-0000-0100-00000F000000}" name=" € 5,00 " headerRowDxfId="113" dataDxfId="112" totalsRowDxfId="111" headerRowCellStyle="Valuta" dataCellStyle="Valuta" totalsRowCellStyle="Valuta">
      <calculatedColumnFormula>F$5+$A7</calculatedColumnFormula>
    </tableColumn>
    <tableColumn id="14" xr3:uid="{00000000-0010-0000-0100-00000E000000}" name=" € 4,00 " headerRowDxfId="110" dataDxfId="109" totalsRowDxfId="108" headerRowCellStyle="Valuta" dataCellStyle="Valuta" totalsRowCellStyle="Valuta">
      <calculatedColumnFormula>G$5+$A7</calculatedColumnFormula>
    </tableColumn>
    <tableColumn id="2" xr3:uid="{00000000-0010-0000-0100-000002000000}" name=" € 3,00 " headerRowDxfId="107" dataDxfId="106" totalsRowDxfId="105" headerRowCellStyle="Valuta" dataCellStyle="Valuta" totalsRowCellStyle="Valuta">
      <calculatedColumnFormula>H$5+$A7</calculatedColumnFormula>
    </tableColumn>
    <tableColumn id="3" xr3:uid="{65E493D3-DC21-431F-91B7-56522C12B533}" name=" € 2,00 " headerRowDxfId="104" dataDxfId="103" totalsRowDxfId="102" headerRowCellStyle="Valuta" dataCellStyle="Valuta" totalsRowCellStyle="Valuta">
      <calculatedColumnFormula>I$5+$A7</calculatedColumnFormula>
    </tableColumn>
    <tableColumn id="4" xr3:uid="{F6CEA1D4-6EC0-4248-83F9-E2A39DB0B9E1}" name=" € 1,00 " headerRowDxfId="101" dataDxfId="100" totalsRowDxfId="99" headerRowCellStyle="Valuta" dataCellStyle="Valuta" totalsRowCellStyle="Valuta">
      <calculatedColumnFormula>J$5+$A7</calculatedColumnFormula>
    </tableColumn>
    <tableColumn id="5" xr3:uid="{A37DE734-DF8D-4C74-A0EE-C84FFB9D827B}" name=" € 0,00 " headerRowDxfId="98" dataDxfId="97" totalsRowDxfId="96" headerRowCellStyle="Valuta" dataCellStyle="Valuta" totalsRowCellStyle="Valuta">
      <calculatedColumnFormula>K$5+$A7</calculatedColumnFormula>
    </tableColumn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el13" displayName="Tabel13" ref="U5:W11" totalsRowShown="0" headerRowDxfId="95" dataDxfId="94">
  <autoFilter ref="U5:W11" xr:uid="{00000000-0009-0000-0100-00000D000000}"/>
  <tableColumns count="3">
    <tableColumn id="1" xr3:uid="{00000000-0010-0000-0400-000001000000}" name="variabele" dataDxfId="93"/>
    <tableColumn id="2" xr3:uid="{00000000-0010-0000-0400-000002000000}" name="MKI" dataDxfId="92"/>
    <tableColumn id="3" xr3:uid="{00000000-0010-0000-0400-000003000000}" name="circulariteit" dataDxfId="91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2E27292-C636-4F93-B486-1C8BE672153B}" name="Tabel1325" displayName="Tabel1325" ref="U28:W34" totalsRowShown="0" headerRowDxfId="90" dataDxfId="89">
  <autoFilter ref="U28:W34" xr:uid="{482D9D4E-6AA2-4098-9194-04698C0AE9DA}"/>
  <tableColumns count="3">
    <tableColumn id="1" xr3:uid="{6E9562DB-1C26-4983-9D9E-D39A4E59DC7F}" name="variabele" dataDxfId="88"/>
    <tableColumn id="2" xr3:uid="{53EEF053-9958-44CF-AA33-9367CA088889}" name="MKI" dataDxfId="87"/>
    <tableColumn id="3" xr3:uid="{75B23F25-6C4A-463A-9F0B-A3CA0F2C1D72}" name="circulariteit" dataDxfId="86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13" Type="http://schemas.openxmlformats.org/officeDocument/2006/relationships/table" Target="../tables/table18.xml"/><Relationship Id="rId18" Type="http://schemas.openxmlformats.org/officeDocument/2006/relationships/table" Target="../tables/table23.xml"/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12" Type="http://schemas.openxmlformats.org/officeDocument/2006/relationships/table" Target="../tables/table17.xml"/><Relationship Id="rId17" Type="http://schemas.openxmlformats.org/officeDocument/2006/relationships/table" Target="../tables/table22.xml"/><Relationship Id="rId2" Type="http://schemas.openxmlformats.org/officeDocument/2006/relationships/table" Target="../tables/table7.xml"/><Relationship Id="rId16" Type="http://schemas.openxmlformats.org/officeDocument/2006/relationships/table" Target="../tables/table2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1.xml"/><Relationship Id="rId11" Type="http://schemas.openxmlformats.org/officeDocument/2006/relationships/table" Target="../tables/table16.xml"/><Relationship Id="rId5" Type="http://schemas.openxmlformats.org/officeDocument/2006/relationships/table" Target="../tables/table10.xml"/><Relationship Id="rId15" Type="http://schemas.openxmlformats.org/officeDocument/2006/relationships/table" Target="../tables/table20.xml"/><Relationship Id="rId10" Type="http://schemas.openxmlformats.org/officeDocument/2006/relationships/table" Target="../tables/table15.xml"/><Relationship Id="rId19" Type="http://schemas.openxmlformats.org/officeDocument/2006/relationships/table" Target="../tables/table24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Relationship Id="rId14" Type="http://schemas.openxmlformats.org/officeDocument/2006/relationships/table" Target="../tables/table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opLeftCell="A7" zoomScale="109" zoomScaleNormal="115" workbookViewId="0">
      <selection activeCell="C14" sqref="C14"/>
    </sheetView>
  </sheetViews>
  <sheetFormatPr defaultColWidth="9.1796875" defaultRowHeight="14.5"/>
  <cols>
    <col min="1" max="1" width="43.453125" customWidth="1"/>
    <col min="2" max="2" width="17" style="14" customWidth="1"/>
    <col min="3" max="3" width="9.1796875" style="14"/>
    <col min="4" max="7" width="10.81640625" style="14" customWidth="1"/>
    <col min="8" max="16384" width="9.1796875" style="14"/>
  </cols>
  <sheetData>
    <row r="1" spans="1:7" ht="24" thickBot="1">
      <c r="A1" s="49" t="s">
        <v>65</v>
      </c>
      <c r="B1" s="111">
        <f>betonMAXkorting+asfaltMAXkorting</f>
        <v>425000</v>
      </c>
      <c r="D1" s="20" t="s">
        <v>6</v>
      </c>
      <c r="E1" s="41" t="s">
        <v>29</v>
      </c>
      <c r="F1" s="45" t="s">
        <v>28</v>
      </c>
      <c r="G1" s="43" t="s">
        <v>30</v>
      </c>
    </row>
    <row r="2" spans="1:7" ht="15" customHeight="1" thickTop="1">
      <c r="A2" s="52"/>
    </row>
    <row r="3" spans="1:7" ht="15" customHeight="1" thickBot="1">
      <c r="A3" s="50" t="s">
        <v>32</v>
      </c>
      <c r="B3" s="40">
        <f>SUM(B7*B6,B17*B16)</f>
        <v>240000</v>
      </c>
    </row>
    <row r="4" spans="1:7" ht="15" customHeight="1" thickTop="1" thickBot="1">
      <c r="A4" s="50"/>
      <c r="B4" s="40"/>
    </row>
    <row r="5" spans="1:7" ht="15" customHeight="1" thickTop="1" thickBot="1">
      <c r="A5" s="51" t="s">
        <v>26</v>
      </c>
      <c r="C5" s="26"/>
      <c r="E5" s="27"/>
    </row>
    <row r="6" spans="1:7" ht="15" customHeight="1">
      <c r="A6" t="s">
        <v>31</v>
      </c>
      <c r="B6" s="41">
        <v>3</v>
      </c>
      <c r="C6" s="26"/>
      <c r="E6" s="27"/>
    </row>
    <row r="7" spans="1:7" ht="15" customHeight="1">
      <c r="A7" t="s">
        <v>15</v>
      </c>
      <c r="B7" s="44">
        <f>SUM(B12:B13)</f>
        <v>60000</v>
      </c>
    </row>
    <row r="8" spans="1:7" ht="15" customHeight="1">
      <c r="A8" t="s">
        <v>25</v>
      </c>
      <c r="B8" s="46">
        <v>11.47</v>
      </c>
    </row>
    <row r="9" spans="1:7" ht="15" customHeight="1">
      <c r="A9" t="s">
        <v>38</v>
      </c>
      <c r="B9" s="46">
        <v>0</v>
      </c>
    </row>
    <row r="10" spans="1:7" ht="15" customHeight="1">
      <c r="A10" t="s">
        <v>17</v>
      </c>
      <c r="B10" s="47">
        <v>15</v>
      </c>
    </row>
    <row r="11" spans="1:7" ht="15" customHeight="1">
      <c r="A11" t="s">
        <v>18</v>
      </c>
      <c r="B11" s="47">
        <v>50</v>
      </c>
    </row>
    <row r="12" spans="1:7" ht="15" customHeight="1">
      <c r="A12" t="s">
        <v>12</v>
      </c>
      <c r="B12" s="42">
        <v>30000</v>
      </c>
    </row>
    <row r="13" spans="1:7" ht="15" customHeight="1">
      <c r="A13" t="s">
        <v>19</v>
      </c>
      <c r="B13" s="42">
        <f>bandenMKIkorting</f>
        <v>30000</v>
      </c>
    </row>
    <row r="14" spans="1:7" ht="15" customHeight="1"/>
    <row r="15" spans="1:7" ht="15" customHeight="1" thickBot="1">
      <c r="A15" s="50" t="s">
        <v>24</v>
      </c>
    </row>
    <row r="16" spans="1:7" ht="15" customHeight="1" thickTop="1">
      <c r="A16" t="s">
        <v>31</v>
      </c>
      <c r="B16" s="41">
        <v>1</v>
      </c>
    </row>
    <row r="17" spans="1:2" ht="15" customHeight="1">
      <c r="A17" t="s">
        <v>15</v>
      </c>
      <c r="B17" s="44">
        <f>SUM(B22:B23)</f>
        <v>60000</v>
      </c>
    </row>
    <row r="18" spans="1:2" ht="15" customHeight="1">
      <c r="A18" t="s">
        <v>25</v>
      </c>
      <c r="B18" s="46">
        <v>14.14</v>
      </c>
    </row>
    <row r="19" spans="1:2" ht="15" customHeight="1">
      <c r="A19" t="s">
        <v>38</v>
      </c>
      <c r="B19" s="46">
        <v>0</v>
      </c>
    </row>
    <row r="20" spans="1:2" ht="15" customHeight="1">
      <c r="A20" t="s">
        <v>17</v>
      </c>
      <c r="B20" s="47">
        <v>0</v>
      </c>
    </row>
    <row r="21" spans="1:2" ht="15" customHeight="1">
      <c r="A21" t="s">
        <v>18</v>
      </c>
      <c r="B21" s="47">
        <v>50</v>
      </c>
    </row>
    <row r="22" spans="1:2" ht="15" customHeight="1">
      <c r="A22" t="s">
        <v>12</v>
      </c>
      <c r="B22" s="42">
        <f>bandenMKIkorting</f>
        <v>30000</v>
      </c>
    </row>
    <row r="23" spans="1:2">
      <c r="A23" t="s">
        <v>19</v>
      </c>
      <c r="B23" s="42">
        <f>bandenMKIkorting</f>
        <v>30000</v>
      </c>
    </row>
    <row r="25" spans="1:2" ht="20" thickBot="1">
      <c r="A25" s="48" t="s">
        <v>33</v>
      </c>
      <c r="B25" s="40">
        <f>deklaagMAXkorting+tussenMAXkorting+onderMAXkorting</f>
        <v>185000</v>
      </c>
    </row>
    <row r="26" spans="1:2" ht="15" thickTop="1">
      <c r="B26"/>
    </row>
    <row r="27" spans="1:2" ht="17.5" thickBot="1">
      <c r="A27" s="50" t="s">
        <v>45</v>
      </c>
      <c r="B27"/>
    </row>
    <row r="28" spans="1:2" ht="15" customHeight="1" thickTop="1">
      <c r="A28" t="s">
        <v>15</v>
      </c>
      <c r="B28" s="44">
        <f>SUM(B35:B37)</f>
        <v>95000</v>
      </c>
    </row>
    <row r="29" spans="1:2">
      <c r="A29" t="s">
        <v>25</v>
      </c>
      <c r="B29" s="46">
        <v>11.88</v>
      </c>
    </row>
    <row r="30" spans="1:2">
      <c r="A30" t="s">
        <v>38</v>
      </c>
      <c r="B30" s="46">
        <v>0</v>
      </c>
    </row>
    <row r="31" spans="1:2">
      <c r="A31" t="s">
        <v>17</v>
      </c>
      <c r="B31" s="47">
        <v>0</v>
      </c>
    </row>
    <row r="32" spans="1:2">
      <c r="A32" t="s">
        <v>18</v>
      </c>
      <c r="B32" s="47">
        <v>98</v>
      </c>
    </row>
    <row r="33" spans="1:3">
      <c r="A33" t="s">
        <v>13</v>
      </c>
      <c r="B33" s="47">
        <v>5</v>
      </c>
    </row>
    <row r="34" spans="1:3">
      <c r="A34" t="s">
        <v>14</v>
      </c>
      <c r="B34" s="47">
        <v>10</v>
      </c>
    </row>
    <row r="35" spans="1:3">
      <c r="A35" t="s">
        <v>12</v>
      </c>
      <c r="B35" s="42">
        <v>40000</v>
      </c>
    </row>
    <row r="36" spans="1:3" ht="15" customHeight="1">
      <c r="A36" t="s">
        <v>19</v>
      </c>
      <c r="B36" s="42">
        <f>deklaagMKIkorting</f>
        <v>40000</v>
      </c>
    </row>
    <row r="37" spans="1:3">
      <c r="A37" t="s">
        <v>11</v>
      </c>
      <c r="B37" s="42">
        <v>15000</v>
      </c>
      <c r="C37" s="108"/>
    </row>
    <row r="38" spans="1:3">
      <c r="B38"/>
    </row>
    <row r="39" spans="1:3" ht="17.5" thickBot="1">
      <c r="A39" s="50" t="s">
        <v>46</v>
      </c>
      <c r="B39"/>
    </row>
    <row r="40" spans="1:3" ht="15" thickTop="1">
      <c r="A40" t="s">
        <v>15</v>
      </c>
      <c r="B40" s="44"/>
    </row>
    <row r="41" spans="1:3">
      <c r="A41" t="s">
        <v>25</v>
      </c>
      <c r="B41" s="46">
        <v>20</v>
      </c>
    </row>
    <row r="42" spans="1:3">
      <c r="A42" t="s">
        <v>38</v>
      </c>
      <c r="B42" s="46">
        <v>12</v>
      </c>
    </row>
    <row r="43" spans="1:3">
      <c r="A43" t="s">
        <v>17</v>
      </c>
      <c r="B43" s="47">
        <v>0</v>
      </c>
    </row>
    <row r="44" spans="1:3">
      <c r="A44" t="s">
        <v>18</v>
      </c>
      <c r="B44" s="47">
        <v>98</v>
      </c>
    </row>
    <row r="45" spans="1:3">
      <c r="A45" t="s">
        <v>13</v>
      </c>
      <c r="B45" s="47">
        <v>5</v>
      </c>
    </row>
    <row r="46" spans="1:3">
      <c r="A46" t="s">
        <v>14</v>
      </c>
      <c r="B46" s="47">
        <v>10</v>
      </c>
    </row>
    <row r="47" spans="1:3">
      <c r="A47" t="s">
        <v>12</v>
      </c>
      <c r="B47" s="107">
        <f>deklaagMKIkorting</f>
        <v>40000</v>
      </c>
    </row>
    <row r="48" spans="1:3">
      <c r="A48" t="s">
        <v>19</v>
      </c>
      <c r="B48" s="107">
        <f>deklaagCIRCkorting</f>
        <v>40000</v>
      </c>
    </row>
    <row r="49" spans="1:3">
      <c r="A49" t="s">
        <v>11</v>
      </c>
      <c r="B49" s="107">
        <f>deklaagGARkorting</f>
        <v>15000</v>
      </c>
      <c r="C49" s="108"/>
    </row>
    <row r="50" spans="1:3">
      <c r="B50"/>
    </row>
    <row r="51" spans="1:3" ht="17.5" thickBot="1">
      <c r="A51" s="50" t="s">
        <v>21</v>
      </c>
    </row>
    <row r="52" spans="1:3" ht="15" thickTop="1">
      <c r="A52" t="s">
        <v>15</v>
      </c>
      <c r="B52" s="44">
        <f>SUM(B59:B61)</f>
        <v>45000</v>
      </c>
    </row>
    <row r="53" spans="1:3">
      <c r="A53" t="s">
        <v>25</v>
      </c>
      <c r="B53" s="46">
        <v>5.61</v>
      </c>
    </row>
    <row r="54" spans="1:3">
      <c r="A54" t="s">
        <v>38</v>
      </c>
      <c r="B54" s="46">
        <v>0</v>
      </c>
    </row>
    <row r="55" spans="1:3">
      <c r="A55" t="s">
        <v>17</v>
      </c>
      <c r="B55" s="47">
        <v>50</v>
      </c>
    </row>
    <row r="56" spans="1:3">
      <c r="A56" t="s">
        <v>18</v>
      </c>
      <c r="B56" s="47">
        <v>98</v>
      </c>
    </row>
    <row r="57" spans="1:3">
      <c r="A57" t="s">
        <v>13</v>
      </c>
      <c r="B57" s="47">
        <v>10</v>
      </c>
    </row>
    <row r="58" spans="1:3">
      <c r="A58" t="s">
        <v>14</v>
      </c>
      <c r="B58" s="47">
        <v>15</v>
      </c>
    </row>
    <row r="59" spans="1:3">
      <c r="A59" t="s">
        <v>12</v>
      </c>
      <c r="B59" s="42">
        <v>20000</v>
      </c>
    </row>
    <row r="60" spans="1:3">
      <c r="A60" t="s">
        <v>19</v>
      </c>
      <c r="B60" s="42">
        <f>tussenMKIkorting</f>
        <v>20000</v>
      </c>
    </row>
    <row r="61" spans="1:3">
      <c r="A61" t="s">
        <v>11</v>
      </c>
      <c r="B61" s="42">
        <v>5000</v>
      </c>
      <c r="C61" s="108"/>
    </row>
    <row r="63" spans="1:3" ht="17.5" thickBot="1">
      <c r="A63" s="50" t="s">
        <v>22</v>
      </c>
    </row>
    <row r="64" spans="1:3" ht="15" thickTop="1">
      <c r="A64" t="s">
        <v>15</v>
      </c>
      <c r="B64" s="44">
        <f>SUM(B71:B73)</f>
        <v>45000</v>
      </c>
    </row>
    <row r="65" spans="1:3">
      <c r="A65" t="s">
        <v>25</v>
      </c>
      <c r="B65" s="46">
        <v>5.61</v>
      </c>
    </row>
    <row r="66" spans="1:3">
      <c r="A66" t="s">
        <v>38</v>
      </c>
      <c r="B66" s="46">
        <v>0</v>
      </c>
    </row>
    <row r="67" spans="1:3">
      <c r="A67" t="s">
        <v>17</v>
      </c>
      <c r="B67" s="47">
        <v>50</v>
      </c>
    </row>
    <row r="68" spans="1:3">
      <c r="A68" t="s">
        <v>18</v>
      </c>
      <c r="B68" s="47">
        <v>98</v>
      </c>
    </row>
    <row r="69" spans="1:3">
      <c r="A69" t="s">
        <v>13</v>
      </c>
      <c r="B69" s="47">
        <v>10</v>
      </c>
    </row>
    <row r="70" spans="1:3">
      <c r="A70" t="s">
        <v>14</v>
      </c>
      <c r="B70" s="47">
        <v>15</v>
      </c>
    </row>
    <row r="71" spans="1:3">
      <c r="A71" t="s">
        <v>12</v>
      </c>
      <c r="B71" s="42">
        <v>20000</v>
      </c>
    </row>
    <row r="72" spans="1:3">
      <c r="A72" t="s">
        <v>19</v>
      </c>
      <c r="B72" s="42">
        <f>onderMKIkorting</f>
        <v>20000</v>
      </c>
    </row>
    <row r="73" spans="1:3">
      <c r="A73" t="s">
        <v>11</v>
      </c>
      <c r="B73" s="42">
        <v>5000</v>
      </c>
      <c r="C73" s="108"/>
    </row>
    <row r="74" spans="1:3">
      <c r="C74" s="108"/>
    </row>
  </sheetData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20C6-4CD0-4B9E-94EC-0455678AAB28}">
  <dimension ref="A1:AG87"/>
  <sheetViews>
    <sheetView topLeftCell="M1" zoomScale="85" zoomScaleNormal="85" workbookViewId="0">
      <selection activeCell="W11" sqref="W11"/>
    </sheetView>
  </sheetViews>
  <sheetFormatPr defaultRowHeight="14.5"/>
  <cols>
    <col min="1" max="1" width="9" bestFit="1" customWidth="1"/>
    <col min="2" max="2" width="8.26953125" customWidth="1"/>
    <col min="3" max="16" width="13.7265625" customWidth="1"/>
    <col min="17" max="18" width="11.54296875" bestFit="1" customWidth="1"/>
    <col min="20" max="20" width="1.54296875" style="55" customWidth="1"/>
    <col min="21" max="21" width="25.54296875" bestFit="1" customWidth="1"/>
    <col min="22" max="22" width="10.26953125" bestFit="1" customWidth="1"/>
    <col min="23" max="23" width="13.453125" bestFit="1" customWidth="1"/>
    <col min="25" max="25" width="1.54296875" style="55" hidden="1" customWidth="1"/>
    <col min="26" max="26" width="13" style="62" hidden="1" customWidth="1"/>
    <col min="27" max="27" width="13" style="12" hidden="1" customWidth="1"/>
    <col min="28" max="28" width="13" style="56" hidden="1" customWidth="1"/>
    <col min="29" max="30" width="8.7265625" style="12" hidden="1" customWidth="1"/>
    <col min="31" max="31" width="0" hidden="1" customWidth="1"/>
    <col min="32" max="32" width="11.7265625" hidden="1" customWidth="1"/>
    <col min="33" max="33" width="10.1796875" hidden="1" customWidth="1"/>
  </cols>
  <sheetData>
    <row r="1" spans="1:33">
      <c r="B1" s="54" t="s">
        <v>34</v>
      </c>
      <c r="U1" s="53" t="s">
        <v>39</v>
      </c>
      <c r="Z1" s="63" t="s">
        <v>35</v>
      </c>
    </row>
    <row r="2" spans="1:33">
      <c r="A2" s="12"/>
      <c r="B2" s="57"/>
      <c r="C2" s="39"/>
      <c r="D2" s="39"/>
      <c r="E2" s="39"/>
      <c r="F2" s="17"/>
      <c r="G2" s="38"/>
      <c r="H2" s="39"/>
      <c r="I2" s="39"/>
      <c r="J2" s="39"/>
      <c r="U2" s="3"/>
    </row>
    <row r="3" spans="1:33">
      <c r="B3" s="18" t="s">
        <v>20</v>
      </c>
      <c r="C3" s="3"/>
      <c r="D3" s="3"/>
      <c r="E3" s="3"/>
      <c r="F3" s="3"/>
      <c r="G3" s="3"/>
      <c r="H3" s="3"/>
      <c r="I3" s="3"/>
      <c r="J3" s="3"/>
      <c r="U3" s="31" t="s">
        <v>20</v>
      </c>
    </row>
    <row r="4" spans="1:33">
      <c r="A4" s="67"/>
      <c r="B4" s="21"/>
      <c r="C4" s="22"/>
      <c r="D4" s="22"/>
      <c r="E4" s="22"/>
      <c r="F4" s="22"/>
      <c r="G4" s="22"/>
      <c r="H4" s="22"/>
      <c r="I4" s="22"/>
      <c r="J4" s="22"/>
      <c r="K4" s="22"/>
      <c r="U4" s="3"/>
      <c r="Z4" s="64" t="s">
        <v>0</v>
      </c>
      <c r="AE4" s="18" t="s">
        <v>23</v>
      </c>
    </row>
    <row r="5" spans="1:33">
      <c r="A5" s="67"/>
      <c r="B5" s="67"/>
      <c r="C5" s="68">
        <f>($V$6-C$6)*$V$11</f>
        <v>0</v>
      </c>
      <c r="D5" s="68">
        <f t="shared" ref="D5:K5" si="0">($V$6-D$6)*$V$11</f>
        <v>2962.9629879037311</v>
      </c>
      <c r="E5" s="68">
        <f t="shared" si="0"/>
        <v>6329.9663832488777</v>
      </c>
      <c r="F5" s="68">
        <f t="shared" si="0"/>
        <v>9696.9697785940243</v>
      </c>
      <c r="G5" s="68">
        <f t="shared" si="0"/>
        <v>13063.97317393917</v>
      </c>
      <c r="H5" s="68">
        <f t="shared" si="0"/>
        <v>16430.976569284318</v>
      </c>
      <c r="I5" s="68">
        <f t="shared" si="0"/>
        <v>19797.979964629463</v>
      </c>
      <c r="J5" s="68">
        <f t="shared" si="0"/>
        <v>23164.983359974609</v>
      </c>
      <c r="K5" s="68">
        <f t="shared" si="0"/>
        <v>26531.986755319755</v>
      </c>
      <c r="L5" s="75" t="s">
        <v>40</v>
      </c>
      <c r="M5" s="68"/>
      <c r="N5" s="68"/>
      <c r="O5" s="68"/>
      <c r="P5" s="68"/>
      <c r="Q5" s="68"/>
      <c r="R5" s="68"/>
      <c r="S5" s="23"/>
      <c r="U5" s="3" t="s">
        <v>2</v>
      </c>
      <c r="V5" s="5" t="s">
        <v>0</v>
      </c>
      <c r="W5" s="5" t="s">
        <v>23</v>
      </c>
      <c r="X5" s="3"/>
    </row>
    <row r="6" spans="1:33">
      <c r="A6" s="67"/>
      <c r="C6" s="69">
        <f>deklaagMKIdrempel</f>
        <v>11.88</v>
      </c>
      <c r="D6" s="69">
        <f>_xlfn.FLOOR.MATH(C6)</f>
        <v>11</v>
      </c>
      <c r="E6" s="69">
        <f>D6-1</f>
        <v>10</v>
      </c>
      <c r="F6" s="69">
        <f t="shared" ref="F6:K6" si="1">E6-1</f>
        <v>9</v>
      </c>
      <c r="G6" s="69">
        <f t="shared" si="1"/>
        <v>8</v>
      </c>
      <c r="H6" s="69">
        <f t="shared" si="1"/>
        <v>7</v>
      </c>
      <c r="I6" s="69">
        <f t="shared" si="1"/>
        <v>6</v>
      </c>
      <c r="J6" s="69">
        <f t="shared" si="1"/>
        <v>5</v>
      </c>
      <c r="K6" s="69">
        <f t="shared" si="1"/>
        <v>4</v>
      </c>
      <c r="L6" s="71">
        <f>deklaagMKIplafond</f>
        <v>0</v>
      </c>
      <c r="M6" s="69"/>
      <c r="N6" s="69"/>
      <c r="O6" s="69"/>
      <c r="P6" s="69"/>
      <c r="Q6" s="69"/>
      <c r="R6" s="69"/>
      <c r="S6" s="33"/>
      <c r="U6" s="13" t="s">
        <v>9</v>
      </c>
      <c r="V6" s="6">
        <f>deklaagMKIdrempel</f>
        <v>11.88</v>
      </c>
      <c r="W6" s="28">
        <f>deklaagCIRCdrempel</f>
        <v>0</v>
      </c>
      <c r="X6" s="3"/>
      <c r="Z6" s="62" t="s">
        <v>0</v>
      </c>
      <c r="AA6" s="61" t="s">
        <v>7</v>
      </c>
      <c r="AB6" s="66" t="s">
        <v>36</v>
      </c>
      <c r="AE6" s="59" t="s">
        <v>37</v>
      </c>
      <c r="AF6" s="59" t="s">
        <v>7</v>
      </c>
      <c r="AG6" s="59" t="s">
        <v>36</v>
      </c>
    </row>
    <row r="7" spans="1:33">
      <c r="A7" s="68">
        <f t="shared" ref="A7:A17" si="2">($B7-$W$10)*$W$11</f>
        <v>-4.0816326947105372E-4</v>
      </c>
      <c r="B7" s="1">
        <f>deklaagCIRCdrempel</f>
        <v>0</v>
      </c>
      <c r="C7" s="8">
        <f t="shared" ref="C7:K17" si="3">C$5+$A7</f>
        <v>-4.0816326947105372E-4</v>
      </c>
      <c r="D7" s="8">
        <f t="shared" si="3"/>
        <v>2962.9625797404615</v>
      </c>
      <c r="E7" s="8">
        <f t="shared" si="3"/>
        <v>6329.9659750856081</v>
      </c>
      <c r="F7" s="8">
        <f t="shared" si="3"/>
        <v>9696.9693704307556</v>
      </c>
      <c r="G7" s="8">
        <f t="shared" si="3"/>
        <v>13063.972765775901</v>
      </c>
      <c r="H7" s="8">
        <f t="shared" si="3"/>
        <v>16430.976161121049</v>
      </c>
      <c r="I7" s="8">
        <f t="shared" si="3"/>
        <v>19797.979556466194</v>
      </c>
      <c r="J7" s="8">
        <f t="shared" si="3"/>
        <v>23164.98295181134</v>
      </c>
      <c r="K7" s="8">
        <f t="shared" si="3"/>
        <v>26531.986347156486</v>
      </c>
      <c r="L7" s="8"/>
      <c r="M7" s="8"/>
      <c r="N7" s="8"/>
      <c r="O7" s="8"/>
      <c r="P7" s="8"/>
      <c r="Q7" s="8"/>
      <c r="R7" s="8"/>
      <c r="S7" s="34"/>
      <c r="U7" s="13" t="s">
        <v>10</v>
      </c>
      <c r="V7" s="3">
        <f>deklaagMKIplafond</f>
        <v>0</v>
      </c>
      <c r="W7" s="7">
        <f>deklaagCIRCplafond</f>
        <v>98</v>
      </c>
      <c r="X7" s="3"/>
      <c r="Z7" s="62">
        <f>C6</f>
        <v>11.88</v>
      </c>
      <c r="AA7" s="73">
        <f t="shared" ref="AA7:AA15" si="4">($V$10-$Z7)*$V$11</f>
        <v>0</v>
      </c>
      <c r="AB7" s="74">
        <f>AA8-Tabel51624[[#This Row],[cumulatief]]</f>
        <v>2962.9629879037311</v>
      </c>
      <c r="AE7">
        <f>B7</f>
        <v>0</v>
      </c>
      <c r="AF7" s="58">
        <f>(Tabel41323[[#This Row],[circ]]-$W$10)*$W$11</f>
        <v>-4.0816326947105372E-4</v>
      </c>
      <c r="AG7" s="60">
        <f>AF8-Tabel41323[[#This Row],[cumulatief]]</f>
        <v>4081.6326947105381</v>
      </c>
    </row>
    <row r="8" spans="1:33">
      <c r="A8" s="68">
        <f t="shared" si="2"/>
        <v>3265.3057476051604</v>
      </c>
      <c r="B8" s="2">
        <f>B7+8</f>
        <v>8</v>
      </c>
      <c r="C8" s="8">
        <f t="shared" si="3"/>
        <v>3265.3057476051604</v>
      </c>
      <c r="D8" s="8">
        <f t="shared" si="3"/>
        <v>6228.268735508891</v>
      </c>
      <c r="E8" s="8">
        <f t="shared" si="3"/>
        <v>9595.2721308540386</v>
      </c>
      <c r="F8" s="8">
        <f t="shared" si="3"/>
        <v>12962.275526199184</v>
      </c>
      <c r="G8" s="8">
        <f t="shared" si="3"/>
        <v>16329.27892154433</v>
      </c>
      <c r="H8" s="8">
        <f t="shared" si="3"/>
        <v>19696.282316889479</v>
      </c>
      <c r="I8" s="8">
        <f t="shared" si="3"/>
        <v>23063.285712234625</v>
      </c>
      <c r="J8" s="8">
        <f t="shared" si="3"/>
        <v>26430.289107579771</v>
      </c>
      <c r="K8" s="8">
        <f t="shared" si="3"/>
        <v>29797.292502924916</v>
      </c>
      <c r="L8" s="8"/>
      <c r="M8" s="8"/>
      <c r="N8" s="8"/>
      <c r="O8" s="8"/>
      <c r="P8" s="8"/>
      <c r="Q8" s="8"/>
      <c r="R8" s="8"/>
      <c r="S8" s="35"/>
      <c r="U8" s="13" t="s">
        <v>8</v>
      </c>
      <c r="V8" s="15">
        <f>deklaagMKIkorting</f>
        <v>40000</v>
      </c>
      <c r="W8" s="15">
        <f>deklaagCIRCkorting</f>
        <v>40000</v>
      </c>
      <c r="X8" s="3"/>
      <c r="Z8" s="62">
        <f>D6</f>
        <v>11</v>
      </c>
      <c r="AA8" s="73">
        <f t="shared" si="4"/>
        <v>2962.9629879037311</v>
      </c>
      <c r="AB8" s="74">
        <f>AA9-Tabel51624[[#This Row],[cumulatief]]</f>
        <v>3367.0033953451466</v>
      </c>
      <c r="AE8">
        <f>10+AE7</f>
        <v>10</v>
      </c>
      <c r="AF8" s="58">
        <f>(Tabel41323[[#This Row],[circ]]-$W$10)*$W$11</f>
        <v>4081.6322865472684</v>
      </c>
      <c r="AG8" s="60">
        <f>AF9-Tabel41323[[#This Row],[cumulatief]]</f>
        <v>4081.6326947105363</v>
      </c>
    </row>
    <row r="9" spans="1:33">
      <c r="A9" s="68">
        <f t="shared" si="2"/>
        <v>7346.938442315698</v>
      </c>
      <c r="B9" s="2">
        <f t="shared" ref="B9:B17" si="5">B8+10</f>
        <v>18</v>
      </c>
      <c r="C9" s="8">
        <f t="shared" si="3"/>
        <v>7346.938442315698</v>
      </c>
      <c r="D9" s="8">
        <f t="shared" si="3"/>
        <v>10309.90143021943</v>
      </c>
      <c r="E9" s="8">
        <f t="shared" si="3"/>
        <v>13676.904825564576</v>
      </c>
      <c r="F9" s="8">
        <f t="shared" si="3"/>
        <v>17043.908220909721</v>
      </c>
      <c r="G9" s="8">
        <f t="shared" si="3"/>
        <v>20410.911616254867</v>
      </c>
      <c r="H9" s="8">
        <f t="shared" si="3"/>
        <v>23777.915011600016</v>
      </c>
      <c r="I9" s="8">
        <f t="shared" si="3"/>
        <v>27144.918406945162</v>
      </c>
      <c r="J9" s="8">
        <f t="shared" si="3"/>
        <v>30511.921802290308</v>
      </c>
      <c r="K9" s="8">
        <f t="shared" si="3"/>
        <v>33878.92519763545</v>
      </c>
      <c r="L9" s="8"/>
      <c r="M9" s="8"/>
      <c r="N9" s="8"/>
      <c r="O9" s="8"/>
      <c r="P9" s="8"/>
      <c r="Q9" s="8"/>
      <c r="R9" s="8"/>
      <c r="S9" s="35"/>
      <c r="U9" s="9" t="s">
        <v>4</v>
      </c>
      <c r="V9" s="11">
        <f>V7+0.0000001</f>
        <v>9.9999999999999995E-8</v>
      </c>
      <c r="W9" s="9">
        <f>W7</f>
        <v>98</v>
      </c>
      <c r="X9" s="3"/>
      <c r="Z9" s="62">
        <f>E6</f>
        <v>10</v>
      </c>
      <c r="AA9" s="73">
        <f t="shared" si="4"/>
        <v>6329.9663832488777</v>
      </c>
      <c r="AB9" s="74">
        <f>AA10-Tabel51624[[#This Row],[cumulatief]]</f>
        <v>3367.0033953451466</v>
      </c>
      <c r="AE9">
        <f t="shared" ref="AE9:AE16" si="6">10+AE8</f>
        <v>20</v>
      </c>
      <c r="AF9" s="58">
        <f>(Tabel41323[[#This Row],[circ]]-$W$10)*$W$11</f>
        <v>8163.2649812578047</v>
      </c>
      <c r="AG9" s="60">
        <f>AF10-Tabel41323[[#This Row],[cumulatief]]</f>
        <v>4081.6326947105381</v>
      </c>
    </row>
    <row r="10" spans="1:33">
      <c r="A10" s="68">
        <f t="shared" si="2"/>
        <v>11428.571137026234</v>
      </c>
      <c r="B10" s="2">
        <f t="shared" si="5"/>
        <v>28</v>
      </c>
      <c r="C10" s="8">
        <f t="shared" si="3"/>
        <v>11428.571137026234</v>
      </c>
      <c r="D10" s="8">
        <f t="shared" si="3"/>
        <v>14391.534124929965</v>
      </c>
      <c r="E10" s="8">
        <f t="shared" si="3"/>
        <v>17758.537520275113</v>
      </c>
      <c r="F10" s="8">
        <f t="shared" si="3"/>
        <v>21125.540915620259</v>
      </c>
      <c r="G10" s="8">
        <f t="shared" si="3"/>
        <v>24492.544310965404</v>
      </c>
      <c r="H10" s="8">
        <f t="shared" si="3"/>
        <v>27859.54770631055</v>
      </c>
      <c r="I10" s="8">
        <f t="shared" si="3"/>
        <v>31226.551101655699</v>
      </c>
      <c r="J10" s="8">
        <f t="shared" si="3"/>
        <v>34593.554497000841</v>
      </c>
      <c r="K10" s="8">
        <f t="shared" si="3"/>
        <v>37960.557892345991</v>
      </c>
      <c r="L10" s="8"/>
      <c r="M10" s="8"/>
      <c r="N10" s="8"/>
      <c r="O10" s="8"/>
      <c r="P10" s="8"/>
      <c r="Q10" s="8"/>
      <c r="R10" s="8"/>
      <c r="S10" s="35"/>
      <c r="U10" s="9" t="s">
        <v>3</v>
      </c>
      <c r="V10" s="10">
        <f>V6</f>
        <v>11.88</v>
      </c>
      <c r="W10" s="37">
        <f>W6+0.000001</f>
        <v>9.9999999999999995E-7</v>
      </c>
      <c r="X10" s="3"/>
      <c r="Z10" s="62">
        <f>F6</f>
        <v>9</v>
      </c>
      <c r="AA10" s="73">
        <f t="shared" si="4"/>
        <v>9696.9697785940243</v>
      </c>
      <c r="AB10" s="74">
        <f>AA11-Tabel51624[[#This Row],[cumulatief]]</f>
        <v>3367.0033953451457</v>
      </c>
      <c r="AE10">
        <f t="shared" si="6"/>
        <v>30</v>
      </c>
      <c r="AF10" s="58">
        <f>(Tabel41323[[#This Row],[circ]]-$W$10)*$W$11</f>
        <v>12244.897675968343</v>
      </c>
      <c r="AG10" s="60">
        <f>AF11-Tabel41323[[#This Row],[cumulatief]]</f>
        <v>4081.632694710539</v>
      </c>
    </row>
    <row r="11" spans="1:33">
      <c r="A11" s="68">
        <f t="shared" si="2"/>
        <v>15510.203831736773</v>
      </c>
      <c r="B11" s="2">
        <f t="shared" si="5"/>
        <v>38</v>
      </c>
      <c r="C11" s="8">
        <f t="shared" si="3"/>
        <v>15510.203831736773</v>
      </c>
      <c r="D11" s="8">
        <f t="shared" si="3"/>
        <v>18473.166819640504</v>
      </c>
      <c r="E11" s="8">
        <f t="shared" si="3"/>
        <v>21840.17021498565</v>
      </c>
      <c r="F11" s="8">
        <f t="shared" si="3"/>
        <v>25207.173610330799</v>
      </c>
      <c r="G11" s="8">
        <f t="shared" si="3"/>
        <v>28574.177005675941</v>
      </c>
      <c r="H11" s="8">
        <f t="shared" si="3"/>
        <v>31941.180401021091</v>
      </c>
      <c r="I11" s="8">
        <f t="shared" si="3"/>
        <v>35308.18379636624</v>
      </c>
      <c r="J11" s="8">
        <f t="shared" si="3"/>
        <v>38675.187191711382</v>
      </c>
      <c r="K11" s="8">
        <f t="shared" si="3"/>
        <v>42042.190587056524</v>
      </c>
      <c r="L11" s="8"/>
      <c r="M11" s="8"/>
      <c r="N11" s="8"/>
      <c r="O11" s="8"/>
      <c r="P11" s="8"/>
      <c r="Q11" s="8"/>
      <c r="R11" s="8"/>
      <c r="S11" s="35"/>
      <c r="U11" s="24" t="s">
        <v>1</v>
      </c>
      <c r="V11" s="25">
        <f>V8/(V10-V9)</f>
        <v>3367.0033953451461</v>
      </c>
      <c r="W11" s="25">
        <f>W8/(W9-W10)</f>
        <v>408.16326947105375</v>
      </c>
      <c r="X11" s="3"/>
      <c r="Z11" s="62">
        <f>G6</f>
        <v>8</v>
      </c>
      <c r="AA11" s="73">
        <f t="shared" si="4"/>
        <v>13063.97317393917</v>
      </c>
      <c r="AB11" s="74">
        <f>AA12-Tabel51624[[#This Row],[cumulatief]]</f>
        <v>3367.0033953451475</v>
      </c>
      <c r="AE11">
        <f t="shared" si="6"/>
        <v>40</v>
      </c>
      <c r="AF11" s="58">
        <f>(Tabel41323[[#This Row],[circ]]-$W$10)*$W$11</f>
        <v>16326.530370678882</v>
      </c>
      <c r="AG11" s="60">
        <f>AF12-Tabel41323[[#This Row],[cumulatief]]</f>
        <v>4081.632694710539</v>
      </c>
    </row>
    <row r="12" spans="1:33">
      <c r="A12" s="68">
        <f t="shared" si="2"/>
        <v>19591.83652644731</v>
      </c>
      <c r="B12" s="2">
        <f t="shared" si="5"/>
        <v>48</v>
      </c>
      <c r="C12" s="8">
        <f t="shared" si="3"/>
        <v>19591.83652644731</v>
      </c>
      <c r="D12" s="8">
        <f t="shared" si="3"/>
        <v>22554.799514351042</v>
      </c>
      <c r="E12" s="8">
        <f t="shared" si="3"/>
        <v>25921.802909696187</v>
      </c>
      <c r="F12" s="8">
        <f t="shared" si="3"/>
        <v>29288.806305041333</v>
      </c>
      <c r="G12" s="8">
        <f t="shared" si="3"/>
        <v>32655.809700386482</v>
      </c>
      <c r="H12" s="8">
        <f t="shared" si="3"/>
        <v>36022.813095731632</v>
      </c>
      <c r="I12" s="8">
        <f t="shared" si="3"/>
        <v>39389.816491076774</v>
      </c>
      <c r="J12" s="8">
        <f t="shared" si="3"/>
        <v>42756.819886421916</v>
      </c>
      <c r="K12" s="8">
        <f t="shared" si="3"/>
        <v>46123.823281767065</v>
      </c>
      <c r="L12" s="8"/>
      <c r="M12" s="8"/>
      <c r="N12" s="8"/>
      <c r="O12" s="8"/>
      <c r="P12" s="8"/>
      <c r="Q12" s="8"/>
      <c r="R12" s="8"/>
      <c r="S12" s="35"/>
      <c r="U12" s="32"/>
      <c r="V12" s="29"/>
      <c r="W12" s="30"/>
      <c r="X12" s="3"/>
      <c r="Z12" s="62">
        <f>H6</f>
        <v>7</v>
      </c>
      <c r="AA12" s="73">
        <f t="shared" si="4"/>
        <v>16430.976569284318</v>
      </c>
      <c r="AB12" s="74">
        <f>AA13-Tabel51624[[#This Row],[cumulatief]]</f>
        <v>3367.0033953451457</v>
      </c>
      <c r="AE12">
        <f t="shared" si="6"/>
        <v>50</v>
      </c>
      <c r="AF12" s="58">
        <f>(Tabel41323[[#This Row],[circ]]-$W$10)*$W$11</f>
        <v>20408.163065389421</v>
      </c>
      <c r="AG12" s="60">
        <f>AF13-Tabel41323[[#This Row],[cumulatief]]</f>
        <v>4081.6326947105372</v>
      </c>
    </row>
    <row r="13" spans="1:33">
      <c r="A13" s="68">
        <f t="shared" si="2"/>
        <v>23673.469221157848</v>
      </c>
      <c r="B13" s="2">
        <f t="shared" si="5"/>
        <v>58</v>
      </c>
      <c r="C13" s="8">
        <f t="shared" si="3"/>
        <v>23673.469221157848</v>
      </c>
      <c r="D13" s="8">
        <f t="shared" si="3"/>
        <v>26636.432209061579</v>
      </c>
      <c r="E13" s="8">
        <f t="shared" si="3"/>
        <v>30003.435604406724</v>
      </c>
      <c r="F13" s="8">
        <f t="shared" si="3"/>
        <v>33370.438999751874</v>
      </c>
      <c r="G13" s="8">
        <f t="shared" si="3"/>
        <v>36737.442395097016</v>
      </c>
      <c r="H13" s="8">
        <f t="shared" si="3"/>
        <v>40104.445790442165</v>
      </c>
      <c r="I13" s="8">
        <f t="shared" si="3"/>
        <v>43471.449185787307</v>
      </c>
      <c r="J13" s="8">
        <f t="shared" si="3"/>
        <v>46838.452581132457</v>
      </c>
      <c r="K13" s="8">
        <f t="shared" si="3"/>
        <v>50205.455976477606</v>
      </c>
      <c r="L13" s="8"/>
      <c r="M13" s="8"/>
      <c r="N13" s="8"/>
      <c r="O13" s="8"/>
      <c r="P13" s="8"/>
      <c r="Q13" s="8"/>
      <c r="R13" s="8"/>
      <c r="S13" s="35"/>
      <c r="U13" s="3"/>
      <c r="Z13" s="62">
        <f>I6</f>
        <v>6</v>
      </c>
      <c r="AA13" s="73">
        <f t="shared" si="4"/>
        <v>19797.979964629463</v>
      </c>
      <c r="AB13" s="74">
        <f>AA14-Tabel51624[[#This Row],[cumulatief]]</f>
        <v>3367.0033953451457</v>
      </c>
      <c r="AE13">
        <f t="shared" si="6"/>
        <v>60</v>
      </c>
      <c r="AF13" s="58">
        <f>(Tabel41323[[#This Row],[circ]]-$W$10)*$W$11</f>
        <v>24489.795760099958</v>
      </c>
      <c r="AG13" s="60">
        <f>AF14-Tabel41323[[#This Row],[cumulatief]]</f>
        <v>4081.6326947105372</v>
      </c>
    </row>
    <row r="14" spans="1:33">
      <c r="A14" s="68">
        <f t="shared" si="2"/>
        <v>27755.101915868388</v>
      </c>
      <c r="B14" s="2">
        <f t="shared" si="5"/>
        <v>68</v>
      </c>
      <c r="C14" s="8">
        <f t="shared" si="3"/>
        <v>27755.101915868388</v>
      </c>
      <c r="D14" s="8">
        <f t="shared" si="3"/>
        <v>30718.06490377212</v>
      </c>
      <c r="E14" s="8">
        <f t="shared" si="3"/>
        <v>34085.068299117265</v>
      </c>
      <c r="F14" s="8">
        <f t="shared" si="3"/>
        <v>37452.071694462415</v>
      </c>
      <c r="G14" s="8">
        <f t="shared" si="3"/>
        <v>40819.075089807557</v>
      </c>
      <c r="H14" s="8">
        <f t="shared" si="3"/>
        <v>44186.078485152706</v>
      </c>
      <c r="I14" s="8">
        <f t="shared" si="3"/>
        <v>47553.081880497848</v>
      </c>
      <c r="J14" s="8">
        <f t="shared" si="3"/>
        <v>50920.085275842997</v>
      </c>
      <c r="K14" s="8">
        <f t="shared" si="3"/>
        <v>54287.088671188147</v>
      </c>
      <c r="L14" s="8"/>
      <c r="M14" s="8"/>
      <c r="N14" s="8"/>
      <c r="O14" s="8"/>
      <c r="P14" s="8"/>
      <c r="Q14" s="8"/>
      <c r="R14" s="8"/>
      <c r="S14" s="35"/>
      <c r="U14" s="24"/>
      <c r="V14" s="29"/>
      <c r="W14" s="30"/>
      <c r="X14" s="3"/>
      <c r="Z14" s="62">
        <f>J6</f>
        <v>5</v>
      </c>
      <c r="AA14" s="73">
        <f t="shared" si="4"/>
        <v>23164.983359974609</v>
      </c>
      <c r="AB14" s="74">
        <f>AA15-Tabel51624[[#This Row],[cumulatief]]</f>
        <v>3367.0033953451457</v>
      </c>
      <c r="AE14">
        <f t="shared" si="6"/>
        <v>70</v>
      </c>
      <c r="AF14" s="58">
        <f>(Tabel41323[[#This Row],[circ]]-$W$10)*$W$11</f>
        <v>28571.428454810495</v>
      </c>
      <c r="AG14" s="60">
        <f>AF15-Tabel41323[[#This Row],[cumulatief]]</f>
        <v>4081.6326947105372</v>
      </c>
    </row>
    <row r="15" spans="1:33">
      <c r="A15" s="68">
        <f t="shared" si="2"/>
        <v>31836.734610578926</v>
      </c>
      <c r="B15" s="2">
        <f t="shared" si="5"/>
        <v>78</v>
      </c>
      <c r="C15" s="8">
        <f t="shared" si="3"/>
        <v>31836.734610578926</v>
      </c>
      <c r="D15" s="8">
        <f t="shared" si="3"/>
        <v>34799.697598482657</v>
      </c>
      <c r="E15" s="8">
        <f t="shared" si="3"/>
        <v>38166.700993827806</v>
      </c>
      <c r="F15" s="8">
        <f t="shared" si="3"/>
        <v>41533.704389172948</v>
      </c>
      <c r="G15" s="8">
        <f t="shared" si="3"/>
        <v>44900.707784518097</v>
      </c>
      <c r="H15" s="8">
        <f t="shared" si="3"/>
        <v>48267.71117986324</v>
      </c>
      <c r="I15" s="8">
        <f t="shared" si="3"/>
        <v>51634.714575208389</v>
      </c>
      <c r="J15" s="8">
        <f t="shared" si="3"/>
        <v>55001.717970553538</v>
      </c>
      <c r="K15" s="8">
        <f t="shared" si="3"/>
        <v>58368.72136589868</v>
      </c>
      <c r="L15" s="8"/>
      <c r="M15" s="8"/>
      <c r="N15" s="8"/>
      <c r="O15" s="8"/>
      <c r="P15" s="8"/>
      <c r="Q15" s="8"/>
      <c r="R15" s="8"/>
      <c r="S15" s="35"/>
      <c r="U15" s="24"/>
      <c r="V15" s="29"/>
      <c r="W15" s="30"/>
      <c r="X15" s="3"/>
      <c r="Z15" s="62">
        <f>K6</f>
        <v>4</v>
      </c>
      <c r="AA15" s="73">
        <f t="shared" si="4"/>
        <v>26531.986755319755</v>
      </c>
      <c r="AB15" s="74">
        <f>AA16-Tabel51624[[#This Row],[cumulatief]]</f>
        <v>-26531.986755319755</v>
      </c>
      <c r="AE15">
        <f t="shared" si="6"/>
        <v>80</v>
      </c>
      <c r="AF15" s="58">
        <f>(Tabel41323[[#This Row],[circ]]-$W$10)*$W$11</f>
        <v>32653.061149521032</v>
      </c>
      <c r="AG15" s="60">
        <f>AF16-Tabel41323[[#This Row],[cumulatief]]</f>
        <v>4081.6326947105335</v>
      </c>
    </row>
    <row r="16" spans="1:33">
      <c r="A16" s="68">
        <f t="shared" si="2"/>
        <v>35918.367305289459</v>
      </c>
      <c r="B16" s="2">
        <f t="shared" si="5"/>
        <v>88</v>
      </c>
      <c r="C16" s="8">
        <f t="shared" si="3"/>
        <v>35918.367305289459</v>
      </c>
      <c r="D16" s="8">
        <f t="shared" si="3"/>
        <v>38881.33029319319</v>
      </c>
      <c r="E16" s="8">
        <f t="shared" si="3"/>
        <v>42248.33368853834</v>
      </c>
      <c r="F16" s="8">
        <f t="shared" si="3"/>
        <v>45615.337083883482</v>
      </c>
      <c r="G16" s="8">
        <f t="shared" si="3"/>
        <v>48982.340479228631</v>
      </c>
      <c r="H16" s="8">
        <f t="shared" si="3"/>
        <v>52349.34387457378</v>
      </c>
      <c r="I16" s="8">
        <f t="shared" si="3"/>
        <v>55716.347269918922</v>
      </c>
      <c r="J16" s="8">
        <f t="shared" si="3"/>
        <v>59083.350665264064</v>
      </c>
      <c r="K16" s="8">
        <f t="shared" si="3"/>
        <v>62450.354060609214</v>
      </c>
      <c r="L16" s="8"/>
      <c r="M16" s="8"/>
      <c r="N16" s="8"/>
      <c r="O16" s="8"/>
      <c r="P16" s="8"/>
      <c r="Q16" s="8"/>
      <c r="R16" s="8"/>
      <c r="S16" s="35"/>
      <c r="U16" s="24"/>
      <c r="V16" s="29"/>
      <c r="W16" s="30"/>
      <c r="X16" s="3"/>
      <c r="AA16" s="61"/>
      <c r="AB16" s="65"/>
      <c r="AE16">
        <f t="shared" si="6"/>
        <v>90</v>
      </c>
      <c r="AF16" s="58">
        <f>(Tabel41323[[#This Row],[circ]]-$W$10)*$W$11</f>
        <v>36734.693844231566</v>
      </c>
      <c r="AG16" s="60">
        <f>AF17-Tabel41323[[#This Row],[cumulatief]]</f>
        <v>3265.3061557684341</v>
      </c>
    </row>
    <row r="17" spans="1:33">
      <c r="A17" s="68">
        <f t="shared" si="2"/>
        <v>40000</v>
      </c>
      <c r="B17" s="2">
        <f t="shared" si="5"/>
        <v>98</v>
      </c>
      <c r="C17" s="8">
        <f t="shared" si="3"/>
        <v>40000</v>
      </c>
      <c r="D17" s="8">
        <f t="shared" si="3"/>
        <v>42962.962987903731</v>
      </c>
      <c r="E17" s="8">
        <f t="shared" si="3"/>
        <v>46329.96638324888</v>
      </c>
      <c r="F17" s="8">
        <f t="shared" si="3"/>
        <v>49696.969778594023</v>
      </c>
      <c r="G17" s="8">
        <f t="shared" si="3"/>
        <v>53063.973173939172</v>
      </c>
      <c r="H17" s="8">
        <f t="shared" si="3"/>
        <v>56430.976569284321</v>
      </c>
      <c r="I17" s="8">
        <f t="shared" si="3"/>
        <v>59797.979964629463</v>
      </c>
      <c r="J17" s="8">
        <f t="shared" si="3"/>
        <v>63164.983359974605</v>
      </c>
      <c r="K17" s="8">
        <f t="shared" si="3"/>
        <v>66531.986755319755</v>
      </c>
      <c r="L17" s="8"/>
      <c r="M17" s="8"/>
      <c r="N17" s="8"/>
      <c r="O17" s="8"/>
      <c r="P17" s="8"/>
      <c r="Q17" s="8"/>
      <c r="R17" s="8"/>
      <c r="S17" s="35"/>
      <c r="U17" s="24"/>
      <c r="V17" s="29"/>
      <c r="W17" s="30"/>
      <c r="X17" s="3"/>
      <c r="AA17" s="61"/>
      <c r="AB17" s="65"/>
      <c r="AE17">
        <f>Deklaag[[#This Row],[circ \ MKI]]</f>
        <v>98</v>
      </c>
      <c r="AF17" s="58">
        <f>(Tabel41323[[#This Row],[circ]]-$W$10)*$W$11</f>
        <v>40000</v>
      </c>
      <c r="AG17" s="60" t="e">
        <f>#REF!-Tabel41323[[#This Row],[cumulatief]]</f>
        <v>#REF!</v>
      </c>
    </row>
    <row r="18" spans="1:33">
      <c r="A18" s="68"/>
      <c r="B18" s="78">
        <f>deklaagCIRCplafond</f>
        <v>98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5"/>
      <c r="U18" s="24"/>
      <c r="V18" s="29"/>
      <c r="W18" s="30"/>
      <c r="X18" s="3"/>
      <c r="AA18" s="61"/>
      <c r="AB18" s="65"/>
      <c r="AF18" s="58"/>
      <c r="AG18" s="60"/>
    </row>
    <row r="19" spans="1:33">
      <c r="B19" s="75" t="s">
        <v>41</v>
      </c>
      <c r="K19" s="3"/>
      <c r="L19" s="3"/>
      <c r="M19" s="3"/>
      <c r="N19" s="3"/>
      <c r="O19" s="3"/>
      <c r="P19" s="3"/>
      <c r="Q19" s="3"/>
      <c r="R19" s="3"/>
      <c r="S19" s="3"/>
      <c r="U19" s="3"/>
      <c r="V19" s="3"/>
      <c r="W19" s="3"/>
      <c r="AA19" s="61"/>
      <c r="AB19" s="65"/>
    </row>
    <row r="20" spans="1:33">
      <c r="K20" s="3"/>
      <c r="L20" s="3"/>
      <c r="M20" s="3"/>
      <c r="N20" s="3"/>
      <c r="O20" s="3"/>
      <c r="P20" s="3"/>
      <c r="Q20" s="3"/>
      <c r="R20" s="3"/>
      <c r="S20" s="3"/>
      <c r="U20" s="3"/>
      <c r="V20" s="3"/>
      <c r="W20" s="3"/>
      <c r="AA20" s="61"/>
      <c r="AB20" s="65"/>
    </row>
    <row r="21" spans="1:33">
      <c r="K21" s="3"/>
      <c r="L21" s="3"/>
      <c r="M21" s="3"/>
      <c r="N21" s="3"/>
      <c r="O21" s="3"/>
      <c r="P21" s="3"/>
      <c r="Q21" s="3"/>
      <c r="R21" s="3"/>
      <c r="S21" s="3"/>
      <c r="U21" s="3"/>
      <c r="V21" s="3"/>
      <c r="W21" s="3"/>
      <c r="AA21" s="61"/>
      <c r="AB21" s="65"/>
    </row>
    <row r="22" spans="1:33">
      <c r="K22" s="3"/>
      <c r="L22" s="3"/>
      <c r="M22" s="3"/>
      <c r="N22" s="3"/>
      <c r="O22" s="3"/>
      <c r="P22" s="3"/>
      <c r="Q22" s="3"/>
      <c r="R22" s="3"/>
      <c r="S22" s="3"/>
      <c r="U22" s="3"/>
      <c r="V22" s="3"/>
      <c r="W22" s="3"/>
      <c r="AA22" s="61"/>
      <c r="AB22" s="65"/>
    </row>
    <row r="23" spans="1:33">
      <c r="K23" s="3"/>
      <c r="L23" s="3"/>
      <c r="M23" s="3"/>
      <c r="N23" s="3"/>
      <c r="O23" s="3"/>
      <c r="P23" s="3"/>
      <c r="Q23" s="3"/>
      <c r="R23" s="3"/>
      <c r="S23" s="3"/>
      <c r="U23" s="3"/>
      <c r="V23" s="3"/>
      <c r="W23" s="3"/>
    </row>
    <row r="24" spans="1:33">
      <c r="K24" s="3"/>
      <c r="L24" s="3"/>
      <c r="M24" s="3"/>
      <c r="N24" s="3"/>
      <c r="O24" s="3"/>
      <c r="P24" s="3"/>
      <c r="Q24" s="3"/>
      <c r="R24" s="3"/>
      <c r="S24" s="3"/>
      <c r="U24" s="3"/>
      <c r="V24" s="3"/>
      <c r="W24" s="3"/>
    </row>
    <row r="25" spans="1:33">
      <c r="K25" s="3"/>
      <c r="L25" s="3"/>
      <c r="M25" s="3"/>
      <c r="N25" s="3"/>
      <c r="O25" s="3"/>
      <c r="P25" s="3"/>
      <c r="Q25" s="3"/>
      <c r="R25" s="3"/>
      <c r="S25" s="3"/>
      <c r="U25" s="3"/>
      <c r="V25" s="3"/>
      <c r="W25" s="3"/>
    </row>
    <row r="26" spans="1:33">
      <c r="B26" s="31" t="s">
        <v>21</v>
      </c>
      <c r="I26" s="67"/>
      <c r="J26" s="67"/>
      <c r="K26" s="67"/>
      <c r="L26" s="67"/>
      <c r="M26" s="67"/>
      <c r="N26" s="67"/>
      <c r="O26" s="67"/>
      <c r="P26" s="67"/>
      <c r="Q26" s="67"/>
      <c r="R26" s="67"/>
      <c r="U26" s="31" t="s">
        <v>21</v>
      </c>
      <c r="V26" s="3"/>
      <c r="W26" s="3"/>
    </row>
    <row r="27" spans="1:33">
      <c r="A27" s="21"/>
      <c r="B27" s="21"/>
      <c r="C27" s="22"/>
      <c r="D27" s="22"/>
      <c r="E27" s="22"/>
      <c r="F27" s="22"/>
      <c r="G27" s="22"/>
      <c r="H27" s="22"/>
      <c r="I27" s="70"/>
      <c r="J27" s="70"/>
      <c r="K27" s="67"/>
      <c r="L27" s="67"/>
      <c r="M27" s="67"/>
      <c r="N27" s="67"/>
      <c r="O27" s="67"/>
      <c r="P27" s="67"/>
      <c r="Q27" s="67"/>
      <c r="R27" s="67"/>
      <c r="U27" s="3"/>
      <c r="Z27" s="64" t="s">
        <v>0</v>
      </c>
      <c r="AE27" s="18" t="s">
        <v>23</v>
      </c>
    </row>
    <row r="28" spans="1:33">
      <c r="A28" s="67"/>
      <c r="B28" s="72"/>
      <c r="C28" s="68">
        <f t="shared" ref="C28:H28" si="7">($V$29-C$29)*$V$34</f>
        <v>0</v>
      </c>
      <c r="D28" s="68">
        <f t="shared" si="7"/>
        <v>2174.6919334972085</v>
      </c>
      <c r="E28" s="68">
        <f t="shared" si="7"/>
        <v>5739.7606769352533</v>
      </c>
      <c r="F28" s="68">
        <f t="shared" si="7"/>
        <v>9304.8294203732985</v>
      </c>
      <c r="G28" s="68">
        <f t="shared" si="7"/>
        <v>12869.898163811342</v>
      </c>
      <c r="H28" s="68">
        <f t="shared" si="7"/>
        <v>16434.966907249389</v>
      </c>
      <c r="I28" s="75" t="s">
        <v>40</v>
      </c>
      <c r="J28" s="68"/>
      <c r="K28" s="68"/>
      <c r="L28" s="68"/>
      <c r="M28" s="68"/>
      <c r="N28" s="68"/>
      <c r="O28" s="68"/>
      <c r="P28" s="68"/>
      <c r="Q28" s="68"/>
      <c r="R28" s="68"/>
      <c r="U28" s="3" t="s">
        <v>2</v>
      </c>
      <c r="V28" s="5" t="s">
        <v>0</v>
      </c>
      <c r="W28" s="5" t="s">
        <v>23</v>
      </c>
      <c r="X28" s="3"/>
    </row>
    <row r="29" spans="1:33">
      <c r="A29" s="67"/>
      <c r="B29" s="3"/>
      <c r="C29" s="69">
        <f>tussenMKIdrempel</f>
        <v>5.61</v>
      </c>
      <c r="D29" s="69">
        <f>_xlfn.FLOOR.MATH(C29)</f>
        <v>5</v>
      </c>
      <c r="E29" s="69">
        <f>D29-1</f>
        <v>4</v>
      </c>
      <c r="F29" s="69">
        <f t="shared" ref="F29:H29" si="8">E29-1</f>
        <v>3</v>
      </c>
      <c r="G29" s="69">
        <f t="shared" si="8"/>
        <v>2</v>
      </c>
      <c r="H29" s="69">
        <f t="shared" si="8"/>
        <v>1</v>
      </c>
      <c r="I29" s="71">
        <f>tussenMKIplafond</f>
        <v>0</v>
      </c>
      <c r="J29" s="71"/>
      <c r="K29" s="71"/>
      <c r="L29" s="71"/>
      <c r="M29" s="71"/>
      <c r="N29" s="71"/>
      <c r="O29" s="71"/>
      <c r="P29" s="71"/>
      <c r="Q29" s="71"/>
      <c r="R29" s="71"/>
      <c r="U29" s="3" t="s">
        <v>9</v>
      </c>
      <c r="V29" s="6">
        <f>tussenMKIdrempel</f>
        <v>5.61</v>
      </c>
      <c r="W29" s="28">
        <f>tussenCIRCdrempel</f>
        <v>50</v>
      </c>
      <c r="X29" s="3"/>
      <c r="Z29" s="62" t="s">
        <v>0</v>
      </c>
      <c r="AA29" s="61" t="s">
        <v>7</v>
      </c>
      <c r="AB29" s="66" t="s">
        <v>36</v>
      </c>
      <c r="AE29" s="59" t="s">
        <v>37</v>
      </c>
      <c r="AF29" s="59" t="s">
        <v>7</v>
      </c>
      <c r="AG29" s="59" t="s">
        <v>36</v>
      </c>
    </row>
    <row r="30" spans="1:33">
      <c r="A30" s="68">
        <f t="shared" ref="A30:A35" si="9">($B30-$W$33)*$W$34</f>
        <v>-4.1666675360449599E-3</v>
      </c>
      <c r="B30" s="6">
        <f>tussenCIRCdrempel</f>
        <v>50</v>
      </c>
      <c r="C30" s="4">
        <f t="shared" ref="C30:H35" si="10">C$28+$A30</f>
        <v>-4.1666675360449599E-3</v>
      </c>
      <c r="D30" s="4">
        <f t="shared" si="10"/>
        <v>2174.6877668296725</v>
      </c>
      <c r="E30" s="4">
        <f t="shared" si="10"/>
        <v>5739.7565102677172</v>
      </c>
      <c r="F30" s="4">
        <f t="shared" si="10"/>
        <v>9304.8252537057633</v>
      </c>
      <c r="G30" s="4">
        <f t="shared" si="10"/>
        <v>12869.893997143807</v>
      </c>
      <c r="H30" s="4">
        <f t="shared" si="10"/>
        <v>16434.962740581854</v>
      </c>
      <c r="I30" s="39"/>
      <c r="J30" s="68"/>
      <c r="K30" s="68"/>
      <c r="L30" s="68"/>
      <c r="M30" s="68"/>
      <c r="N30" s="68"/>
      <c r="O30" s="68"/>
      <c r="P30" s="68"/>
      <c r="Q30" s="68"/>
      <c r="R30" s="68"/>
      <c r="U30" s="3" t="s">
        <v>10</v>
      </c>
      <c r="V30" s="3">
        <f>tussenMKIplafond</f>
        <v>0</v>
      </c>
      <c r="W30" s="7">
        <f>tussenCIRCplafond</f>
        <v>98</v>
      </c>
      <c r="X30" s="3"/>
      <c r="Z30" s="62">
        <f>C29</f>
        <v>5.61</v>
      </c>
      <c r="AA30" s="73">
        <f t="shared" ref="AA30:AA35" si="11">($V$33-$Z30)*$V$34</f>
        <v>0</v>
      </c>
      <c r="AB30" s="74">
        <f>AA31-Tabel5162435[[#This Row],[cumulatief]]</f>
        <v>2174.6919334972085</v>
      </c>
      <c r="AE30">
        <f>B30</f>
        <v>50</v>
      </c>
      <c r="AF30" s="58">
        <f>(Tabel4132330[[#This Row],[circ]]-$W$33)*$W$34</f>
        <v>-4.1666675360449599E-3</v>
      </c>
      <c r="AG30" s="60">
        <f>AF31-Tabel4132330[[#This Row],[cumulatief]]</f>
        <v>4166.6675347224036</v>
      </c>
    </row>
    <row r="31" spans="1:33">
      <c r="A31" s="68">
        <f t="shared" si="9"/>
        <v>3333.3298611103864</v>
      </c>
      <c r="B31" s="6">
        <f>B30+8</f>
        <v>58</v>
      </c>
      <c r="C31" s="4">
        <f t="shared" si="10"/>
        <v>3333.3298611103864</v>
      </c>
      <c r="D31" s="4">
        <f t="shared" si="10"/>
        <v>5508.0217946075954</v>
      </c>
      <c r="E31" s="4">
        <f t="shared" si="10"/>
        <v>9073.0905380456388</v>
      </c>
      <c r="F31" s="4">
        <f t="shared" si="10"/>
        <v>12638.159281483684</v>
      </c>
      <c r="G31" s="4">
        <f t="shared" si="10"/>
        <v>16203.228024921729</v>
      </c>
      <c r="H31" s="4">
        <f t="shared" si="10"/>
        <v>19768.296768359774</v>
      </c>
      <c r="I31" s="39"/>
      <c r="J31" s="68"/>
      <c r="K31" s="68"/>
      <c r="L31" s="68"/>
      <c r="M31" s="68"/>
      <c r="N31" s="68"/>
      <c r="O31" s="68"/>
      <c r="P31" s="68"/>
      <c r="Q31" s="68"/>
      <c r="R31" s="68"/>
      <c r="U31" s="3" t="s">
        <v>8</v>
      </c>
      <c r="V31" s="15">
        <f>tussenMKIkorting</f>
        <v>20000</v>
      </c>
      <c r="W31" s="15">
        <f>tussenCIRCkorting</f>
        <v>20000</v>
      </c>
      <c r="X31" s="3"/>
      <c r="Z31" s="62">
        <f>D29</f>
        <v>5</v>
      </c>
      <c r="AA31" s="73">
        <f t="shared" si="11"/>
        <v>2174.6919334972085</v>
      </c>
      <c r="AB31" s="74">
        <f>AA32-Tabel5162435[[#This Row],[cumulatief]]</f>
        <v>3565.0687434380447</v>
      </c>
      <c r="AE31">
        <f>10+AE30</f>
        <v>60</v>
      </c>
      <c r="AF31" s="58">
        <f>(Tabel4132330[[#This Row],[circ]]-$W$33)*$W$34</f>
        <v>4166.6633680548675</v>
      </c>
      <c r="AG31" s="60">
        <f>AF32-Tabel4132330[[#This Row],[cumulatief]]</f>
        <v>4166.6675347224027</v>
      </c>
    </row>
    <row r="32" spans="1:33">
      <c r="A32" s="68">
        <f t="shared" si="9"/>
        <v>7499.9973958327901</v>
      </c>
      <c r="B32" s="6">
        <f t="shared" ref="B32:B34" si="12">B31+10</f>
        <v>68</v>
      </c>
      <c r="C32" s="4">
        <f t="shared" si="10"/>
        <v>7499.9973958327901</v>
      </c>
      <c r="D32" s="4">
        <f t="shared" si="10"/>
        <v>9674.6893293299981</v>
      </c>
      <c r="E32" s="4">
        <f t="shared" si="10"/>
        <v>13239.758072768043</v>
      </c>
      <c r="F32" s="4">
        <f t="shared" si="10"/>
        <v>16804.826816206089</v>
      </c>
      <c r="G32" s="4">
        <f t="shared" si="10"/>
        <v>20369.89555964413</v>
      </c>
      <c r="H32" s="4">
        <f t="shared" si="10"/>
        <v>23934.964303082179</v>
      </c>
      <c r="I32" s="39"/>
      <c r="J32" s="68"/>
      <c r="K32" s="68"/>
      <c r="L32" s="68"/>
      <c r="M32" s="68"/>
      <c r="N32" s="68"/>
      <c r="O32" s="68"/>
      <c r="P32" s="68"/>
      <c r="Q32" s="68"/>
      <c r="R32" s="68"/>
      <c r="U32" s="9" t="s">
        <v>4</v>
      </c>
      <c r="V32" s="11">
        <f>V30+0.00001</f>
        <v>1.0000000000000001E-5</v>
      </c>
      <c r="W32" s="9">
        <f>W30</f>
        <v>98</v>
      </c>
      <c r="X32" s="3"/>
      <c r="Z32" s="62">
        <f>E29</f>
        <v>4</v>
      </c>
      <c r="AA32" s="73">
        <f t="shared" si="11"/>
        <v>5739.7606769352533</v>
      </c>
      <c r="AB32" s="74">
        <f>AA33-Tabel5162435[[#This Row],[cumulatief]]</f>
        <v>3565.0687434380452</v>
      </c>
      <c r="AE32">
        <f t="shared" ref="AE32:AE34" si="13">10+AE31</f>
        <v>70</v>
      </c>
      <c r="AF32" s="58">
        <f>(Tabel4132330[[#This Row],[circ]]-$W$33)*$W$34</f>
        <v>8333.3309027772702</v>
      </c>
      <c r="AG32" s="60">
        <f>AF33-Tabel4132330[[#This Row],[cumulatief]]</f>
        <v>4166.6675347224027</v>
      </c>
    </row>
    <row r="33" spans="1:33">
      <c r="A33" s="68">
        <f t="shared" si="9"/>
        <v>11666.664930555193</v>
      </c>
      <c r="B33" s="6">
        <f t="shared" si="12"/>
        <v>78</v>
      </c>
      <c r="C33" s="4">
        <f t="shared" si="10"/>
        <v>11666.664930555193</v>
      </c>
      <c r="D33" s="4">
        <f t="shared" si="10"/>
        <v>13841.356864052401</v>
      </c>
      <c r="E33" s="4">
        <f t="shared" si="10"/>
        <v>17406.425607490448</v>
      </c>
      <c r="F33" s="4">
        <f t="shared" si="10"/>
        <v>20971.494350928493</v>
      </c>
      <c r="G33" s="4">
        <f t="shared" si="10"/>
        <v>24536.563094366535</v>
      </c>
      <c r="H33" s="4">
        <f t="shared" si="10"/>
        <v>28101.631837804583</v>
      </c>
      <c r="I33" s="39"/>
      <c r="J33" s="68"/>
      <c r="K33" s="68"/>
      <c r="L33" s="68"/>
      <c r="M33" s="68"/>
      <c r="N33" s="68"/>
      <c r="O33" s="68"/>
      <c r="P33" s="68"/>
      <c r="Q33" s="68"/>
      <c r="R33" s="68"/>
      <c r="U33" s="9" t="s">
        <v>3</v>
      </c>
      <c r="V33" s="10">
        <f>V29</f>
        <v>5.61</v>
      </c>
      <c r="W33" s="36">
        <f>W29+0.00001</f>
        <v>50.000010000000003</v>
      </c>
      <c r="X33" s="3"/>
      <c r="Z33" s="62">
        <f>F29</f>
        <v>3</v>
      </c>
      <c r="AA33" s="73">
        <f t="shared" si="11"/>
        <v>9304.8294203732985</v>
      </c>
      <c r="AB33" s="74">
        <f>AA34-Tabel5162435[[#This Row],[cumulatief]]</f>
        <v>3565.0687434380434</v>
      </c>
      <c r="AE33">
        <f t="shared" si="13"/>
        <v>80</v>
      </c>
      <c r="AF33" s="58">
        <f>(Tabel4132330[[#This Row],[circ]]-$W$33)*$W$34</f>
        <v>12499.998437499673</v>
      </c>
      <c r="AG33" s="60">
        <f>AF34-Tabel4132330[[#This Row],[cumulatief]]</f>
        <v>4166.6675347224027</v>
      </c>
    </row>
    <row r="34" spans="1:33">
      <c r="A34" s="68">
        <f t="shared" si="9"/>
        <v>15833.332465277595</v>
      </c>
      <c r="B34" s="6">
        <f t="shared" si="12"/>
        <v>88</v>
      </c>
      <c r="C34" s="4">
        <f t="shared" si="10"/>
        <v>15833.332465277595</v>
      </c>
      <c r="D34" s="4">
        <f t="shared" si="10"/>
        <v>18008.024398774804</v>
      </c>
      <c r="E34" s="4">
        <f t="shared" si="10"/>
        <v>21573.093142212849</v>
      </c>
      <c r="F34" s="4">
        <f t="shared" si="10"/>
        <v>25138.161885650894</v>
      </c>
      <c r="G34" s="4">
        <f t="shared" si="10"/>
        <v>28703.230629088939</v>
      </c>
      <c r="H34" s="4">
        <f t="shared" si="10"/>
        <v>32268.299372526984</v>
      </c>
      <c r="I34" s="39"/>
      <c r="J34" s="68"/>
      <c r="K34" s="68"/>
      <c r="L34" s="68"/>
      <c r="M34" s="68"/>
      <c r="N34" s="68"/>
      <c r="O34" s="68"/>
      <c r="P34" s="68"/>
      <c r="Q34" s="68"/>
      <c r="R34" s="68"/>
      <c r="U34" s="24" t="s">
        <v>1</v>
      </c>
      <c r="V34" s="25">
        <f>V31/(V33-V32)</f>
        <v>3565.0687434380447</v>
      </c>
      <c r="W34" s="25">
        <f>W31/(W32-W33)</f>
        <v>416.66675347224032</v>
      </c>
      <c r="X34" s="3"/>
      <c r="Z34" s="62">
        <f>G29</f>
        <v>2</v>
      </c>
      <c r="AA34" s="73">
        <f t="shared" si="11"/>
        <v>12869.898163811342</v>
      </c>
      <c r="AB34" s="74">
        <f>AA35-Tabel5162435[[#This Row],[cumulatief]]</f>
        <v>3565.068743438047</v>
      </c>
      <c r="AE34">
        <f t="shared" si="13"/>
        <v>90</v>
      </c>
      <c r="AF34" s="58">
        <f>(Tabel4132330[[#This Row],[circ]]-$W$33)*$W$34</f>
        <v>16666.665972222076</v>
      </c>
      <c r="AG34" s="60">
        <f>AF35-Tabel4132330[[#This Row],[cumulatief]]</f>
        <v>3333.3340277779243</v>
      </c>
    </row>
    <row r="35" spans="1:33">
      <c r="A35" s="68">
        <f t="shared" si="9"/>
        <v>20000</v>
      </c>
      <c r="B35" s="6">
        <f>tussenCIRCplafond</f>
        <v>98</v>
      </c>
      <c r="C35" s="4">
        <f t="shared" si="10"/>
        <v>20000</v>
      </c>
      <c r="D35" s="4">
        <f t="shared" si="10"/>
        <v>22174.691933497208</v>
      </c>
      <c r="E35" s="4">
        <f t="shared" si="10"/>
        <v>25739.760676935253</v>
      </c>
      <c r="F35" s="4">
        <f t="shared" si="10"/>
        <v>29304.829420373298</v>
      </c>
      <c r="G35" s="4">
        <f t="shared" si="10"/>
        <v>32869.89816381134</v>
      </c>
      <c r="H35" s="4">
        <f t="shared" si="10"/>
        <v>36434.966907249385</v>
      </c>
      <c r="I35" s="39"/>
      <c r="J35" s="68"/>
      <c r="K35" s="68"/>
      <c r="L35" s="68"/>
      <c r="M35" s="68"/>
      <c r="N35" s="68"/>
      <c r="O35" s="68"/>
      <c r="P35" s="68"/>
      <c r="Q35" s="68"/>
      <c r="R35" s="68"/>
      <c r="U35" s="3"/>
      <c r="W35" s="4"/>
      <c r="X35" s="4"/>
      <c r="Z35" s="62">
        <f>H29</f>
        <v>1</v>
      </c>
      <c r="AA35" s="73">
        <f t="shared" si="11"/>
        <v>16434.966907249389</v>
      </c>
      <c r="AB35" s="74">
        <f>AA36-Tabel5162435[[#This Row],[cumulatief]]</f>
        <v>-16434.966907249389</v>
      </c>
      <c r="AE35">
        <f>Tussen[[#This Row],[circ \ MKI]]</f>
        <v>98</v>
      </c>
      <c r="AF35" s="58">
        <f>(Tabel4132330[[#This Row],[circ]]-$W$33)*$W$34</f>
        <v>20000</v>
      </c>
      <c r="AG35" s="60">
        <f>AF36-Tabel4132330[[#This Row],[cumulatief]]</f>
        <v>-20000</v>
      </c>
    </row>
    <row r="36" spans="1:33">
      <c r="A36" s="67"/>
      <c r="B36" s="77">
        <f>tussenCIRCplafond</f>
        <v>98</v>
      </c>
      <c r="C36" s="39"/>
      <c r="D36" s="39"/>
      <c r="E36" s="39"/>
      <c r="F36" s="39"/>
      <c r="G36" s="39"/>
      <c r="H36" s="39"/>
      <c r="I36" s="67"/>
      <c r="J36" s="67"/>
      <c r="K36" s="67"/>
      <c r="L36" s="67"/>
      <c r="M36" s="67"/>
      <c r="N36" s="67"/>
      <c r="O36" s="67"/>
      <c r="P36" s="67"/>
      <c r="Q36" s="67"/>
      <c r="R36" s="67"/>
      <c r="X36" s="4"/>
      <c r="AA36" s="61"/>
      <c r="AB36" s="65"/>
      <c r="AF36" s="58"/>
      <c r="AG36" s="60"/>
    </row>
    <row r="37" spans="1:33">
      <c r="A37" s="67"/>
      <c r="B37" s="75" t="s">
        <v>41</v>
      </c>
      <c r="C37" s="16"/>
      <c r="D37" s="16"/>
      <c r="E37" s="16"/>
      <c r="F37" s="16"/>
      <c r="G37" s="16"/>
      <c r="I37" s="67"/>
      <c r="J37" s="67"/>
      <c r="K37" s="67"/>
      <c r="L37" s="67"/>
      <c r="M37" s="67"/>
      <c r="N37" s="67"/>
      <c r="O37" s="67"/>
      <c r="P37" s="67"/>
      <c r="Q37" s="67"/>
      <c r="R37" s="67"/>
      <c r="X37" s="4"/>
      <c r="AA37" s="61"/>
      <c r="AB37" s="65"/>
      <c r="AF37" s="58"/>
      <c r="AG37" s="60"/>
    </row>
    <row r="38" spans="1:33">
      <c r="A38" s="67"/>
      <c r="B38" s="3"/>
      <c r="C38" s="16"/>
      <c r="D38" s="16"/>
      <c r="E38" s="16"/>
      <c r="F38" s="16"/>
      <c r="G38" s="16"/>
      <c r="I38" s="67"/>
      <c r="J38" s="67"/>
      <c r="K38" s="67"/>
      <c r="L38" s="67"/>
      <c r="M38" s="67"/>
      <c r="N38" s="67"/>
      <c r="O38" s="67"/>
      <c r="P38" s="67"/>
      <c r="Q38" s="67"/>
      <c r="R38" s="67"/>
      <c r="X38" s="4"/>
      <c r="AA38" s="61"/>
      <c r="AB38" s="65"/>
      <c r="AF38" s="58"/>
      <c r="AG38" s="60"/>
    </row>
    <row r="39" spans="1:33">
      <c r="A39" s="67"/>
      <c r="B39" s="3"/>
      <c r="C39" s="16"/>
      <c r="D39" s="16"/>
      <c r="E39" s="16"/>
      <c r="F39" s="16"/>
      <c r="G39" s="16"/>
      <c r="I39" s="67"/>
      <c r="J39" s="67"/>
      <c r="K39" s="67"/>
      <c r="L39" s="67"/>
      <c r="M39" s="67"/>
      <c r="N39" s="67"/>
      <c r="O39" s="67"/>
      <c r="P39" s="67"/>
      <c r="Q39" s="67"/>
      <c r="R39" s="67"/>
      <c r="X39" s="4"/>
      <c r="AA39" s="61"/>
      <c r="AB39" s="65"/>
      <c r="AF39" s="58"/>
      <c r="AG39" s="60"/>
    </row>
    <row r="40" spans="1:33">
      <c r="A40" s="67"/>
      <c r="B40" s="3"/>
      <c r="C40" s="16"/>
      <c r="D40" s="16"/>
      <c r="E40" s="16"/>
      <c r="F40" s="16"/>
      <c r="G40" s="16"/>
      <c r="I40" s="67"/>
      <c r="J40" s="67"/>
      <c r="K40" s="67"/>
      <c r="L40" s="67"/>
      <c r="M40" s="67"/>
      <c r="N40" s="67"/>
      <c r="O40" s="67"/>
      <c r="P40" s="67"/>
      <c r="Q40" s="67"/>
      <c r="R40" s="67"/>
      <c r="X40" s="4"/>
      <c r="AA40" s="61"/>
      <c r="AB40" s="65"/>
      <c r="AF40" s="58"/>
      <c r="AG40" s="60"/>
    </row>
    <row r="41" spans="1:33">
      <c r="B41" s="31" t="s">
        <v>22</v>
      </c>
      <c r="I41" s="67"/>
      <c r="J41" s="67"/>
      <c r="K41" s="67"/>
      <c r="L41" s="67"/>
      <c r="M41" s="67"/>
      <c r="N41" s="67"/>
      <c r="O41" s="67"/>
      <c r="P41" s="67"/>
      <c r="Q41" s="67"/>
      <c r="R41" s="67"/>
      <c r="U41" s="31" t="s">
        <v>22</v>
      </c>
      <c r="V41" s="3"/>
      <c r="W41" s="3"/>
    </row>
    <row r="42" spans="1:33">
      <c r="A42" s="21"/>
      <c r="B42" s="21"/>
      <c r="C42" s="22"/>
      <c r="D42" s="22"/>
      <c r="E42" s="22"/>
      <c r="F42" s="22"/>
      <c r="G42" s="22"/>
      <c r="H42" s="22"/>
      <c r="I42" s="70"/>
      <c r="J42" s="70"/>
      <c r="K42" s="67"/>
      <c r="L42" s="67"/>
      <c r="M42" s="67"/>
      <c r="N42" s="67"/>
      <c r="O42" s="67"/>
      <c r="P42" s="67"/>
      <c r="Q42" s="67"/>
      <c r="R42" s="67"/>
      <c r="U42" s="3"/>
      <c r="Z42" s="64" t="s">
        <v>0</v>
      </c>
      <c r="AE42" s="18" t="s">
        <v>23</v>
      </c>
    </row>
    <row r="43" spans="1:33">
      <c r="A43" s="67"/>
      <c r="B43" s="72"/>
      <c r="C43" s="68">
        <f t="shared" ref="C43:H43" si="14">($V$29-C$29)*$V$34</f>
        <v>0</v>
      </c>
      <c r="D43" s="68">
        <f t="shared" si="14"/>
        <v>2174.6919334972085</v>
      </c>
      <c r="E43" s="68">
        <f t="shared" si="14"/>
        <v>5739.7606769352533</v>
      </c>
      <c r="F43" s="68">
        <f t="shared" si="14"/>
        <v>9304.8294203732985</v>
      </c>
      <c r="G43" s="68">
        <f t="shared" si="14"/>
        <v>12869.898163811342</v>
      </c>
      <c r="H43" s="68">
        <f t="shared" si="14"/>
        <v>16434.966907249389</v>
      </c>
      <c r="I43" s="75" t="s">
        <v>40</v>
      </c>
      <c r="J43" s="68"/>
      <c r="K43" s="68"/>
      <c r="L43" s="68"/>
      <c r="M43" s="68"/>
      <c r="N43" s="68"/>
      <c r="O43" s="68"/>
      <c r="P43" s="68"/>
      <c r="Q43" s="68"/>
      <c r="R43" s="68"/>
      <c r="U43" s="3" t="s">
        <v>2</v>
      </c>
      <c r="V43" s="5" t="s">
        <v>0</v>
      </c>
      <c r="W43" s="5" t="s">
        <v>23</v>
      </c>
      <c r="X43" s="3"/>
    </row>
    <row r="44" spans="1:33">
      <c r="A44" s="67"/>
      <c r="B44" s="3"/>
      <c r="C44" s="69">
        <f>onderMKIdrempel</f>
        <v>5.61</v>
      </c>
      <c r="D44" s="69">
        <f>_xlfn.FLOOR.MATH(C44)</f>
        <v>5</v>
      </c>
      <c r="E44" s="69">
        <f>D44-1</f>
        <v>4</v>
      </c>
      <c r="F44" s="69">
        <f t="shared" ref="F44" si="15">E44-1</f>
        <v>3</v>
      </c>
      <c r="G44" s="69">
        <f t="shared" ref="G44" si="16">F44-1</f>
        <v>2</v>
      </c>
      <c r="H44" s="69">
        <f>G44-1</f>
        <v>1</v>
      </c>
      <c r="I44" s="71">
        <f>onderMKIplafond</f>
        <v>0</v>
      </c>
      <c r="J44" s="71"/>
      <c r="K44" s="71"/>
      <c r="L44" s="71"/>
      <c r="M44" s="71"/>
      <c r="N44" s="71"/>
      <c r="O44" s="71"/>
      <c r="P44" s="71"/>
      <c r="Q44" s="71"/>
      <c r="R44" s="71"/>
      <c r="U44" s="3" t="s">
        <v>9</v>
      </c>
      <c r="V44" s="6">
        <f>onderMKIdrempel</f>
        <v>5.61</v>
      </c>
      <c r="W44" s="28">
        <f>onderCIRCdrempel</f>
        <v>50</v>
      </c>
      <c r="X44" s="3"/>
      <c r="Z44" s="62" t="s">
        <v>0</v>
      </c>
      <c r="AA44" s="61" t="s">
        <v>7</v>
      </c>
      <c r="AB44" s="66" t="s">
        <v>36</v>
      </c>
      <c r="AE44" s="59" t="s">
        <v>37</v>
      </c>
      <c r="AF44" s="59" t="s">
        <v>7</v>
      </c>
      <c r="AG44" s="59" t="s">
        <v>36</v>
      </c>
    </row>
    <row r="45" spans="1:33">
      <c r="A45" s="68">
        <f t="shared" ref="A45:A50" si="17">($B45-$W$33)*$W$34</f>
        <v>-4.1666675360449599E-3</v>
      </c>
      <c r="B45" s="6">
        <f>onderCIRCdrempel</f>
        <v>50</v>
      </c>
      <c r="C45" s="4">
        <f t="shared" ref="C45:H50" si="18">C$28+$A45</f>
        <v>-4.1666675360449599E-3</v>
      </c>
      <c r="D45" s="4">
        <f t="shared" si="18"/>
        <v>2174.6877668296725</v>
      </c>
      <c r="E45" s="4">
        <f t="shared" si="18"/>
        <v>5739.7565102677172</v>
      </c>
      <c r="F45" s="4">
        <f t="shared" si="18"/>
        <v>9304.8252537057633</v>
      </c>
      <c r="G45" s="4">
        <f t="shared" si="18"/>
        <v>12869.893997143807</v>
      </c>
      <c r="H45" s="4">
        <f t="shared" si="18"/>
        <v>16434.962740581854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U45" s="3" t="s">
        <v>10</v>
      </c>
      <c r="V45" s="3">
        <f>onderMKIplafond</f>
        <v>0</v>
      </c>
      <c r="W45" s="7">
        <f>onderCIRCplafond</f>
        <v>98</v>
      </c>
      <c r="X45" s="3"/>
      <c r="Z45" s="62">
        <f>C44</f>
        <v>5.61</v>
      </c>
      <c r="AA45" s="73">
        <f t="shared" ref="AA45:AA50" si="19">($V$33-$Z45)*$V$34</f>
        <v>0</v>
      </c>
      <c r="AB45" s="74">
        <f>AA46-Tabel516243511[[#This Row],[cumulatief]]</f>
        <v>2174.6919334972085</v>
      </c>
      <c r="AE45">
        <f>B45</f>
        <v>50</v>
      </c>
      <c r="AF45" s="58">
        <f>(Tabel413233010[[#This Row],[circ]]-$W$33)*$W$34</f>
        <v>-4.1666675360449599E-3</v>
      </c>
      <c r="AG45" s="60">
        <f>AF46-Tabel413233010[[#This Row],[cumulatief]]</f>
        <v>4166.6675347224036</v>
      </c>
    </row>
    <row r="46" spans="1:33">
      <c r="A46" s="68">
        <f t="shared" si="17"/>
        <v>3333.3298611103864</v>
      </c>
      <c r="B46" s="6">
        <f>B45+8</f>
        <v>58</v>
      </c>
      <c r="C46" s="4">
        <f t="shared" si="18"/>
        <v>3333.3298611103864</v>
      </c>
      <c r="D46" s="4">
        <f t="shared" si="18"/>
        <v>5508.0217946075954</v>
      </c>
      <c r="E46" s="4">
        <f t="shared" si="18"/>
        <v>9073.0905380456388</v>
      </c>
      <c r="F46" s="4">
        <f t="shared" si="18"/>
        <v>12638.159281483684</v>
      </c>
      <c r="G46" s="4">
        <f t="shared" si="18"/>
        <v>16203.228024921729</v>
      </c>
      <c r="H46" s="4">
        <f t="shared" si="18"/>
        <v>19768.296768359774</v>
      </c>
      <c r="I46" s="68"/>
      <c r="J46" s="68"/>
      <c r="K46" s="68"/>
      <c r="L46" s="68"/>
      <c r="M46" s="68"/>
      <c r="N46" s="68"/>
      <c r="O46" s="68"/>
      <c r="P46" s="68"/>
      <c r="Q46" s="68"/>
      <c r="R46" s="68"/>
      <c r="U46" s="3" t="s">
        <v>8</v>
      </c>
      <c r="V46" s="15">
        <f>onderMKIkorting</f>
        <v>20000</v>
      </c>
      <c r="W46" s="15">
        <f>onderMKIkorting</f>
        <v>20000</v>
      </c>
      <c r="X46" s="3"/>
      <c r="Z46" s="62">
        <f>D44</f>
        <v>5</v>
      </c>
      <c r="AA46" s="73">
        <f t="shared" si="19"/>
        <v>2174.6919334972085</v>
      </c>
      <c r="AB46" s="74">
        <f>AA47-Tabel516243511[[#This Row],[cumulatief]]</f>
        <v>3565.0687434380447</v>
      </c>
      <c r="AE46">
        <f>10+AE45</f>
        <v>60</v>
      </c>
      <c r="AF46" s="58">
        <f>(Tabel413233010[[#This Row],[circ]]-$W$33)*$W$34</f>
        <v>4166.6633680548675</v>
      </c>
      <c r="AG46" s="60">
        <f>AF47-Tabel413233010[[#This Row],[cumulatief]]</f>
        <v>4166.6675347224027</v>
      </c>
    </row>
    <row r="47" spans="1:33">
      <c r="A47" s="68">
        <f t="shared" si="17"/>
        <v>7499.9973958327901</v>
      </c>
      <c r="B47" s="6">
        <f t="shared" ref="B47:B50" si="20">B46+10</f>
        <v>68</v>
      </c>
      <c r="C47" s="4">
        <f t="shared" si="18"/>
        <v>7499.9973958327901</v>
      </c>
      <c r="D47" s="4">
        <f t="shared" si="18"/>
        <v>9674.6893293299981</v>
      </c>
      <c r="E47" s="4">
        <f t="shared" si="18"/>
        <v>13239.758072768043</v>
      </c>
      <c r="F47" s="4">
        <f t="shared" si="18"/>
        <v>16804.826816206089</v>
      </c>
      <c r="G47" s="4">
        <f t="shared" si="18"/>
        <v>20369.89555964413</v>
      </c>
      <c r="H47" s="4">
        <f t="shared" si="18"/>
        <v>23934.964303082179</v>
      </c>
      <c r="I47" s="68"/>
      <c r="J47" s="68"/>
      <c r="K47" s="68"/>
      <c r="L47" s="68"/>
      <c r="M47" s="68"/>
      <c r="N47" s="68"/>
      <c r="O47" s="68"/>
      <c r="P47" s="68"/>
      <c r="Q47" s="68"/>
      <c r="R47" s="68"/>
      <c r="U47" s="9" t="s">
        <v>4</v>
      </c>
      <c r="V47" s="11">
        <f>V45+0.00001</f>
        <v>1.0000000000000001E-5</v>
      </c>
      <c r="W47" s="9">
        <f>W45</f>
        <v>98</v>
      </c>
      <c r="X47" s="3"/>
      <c r="Z47" s="62">
        <f>E44</f>
        <v>4</v>
      </c>
      <c r="AA47" s="73">
        <f t="shared" si="19"/>
        <v>5739.7606769352533</v>
      </c>
      <c r="AB47" s="74">
        <f>AA48-Tabel516243511[[#This Row],[cumulatief]]</f>
        <v>3565.0687434380452</v>
      </c>
      <c r="AE47">
        <f t="shared" ref="AE47:AE49" si="21">10+AE46</f>
        <v>70</v>
      </c>
      <c r="AF47" s="58">
        <f>(Tabel413233010[[#This Row],[circ]]-$W$33)*$W$34</f>
        <v>8333.3309027772702</v>
      </c>
      <c r="AG47" s="60">
        <f>AF48-Tabel413233010[[#This Row],[cumulatief]]</f>
        <v>4166.6675347224027</v>
      </c>
    </row>
    <row r="48" spans="1:33">
      <c r="A48" s="68">
        <f t="shared" si="17"/>
        <v>11666.664930555193</v>
      </c>
      <c r="B48" s="6">
        <f t="shared" si="20"/>
        <v>78</v>
      </c>
      <c r="C48" s="4">
        <f t="shared" si="18"/>
        <v>11666.664930555193</v>
      </c>
      <c r="D48" s="4">
        <f t="shared" si="18"/>
        <v>13841.356864052401</v>
      </c>
      <c r="E48" s="4">
        <f t="shared" si="18"/>
        <v>17406.425607490448</v>
      </c>
      <c r="F48" s="4">
        <f t="shared" si="18"/>
        <v>20971.494350928493</v>
      </c>
      <c r="G48" s="4">
        <f t="shared" si="18"/>
        <v>24536.563094366535</v>
      </c>
      <c r="H48" s="4">
        <f t="shared" si="18"/>
        <v>28101.631837804583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U48" s="9" t="s">
        <v>3</v>
      </c>
      <c r="V48" s="10">
        <f>V44</f>
        <v>5.61</v>
      </c>
      <c r="W48" s="36">
        <f>W44+0.00001</f>
        <v>50.000010000000003</v>
      </c>
      <c r="X48" s="3"/>
      <c r="Z48" s="62">
        <f>F44</f>
        <v>3</v>
      </c>
      <c r="AA48" s="73">
        <f t="shared" si="19"/>
        <v>9304.8294203732985</v>
      </c>
      <c r="AB48" s="74">
        <f>AA49-Tabel516243511[[#This Row],[cumulatief]]</f>
        <v>3565.0687434380434</v>
      </c>
      <c r="AE48">
        <f t="shared" si="21"/>
        <v>80</v>
      </c>
      <c r="AF48" s="58">
        <f>(Tabel413233010[[#This Row],[circ]]-$W$33)*$W$34</f>
        <v>12499.998437499673</v>
      </c>
      <c r="AG48" s="60">
        <f>AF49-Tabel413233010[[#This Row],[cumulatief]]</f>
        <v>4166.6675347224027</v>
      </c>
    </row>
    <row r="49" spans="1:33">
      <c r="A49" s="68">
        <f t="shared" si="17"/>
        <v>15833.332465277595</v>
      </c>
      <c r="B49" s="6">
        <f t="shared" si="20"/>
        <v>88</v>
      </c>
      <c r="C49" s="4">
        <f t="shared" si="18"/>
        <v>15833.332465277595</v>
      </c>
      <c r="D49" s="4">
        <f t="shared" si="18"/>
        <v>18008.024398774804</v>
      </c>
      <c r="E49" s="4">
        <f t="shared" si="18"/>
        <v>21573.093142212849</v>
      </c>
      <c r="F49" s="4">
        <f t="shared" si="18"/>
        <v>25138.161885650894</v>
      </c>
      <c r="G49" s="4">
        <f t="shared" si="18"/>
        <v>28703.230629088939</v>
      </c>
      <c r="H49" s="4">
        <f t="shared" si="18"/>
        <v>32268.299372526984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U49" s="24" t="s">
        <v>1</v>
      </c>
      <c r="V49" s="25">
        <f>V46/(V48-V47)</f>
        <v>3565.0687434380447</v>
      </c>
      <c r="W49" s="25">
        <f>W46/(W47-W48)</f>
        <v>416.66675347224032</v>
      </c>
      <c r="X49" s="3"/>
      <c r="Z49" s="62">
        <f>G44</f>
        <v>2</v>
      </c>
      <c r="AA49" s="73">
        <f t="shared" si="19"/>
        <v>12869.898163811342</v>
      </c>
      <c r="AB49" s="74">
        <f>AA50-Tabel516243511[[#This Row],[cumulatief]]</f>
        <v>3565.068743438047</v>
      </c>
      <c r="AE49">
        <f t="shared" si="21"/>
        <v>90</v>
      </c>
      <c r="AF49" s="58">
        <f>(Tabel413233010[[#This Row],[circ]]-$W$33)*$W$34</f>
        <v>16666.665972222076</v>
      </c>
      <c r="AG49" s="60">
        <f>AF50-Tabel413233010[[#This Row],[cumulatief]]</f>
        <v>3333.3340277779243</v>
      </c>
    </row>
    <row r="50" spans="1:33">
      <c r="A50" s="68">
        <f t="shared" si="17"/>
        <v>20000</v>
      </c>
      <c r="B50" s="6">
        <f t="shared" si="20"/>
        <v>98</v>
      </c>
      <c r="C50" s="4">
        <f t="shared" si="18"/>
        <v>20000</v>
      </c>
      <c r="D50" s="4">
        <f t="shared" si="18"/>
        <v>22174.691933497208</v>
      </c>
      <c r="E50" s="4">
        <f t="shared" si="18"/>
        <v>25739.760676935253</v>
      </c>
      <c r="F50" s="4">
        <f t="shared" si="18"/>
        <v>29304.829420373298</v>
      </c>
      <c r="G50" s="4">
        <f t="shared" si="18"/>
        <v>32869.89816381134</v>
      </c>
      <c r="H50" s="4">
        <f t="shared" si="18"/>
        <v>36434.966907249385</v>
      </c>
      <c r="I50" s="68"/>
      <c r="J50" s="68"/>
      <c r="K50" s="68"/>
      <c r="L50" s="68"/>
      <c r="M50" s="68"/>
      <c r="N50" s="68"/>
      <c r="O50" s="68"/>
      <c r="P50" s="68"/>
      <c r="Q50" s="68"/>
      <c r="R50" s="68"/>
      <c r="U50" s="3"/>
      <c r="W50" s="4"/>
      <c r="X50" s="4"/>
      <c r="Z50" s="62">
        <f>H44</f>
        <v>1</v>
      </c>
      <c r="AA50" s="73">
        <f t="shared" si="19"/>
        <v>16434.966907249389</v>
      </c>
      <c r="AB50" s="74">
        <f>AA51-Tabel516243511[[#This Row],[cumulatief]]</f>
        <v>-16434.966907249389</v>
      </c>
      <c r="AE50">
        <f>Tussen9[[#This Row],[circ \ MKI]]</f>
        <v>98</v>
      </c>
      <c r="AF50" s="58">
        <f>(Tabel413233010[[#This Row],[circ]]-$W$33)*$W$34</f>
        <v>20000</v>
      </c>
      <c r="AG50" s="60">
        <f>AF51-Tabel413233010[[#This Row],[cumulatief]]</f>
        <v>-20000</v>
      </c>
    </row>
    <row r="51" spans="1:33">
      <c r="A51" s="67"/>
      <c r="B51" s="76">
        <f>onderCIRCplafond</f>
        <v>98</v>
      </c>
      <c r="C51" s="16"/>
      <c r="D51" s="16"/>
      <c r="E51" s="16"/>
      <c r="F51" s="16"/>
      <c r="G51" s="16"/>
      <c r="I51" s="67"/>
      <c r="J51" s="67"/>
      <c r="K51" s="67"/>
      <c r="L51" s="67"/>
      <c r="M51" s="67"/>
      <c r="N51" s="67"/>
      <c r="O51" s="67"/>
      <c r="P51" s="67"/>
      <c r="Q51" s="67"/>
      <c r="R51" s="67"/>
      <c r="X51" s="4"/>
      <c r="AA51" s="61"/>
      <c r="AB51" s="65"/>
      <c r="AF51" s="58"/>
      <c r="AG51" s="60"/>
    </row>
    <row r="52" spans="1:33">
      <c r="A52" s="67"/>
      <c r="B52" s="75" t="s">
        <v>41</v>
      </c>
      <c r="C52" s="16"/>
      <c r="D52" s="16"/>
      <c r="E52" s="16"/>
      <c r="F52" s="16"/>
      <c r="G52" s="16"/>
      <c r="I52" s="67"/>
      <c r="J52" s="67"/>
      <c r="K52" s="67"/>
      <c r="L52" s="67"/>
      <c r="M52" s="67"/>
      <c r="N52" s="67"/>
      <c r="O52" s="67"/>
      <c r="P52" s="67"/>
      <c r="Q52" s="67"/>
      <c r="R52" s="67"/>
      <c r="X52" s="4"/>
      <c r="AA52" s="61"/>
      <c r="AB52" s="65"/>
      <c r="AF52" s="58"/>
      <c r="AG52" s="60"/>
    </row>
    <row r="53" spans="1:33">
      <c r="A53" s="67"/>
      <c r="B53" s="3"/>
      <c r="C53" s="16"/>
      <c r="D53" s="16"/>
      <c r="E53" s="16"/>
      <c r="F53" s="16"/>
      <c r="G53" s="16"/>
      <c r="I53" s="67"/>
      <c r="J53" s="67"/>
      <c r="K53" s="67"/>
      <c r="L53" s="67"/>
      <c r="M53" s="67"/>
      <c r="N53" s="67"/>
      <c r="O53" s="67"/>
      <c r="P53" s="67"/>
      <c r="Q53" s="67"/>
      <c r="R53" s="67"/>
      <c r="X53" s="4"/>
      <c r="AA53" s="61"/>
      <c r="AB53" s="65"/>
      <c r="AF53" s="58"/>
      <c r="AG53" s="60"/>
    </row>
    <row r="54" spans="1:33">
      <c r="A54" s="67"/>
      <c r="B54" s="31" t="s">
        <v>42</v>
      </c>
      <c r="C54" s="16"/>
      <c r="D54" s="16"/>
      <c r="E54" s="16"/>
      <c r="F54" s="16"/>
      <c r="G54" s="16"/>
      <c r="I54" s="67"/>
      <c r="J54" s="67"/>
      <c r="K54" s="67"/>
      <c r="L54" s="67"/>
      <c r="M54" s="67"/>
      <c r="N54" s="67"/>
      <c r="O54" s="67"/>
      <c r="P54" s="67"/>
      <c r="Q54" s="67"/>
      <c r="R54" s="67"/>
      <c r="U54" s="31" t="s">
        <v>42</v>
      </c>
      <c r="Z54" s="64" t="s">
        <v>42</v>
      </c>
      <c r="AB54" s="65"/>
      <c r="AF54" s="58"/>
      <c r="AG54" s="60"/>
    </row>
    <row r="55" spans="1:33">
      <c r="A55" s="67"/>
      <c r="C55" s="23"/>
      <c r="D55" s="16"/>
      <c r="E55" s="16"/>
      <c r="F55" s="16"/>
      <c r="G55" s="16"/>
      <c r="I55" s="67"/>
      <c r="J55" s="67"/>
      <c r="K55" s="67"/>
      <c r="L55" s="67"/>
      <c r="M55" s="67"/>
      <c r="N55" s="67"/>
      <c r="O55" s="67"/>
      <c r="P55" s="67"/>
      <c r="Q55" s="67"/>
      <c r="R55" s="67"/>
      <c r="AB55" s="65"/>
      <c r="AF55" s="58"/>
      <c r="AG55" s="60"/>
    </row>
    <row r="56" spans="1:33">
      <c r="B56" s="68">
        <f t="shared" ref="B56:G56" si="22">($V$29-B$29)*$V$34</f>
        <v>20000.03565068743</v>
      </c>
      <c r="C56" s="68">
        <f t="shared" si="22"/>
        <v>0</v>
      </c>
      <c r="D56" s="68">
        <f t="shared" si="22"/>
        <v>2174.6919334972085</v>
      </c>
      <c r="E56" s="68">
        <f t="shared" si="22"/>
        <v>5739.7606769352533</v>
      </c>
      <c r="F56" s="68">
        <f t="shared" si="22"/>
        <v>9304.8294203732985</v>
      </c>
      <c r="G56" s="68">
        <f t="shared" si="22"/>
        <v>12869.898163811342</v>
      </c>
      <c r="H56" s="75" t="s">
        <v>40</v>
      </c>
      <c r="I56" s="67"/>
      <c r="U56" t="s">
        <v>2</v>
      </c>
      <c r="V56" t="s">
        <v>16</v>
      </c>
      <c r="X56" s="55"/>
      <c r="Y56" s="3" t="s">
        <v>16</v>
      </c>
      <c r="Z56" t="s">
        <v>5</v>
      </c>
      <c r="AA56" s="65"/>
      <c r="AB56" s="12"/>
      <c r="AD56"/>
      <c r="AE56" s="58"/>
      <c r="AF56" s="60"/>
    </row>
    <row r="57" spans="1:33">
      <c r="B57" s="79">
        <v>10</v>
      </c>
      <c r="C57" s="79">
        <f>B57+1</f>
        <v>11</v>
      </c>
      <c r="D57" s="79">
        <f t="shared" ref="D57:G57" si="23">C57+1</f>
        <v>12</v>
      </c>
      <c r="E57" s="79">
        <f t="shared" si="23"/>
        <v>13</v>
      </c>
      <c r="F57" s="79">
        <f t="shared" si="23"/>
        <v>14</v>
      </c>
      <c r="G57" s="79">
        <f t="shared" si="23"/>
        <v>15</v>
      </c>
      <c r="H57" s="80">
        <f>deklaagGARplafond</f>
        <v>10</v>
      </c>
      <c r="I57" s="70"/>
      <c r="U57" s="83" t="s">
        <v>9</v>
      </c>
      <c r="V57" s="1">
        <f>deklaagGARdrempel</f>
        <v>5</v>
      </c>
      <c r="X57" s="55"/>
      <c r="Y57" s="82">
        <f>B57</f>
        <v>10</v>
      </c>
      <c r="Z57" s="4">
        <f t="shared" ref="Z57:Z62" si="24">($Y57-deklaagGARdrempel)*((deklaagGARkorting/(deklaagGARplafond-deklaagGARdrempel)))</f>
        <v>15000</v>
      </c>
      <c r="AA57" s="56"/>
      <c r="AB57" s="12"/>
      <c r="AD57"/>
    </row>
    <row r="58" spans="1:33">
      <c r="B58" s="81">
        <f t="shared" ref="B58:G58" si="25">(B57-deklaagGARdrempel)*((deklaagGARkorting/(deklaagGARplafond-deklaagGARdrempel)))</f>
        <v>15000</v>
      </c>
      <c r="C58" s="81">
        <f t="shared" si="25"/>
        <v>18000</v>
      </c>
      <c r="D58" s="81">
        <f t="shared" si="25"/>
        <v>21000</v>
      </c>
      <c r="E58" s="81">
        <f t="shared" si="25"/>
        <v>24000</v>
      </c>
      <c r="F58" s="81">
        <f t="shared" si="25"/>
        <v>27000</v>
      </c>
      <c r="G58" s="81">
        <f t="shared" si="25"/>
        <v>30000</v>
      </c>
      <c r="H58" s="68"/>
      <c r="I58" s="75"/>
      <c r="U58" s="84" t="s">
        <v>10</v>
      </c>
      <c r="V58" s="2">
        <f>deklaagGARplafond</f>
        <v>10</v>
      </c>
      <c r="X58" s="55"/>
      <c r="Y58" s="82">
        <f>Y57+1</f>
        <v>11</v>
      </c>
      <c r="Z58" s="4">
        <f t="shared" si="24"/>
        <v>18000</v>
      </c>
      <c r="AA58" s="56"/>
      <c r="AB58" s="12"/>
      <c r="AD58"/>
    </row>
    <row r="59" spans="1:33">
      <c r="I59" s="80"/>
      <c r="U59" s="83" t="s">
        <v>8</v>
      </c>
      <c r="V59" s="85">
        <f>deklaagGARkorting</f>
        <v>15000</v>
      </c>
      <c r="X59" s="55"/>
      <c r="Y59" s="82">
        <f t="shared" ref="Y59:Y62" si="26">Y58+1</f>
        <v>12</v>
      </c>
      <c r="Z59" s="4">
        <f t="shared" si="24"/>
        <v>21000</v>
      </c>
      <c r="AA59" s="56"/>
      <c r="AB59" s="12"/>
      <c r="AD59"/>
    </row>
    <row r="60" spans="1:33">
      <c r="I60" s="68"/>
      <c r="U60" s="86" t="s">
        <v>4</v>
      </c>
      <c r="V60" s="87">
        <f>V58+0.00001</f>
        <v>10.00001</v>
      </c>
      <c r="X60" s="55"/>
      <c r="Y60" s="82">
        <f t="shared" si="26"/>
        <v>13</v>
      </c>
      <c r="Z60" s="4">
        <f t="shared" si="24"/>
        <v>24000</v>
      </c>
      <c r="AA60" s="56"/>
      <c r="AB60" s="12"/>
      <c r="AD60"/>
    </row>
    <row r="61" spans="1:33">
      <c r="B61" s="4"/>
      <c r="C61" s="4"/>
      <c r="D61" s="4"/>
      <c r="E61" s="4"/>
      <c r="F61" s="4"/>
      <c r="G61" s="4"/>
      <c r="H61" s="68"/>
      <c r="I61" s="68"/>
      <c r="U61" s="88" t="s">
        <v>3</v>
      </c>
      <c r="V61" s="89">
        <f>V57</f>
        <v>5</v>
      </c>
      <c r="X61" s="55"/>
      <c r="Y61" s="82">
        <f t="shared" si="26"/>
        <v>14</v>
      </c>
      <c r="Z61" s="4">
        <f t="shared" si="24"/>
        <v>27000</v>
      </c>
      <c r="AA61" s="56"/>
      <c r="AB61" s="12"/>
      <c r="AD61"/>
    </row>
    <row r="62" spans="1:33">
      <c r="B62" s="4"/>
      <c r="C62" s="4"/>
      <c r="D62" s="4"/>
      <c r="E62" s="4"/>
      <c r="F62" s="4"/>
      <c r="G62" s="4"/>
      <c r="H62" s="68"/>
      <c r="I62" s="68"/>
      <c r="U62" s="91" t="s">
        <v>1</v>
      </c>
      <c r="V62" s="90">
        <f>V59/(V60-V61)</f>
        <v>2999.994000012</v>
      </c>
      <c r="X62" s="55"/>
      <c r="Y62" s="82">
        <f t="shared" si="26"/>
        <v>15</v>
      </c>
      <c r="Z62" s="4">
        <f t="shared" si="24"/>
        <v>30000</v>
      </c>
      <c r="AA62" s="56"/>
      <c r="AB62" s="12"/>
      <c r="AD62"/>
    </row>
    <row r="63" spans="1:33">
      <c r="B63" s="4"/>
      <c r="C63" s="4"/>
      <c r="D63" s="4"/>
      <c r="E63" s="4"/>
      <c r="F63" s="4"/>
      <c r="G63" s="4"/>
      <c r="H63" s="68"/>
      <c r="I63" s="68"/>
      <c r="X63" s="55"/>
      <c r="Y63" s="19"/>
      <c r="Z63" s="4"/>
      <c r="AA63" s="56"/>
      <c r="AB63" s="12"/>
      <c r="AD63"/>
    </row>
    <row r="64" spans="1:33">
      <c r="A64" s="67"/>
      <c r="B64" s="31" t="s">
        <v>43</v>
      </c>
      <c r="C64" s="16"/>
      <c r="D64" s="16"/>
      <c r="E64" s="16"/>
      <c r="F64" s="16"/>
      <c r="G64" s="16"/>
      <c r="I64" s="67"/>
      <c r="J64" s="67"/>
      <c r="K64" s="67"/>
      <c r="L64" s="67"/>
      <c r="M64" s="67"/>
      <c r="N64" s="67"/>
      <c r="O64" s="67"/>
      <c r="P64" s="67"/>
      <c r="Q64" s="67"/>
      <c r="R64" s="67"/>
      <c r="U64" s="31" t="s">
        <v>43</v>
      </c>
      <c r="X64" s="55"/>
      <c r="Y64" s="64" t="s">
        <v>43</v>
      </c>
      <c r="Z64" s="12"/>
      <c r="AA64" s="65"/>
      <c r="AB64" s="12"/>
      <c r="AD64"/>
      <c r="AE64" s="58"/>
      <c r="AF64" s="60"/>
    </row>
    <row r="65" spans="1:32">
      <c r="A65" s="67"/>
      <c r="C65" s="23"/>
      <c r="D65" s="16"/>
      <c r="E65" s="16"/>
      <c r="F65" s="16"/>
      <c r="G65" s="16"/>
      <c r="I65" s="67"/>
      <c r="J65" s="67"/>
      <c r="K65" s="67"/>
      <c r="L65" s="67"/>
      <c r="M65" s="67"/>
      <c r="N65" s="67"/>
      <c r="O65" s="67"/>
      <c r="P65" s="67"/>
      <c r="Q65" s="67"/>
      <c r="R65" s="67"/>
      <c r="X65" s="55"/>
      <c r="Y65" s="62"/>
      <c r="Z65" s="12"/>
      <c r="AA65" s="65"/>
      <c r="AB65" s="12"/>
      <c r="AD65"/>
      <c r="AE65" s="58"/>
      <c r="AF65" s="60"/>
    </row>
    <row r="66" spans="1:32">
      <c r="B66" s="68">
        <f t="shared" ref="B66:G66" si="27">($V$29-B$29)*$V$34</f>
        <v>20000.03565068743</v>
      </c>
      <c r="C66" s="68">
        <f t="shared" si="27"/>
        <v>0</v>
      </c>
      <c r="D66" s="68">
        <f t="shared" si="27"/>
        <v>2174.6919334972085</v>
      </c>
      <c r="E66" s="68">
        <f t="shared" si="27"/>
        <v>5739.7606769352533</v>
      </c>
      <c r="F66" s="68">
        <f t="shared" si="27"/>
        <v>9304.8294203732985</v>
      </c>
      <c r="G66" s="68">
        <f t="shared" si="27"/>
        <v>12869.898163811342</v>
      </c>
      <c r="H66" s="75" t="s">
        <v>40</v>
      </c>
      <c r="I66" s="67"/>
      <c r="U66" t="s">
        <v>2</v>
      </c>
      <c r="V66" t="s">
        <v>16</v>
      </c>
      <c r="X66" s="55"/>
      <c r="Y66" s="3" t="s">
        <v>16</v>
      </c>
      <c r="Z66" t="s">
        <v>5</v>
      </c>
      <c r="AA66" s="65"/>
      <c r="AB66" s="12"/>
      <c r="AD66"/>
      <c r="AE66" s="58"/>
      <c r="AF66" s="60"/>
    </row>
    <row r="67" spans="1:32">
      <c r="B67" s="79">
        <v>10</v>
      </c>
      <c r="C67" s="79">
        <f>B67+1</f>
        <v>11</v>
      </c>
      <c r="D67" s="79">
        <f t="shared" ref="D67:G67" si="28">C67+1</f>
        <v>12</v>
      </c>
      <c r="E67" s="79">
        <f t="shared" si="28"/>
        <v>13</v>
      </c>
      <c r="F67" s="79">
        <f t="shared" si="28"/>
        <v>14</v>
      </c>
      <c r="G67" s="79">
        <f t="shared" si="28"/>
        <v>15</v>
      </c>
      <c r="H67" s="80">
        <f>deklaagGARplafond</f>
        <v>10</v>
      </c>
      <c r="I67" s="70"/>
      <c r="U67" s="83" t="s">
        <v>9</v>
      </c>
      <c r="V67" s="1">
        <f>tussenGARdrempel</f>
        <v>10</v>
      </c>
      <c r="X67" s="55"/>
      <c r="Y67" s="82">
        <f>B67</f>
        <v>10</v>
      </c>
      <c r="Z67" s="4">
        <f t="shared" ref="Z67:Z72" si="29">($Y67-deklaagGARdrempel)*((deklaagGARkorting/(deklaagGARplafond-deklaagGARdrempel)))</f>
        <v>15000</v>
      </c>
      <c r="AA67" s="56"/>
      <c r="AB67" s="12"/>
      <c r="AD67"/>
    </row>
    <row r="68" spans="1:32">
      <c r="B68" s="81">
        <f t="shared" ref="B68:G68" si="30">(B67-tussenGARdrempel)*((tussenGARkorting/(tussenGARplafond-tussenGARdrempel)))</f>
        <v>0</v>
      </c>
      <c r="C68" s="81">
        <f t="shared" si="30"/>
        <v>1000</v>
      </c>
      <c r="D68" s="81">
        <f t="shared" si="30"/>
        <v>2000</v>
      </c>
      <c r="E68" s="81">
        <f t="shared" si="30"/>
        <v>3000</v>
      </c>
      <c r="F68" s="81">
        <f t="shared" si="30"/>
        <v>4000</v>
      </c>
      <c r="G68" s="81">
        <f t="shared" si="30"/>
        <v>5000</v>
      </c>
      <c r="H68" s="68"/>
      <c r="I68" s="75"/>
      <c r="U68" s="84" t="s">
        <v>10</v>
      </c>
      <c r="V68" s="2">
        <f>tussenGARplafond</f>
        <v>15</v>
      </c>
      <c r="X68" s="55"/>
      <c r="Y68" s="82">
        <f>Y67+1</f>
        <v>11</v>
      </c>
      <c r="Z68" s="4">
        <f t="shared" si="29"/>
        <v>18000</v>
      </c>
      <c r="AA68" s="56"/>
      <c r="AB68" s="12"/>
      <c r="AD68"/>
    </row>
    <row r="69" spans="1:32">
      <c r="I69" s="80"/>
      <c r="U69" s="83" t="s">
        <v>8</v>
      </c>
      <c r="V69" s="85">
        <f>tussenGARkorting</f>
        <v>5000</v>
      </c>
      <c r="X69" s="55"/>
      <c r="Y69" s="82">
        <f t="shared" ref="Y69:Y72" si="31">Y68+1</f>
        <v>12</v>
      </c>
      <c r="Z69" s="4">
        <f t="shared" si="29"/>
        <v>21000</v>
      </c>
      <c r="AA69" s="56"/>
      <c r="AB69" s="12"/>
      <c r="AD69"/>
    </row>
    <row r="70" spans="1:32">
      <c r="I70" s="68"/>
      <c r="U70" s="86" t="s">
        <v>4</v>
      </c>
      <c r="V70" s="87">
        <f>V68+0.00001</f>
        <v>15.00001</v>
      </c>
      <c r="X70" s="55"/>
      <c r="Y70" s="82">
        <f t="shared" si="31"/>
        <v>13</v>
      </c>
      <c r="Z70" s="4">
        <f t="shared" si="29"/>
        <v>24000</v>
      </c>
      <c r="AA70" s="56"/>
      <c r="AB70" s="12"/>
      <c r="AD70"/>
    </row>
    <row r="71" spans="1:32">
      <c r="B71" s="4"/>
      <c r="C71" s="4"/>
      <c r="D71" s="4"/>
      <c r="E71" s="4"/>
      <c r="F71" s="4"/>
      <c r="G71" s="4"/>
      <c r="H71" s="68"/>
      <c r="I71" s="68"/>
      <c r="U71" s="88" t="s">
        <v>3</v>
      </c>
      <c r="V71" s="89">
        <f>V67</f>
        <v>10</v>
      </c>
      <c r="X71" s="55"/>
      <c r="Y71" s="82">
        <f t="shared" si="31"/>
        <v>14</v>
      </c>
      <c r="Z71" s="4">
        <f t="shared" si="29"/>
        <v>27000</v>
      </c>
      <c r="AA71" s="56"/>
      <c r="AB71" s="12"/>
      <c r="AD71"/>
    </row>
    <row r="72" spans="1:32">
      <c r="B72" s="4"/>
      <c r="C72" s="4"/>
      <c r="D72" s="4"/>
      <c r="E72" s="4"/>
      <c r="F72" s="4"/>
      <c r="G72" s="4"/>
      <c r="H72" s="68"/>
      <c r="I72" s="68"/>
      <c r="U72" s="91" t="s">
        <v>1</v>
      </c>
      <c r="V72" s="90">
        <f>V69/(V71-V70)</f>
        <v>-999.99800000400012</v>
      </c>
      <c r="X72" s="55"/>
      <c r="Y72" s="82">
        <f t="shared" si="31"/>
        <v>15</v>
      </c>
      <c r="Z72" s="4">
        <f t="shared" si="29"/>
        <v>30000</v>
      </c>
      <c r="AA72" s="56"/>
      <c r="AB72" s="12"/>
      <c r="AD72"/>
    </row>
    <row r="73" spans="1:32">
      <c r="X73" s="55"/>
      <c r="Y73" s="19"/>
      <c r="Z73" s="4"/>
      <c r="AA73" s="56"/>
      <c r="AB73" s="12"/>
      <c r="AD73"/>
    </row>
    <row r="74" spans="1:32">
      <c r="A74" s="67"/>
      <c r="B74" s="31" t="s">
        <v>44</v>
      </c>
      <c r="C74" s="16"/>
      <c r="D74" s="16"/>
      <c r="E74" s="16"/>
      <c r="F74" s="16"/>
      <c r="G74" s="16"/>
      <c r="I74" s="67"/>
      <c r="J74" s="67"/>
      <c r="K74" s="67"/>
      <c r="L74" s="67"/>
      <c r="M74" s="67"/>
      <c r="N74" s="67"/>
      <c r="O74" s="67"/>
      <c r="P74" s="67"/>
      <c r="Q74" s="67"/>
      <c r="R74" s="67"/>
      <c r="U74" s="31" t="s">
        <v>44</v>
      </c>
      <c r="X74" s="55"/>
      <c r="Y74" s="64" t="s">
        <v>44</v>
      </c>
      <c r="Z74" s="12"/>
      <c r="AA74" s="65"/>
      <c r="AB74" s="12"/>
      <c r="AD74"/>
      <c r="AE74" s="58"/>
      <c r="AF74" s="60"/>
    </row>
    <row r="75" spans="1:32">
      <c r="A75" s="67"/>
      <c r="C75" s="23"/>
      <c r="D75" s="16"/>
      <c r="E75" s="16"/>
      <c r="F75" s="16"/>
      <c r="G75" s="16"/>
      <c r="I75" s="67"/>
      <c r="J75" s="67"/>
      <c r="K75" s="67"/>
      <c r="L75" s="67"/>
      <c r="M75" s="67"/>
      <c r="N75" s="67"/>
      <c r="O75" s="67"/>
      <c r="P75" s="67"/>
      <c r="Q75" s="67"/>
      <c r="R75" s="67"/>
      <c r="X75" s="55"/>
      <c r="Y75" s="62"/>
      <c r="Z75" s="12"/>
      <c r="AA75" s="65"/>
      <c r="AB75" s="12"/>
      <c r="AD75"/>
      <c r="AE75" s="58"/>
      <c r="AF75" s="60"/>
    </row>
    <row r="76" spans="1:32">
      <c r="B76" s="68">
        <f t="shared" ref="B76:G76" si="32">($V$29-B$29)*$V$34</f>
        <v>20000.03565068743</v>
      </c>
      <c r="C76" s="68">
        <f t="shared" si="32"/>
        <v>0</v>
      </c>
      <c r="D76" s="68">
        <f t="shared" si="32"/>
        <v>2174.6919334972085</v>
      </c>
      <c r="E76" s="68">
        <f t="shared" si="32"/>
        <v>5739.7606769352533</v>
      </c>
      <c r="F76" s="68">
        <f t="shared" si="32"/>
        <v>9304.8294203732985</v>
      </c>
      <c r="G76" s="68">
        <f t="shared" si="32"/>
        <v>12869.898163811342</v>
      </c>
      <c r="H76" s="75" t="s">
        <v>40</v>
      </c>
      <c r="I76" s="67"/>
      <c r="U76" t="s">
        <v>2</v>
      </c>
      <c r="V76" t="s">
        <v>16</v>
      </c>
      <c r="X76" s="55"/>
      <c r="Y76" s="3" t="s">
        <v>16</v>
      </c>
      <c r="Z76" t="s">
        <v>5</v>
      </c>
      <c r="AA76" s="65"/>
      <c r="AB76" s="12"/>
      <c r="AD76"/>
      <c r="AE76" s="58"/>
      <c r="AF76" s="60"/>
    </row>
    <row r="77" spans="1:32">
      <c r="B77" s="79">
        <v>10</v>
      </c>
      <c r="C77" s="79">
        <f>B77+1</f>
        <v>11</v>
      </c>
      <c r="D77" s="79">
        <f t="shared" ref="D77:G77" si="33">C77+1</f>
        <v>12</v>
      </c>
      <c r="E77" s="79">
        <f t="shared" si="33"/>
        <v>13</v>
      </c>
      <c r="F77" s="79">
        <f t="shared" si="33"/>
        <v>14</v>
      </c>
      <c r="G77" s="79">
        <f t="shared" si="33"/>
        <v>15</v>
      </c>
      <c r="H77" s="80">
        <f>deklaagGARplafond</f>
        <v>10</v>
      </c>
      <c r="I77" s="70"/>
      <c r="U77" s="83" t="s">
        <v>9</v>
      </c>
      <c r="V77" s="1">
        <f>onderGARdrempel</f>
        <v>10</v>
      </c>
      <c r="X77" s="55"/>
      <c r="Y77" s="82">
        <f>B77</f>
        <v>10</v>
      </c>
      <c r="Z77" s="4">
        <f t="shared" ref="Z77:Z82" si="34">($Y77-deklaagGARdrempel)*((deklaagGARkorting/(deklaagGARplafond-deklaagGARdrempel)))</f>
        <v>15000</v>
      </c>
      <c r="AA77" s="56"/>
      <c r="AB77" s="12"/>
      <c r="AD77"/>
    </row>
    <row r="78" spans="1:32">
      <c r="B78" s="81">
        <f t="shared" ref="B78:G78" si="35">(B77-onderGARdrempel)*((onderGARkorting/(onderGARplafond-onderGARdrempel)))</f>
        <v>0</v>
      </c>
      <c r="C78" s="81">
        <f t="shared" si="35"/>
        <v>1000</v>
      </c>
      <c r="D78" s="81">
        <f t="shared" si="35"/>
        <v>2000</v>
      </c>
      <c r="E78" s="81">
        <f t="shared" si="35"/>
        <v>3000</v>
      </c>
      <c r="F78" s="81">
        <f t="shared" si="35"/>
        <v>4000</v>
      </c>
      <c r="G78" s="81">
        <f t="shared" si="35"/>
        <v>5000</v>
      </c>
      <c r="H78" s="68"/>
      <c r="I78" s="75"/>
      <c r="U78" s="84" t="s">
        <v>10</v>
      </c>
      <c r="V78" s="2">
        <f>onderGARplafond</f>
        <v>15</v>
      </c>
      <c r="X78" s="55"/>
      <c r="Y78" s="82">
        <f>Y77+1</f>
        <v>11</v>
      </c>
      <c r="Z78" s="4">
        <f t="shared" si="34"/>
        <v>18000</v>
      </c>
      <c r="AA78" s="56"/>
      <c r="AB78" s="12"/>
      <c r="AD78"/>
    </row>
    <row r="79" spans="1:32">
      <c r="I79" s="80"/>
      <c r="U79" s="83" t="s">
        <v>8</v>
      </c>
      <c r="V79" s="85">
        <f>onderGARkorting</f>
        <v>5000</v>
      </c>
      <c r="X79" s="55"/>
      <c r="Y79" s="82">
        <f t="shared" ref="Y79:Y82" si="36">Y78+1</f>
        <v>12</v>
      </c>
      <c r="Z79" s="4">
        <f t="shared" si="34"/>
        <v>21000</v>
      </c>
      <c r="AA79" s="56"/>
      <c r="AB79" s="12"/>
      <c r="AD79"/>
    </row>
    <row r="80" spans="1:32">
      <c r="I80" s="68"/>
      <c r="U80" s="86" t="s">
        <v>4</v>
      </c>
      <c r="V80" s="87">
        <f>V78+0.00001</f>
        <v>15.00001</v>
      </c>
      <c r="X80" s="55"/>
      <c r="Y80" s="82">
        <f t="shared" si="36"/>
        <v>13</v>
      </c>
      <c r="Z80" s="4">
        <f t="shared" si="34"/>
        <v>24000</v>
      </c>
      <c r="AA80" s="56"/>
      <c r="AB80" s="12"/>
      <c r="AD80"/>
    </row>
    <row r="81" spans="2:30">
      <c r="B81" s="4"/>
      <c r="C81" s="4"/>
      <c r="D81" s="4"/>
      <c r="E81" s="4"/>
      <c r="F81" s="4"/>
      <c r="G81" s="4"/>
      <c r="H81" s="68"/>
      <c r="I81" s="68"/>
      <c r="U81" s="88" t="s">
        <v>3</v>
      </c>
      <c r="V81" s="89">
        <f>V77</f>
        <v>10</v>
      </c>
      <c r="X81" s="55"/>
      <c r="Y81" s="82">
        <f t="shared" si="36"/>
        <v>14</v>
      </c>
      <c r="Z81" s="4">
        <f t="shared" si="34"/>
        <v>27000</v>
      </c>
      <c r="AA81" s="56"/>
      <c r="AB81" s="12"/>
      <c r="AD81"/>
    </row>
    <row r="82" spans="2:30">
      <c r="B82" s="4"/>
      <c r="C82" s="4"/>
      <c r="D82" s="4"/>
      <c r="E82" s="4"/>
      <c r="F82" s="4"/>
      <c r="G82" s="4"/>
      <c r="H82" s="68"/>
      <c r="I82" s="68"/>
      <c r="U82" s="91" t="s">
        <v>1</v>
      </c>
      <c r="V82" s="90">
        <f>V79/(V80-V81)</f>
        <v>999.99800000400012</v>
      </c>
      <c r="X82" s="55"/>
      <c r="Y82" s="82">
        <f t="shared" si="36"/>
        <v>15</v>
      </c>
      <c r="Z82" s="4">
        <f t="shared" si="34"/>
        <v>30000</v>
      </c>
      <c r="AA82" s="56"/>
      <c r="AB82" s="12"/>
      <c r="AD82"/>
    </row>
    <row r="83" spans="2:30">
      <c r="X83" s="55"/>
      <c r="Y83" s="19"/>
      <c r="Z83" s="4"/>
      <c r="AA83" s="56"/>
      <c r="AB83" s="12"/>
      <c r="AD83"/>
    </row>
    <row r="84" spans="2:30">
      <c r="E84" s="4"/>
      <c r="X84" s="55"/>
      <c r="Y84" s="19"/>
      <c r="Z84" s="4"/>
      <c r="AA84" s="56"/>
      <c r="AB84" s="12"/>
      <c r="AD84"/>
    </row>
    <row r="85" spans="2:30">
      <c r="E85" s="4"/>
      <c r="X85" s="55"/>
      <c r="Y85" s="19"/>
      <c r="Z85" s="4"/>
      <c r="AA85" s="56"/>
      <c r="AB85" s="12"/>
      <c r="AD85"/>
    </row>
    <row r="86" spans="2:30">
      <c r="X86" s="55"/>
      <c r="Y86" s="19"/>
      <c r="Z86" s="4"/>
      <c r="AA86" s="56"/>
      <c r="AB86" s="12"/>
      <c r="AD86"/>
    </row>
    <row r="87" spans="2:30">
      <c r="Z87" s="19"/>
      <c r="AA87" s="4"/>
    </row>
  </sheetData>
  <phoneticPr fontId="11" type="noConversion"/>
  <conditionalFormatting sqref="C7:R1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:J35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57:Z62 Z23:Z26 Z88:Z1048576 Z1:Z3">
    <cfRule type="cellIs" dxfId="154" priority="38" operator="lessThanOrEqual">
      <formula>0</formula>
    </cfRule>
  </conditionalFormatting>
  <conditionalFormatting sqref="Z29">
    <cfRule type="cellIs" dxfId="153" priority="26" operator="lessThanOrEqual">
      <formula>0</formula>
    </cfRule>
  </conditionalFormatting>
  <conditionalFormatting sqref="Z4:Z5 Z7:Z15">
    <cfRule type="cellIs" dxfId="152" priority="31" operator="lessThanOrEqual">
      <formula>0</formula>
    </cfRule>
  </conditionalFormatting>
  <conditionalFormatting sqref="Z6">
    <cfRule type="cellIs" dxfId="151" priority="30" operator="lessThanOrEqual">
      <formula>0</formula>
    </cfRule>
  </conditionalFormatting>
  <conditionalFormatting sqref="C6:K6 M6:R6">
    <cfRule type="cellIs" dxfId="150" priority="29" operator="lessThanOrEqual">
      <formula>0</formula>
    </cfRule>
  </conditionalFormatting>
  <conditionalFormatting sqref="C29:R29">
    <cfRule type="cellIs" dxfId="149" priority="28" operator="lessThanOrEqual">
      <formula>0</formula>
    </cfRule>
  </conditionalFormatting>
  <conditionalFormatting sqref="Z27:Z28 Z30:Z35">
    <cfRule type="cellIs" dxfId="148" priority="27" operator="lessThanOrEqual">
      <formula>0</formula>
    </cfRule>
  </conditionalFormatting>
  <conditionalFormatting sqref="C45:J50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41">
    <cfRule type="cellIs" dxfId="147" priority="24" operator="lessThanOrEqual">
      <formula>0</formula>
    </cfRule>
  </conditionalFormatting>
  <conditionalFormatting sqref="Z44">
    <cfRule type="cellIs" dxfId="146" priority="21" operator="lessThanOrEqual">
      <formula>0</formula>
    </cfRule>
  </conditionalFormatting>
  <conditionalFormatting sqref="C44:H44 J44:R44">
    <cfRule type="cellIs" dxfId="145" priority="23" operator="lessThanOrEqual">
      <formula>0</formula>
    </cfRule>
  </conditionalFormatting>
  <conditionalFormatting sqref="Z42:Z43 Z45:Z50">
    <cfRule type="cellIs" dxfId="144" priority="22" operator="lessThanOrEqual">
      <formula>0</formula>
    </cfRule>
  </conditionalFormatting>
  <conditionalFormatting sqref="I44">
    <cfRule type="cellIs" dxfId="143" priority="20" operator="lessThanOrEqual">
      <formula>0</formula>
    </cfRule>
  </conditionalFormatting>
  <conditionalFormatting sqref="L6">
    <cfRule type="cellIs" dxfId="142" priority="19" operator="lessThanOrEqual">
      <formula>0</formula>
    </cfRule>
  </conditionalFormatting>
  <conditionalFormatting sqref="B61:I63 I60 H5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7:H57">
    <cfRule type="cellIs" dxfId="141" priority="17" operator="lessThanOrEqual">
      <formula>0</formula>
    </cfRule>
  </conditionalFormatting>
  <conditionalFormatting sqref="I59">
    <cfRule type="cellIs" dxfId="140" priority="16" operator="lessThanOrEqual">
      <formula>0</formula>
    </cfRule>
  </conditionalFormatting>
  <conditionalFormatting sqref="H57">
    <cfRule type="cellIs" dxfId="139" priority="15" operator="lessThanOrEqual">
      <formula>0</formula>
    </cfRule>
  </conditionalFormatting>
  <conditionalFormatting sqref="B58:G58">
    <cfRule type="cellIs" dxfId="138" priority="14" operator="lessThanOrEqual">
      <formula>0</formula>
    </cfRule>
  </conditionalFormatting>
  <conditionalFormatting sqref="Z67:Z72">
    <cfRule type="cellIs" dxfId="137" priority="13" operator="lessThanOrEqual">
      <formula>0</formula>
    </cfRule>
  </conditionalFormatting>
  <conditionalFormatting sqref="B71:I72 I70 H6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7:H67">
    <cfRule type="cellIs" dxfId="136" priority="11" operator="lessThanOrEqual">
      <formula>0</formula>
    </cfRule>
  </conditionalFormatting>
  <conditionalFormatting sqref="I69">
    <cfRule type="cellIs" dxfId="135" priority="10" operator="lessThanOrEqual">
      <formula>0</formula>
    </cfRule>
  </conditionalFormatting>
  <conditionalFormatting sqref="H67">
    <cfRule type="cellIs" dxfId="134" priority="9" operator="lessThanOrEqual">
      <formula>0</formula>
    </cfRule>
  </conditionalFormatting>
  <conditionalFormatting sqref="B68:G68">
    <cfRule type="cellIs" dxfId="133" priority="8" operator="lessThanOrEqual">
      <formula>0</formula>
    </cfRule>
  </conditionalFormatting>
  <conditionalFormatting sqref="Z77:Z82">
    <cfRule type="cellIs" dxfId="132" priority="7" operator="lessThanOrEqual">
      <formula>0</formula>
    </cfRule>
  </conditionalFormatting>
  <conditionalFormatting sqref="B81:I82 I80 H7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:H77">
    <cfRule type="cellIs" dxfId="131" priority="5" operator="lessThanOrEqual">
      <formula>0</formula>
    </cfRule>
  </conditionalFormatting>
  <conditionalFormatting sqref="I79">
    <cfRule type="cellIs" dxfId="130" priority="4" operator="lessThanOrEqual">
      <formula>0</formula>
    </cfRule>
  </conditionalFormatting>
  <conditionalFormatting sqref="H77">
    <cfRule type="cellIs" dxfId="129" priority="3" operator="lessThanOrEqual">
      <formula>0</formula>
    </cfRule>
  </conditionalFormatting>
  <conditionalFormatting sqref="B78:G78">
    <cfRule type="cellIs" dxfId="128" priority="2" operator="lessThanOrEqual">
      <formula>0</formula>
    </cfRule>
  </conditionalFormatting>
  <conditionalFormatting sqref="B58:G58 B68:G68 B78:G7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tableParts count="1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F764-7AF7-43A9-ABF1-8E953E51C59D}">
  <dimension ref="A1:AG75"/>
  <sheetViews>
    <sheetView showGridLines="0" zoomScale="85" zoomScaleNormal="85" workbookViewId="0">
      <selection activeCell="A16" sqref="A16"/>
    </sheetView>
  </sheetViews>
  <sheetFormatPr defaultColWidth="9.1796875" defaultRowHeight="14.5"/>
  <cols>
    <col min="1" max="1" width="19.81640625" style="102" customWidth="1"/>
    <col min="2" max="2" width="20.81640625" style="104" customWidth="1"/>
    <col min="3" max="11" width="18.26953125" style="102" customWidth="1"/>
    <col min="12" max="12" width="16" style="102" customWidth="1"/>
    <col min="13" max="15" width="16" style="105" customWidth="1"/>
    <col min="16" max="16" width="13.81640625" style="102" bestFit="1" customWidth="1"/>
    <col min="17" max="17" width="13.7265625" style="102" bestFit="1" customWidth="1"/>
    <col min="18" max="18" width="21.26953125" style="102" customWidth="1"/>
    <col min="19" max="32" width="11.54296875" style="102" customWidth="1"/>
    <col min="33" max="33" width="11.54296875" style="103" customWidth="1"/>
    <col min="34" max="36" width="11.54296875" style="102" customWidth="1"/>
    <col min="37" max="37" width="9.1796875" style="102" customWidth="1"/>
    <col min="38" max="38" width="10.81640625" style="102" customWidth="1"/>
    <col min="39" max="39" width="14.453125" style="102" customWidth="1"/>
    <col min="40" max="40" width="9.1796875" style="102" customWidth="1"/>
    <col min="41" max="41" width="13.26953125" style="102" customWidth="1"/>
    <col min="42" max="16384" width="9.1796875" style="102"/>
  </cols>
  <sheetData>
    <row r="1" spans="1:19" s="93" customFormat="1" ht="18.5">
      <c r="A1" s="92" t="s">
        <v>110</v>
      </c>
    </row>
    <row r="2" spans="1:19" s="95" customFormat="1" ht="19" thickBot="1">
      <c r="A2" s="94" t="s">
        <v>129</v>
      </c>
      <c r="K2" s="96"/>
      <c r="L2" s="97"/>
      <c r="M2" s="97"/>
      <c r="O2" s="97"/>
      <c r="P2" s="97"/>
      <c r="R2" s="97"/>
      <c r="S2" s="97"/>
    </row>
    <row r="3" spans="1:19" s="95" customFormat="1" ht="33" customHeight="1">
      <c r="B3" s="100"/>
      <c r="E3" s="313"/>
      <c r="F3" s="313"/>
      <c r="G3" s="313"/>
      <c r="H3" s="313"/>
      <c r="I3" s="355" t="s">
        <v>47</v>
      </c>
      <c r="J3" s="356"/>
      <c r="K3" s="357">
        <f>L17+L39+L49+I73</f>
        <v>207000</v>
      </c>
      <c r="L3" s="358"/>
      <c r="M3" s="98"/>
      <c r="O3" s="97"/>
      <c r="P3" s="97"/>
    </row>
    <row r="4" spans="1:19" s="95" customFormat="1" ht="31.5" customHeight="1" thickBot="1">
      <c r="A4" s="102" t="s">
        <v>48</v>
      </c>
      <c r="B4" s="359" t="s">
        <v>73</v>
      </c>
      <c r="C4" s="359"/>
      <c r="D4" s="359"/>
      <c r="E4" s="321"/>
      <c r="F4" s="321"/>
      <c r="G4" s="321"/>
      <c r="H4" s="321"/>
      <c r="I4" s="360" t="s">
        <v>49</v>
      </c>
      <c r="J4" s="361"/>
      <c r="K4" s="362">
        <f>L18+L40+L50+I74</f>
        <v>275000</v>
      </c>
      <c r="L4" s="363"/>
      <c r="M4" s="98"/>
      <c r="O4" s="97"/>
      <c r="P4" s="97"/>
    </row>
    <row r="5" spans="1:19" s="95" customFormat="1" ht="15" customHeight="1">
      <c r="A5" s="102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98"/>
      <c r="R5" s="97"/>
      <c r="S5" s="97"/>
    </row>
    <row r="6" spans="1:19" s="95" customFormat="1" ht="42.75" customHeight="1" thickBot="1">
      <c r="A6" s="209" t="s">
        <v>124</v>
      </c>
      <c r="B6" s="209"/>
      <c r="C6" s="209"/>
      <c r="D6" s="210"/>
      <c r="E6" s="210"/>
      <c r="F6" s="210"/>
      <c r="G6" s="210"/>
      <c r="H6" s="210"/>
      <c r="I6" s="210"/>
      <c r="J6" s="210"/>
      <c r="K6" s="210"/>
      <c r="L6" s="209"/>
    </row>
    <row r="7" spans="1:19" s="99" customFormat="1" ht="58.5" thickBot="1">
      <c r="A7" s="211" t="s">
        <v>82</v>
      </c>
      <c r="B7" s="212" t="s">
        <v>83</v>
      </c>
      <c r="C7" s="213" t="s">
        <v>84</v>
      </c>
      <c r="D7" s="277" t="s">
        <v>111</v>
      </c>
      <c r="E7" s="212" t="s">
        <v>112</v>
      </c>
      <c r="F7" s="322" t="s">
        <v>113</v>
      </c>
      <c r="G7" s="212" t="s">
        <v>114</v>
      </c>
      <c r="H7" s="322" t="s">
        <v>115</v>
      </c>
      <c r="I7" s="214" t="s">
        <v>116</v>
      </c>
      <c r="J7" s="323" t="s">
        <v>117</v>
      </c>
      <c r="K7" s="214" t="s">
        <v>118</v>
      </c>
      <c r="L7" s="324" t="s">
        <v>77</v>
      </c>
    </row>
    <row r="8" spans="1:19" s="95" customFormat="1" ht="15" customHeight="1">
      <c r="A8" s="216" t="s">
        <v>85</v>
      </c>
      <c r="B8" s="217" t="s">
        <v>86</v>
      </c>
      <c r="C8" s="218">
        <v>10</v>
      </c>
      <c r="D8" s="288">
        <f>$C8*E8</f>
        <v>0</v>
      </c>
      <c r="E8" s="325"/>
      <c r="F8" s="288">
        <f>$C8*G8</f>
        <v>20</v>
      </c>
      <c r="G8" s="325">
        <v>2</v>
      </c>
      <c r="H8" s="288">
        <f>$C8*I8</f>
        <v>20</v>
      </c>
      <c r="I8" s="261">
        <v>2</v>
      </c>
      <c r="J8" s="290">
        <f>$C8*K8</f>
        <v>20</v>
      </c>
      <c r="K8" s="261">
        <v>2</v>
      </c>
      <c r="L8" s="219"/>
    </row>
    <row r="9" spans="1:19" s="95" customFormat="1" ht="15" customHeight="1">
      <c r="A9" s="220" t="s">
        <v>85</v>
      </c>
      <c r="B9" s="221" t="s">
        <v>87</v>
      </c>
      <c r="C9" s="222">
        <v>10</v>
      </c>
      <c r="D9" s="187">
        <f t="shared" ref="D9:D15" si="0">$C9*E9</f>
        <v>0</v>
      </c>
      <c r="E9" s="326"/>
      <c r="F9" s="187">
        <f>$C9*G9</f>
        <v>0</v>
      </c>
      <c r="G9" s="326"/>
      <c r="H9" s="187">
        <f t="shared" ref="H9:H15" si="1">$C9*I9</f>
        <v>0</v>
      </c>
      <c r="I9" s="223"/>
      <c r="J9" s="306">
        <f t="shared" ref="J9:J15" si="2">$C9*K9</f>
        <v>0</v>
      </c>
      <c r="K9" s="223"/>
      <c r="L9" s="219"/>
    </row>
    <row r="10" spans="1:19" s="95" customFormat="1">
      <c r="A10" s="224" t="s">
        <v>88</v>
      </c>
      <c r="B10" s="225" t="s">
        <v>89</v>
      </c>
      <c r="C10" s="226">
        <v>6</v>
      </c>
      <c r="D10" s="189">
        <f t="shared" si="0"/>
        <v>0</v>
      </c>
      <c r="E10" s="327"/>
      <c r="F10" s="189">
        <f>$C10*G10</f>
        <v>0</v>
      </c>
      <c r="G10" s="327"/>
      <c r="H10" s="189">
        <f t="shared" si="1"/>
        <v>0</v>
      </c>
      <c r="I10" s="227"/>
      <c r="J10" s="308">
        <f t="shared" si="2"/>
        <v>0</v>
      </c>
      <c r="K10" s="328"/>
      <c r="L10" s="219"/>
    </row>
    <row r="11" spans="1:19" s="95" customFormat="1">
      <c r="A11" s="228" t="s">
        <v>126</v>
      </c>
      <c r="B11" s="229" t="s">
        <v>89</v>
      </c>
      <c r="C11" s="230">
        <v>4</v>
      </c>
      <c r="D11" s="191">
        <f t="shared" si="0"/>
        <v>0</v>
      </c>
      <c r="E11" s="329"/>
      <c r="F11" s="191">
        <f>$C11*G11</f>
        <v>0</v>
      </c>
      <c r="G11" s="329"/>
      <c r="H11" s="191">
        <f t="shared" si="1"/>
        <v>0</v>
      </c>
      <c r="I11" s="231"/>
      <c r="J11" s="292">
        <f t="shared" si="2"/>
        <v>0</v>
      </c>
      <c r="K11" s="330"/>
      <c r="L11" s="219"/>
    </row>
    <row r="12" spans="1:19" s="95" customFormat="1" ht="15" customHeight="1">
      <c r="A12" s="232" t="s">
        <v>127</v>
      </c>
      <c r="B12" s="233" t="s">
        <v>89</v>
      </c>
      <c r="C12" s="234">
        <v>2</v>
      </c>
      <c r="D12" s="193">
        <f t="shared" si="0"/>
        <v>0</v>
      </c>
      <c r="E12" s="331"/>
      <c r="F12" s="193">
        <f t="shared" ref="F12" si="3">$C12*G12</f>
        <v>0</v>
      </c>
      <c r="G12" s="331"/>
      <c r="H12" s="193">
        <f t="shared" si="1"/>
        <v>0</v>
      </c>
      <c r="I12" s="235"/>
      <c r="J12" s="311">
        <f t="shared" si="2"/>
        <v>0</v>
      </c>
      <c r="K12" s="332"/>
      <c r="L12" s="219"/>
      <c r="M12" s="236"/>
    </row>
    <row r="13" spans="1:19" s="95" customFormat="1" ht="15" customHeight="1">
      <c r="A13" s="237" t="s">
        <v>88</v>
      </c>
      <c r="B13" s="238" t="s">
        <v>90</v>
      </c>
      <c r="C13" s="239">
        <v>4</v>
      </c>
      <c r="D13" s="195">
        <f t="shared" si="0"/>
        <v>0</v>
      </c>
      <c r="E13" s="333"/>
      <c r="F13" s="195">
        <f>$C13*G13</f>
        <v>0</v>
      </c>
      <c r="G13" s="333"/>
      <c r="H13" s="195">
        <f t="shared" si="1"/>
        <v>0</v>
      </c>
      <c r="I13" s="240"/>
      <c r="J13" s="307">
        <f t="shared" si="2"/>
        <v>0</v>
      </c>
      <c r="K13" s="240"/>
      <c r="L13" s="219"/>
      <c r="M13" s="236"/>
    </row>
    <row r="14" spans="1:19" s="95" customFormat="1" ht="15" customHeight="1">
      <c r="A14" s="228" t="s">
        <v>126</v>
      </c>
      <c r="B14" s="229" t="s">
        <v>90</v>
      </c>
      <c r="C14" s="230">
        <v>0</v>
      </c>
      <c r="D14" s="191">
        <f t="shared" si="0"/>
        <v>0</v>
      </c>
      <c r="E14" s="329"/>
      <c r="F14" s="191">
        <f>$C14*G14</f>
        <v>0</v>
      </c>
      <c r="G14" s="329"/>
      <c r="H14" s="191">
        <f t="shared" si="1"/>
        <v>0</v>
      </c>
      <c r="I14" s="231"/>
      <c r="J14" s="292">
        <f t="shared" si="2"/>
        <v>0</v>
      </c>
      <c r="K14" s="231"/>
      <c r="L14" s="219"/>
      <c r="M14" s="236"/>
    </row>
    <row r="15" spans="1:19" s="95" customFormat="1" ht="15" customHeight="1" thickBot="1">
      <c r="A15" s="241" t="s">
        <v>128</v>
      </c>
      <c r="B15" s="242" t="s">
        <v>90</v>
      </c>
      <c r="C15" s="243">
        <v>0</v>
      </c>
      <c r="D15" s="197">
        <f t="shared" si="0"/>
        <v>0</v>
      </c>
      <c r="E15" s="334">
        <v>2</v>
      </c>
      <c r="F15" s="197">
        <f>$C15*G15</f>
        <v>0</v>
      </c>
      <c r="G15" s="334"/>
      <c r="H15" s="197">
        <f t="shared" si="1"/>
        <v>0</v>
      </c>
      <c r="I15" s="244"/>
      <c r="J15" s="294">
        <f t="shared" si="2"/>
        <v>0</v>
      </c>
      <c r="K15" s="244"/>
      <c r="L15" s="219"/>
    </row>
    <row r="16" spans="1:19" s="248" customFormat="1">
      <c r="A16" s="245"/>
      <c r="B16" s="246"/>
      <c r="C16" s="247" t="s">
        <v>91</v>
      </c>
      <c r="D16" s="199">
        <f t="shared" ref="D16:K16" si="4">SUM(D8:D15)</f>
        <v>0</v>
      </c>
      <c r="E16" s="295">
        <f t="shared" si="4"/>
        <v>2</v>
      </c>
      <c r="F16" s="199">
        <f t="shared" si="4"/>
        <v>20</v>
      </c>
      <c r="G16" s="295">
        <f t="shared" si="4"/>
        <v>2</v>
      </c>
      <c r="H16" s="199">
        <f t="shared" si="4"/>
        <v>20</v>
      </c>
      <c r="I16" s="295">
        <f t="shared" si="4"/>
        <v>2</v>
      </c>
      <c r="J16" s="199">
        <f t="shared" si="4"/>
        <v>20</v>
      </c>
      <c r="K16" s="205">
        <f t="shared" si="4"/>
        <v>2</v>
      </c>
      <c r="L16" s="219"/>
    </row>
    <row r="17" spans="1:15" s="248" customFormat="1" ht="21">
      <c r="A17" s="249"/>
      <c r="B17" s="250"/>
      <c r="C17" s="251" t="s">
        <v>92</v>
      </c>
      <c r="D17" s="335"/>
      <c r="E17" s="296">
        <f>IFERROR(((D16/E16)/10)*E18,0)</f>
        <v>0</v>
      </c>
      <c r="F17" s="336"/>
      <c r="G17" s="296">
        <f>IFERROR(((F16/G16)/10)*G18,0)</f>
        <v>35000</v>
      </c>
      <c r="H17" s="336"/>
      <c r="I17" s="296">
        <f>IFERROR(((H16/I16)/10)*I18,0)</f>
        <v>25000</v>
      </c>
      <c r="J17" s="336"/>
      <c r="K17" s="206">
        <f>IFERROR(((J16/K16)/10)*K18,0)</f>
        <v>8000</v>
      </c>
      <c r="L17" s="253">
        <f>SUM(D17:K17)</f>
        <v>68000</v>
      </c>
    </row>
    <row r="18" spans="1:15" s="95" customFormat="1" ht="21.5" thickBot="1">
      <c r="A18" s="254"/>
      <c r="B18" s="255"/>
      <c r="C18" s="256" t="s">
        <v>93</v>
      </c>
      <c r="D18" s="337"/>
      <c r="E18" s="297">
        <v>47000</v>
      </c>
      <c r="F18" s="338"/>
      <c r="G18" s="297">
        <v>35000</v>
      </c>
      <c r="H18" s="338"/>
      <c r="I18" s="297">
        <v>25000</v>
      </c>
      <c r="J18" s="338"/>
      <c r="K18" s="207">
        <v>8000</v>
      </c>
      <c r="L18" s="258">
        <f>SUM(E18:K18)</f>
        <v>115000</v>
      </c>
    </row>
    <row r="19" spans="1:15" s="95" customFormat="1">
      <c r="D19" s="236"/>
      <c r="E19" s="236"/>
      <c r="F19" s="236"/>
      <c r="G19" s="236"/>
      <c r="H19" s="236"/>
      <c r="I19" s="236"/>
      <c r="J19" s="236"/>
      <c r="K19" s="97"/>
      <c r="L19" s="236"/>
      <c r="M19" s="97"/>
      <c r="N19" s="236"/>
      <c r="O19" s="97"/>
    </row>
    <row r="20" spans="1:15" s="95" customFormat="1">
      <c r="C20" s="200"/>
      <c r="D20" s="236"/>
      <c r="E20" s="236"/>
      <c r="F20" s="236"/>
      <c r="G20" s="236"/>
      <c r="H20" s="236"/>
      <c r="I20" s="236"/>
      <c r="J20" s="236"/>
      <c r="K20" s="97"/>
      <c r="L20" s="236"/>
      <c r="M20" s="97"/>
      <c r="O20" s="97"/>
    </row>
    <row r="21" spans="1:15" s="99" customFormat="1" ht="42.75" customHeight="1" thickBot="1">
      <c r="A21" s="209" t="s">
        <v>125</v>
      </c>
      <c r="B21" s="209"/>
      <c r="C21" s="209"/>
      <c r="D21" s="210"/>
      <c r="E21" s="210"/>
      <c r="F21" s="210"/>
      <c r="G21" s="210"/>
      <c r="H21" s="210"/>
      <c r="I21" s="210"/>
      <c r="J21" s="210"/>
      <c r="K21" s="210"/>
      <c r="L21" s="209"/>
    </row>
    <row r="22" spans="1:15" s="95" customFormat="1" ht="44" thickBot="1">
      <c r="A22" s="211" t="s">
        <v>94</v>
      </c>
      <c r="B22" s="212" t="s">
        <v>83</v>
      </c>
      <c r="C22" s="213" t="s">
        <v>84</v>
      </c>
      <c r="D22" s="109" t="s">
        <v>111</v>
      </c>
      <c r="E22" s="212" t="s">
        <v>119</v>
      </c>
      <c r="F22" s="322" t="s">
        <v>113</v>
      </c>
      <c r="G22" s="212" t="s">
        <v>120</v>
      </c>
      <c r="H22" s="322" t="s">
        <v>115</v>
      </c>
      <c r="I22" s="212" t="s">
        <v>121</v>
      </c>
      <c r="J22" s="353" t="s">
        <v>122</v>
      </c>
      <c r="K22" s="354"/>
      <c r="L22" s="215" t="s">
        <v>77</v>
      </c>
    </row>
    <row r="23" spans="1:15" s="95" customFormat="1" ht="15" customHeight="1">
      <c r="A23" s="259" t="s">
        <v>95</v>
      </c>
      <c r="B23" s="217" t="s">
        <v>86</v>
      </c>
      <c r="C23" s="260">
        <v>10</v>
      </c>
      <c r="D23" s="202">
        <f>$C23*E23</f>
        <v>0</v>
      </c>
      <c r="E23" s="325"/>
      <c r="F23" s="202">
        <f>$C23*G23</f>
        <v>20</v>
      </c>
      <c r="G23" s="325">
        <v>2</v>
      </c>
      <c r="H23" s="202">
        <f>$C23*I23</f>
        <v>20</v>
      </c>
      <c r="I23" s="325">
        <v>2</v>
      </c>
      <c r="J23" s="342" t="s">
        <v>123</v>
      </c>
      <c r="K23" s="343"/>
      <c r="L23" s="348"/>
    </row>
    <row r="24" spans="1:15" s="95" customFormat="1" ht="15" customHeight="1">
      <c r="A24" s="220" t="s">
        <v>109</v>
      </c>
      <c r="B24" s="263" t="s">
        <v>87</v>
      </c>
      <c r="C24" s="264">
        <v>10</v>
      </c>
      <c r="D24" s="298">
        <f t="shared" ref="D24:D37" si="5">$C24*E24</f>
        <v>0</v>
      </c>
      <c r="E24" s="326"/>
      <c r="F24" s="298">
        <f t="shared" ref="F24:F37" si="6">$C24*G24</f>
        <v>0</v>
      </c>
      <c r="G24" s="326"/>
      <c r="H24" s="298">
        <f t="shared" ref="H24:H37" si="7">$C24*I24</f>
        <v>0</v>
      </c>
      <c r="I24" s="326"/>
      <c r="J24" s="344"/>
      <c r="K24" s="345"/>
      <c r="L24" s="349"/>
    </row>
    <row r="25" spans="1:15" s="95" customFormat="1" ht="15" customHeight="1">
      <c r="A25" s="265" t="s">
        <v>96</v>
      </c>
      <c r="B25" s="266" t="s">
        <v>89</v>
      </c>
      <c r="C25" s="267">
        <v>7</v>
      </c>
      <c r="D25" s="203">
        <f t="shared" si="5"/>
        <v>14</v>
      </c>
      <c r="E25" s="339">
        <v>2</v>
      </c>
      <c r="F25" s="203">
        <f t="shared" si="6"/>
        <v>0</v>
      </c>
      <c r="G25" s="339"/>
      <c r="H25" s="203">
        <f t="shared" si="7"/>
        <v>0</v>
      </c>
      <c r="I25" s="339"/>
      <c r="J25" s="344"/>
      <c r="K25" s="345"/>
      <c r="L25" s="349"/>
      <c r="M25" s="236"/>
    </row>
    <row r="26" spans="1:15" s="95" customFormat="1" ht="15" customHeight="1">
      <c r="A26" s="268" t="s">
        <v>97</v>
      </c>
      <c r="B26" s="225" t="s">
        <v>98</v>
      </c>
      <c r="C26" s="269">
        <v>5.5</v>
      </c>
      <c r="D26" s="301">
        <f t="shared" si="5"/>
        <v>0</v>
      </c>
      <c r="E26" s="327"/>
      <c r="F26" s="301">
        <f t="shared" si="6"/>
        <v>0</v>
      </c>
      <c r="G26" s="327"/>
      <c r="H26" s="301">
        <f t="shared" si="7"/>
        <v>0</v>
      </c>
      <c r="I26" s="327"/>
      <c r="J26" s="344"/>
      <c r="K26" s="345"/>
      <c r="L26" s="349"/>
      <c r="M26" s="236"/>
    </row>
    <row r="27" spans="1:15" s="95" customFormat="1" ht="15" customHeight="1">
      <c r="A27" s="220" t="s">
        <v>99</v>
      </c>
      <c r="B27" s="229" t="s">
        <v>100</v>
      </c>
      <c r="C27" s="270">
        <v>4.5</v>
      </c>
      <c r="D27" s="303">
        <f t="shared" si="5"/>
        <v>0</v>
      </c>
      <c r="E27" s="329"/>
      <c r="F27" s="303">
        <f t="shared" si="6"/>
        <v>0</v>
      </c>
      <c r="G27" s="329"/>
      <c r="H27" s="303">
        <f t="shared" si="7"/>
        <v>0</v>
      </c>
      <c r="I27" s="329"/>
      <c r="J27" s="344"/>
      <c r="K27" s="345"/>
      <c r="L27" s="349"/>
    </row>
    <row r="28" spans="1:15" s="95" customFormat="1" ht="15" customHeight="1">
      <c r="A28" s="220"/>
      <c r="B28" s="229" t="s">
        <v>101</v>
      </c>
      <c r="C28" s="270">
        <v>4.5</v>
      </c>
      <c r="D28" s="303">
        <f t="shared" si="5"/>
        <v>0</v>
      </c>
      <c r="E28" s="329"/>
      <c r="F28" s="303">
        <f t="shared" si="6"/>
        <v>0</v>
      </c>
      <c r="G28" s="329"/>
      <c r="H28" s="303">
        <f t="shared" si="7"/>
        <v>0</v>
      </c>
      <c r="I28" s="329"/>
      <c r="J28" s="344"/>
      <c r="K28" s="345"/>
      <c r="L28" s="349"/>
    </row>
    <row r="29" spans="1:15" s="95" customFormat="1" ht="15" customHeight="1">
      <c r="A29" s="271"/>
      <c r="B29" s="233" t="s">
        <v>102</v>
      </c>
      <c r="C29" s="272">
        <v>4</v>
      </c>
      <c r="D29" s="298">
        <f t="shared" si="5"/>
        <v>0</v>
      </c>
      <c r="E29" s="331"/>
      <c r="F29" s="298">
        <f t="shared" si="6"/>
        <v>0</v>
      </c>
      <c r="G29" s="331"/>
      <c r="H29" s="298">
        <f t="shared" si="7"/>
        <v>0</v>
      </c>
      <c r="I29" s="331"/>
      <c r="J29" s="344"/>
      <c r="K29" s="345"/>
      <c r="L29" s="349"/>
    </row>
    <row r="30" spans="1:15" s="95" customFormat="1" ht="15" customHeight="1">
      <c r="A30" s="268" t="s">
        <v>97</v>
      </c>
      <c r="B30" s="225" t="s">
        <v>98</v>
      </c>
      <c r="C30" s="269">
        <v>3.5</v>
      </c>
      <c r="D30" s="301">
        <f t="shared" si="5"/>
        <v>0</v>
      </c>
      <c r="E30" s="327"/>
      <c r="F30" s="301">
        <f t="shared" si="6"/>
        <v>0</v>
      </c>
      <c r="G30" s="327"/>
      <c r="H30" s="301">
        <f t="shared" si="7"/>
        <v>0</v>
      </c>
      <c r="I30" s="327"/>
      <c r="J30" s="344"/>
      <c r="K30" s="345"/>
      <c r="L30" s="349"/>
    </row>
    <row r="31" spans="1:15" s="95" customFormat="1" ht="15" customHeight="1">
      <c r="A31" s="220" t="s">
        <v>103</v>
      </c>
      <c r="B31" s="229" t="s">
        <v>100</v>
      </c>
      <c r="C31" s="270">
        <v>2.5</v>
      </c>
      <c r="D31" s="303">
        <f t="shared" si="5"/>
        <v>0</v>
      </c>
      <c r="E31" s="329"/>
      <c r="F31" s="303">
        <f t="shared" si="6"/>
        <v>0</v>
      </c>
      <c r="G31" s="329"/>
      <c r="H31" s="303">
        <f t="shared" si="7"/>
        <v>0</v>
      </c>
      <c r="I31" s="329"/>
      <c r="J31" s="344"/>
      <c r="K31" s="345"/>
      <c r="L31" s="349"/>
    </row>
    <row r="32" spans="1:15" s="95" customFormat="1" ht="15" customHeight="1">
      <c r="A32" s="220"/>
      <c r="B32" s="229" t="s">
        <v>101</v>
      </c>
      <c r="C32" s="270">
        <v>2.5</v>
      </c>
      <c r="D32" s="303">
        <f t="shared" si="5"/>
        <v>0</v>
      </c>
      <c r="E32" s="329"/>
      <c r="F32" s="303">
        <f t="shared" si="6"/>
        <v>0</v>
      </c>
      <c r="G32" s="329"/>
      <c r="H32" s="303">
        <f t="shared" si="7"/>
        <v>0</v>
      </c>
      <c r="I32" s="329"/>
      <c r="J32" s="344"/>
      <c r="K32" s="345"/>
      <c r="L32" s="349"/>
    </row>
    <row r="33" spans="1:18" s="95" customFormat="1" ht="15" customHeight="1">
      <c r="A33" s="271"/>
      <c r="B33" s="233" t="s">
        <v>102</v>
      </c>
      <c r="C33" s="272">
        <v>2</v>
      </c>
      <c r="D33" s="298">
        <f t="shared" si="5"/>
        <v>0</v>
      </c>
      <c r="E33" s="331"/>
      <c r="F33" s="298">
        <f t="shared" si="6"/>
        <v>0</v>
      </c>
      <c r="G33" s="331"/>
      <c r="H33" s="298">
        <f t="shared" si="7"/>
        <v>0</v>
      </c>
      <c r="I33" s="331"/>
      <c r="J33" s="344"/>
      <c r="K33" s="345"/>
      <c r="L33" s="349"/>
    </row>
    <row r="34" spans="1:18" s="95" customFormat="1" ht="15" customHeight="1">
      <c r="A34" s="220" t="s">
        <v>104</v>
      </c>
      <c r="B34" s="238" t="s">
        <v>98</v>
      </c>
      <c r="C34" s="273">
        <v>2</v>
      </c>
      <c r="D34" s="301">
        <f t="shared" si="5"/>
        <v>0</v>
      </c>
      <c r="E34" s="333"/>
      <c r="F34" s="301">
        <f t="shared" si="6"/>
        <v>0</v>
      </c>
      <c r="G34" s="333"/>
      <c r="H34" s="301">
        <f t="shared" si="7"/>
        <v>0</v>
      </c>
      <c r="I34" s="333"/>
      <c r="J34" s="344"/>
      <c r="K34" s="345"/>
      <c r="L34" s="349"/>
    </row>
    <row r="35" spans="1:18" s="95" customFormat="1" ht="15" customHeight="1">
      <c r="A35" s="220"/>
      <c r="B35" s="229" t="s">
        <v>100</v>
      </c>
      <c r="C35" s="270">
        <v>0.5</v>
      </c>
      <c r="D35" s="303">
        <f t="shared" si="5"/>
        <v>0</v>
      </c>
      <c r="E35" s="329"/>
      <c r="F35" s="303">
        <f t="shared" si="6"/>
        <v>0</v>
      </c>
      <c r="G35" s="329"/>
      <c r="H35" s="303">
        <f t="shared" si="7"/>
        <v>0</v>
      </c>
      <c r="I35" s="329"/>
      <c r="J35" s="344"/>
      <c r="K35" s="345"/>
      <c r="L35" s="349"/>
    </row>
    <row r="36" spans="1:18" s="95" customFormat="1" ht="15" customHeight="1">
      <c r="A36" s="220"/>
      <c r="B36" s="229" t="s">
        <v>101</v>
      </c>
      <c r="C36" s="270">
        <v>0.5</v>
      </c>
      <c r="D36" s="303">
        <f t="shared" si="5"/>
        <v>0</v>
      </c>
      <c r="E36" s="329"/>
      <c r="F36" s="303">
        <f t="shared" si="6"/>
        <v>0</v>
      </c>
      <c r="G36" s="329"/>
      <c r="H36" s="303">
        <f t="shared" si="7"/>
        <v>0</v>
      </c>
      <c r="I36" s="329"/>
      <c r="J36" s="344"/>
      <c r="K36" s="345"/>
      <c r="L36" s="349"/>
    </row>
    <row r="37" spans="1:18" s="95" customFormat="1" ht="15" customHeight="1" thickBot="1">
      <c r="A37" s="274"/>
      <c r="B37" s="263" t="s">
        <v>102</v>
      </c>
      <c r="C37" s="264">
        <v>0</v>
      </c>
      <c r="D37" s="204">
        <f t="shared" si="5"/>
        <v>0</v>
      </c>
      <c r="E37" s="334"/>
      <c r="F37" s="204">
        <f t="shared" si="6"/>
        <v>0</v>
      </c>
      <c r="G37" s="334"/>
      <c r="H37" s="204">
        <f t="shared" si="7"/>
        <v>0</v>
      </c>
      <c r="I37" s="334"/>
      <c r="J37" s="344"/>
      <c r="K37" s="345"/>
      <c r="L37" s="349"/>
    </row>
    <row r="38" spans="1:18" s="95" customFormat="1">
      <c r="A38" s="245"/>
      <c r="B38" s="246"/>
      <c r="C38" s="247" t="s">
        <v>91</v>
      </c>
      <c r="D38" s="201">
        <f>SUM(D23:D37)</f>
        <v>14</v>
      </c>
      <c r="E38" s="295">
        <f>SUM(E23:E37)</f>
        <v>2</v>
      </c>
      <c r="F38" s="199">
        <f t="shared" ref="F38:I38" si="8">SUM(F23:F37)</f>
        <v>20</v>
      </c>
      <c r="G38" s="295">
        <f t="shared" si="8"/>
        <v>2</v>
      </c>
      <c r="H38" s="199">
        <f t="shared" si="8"/>
        <v>20</v>
      </c>
      <c r="I38" s="295">
        <f t="shared" si="8"/>
        <v>2</v>
      </c>
      <c r="J38" s="344"/>
      <c r="K38" s="345"/>
      <c r="L38" s="349"/>
    </row>
    <row r="39" spans="1:18" s="248" customFormat="1" ht="21" customHeight="1">
      <c r="A39" s="249"/>
      <c r="B39" s="275"/>
      <c r="C39" s="251" t="s">
        <v>92</v>
      </c>
      <c r="D39" s="252"/>
      <c r="E39" s="296">
        <f>IFERROR(((D38/E38)/10)*E40,0)</f>
        <v>49000</v>
      </c>
      <c r="F39" s="252"/>
      <c r="G39" s="296">
        <f>IFERROR(((F38/G38)/10)*G40,0)</f>
        <v>50000</v>
      </c>
      <c r="H39" s="252"/>
      <c r="I39" s="296">
        <f>IFERROR(((H38/I38)/10)*I40,0)</f>
        <v>40000</v>
      </c>
      <c r="J39" s="344"/>
      <c r="K39" s="345"/>
      <c r="L39" s="253">
        <f>SUM(D39:K39)</f>
        <v>139000</v>
      </c>
    </row>
    <row r="40" spans="1:18" s="248" customFormat="1" ht="21" customHeight="1" thickBot="1">
      <c r="A40" s="254"/>
      <c r="B40" s="255"/>
      <c r="C40" s="256" t="s">
        <v>93</v>
      </c>
      <c r="D40" s="257"/>
      <c r="E40" s="297">
        <v>70000</v>
      </c>
      <c r="F40" s="257"/>
      <c r="G40" s="297">
        <v>50000</v>
      </c>
      <c r="H40" s="257"/>
      <c r="I40" s="297">
        <v>40000</v>
      </c>
      <c r="J40" s="346"/>
      <c r="K40" s="347"/>
      <c r="L40" s="258">
        <f>SUM(D40:I40)</f>
        <v>160000</v>
      </c>
    </row>
    <row r="41" spans="1:18" s="248" customFormat="1">
      <c r="A41" s="95"/>
      <c r="B41" s="95"/>
      <c r="C41" s="95"/>
      <c r="D41" s="96"/>
      <c r="E41" s="96"/>
      <c r="F41" s="96"/>
      <c r="G41" s="96"/>
      <c r="H41" s="96"/>
      <c r="I41" s="96"/>
      <c r="J41" s="96"/>
      <c r="K41" s="97"/>
      <c r="L41" s="95"/>
      <c r="M41" s="97"/>
      <c r="N41" s="95"/>
      <c r="O41" s="97"/>
      <c r="P41" s="95"/>
      <c r="Q41" s="95"/>
      <c r="R41" s="95"/>
    </row>
    <row r="42" spans="1:18" s="95" customFormat="1"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O42" s="97"/>
    </row>
    <row r="43" spans="1:18" s="99" customFormat="1" ht="42.75" hidden="1" customHeight="1" thickBot="1">
      <c r="A43" s="209" t="s">
        <v>108</v>
      </c>
      <c r="B43" s="209"/>
      <c r="C43" s="209"/>
      <c r="D43" s="210"/>
      <c r="E43" s="210"/>
      <c r="F43" s="210"/>
      <c r="G43" s="210"/>
      <c r="H43" s="210"/>
      <c r="I43" s="210"/>
      <c r="J43" s="210"/>
      <c r="K43" s="210"/>
      <c r="L43" s="209"/>
    </row>
    <row r="44" spans="1:18" s="95" customFormat="1" ht="58.5" hidden="1" thickBot="1">
      <c r="A44" s="277" t="s">
        <v>83</v>
      </c>
      <c r="B44" s="278"/>
      <c r="C44" s="213" t="s">
        <v>84</v>
      </c>
      <c r="D44" s="277" t="s">
        <v>111</v>
      </c>
      <c r="E44" s="212" t="s">
        <v>112</v>
      </c>
      <c r="F44" s="322" t="s">
        <v>113</v>
      </c>
      <c r="G44" s="212" t="s">
        <v>114</v>
      </c>
      <c r="H44" s="322" t="s">
        <v>115</v>
      </c>
      <c r="I44" s="214" t="s">
        <v>116</v>
      </c>
      <c r="J44" s="323" t="s">
        <v>117</v>
      </c>
      <c r="K44" s="214" t="s">
        <v>118</v>
      </c>
      <c r="L44" s="215" t="s">
        <v>77</v>
      </c>
    </row>
    <row r="45" spans="1:18" s="95" customFormat="1" hidden="1">
      <c r="A45" s="279" t="s">
        <v>86</v>
      </c>
      <c r="B45" s="280"/>
      <c r="C45" s="218">
        <v>10</v>
      </c>
      <c r="D45" s="288">
        <f>$C45*E45</f>
        <v>0</v>
      </c>
      <c r="E45" s="325"/>
      <c r="F45" s="288">
        <f>$C45*G45</f>
        <v>0</v>
      </c>
      <c r="G45" s="325"/>
      <c r="H45" s="288">
        <f>$C45*I45</f>
        <v>0</v>
      </c>
      <c r="I45" s="261"/>
      <c r="J45" s="290">
        <f>$C45*K45</f>
        <v>0</v>
      </c>
      <c r="K45" s="261"/>
      <c r="L45" s="262"/>
    </row>
    <row r="46" spans="1:18" s="95" customFormat="1" hidden="1">
      <c r="A46" s="281" t="s">
        <v>105</v>
      </c>
      <c r="B46" s="282"/>
      <c r="C46" s="283">
        <v>4</v>
      </c>
      <c r="D46" s="187">
        <f t="shared" ref="D46:D47" si="9">$C46*E46</f>
        <v>0</v>
      </c>
      <c r="E46" s="326"/>
      <c r="F46" s="187">
        <f>$C46*G46</f>
        <v>0</v>
      </c>
      <c r="G46" s="326"/>
      <c r="H46" s="187">
        <f t="shared" ref="H46:H47" si="10">$C46*I46</f>
        <v>0</v>
      </c>
      <c r="I46" s="223"/>
      <c r="J46" s="306">
        <f t="shared" ref="J46:J47" si="11">$C46*K46</f>
        <v>0</v>
      </c>
      <c r="K46" s="223"/>
      <c r="L46" s="219"/>
    </row>
    <row r="47" spans="1:18" s="95" customFormat="1" ht="15" hidden="1" thickBot="1">
      <c r="A47" s="284" t="s">
        <v>106</v>
      </c>
      <c r="B47" s="285"/>
      <c r="C47" s="286">
        <v>0</v>
      </c>
      <c r="D47" s="189">
        <f t="shared" si="9"/>
        <v>0</v>
      </c>
      <c r="E47" s="327"/>
      <c r="F47" s="189">
        <f>$C47*G47</f>
        <v>0</v>
      </c>
      <c r="G47" s="327"/>
      <c r="H47" s="189">
        <f t="shared" si="10"/>
        <v>0</v>
      </c>
      <c r="I47" s="227"/>
      <c r="J47" s="308">
        <f t="shared" si="11"/>
        <v>0</v>
      </c>
      <c r="K47" s="328"/>
      <c r="L47" s="219"/>
    </row>
    <row r="48" spans="1:18" s="95" customFormat="1" hidden="1">
      <c r="A48" s="245"/>
      <c r="B48" s="246"/>
      <c r="C48" s="247" t="s">
        <v>91</v>
      </c>
      <c r="D48" s="199">
        <f>SUM(D40:D47)</f>
        <v>0</v>
      </c>
      <c r="E48" s="295">
        <f>SUM(E45:E47)</f>
        <v>0</v>
      </c>
      <c r="F48" s="199">
        <f>SUM(F40:F47)</f>
        <v>0</v>
      </c>
      <c r="G48" s="295">
        <f>SUM(G45:G47)</f>
        <v>0</v>
      </c>
      <c r="H48" s="199">
        <f>SUM(H40:H47)</f>
        <v>0</v>
      </c>
      <c r="I48" s="295">
        <f>SUM(I45:I47)</f>
        <v>0</v>
      </c>
      <c r="J48" s="199">
        <f>SUM(J40:J47)</f>
        <v>0</v>
      </c>
      <c r="K48" s="316">
        <f>SUM(K45:K47)</f>
        <v>0</v>
      </c>
      <c r="L48" s="315"/>
    </row>
    <row r="49" spans="1:33" s="248" customFormat="1" ht="21" hidden="1" customHeight="1">
      <c r="A49" s="249"/>
      <c r="B49" s="275"/>
      <c r="C49" s="251" t="s">
        <v>92</v>
      </c>
      <c r="D49" s="335"/>
      <c r="E49" s="296">
        <f>IFERROR(((D48/E48)/10)*E50,0)</f>
        <v>0</v>
      </c>
      <c r="F49" s="336"/>
      <c r="G49" s="296">
        <f>IFERROR(((F48/G48)/10)*G50,0)</f>
        <v>0</v>
      </c>
      <c r="H49" s="336"/>
      <c r="I49" s="296">
        <f>IFERROR(((H48/I48)/10)*I50,0)</f>
        <v>0</v>
      </c>
      <c r="J49" s="336"/>
      <c r="K49" s="206">
        <f>IFERROR(((J48/K48)/10)*K50,0)</f>
        <v>0</v>
      </c>
      <c r="L49" s="253">
        <f>SUM(D49:K49)</f>
        <v>0</v>
      </c>
    </row>
    <row r="50" spans="1:33" s="248" customFormat="1" ht="21" hidden="1" customHeight="1" thickBot="1">
      <c r="A50" s="254"/>
      <c r="B50" s="255"/>
      <c r="C50" s="256" t="s">
        <v>93</v>
      </c>
      <c r="D50" s="337"/>
      <c r="E50" s="297">
        <v>0</v>
      </c>
      <c r="F50" s="338"/>
      <c r="G50" s="297">
        <v>0</v>
      </c>
      <c r="H50" s="338"/>
      <c r="I50" s="297">
        <v>0</v>
      </c>
      <c r="J50" s="338"/>
      <c r="K50" s="207">
        <v>0</v>
      </c>
      <c r="L50" s="258">
        <f>SUM(D50:I50)</f>
        <v>0</v>
      </c>
    </row>
    <row r="51" spans="1:33" s="95" customFormat="1" ht="15" hidden="1" customHeight="1">
      <c r="A51" s="102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98"/>
      <c r="R51" s="97"/>
      <c r="S51" s="97"/>
    </row>
    <row r="52" spans="1:33" s="95" customFormat="1" ht="15" hidden="1" customHeight="1">
      <c r="A52" s="102"/>
      <c r="B52" s="104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5"/>
      <c r="N52" s="105"/>
      <c r="O52" s="105"/>
      <c r="P52" s="98"/>
      <c r="R52" s="97"/>
      <c r="S52" s="97"/>
    </row>
    <row r="53" spans="1:33" s="95" customFormat="1" ht="42.75" hidden="1" customHeight="1" thickBot="1">
      <c r="A53" s="101" t="s">
        <v>107</v>
      </c>
      <c r="B53" s="101"/>
      <c r="C53" s="101"/>
      <c r="D53" s="101"/>
      <c r="E53" s="101"/>
      <c r="F53" s="101"/>
      <c r="G53" s="101"/>
      <c r="H53" s="101"/>
      <c r="I53" s="101"/>
      <c r="J53" s="97"/>
      <c r="K53" s="97"/>
      <c r="L53" s="97"/>
      <c r="M53" s="97"/>
      <c r="N53" s="97"/>
      <c r="O53" s="97"/>
      <c r="P53" s="97"/>
      <c r="Q53" s="97"/>
    </row>
    <row r="54" spans="1:33" s="95" customFormat="1" ht="29.5" hidden="1" thickBot="1">
      <c r="A54" s="121" t="s">
        <v>69</v>
      </c>
      <c r="B54" s="122" t="s">
        <v>27</v>
      </c>
      <c r="C54" s="123" t="s">
        <v>75</v>
      </c>
      <c r="D54" s="109" t="s">
        <v>81</v>
      </c>
      <c r="E54" s="124" t="s">
        <v>76</v>
      </c>
      <c r="F54" s="109" t="s">
        <v>78</v>
      </c>
      <c r="G54" s="109" t="s">
        <v>79</v>
      </c>
      <c r="H54" s="109" t="s">
        <v>80</v>
      </c>
      <c r="I54" s="125" t="s">
        <v>77</v>
      </c>
      <c r="J54" s="97"/>
      <c r="L54" s="97"/>
      <c r="M54" s="97"/>
    </row>
    <row r="55" spans="1:33" hidden="1">
      <c r="A55" s="164">
        <v>634330</v>
      </c>
      <c r="B55" s="142" t="s">
        <v>46</v>
      </c>
      <c r="C55" s="126"/>
      <c r="D55" s="127"/>
      <c r="E55" s="127"/>
      <c r="F55" s="145">
        <f>IF(C55=ISBLANK(0),0,(roodMKIdrempel-C55)*(roodMKIkorting/(roodMKIdrempel-roodMKIplafond)))</f>
        <v>0</v>
      </c>
      <c r="G55" s="115">
        <f>IF(D55=ISBLANK(0),0,D55-roodCIRCdrempel)*(roodCIRCkorting/(roodCIRCplafond-roodCIRCdrempel))</f>
        <v>0</v>
      </c>
      <c r="H55" s="113">
        <f>IF(E55=ISBLANK(0),0,(E55-roodGARdrempel)*(roodGARkorting/(roodGARplafond-roodGARdrempel)))</f>
        <v>0</v>
      </c>
      <c r="I55" s="350">
        <f>(SUM(F55:H55))</f>
        <v>0</v>
      </c>
      <c r="M55" s="102"/>
      <c r="N55" s="102"/>
      <c r="O55" s="102"/>
      <c r="AA55" s="103"/>
      <c r="AG55" s="102"/>
    </row>
    <row r="56" spans="1:33" ht="15" hidden="1" customHeight="1">
      <c r="A56" s="147"/>
      <c r="B56" s="143" t="s">
        <v>46</v>
      </c>
      <c r="C56" s="128"/>
      <c r="D56" s="129"/>
      <c r="E56" s="129"/>
      <c r="F56" s="146">
        <f>IF(C56=ISBLANK(0),0,(roodMKIdrempel-C56)*(roodMKIkorting/(roodMKIdrempel-roodMKIplafond)))</f>
        <v>0</v>
      </c>
      <c r="G56" s="116">
        <f>IF(D56=ISBLANK(0),0,D56-roodCIRCdrempel)*(roodCIRCkorting/(roodCIRCplafond-roodCIRCdrempel))</f>
        <v>0</v>
      </c>
      <c r="H56" s="114">
        <f>IF(E56=ISBLANK(0),0,(E56-roodGARdrempel)*(roodGARkorting/(roodGARplafond-roodGARdrempel)))</f>
        <v>0</v>
      </c>
      <c r="I56" s="351"/>
      <c r="M56" s="102"/>
      <c r="N56" s="102"/>
      <c r="O56" s="102"/>
      <c r="AA56" s="103"/>
      <c r="AG56" s="102"/>
    </row>
    <row r="57" spans="1:33" ht="15" hidden="1" customHeight="1">
      <c r="A57" s="155"/>
      <c r="B57" s="148" t="s">
        <v>46</v>
      </c>
      <c r="C57" s="165"/>
      <c r="D57" s="166"/>
      <c r="E57" s="166"/>
      <c r="F57" s="156">
        <f>IF(C57=ISBLANK(0),0,(roodMKIdrempel-C57)*(roodMKIkorting/(roodMKIdrempel-roodMKIplafond)))</f>
        <v>0</v>
      </c>
      <c r="G57" s="120">
        <f>IF(D57=ISBLANK(0),0,D57-roodCIRCdrempel)*(roodCIRCkorting/(roodCIRCplafond-roodCIRCdrempel))</f>
        <v>0</v>
      </c>
      <c r="H57" s="110">
        <f>IF(E57=ISBLANK(0),0,(E57-roodGARdrempel)*(roodGARkorting/(roodGARplafond-roodGARdrempel)))</f>
        <v>0</v>
      </c>
      <c r="I57" s="352"/>
      <c r="M57" s="102"/>
      <c r="N57" s="102"/>
      <c r="O57" s="102"/>
      <c r="AA57" s="103"/>
      <c r="AG57" s="102"/>
    </row>
    <row r="58" spans="1:33" hidden="1">
      <c r="A58" s="167">
        <v>633250</v>
      </c>
      <c r="B58" s="160" t="s">
        <v>67</v>
      </c>
      <c r="C58" s="132"/>
      <c r="D58" s="133"/>
      <c r="E58" s="133"/>
      <c r="F58" s="161">
        <f>IF(C58=ISBLANK(0),0,(tussenMKIdrempel-C58)*(tussenMKIkorting/(tussenMKIdrempel-tussenMKIplafond)))</f>
        <v>0</v>
      </c>
      <c r="G58" s="162">
        <f>IF(D58=ISBLANK(0),0,D58-tussenCIRCdrempel)*(tussenCIRCkorting/(tussenCIRCplafond-tussenCIRCdrempel))</f>
        <v>0</v>
      </c>
      <c r="H58" s="163">
        <f>IF(E58=ISBLANK(0),0,(E58-tussenGARdrempel)*(tussenGARkorting/(tussenGARplafond-tussenGARdrempel)))</f>
        <v>0</v>
      </c>
      <c r="I58" s="112">
        <f>SUM(F58:H58)</f>
        <v>0</v>
      </c>
      <c r="M58" s="102"/>
      <c r="N58" s="102"/>
      <c r="O58" s="102"/>
      <c r="AA58" s="103"/>
      <c r="AG58" s="102"/>
    </row>
    <row r="59" spans="1:33" hidden="1">
      <c r="A59" s="168">
        <v>632320</v>
      </c>
      <c r="B59" s="157" t="s">
        <v>66</v>
      </c>
      <c r="C59" s="169"/>
      <c r="D59" s="170"/>
      <c r="E59" s="170"/>
      <c r="F59" s="158">
        <f>IF(C59=ISBLANK(0),0,(onderMKIdrempel-C59)*(onderMKIkorting/(onderMKIdrempel-onderMKIplafond)))</f>
        <v>0</v>
      </c>
      <c r="G59" s="158">
        <f>IF(D59=ISBLANK(0),0,D59-onderCIRCdrempel)*(onderCIRCkorting/(onderCIRCplafond-onderCIRCdrempel))</f>
        <v>0</v>
      </c>
      <c r="H59" s="153">
        <f>IF(E59=ISBLANK(0),0,(E59-onderGARdrempel)*(onderGARkorting/(onderGARplafond-onderGARdrempel)))</f>
        <v>0</v>
      </c>
      <c r="I59" s="159">
        <f>(SUM(F59:H59))</f>
        <v>0</v>
      </c>
      <c r="M59" s="102"/>
      <c r="N59" s="102"/>
      <c r="O59" s="102"/>
      <c r="AA59" s="103"/>
      <c r="AG59" s="102"/>
    </row>
    <row r="60" spans="1:33" hidden="1">
      <c r="A60" s="171">
        <v>534280</v>
      </c>
      <c r="B60" s="142" t="s">
        <v>68</v>
      </c>
      <c r="C60" s="126"/>
      <c r="D60" s="127"/>
      <c r="E60" s="172"/>
      <c r="F60" s="145">
        <f t="shared" ref="F60:F70" si="12">IF(C60=ISBLANK(0),0,(bandenMKIdrempel-C60)*(bandenMKIkorting/(bandenMKIdrempel-bandenMKIplafond)))</f>
        <v>0</v>
      </c>
      <c r="G60" s="115">
        <f t="shared" ref="G60:G70" si="13">IF(D60=ISBLANK(0),0,D60-bandenCIRCdrempel)*(bandenCIRCkorting/(bandenCIRCplafond-bandenCIRCdrempel))</f>
        <v>0</v>
      </c>
      <c r="H60" s="152"/>
      <c r="I60" s="350">
        <f>(SUM(F60:G60)+SUM(F61:G61)+SUM(F62:G62))/3</f>
        <v>0</v>
      </c>
      <c r="M60" s="102"/>
      <c r="N60" s="102"/>
      <c r="O60" s="102"/>
      <c r="AA60" s="103"/>
      <c r="AG60" s="102"/>
    </row>
    <row r="61" spans="1:33" hidden="1">
      <c r="A61" s="173">
        <v>616540</v>
      </c>
      <c r="B61" s="143" t="s">
        <v>68</v>
      </c>
      <c r="C61" s="128"/>
      <c r="D61" s="129"/>
      <c r="E61" s="174"/>
      <c r="F61" s="146">
        <f t="shared" si="12"/>
        <v>0</v>
      </c>
      <c r="G61" s="116">
        <f t="shared" si="13"/>
        <v>0</v>
      </c>
      <c r="H61" s="153"/>
      <c r="I61" s="351"/>
      <c r="M61" s="102"/>
      <c r="N61" s="102"/>
      <c r="O61" s="102"/>
      <c r="AA61" s="103"/>
      <c r="AG61" s="102"/>
    </row>
    <row r="62" spans="1:33" hidden="1">
      <c r="A62" s="175">
        <v>616560</v>
      </c>
      <c r="B62" s="144" t="s">
        <v>68</v>
      </c>
      <c r="C62" s="130"/>
      <c r="D62" s="131"/>
      <c r="E62" s="176"/>
      <c r="F62" s="151">
        <f t="shared" si="12"/>
        <v>0</v>
      </c>
      <c r="G62" s="117">
        <f t="shared" si="13"/>
        <v>0</v>
      </c>
      <c r="H62" s="153"/>
      <c r="I62" s="352"/>
      <c r="M62" s="102"/>
      <c r="N62" s="102"/>
      <c r="O62" s="102"/>
      <c r="AA62" s="103"/>
      <c r="AG62" s="102"/>
    </row>
    <row r="63" spans="1:33" hidden="1">
      <c r="A63" s="177">
        <v>524030</v>
      </c>
      <c r="B63" s="149" t="s">
        <v>71</v>
      </c>
      <c r="C63" s="178"/>
      <c r="D63" s="179"/>
      <c r="E63" s="180"/>
      <c r="F63" s="150">
        <f t="shared" si="12"/>
        <v>0</v>
      </c>
      <c r="G63" s="118">
        <f t="shared" si="13"/>
        <v>0</v>
      </c>
      <c r="H63" s="153"/>
      <c r="I63" s="340">
        <f>(SUM(F63:G63)+SUM(F64:G64)+SUM(F65:G65)+SUM(F66:G66)+SUM(F68:G68)+SUM(F67:G67))/COUNT(G63:G68)</f>
        <v>0</v>
      </c>
      <c r="M63" s="102"/>
      <c r="N63" s="102"/>
      <c r="O63" s="102"/>
      <c r="AA63" s="103"/>
      <c r="AG63" s="102"/>
    </row>
    <row r="64" spans="1:33" hidden="1">
      <c r="A64" s="173">
        <v>527010</v>
      </c>
      <c r="B64" s="143" t="s">
        <v>71</v>
      </c>
      <c r="C64" s="128"/>
      <c r="D64" s="129"/>
      <c r="E64" s="174"/>
      <c r="F64" s="146">
        <f t="shared" si="12"/>
        <v>0</v>
      </c>
      <c r="G64" s="116">
        <f t="shared" si="13"/>
        <v>0</v>
      </c>
      <c r="H64" s="153"/>
      <c r="I64" s="351"/>
      <c r="M64" s="102"/>
      <c r="N64" s="102"/>
      <c r="O64" s="102"/>
      <c r="AA64" s="103"/>
      <c r="AG64" s="102"/>
    </row>
    <row r="65" spans="1:33" hidden="1">
      <c r="A65" s="173">
        <v>527030</v>
      </c>
      <c r="B65" s="143" t="s">
        <v>71</v>
      </c>
      <c r="C65" s="128"/>
      <c r="D65" s="129"/>
      <c r="E65" s="174"/>
      <c r="F65" s="146">
        <f t="shared" si="12"/>
        <v>0</v>
      </c>
      <c r="G65" s="116">
        <f t="shared" si="13"/>
        <v>0</v>
      </c>
      <c r="H65" s="153"/>
      <c r="I65" s="351"/>
      <c r="M65" s="102"/>
      <c r="N65" s="102"/>
      <c r="O65" s="102"/>
      <c r="AA65" s="103"/>
      <c r="AG65" s="102"/>
    </row>
    <row r="66" spans="1:33" hidden="1">
      <c r="A66" s="173">
        <v>527060</v>
      </c>
      <c r="B66" s="143" t="s">
        <v>71</v>
      </c>
      <c r="C66" s="128"/>
      <c r="D66" s="129"/>
      <c r="E66" s="174"/>
      <c r="F66" s="146">
        <f t="shared" si="12"/>
        <v>0</v>
      </c>
      <c r="G66" s="116">
        <f t="shared" si="13"/>
        <v>0</v>
      </c>
      <c r="H66" s="153"/>
      <c r="I66" s="351"/>
      <c r="M66" s="102"/>
      <c r="N66" s="102"/>
      <c r="O66" s="102"/>
      <c r="AA66" s="103"/>
      <c r="AG66" s="102"/>
    </row>
    <row r="67" spans="1:33" hidden="1">
      <c r="A67" s="184">
        <v>527080</v>
      </c>
      <c r="B67" s="148" t="s">
        <v>71</v>
      </c>
      <c r="C67" s="165"/>
      <c r="D67" s="166"/>
      <c r="E67" s="185"/>
      <c r="F67" s="156">
        <f>IF(C67=ISBLANK(0),0,(bandenMKIdrempel-C67)*(bandenMKIkorting/(bandenMKIdrempel-bandenMKIplafond)))</f>
        <v>0</v>
      </c>
      <c r="G67" s="120">
        <f t="shared" si="13"/>
        <v>0</v>
      </c>
      <c r="H67" s="153"/>
      <c r="I67" s="351"/>
      <c r="M67" s="102"/>
      <c r="N67" s="102"/>
      <c r="O67" s="102"/>
      <c r="AA67" s="103"/>
      <c r="AG67" s="102"/>
    </row>
    <row r="68" spans="1:33" hidden="1">
      <c r="A68" s="287">
        <v>527230</v>
      </c>
      <c r="B68" s="144" t="s">
        <v>71</v>
      </c>
      <c r="C68" s="130"/>
      <c r="D68" s="131"/>
      <c r="E68" s="176"/>
      <c r="F68" s="151">
        <f t="shared" si="12"/>
        <v>0</v>
      </c>
      <c r="G68" s="117">
        <f t="shared" si="13"/>
        <v>0</v>
      </c>
      <c r="H68" s="153"/>
      <c r="I68" s="352"/>
      <c r="M68" s="102"/>
      <c r="N68" s="102"/>
      <c r="O68" s="102"/>
      <c r="AA68" s="103"/>
      <c r="AG68" s="102"/>
    </row>
    <row r="69" spans="1:33" hidden="1">
      <c r="A69" s="177">
        <v>617110</v>
      </c>
      <c r="B69" s="149" t="s">
        <v>70</v>
      </c>
      <c r="C69" s="178"/>
      <c r="D69" s="179"/>
      <c r="E69" s="180"/>
      <c r="F69" s="150">
        <f t="shared" si="12"/>
        <v>0</v>
      </c>
      <c r="G69" s="118">
        <f t="shared" si="13"/>
        <v>0</v>
      </c>
      <c r="H69" s="153"/>
      <c r="I69" s="340">
        <f>(SUM(F69:G69)+SUM(F70:G70))/2</f>
        <v>0</v>
      </c>
      <c r="M69" s="102"/>
      <c r="N69" s="102"/>
      <c r="O69" s="102"/>
      <c r="AA69" s="103"/>
      <c r="AG69" s="102"/>
    </row>
    <row r="70" spans="1:33" hidden="1">
      <c r="A70" s="175">
        <v>617310</v>
      </c>
      <c r="B70" s="144" t="s">
        <v>70</v>
      </c>
      <c r="C70" s="130"/>
      <c r="D70" s="131"/>
      <c r="E70" s="176"/>
      <c r="F70" s="151">
        <f t="shared" si="12"/>
        <v>0</v>
      </c>
      <c r="G70" s="117">
        <f t="shared" si="13"/>
        <v>0</v>
      </c>
      <c r="H70" s="153"/>
      <c r="I70" s="352"/>
      <c r="M70" s="102"/>
      <c r="N70" s="102"/>
      <c r="O70" s="102"/>
      <c r="AA70" s="103"/>
      <c r="AG70" s="102"/>
    </row>
    <row r="71" spans="1:33" hidden="1">
      <c r="A71" s="102">
        <v>331140</v>
      </c>
      <c r="B71" s="149" t="s">
        <v>72</v>
      </c>
      <c r="C71" s="178"/>
      <c r="D71" s="179"/>
      <c r="E71" s="180"/>
      <c r="F71" s="183">
        <f>IF(C71=ISBLANK(0),0,(buizenMKIdrempel-C71)*(buizenMKIkorting/(buizenMKIdrempel-buizenMKIplafond)))</f>
        <v>0</v>
      </c>
      <c r="G71" s="118">
        <f>IF(D71=ISBLANK(0),0,D71-buizenCIRCdrempel)*(buizenCIRCkorting/(buizenCIRCplafond-buizenCIRCdrempel))</f>
        <v>0</v>
      </c>
      <c r="H71" s="153"/>
      <c r="I71" s="340">
        <f>(SUM(F71:G71)+SUM(F72:G72))/2</f>
        <v>0</v>
      </c>
      <c r="M71" s="102"/>
      <c r="N71" s="102"/>
      <c r="O71" s="102"/>
      <c r="AA71" s="103"/>
      <c r="AG71" s="102"/>
    </row>
    <row r="72" spans="1:33" ht="15" hidden="1" thickBot="1">
      <c r="A72" s="181">
        <v>331180</v>
      </c>
      <c r="B72" s="134" t="s">
        <v>72</v>
      </c>
      <c r="C72" s="135"/>
      <c r="D72" s="136"/>
      <c r="E72" s="182"/>
      <c r="F72" s="119">
        <f>IF(C72=ISBLANK(0),0,(buizenMKIdrempel-C72)*(buizenMKIkorting/(buizenMKIdrempel-buizenMKIplafond)))</f>
        <v>0</v>
      </c>
      <c r="G72" s="119">
        <f>IF(D72=ISBLANK(0),0,D72-buizenCIRCdrempel)*(buizenCIRCkorting/(buizenCIRCplafond-buizenCIRCdrempel))</f>
        <v>0</v>
      </c>
      <c r="H72" s="154"/>
      <c r="I72" s="341"/>
      <c r="M72" s="102"/>
      <c r="N72" s="102"/>
      <c r="O72" s="102"/>
      <c r="AA72" s="103"/>
      <c r="AG72" s="102"/>
    </row>
    <row r="73" spans="1:33" ht="21" hidden="1">
      <c r="A73" s="249"/>
      <c r="B73" s="251" t="s">
        <v>92</v>
      </c>
      <c r="C73" s="317"/>
      <c r="D73" s="318"/>
      <c r="E73" s="318"/>
      <c r="F73" s="318"/>
      <c r="G73" s="318"/>
      <c r="H73" s="318"/>
      <c r="I73" s="253">
        <f>IF(SUM(I55:I72)&lt;0,0,SUM(I55:I72))</f>
        <v>0</v>
      </c>
      <c r="M73" s="102"/>
      <c r="N73" s="102"/>
      <c r="O73" s="102"/>
      <c r="Z73" s="103"/>
      <c r="AG73" s="102"/>
    </row>
    <row r="74" spans="1:33" ht="30.75" hidden="1" customHeight="1" thickBot="1">
      <c r="A74" s="254"/>
      <c r="B74" s="256" t="s">
        <v>93</v>
      </c>
      <c r="C74" s="319"/>
      <c r="D74" s="320"/>
      <c r="E74" s="320"/>
      <c r="F74" s="320"/>
      <c r="G74" s="320"/>
      <c r="H74" s="320"/>
      <c r="I74" s="258">
        <f>SUM(A74:F74)</f>
        <v>0</v>
      </c>
      <c r="J74" s="140"/>
      <c r="K74" s="141"/>
      <c r="M74" s="102"/>
      <c r="N74" s="102"/>
      <c r="O74" s="102"/>
      <c r="Z74" s="103"/>
      <c r="AG74" s="102"/>
    </row>
    <row r="75" spans="1:33" ht="30.75" hidden="1" customHeight="1">
      <c r="H75" s="314"/>
      <c r="I75" s="140"/>
      <c r="J75" s="141"/>
      <c r="M75" s="102"/>
      <c r="N75" s="102"/>
      <c r="O75" s="102"/>
      <c r="Y75" s="103"/>
      <c r="AG75" s="102"/>
    </row>
  </sheetData>
  <sheetProtection algorithmName="SHA-512" hashValue="3Kokt/etluK2Eq++87SDKAfFdUbTQK8nsf2rQg9xRgerVctCtHOutC9tnFiKk+Li2DPAV6ayMzgAkWrXBuikyg==" saltValue="xdMjqEgbDLAF+bD87pnHZg==" spinCount="100000" sheet="1" selectLockedCells="1"/>
  <mergeCells count="13">
    <mergeCell ref="J22:K22"/>
    <mergeCell ref="I3:J3"/>
    <mergeCell ref="K3:L3"/>
    <mergeCell ref="B4:D4"/>
    <mergeCell ref="I4:J4"/>
    <mergeCell ref="K4:L4"/>
    <mergeCell ref="I71:I72"/>
    <mergeCell ref="J23:K40"/>
    <mergeCell ref="L23:L38"/>
    <mergeCell ref="I55:I57"/>
    <mergeCell ref="I60:I62"/>
    <mergeCell ref="I63:I68"/>
    <mergeCell ref="I69:I70"/>
  </mergeCells>
  <conditionalFormatting sqref="D55:D57">
    <cfRule type="cellIs" dxfId="15" priority="6" operator="notBetween">
      <formula>0</formula>
      <formula>98</formula>
    </cfRule>
  </conditionalFormatting>
  <conditionalFormatting sqref="C71:C72">
    <cfRule type="cellIs" dxfId="14" priority="8" operator="notBetween">
      <formula>0</formula>
      <formula>14.14</formula>
    </cfRule>
  </conditionalFormatting>
  <conditionalFormatting sqref="D71:D72">
    <cfRule type="cellIs" dxfId="13" priority="7" operator="notBetween">
      <formula>0</formula>
      <formula>50</formula>
    </cfRule>
  </conditionalFormatting>
  <conditionalFormatting sqref="E55">
    <cfRule type="cellIs" dxfId="12" priority="5" operator="notBetween">
      <formula>5</formula>
      <formula>10</formula>
    </cfRule>
  </conditionalFormatting>
  <conditionalFormatting sqref="C55:C57">
    <cfRule type="cellIs" dxfId="11" priority="4" operator="notBetween">
      <formula>12</formula>
      <formula>20</formula>
    </cfRule>
  </conditionalFormatting>
  <conditionalFormatting sqref="C58:C59">
    <cfRule type="cellIs" dxfId="10" priority="3" operator="notBetween">
      <formula>0</formula>
      <formula>5.61</formula>
    </cfRule>
  </conditionalFormatting>
  <conditionalFormatting sqref="D58:D59">
    <cfRule type="cellIs" dxfId="9" priority="2" operator="notBetween">
      <formula>50</formula>
      <formula>98</formula>
    </cfRule>
  </conditionalFormatting>
  <conditionalFormatting sqref="E58:E59">
    <cfRule type="cellIs" dxfId="8" priority="1" operator="notBetween">
      <formula>10</formula>
      <formula>15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FEE7-9A8B-4979-999F-1CC907E5BA41}">
  <dimension ref="A1:AG107"/>
  <sheetViews>
    <sheetView showGridLines="0" tabSelected="1" zoomScale="85" zoomScaleNormal="85" workbookViewId="0">
      <selection activeCell="E8" sqref="E8"/>
    </sheetView>
  </sheetViews>
  <sheetFormatPr defaultColWidth="9.1796875" defaultRowHeight="14.5"/>
  <cols>
    <col min="1" max="1" width="19.81640625" style="102" customWidth="1"/>
    <col min="2" max="2" width="20.81640625" style="104" customWidth="1"/>
    <col min="3" max="11" width="18.26953125" style="102" customWidth="1"/>
    <col min="12" max="12" width="16" style="102" customWidth="1"/>
    <col min="13" max="15" width="16" style="105" customWidth="1"/>
    <col min="16" max="16" width="13.81640625" style="102" bestFit="1" customWidth="1"/>
    <col min="17" max="17" width="13.7265625" style="102" bestFit="1" customWidth="1"/>
    <col min="18" max="18" width="21.26953125" style="102" customWidth="1"/>
    <col min="19" max="32" width="11.54296875" style="102" customWidth="1"/>
    <col min="33" max="33" width="11.54296875" style="103" customWidth="1"/>
    <col min="34" max="36" width="11.54296875" style="102" customWidth="1"/>
    <col min="37" max="37" width="9.1796875" style="102" customWidth="1"/>
    <col min="38" max="38" width="10.81640625" style="102" customWidth="1"/>
    <col min="39" max="39" width="14.453125" style="102" customWidth="1"/>
    <col min="40" max="40" width="9.1796875" style="102" customWidth="1"/>
    <col min="41" max="41" width="13.26953125" style="102" customWidth="1"/>
    <col min="42" max="16384" width="9.1796875" style="102"/>
  </cols>
  <sheetData>
    <row r="1" spans="1:19" s="93" customFormat="1" ht="18.5">
      <c r="A1" s="92" t="s">
        <v>110</v>
      </c>
    </row>
    <row r="2" spans="1:19" s="95" customFormat="1" ht="19" thickBot="1">
      <c r="A2" s="94" t="s">
        <v>129</v>
      </c>
      <c r="K2" s="96"/>
      <c r="L2" s="97"/>
      <c r="M2" s="97"/>
      <c r="O2" s="97"/>
      <c r="P2" s="97"/>
      <c r="R2" s="97"/>
      <c r="S2" s="97"/>
    </row>
    <row r="3" spans="1:19" s="95" customFormat="1" ht="33" customHeight="1">
      <c r="B3" s="100"/>
      <c r="E3" s="313"/>
      <c r="F3" s="313"/>
      <c r="G3" s="313"/>
      <c r="H3" s="313"/>
      <c r="I3" s="355" t="s">
        <v>47</v>
      </c>
      <c r="J3" s="356"/>
      <c r="K3" s="357">
        <f>L17+L39+L49+I73</f>
        <v>0</v>
      </c>
      <c r="L3" s="358"/>
      <c r="M3" s="98"/>
      <c r="O3" s="97"/>
      <c r="P3" s="97"/>
    </row>
    <row r="4" spans="1:19" s="95" customFormat="1" ht="31.5" customHeight="1" thickBot="1">
      <c r="A4" s="102" t="s">
        <v>48</v>
      </c>
      <c r="B4" s="364"/>
      <c r="C4" s="364"/>
      <c r="D4" s="364"/>
      <c r="E4" s="321"/>
      <c r="F4" s="321"/>
      <c r="G4" s="321"/>
      <c r="H4" s="321"/>
      <c r="I4" s="360" t="s">
        <v>49</v>
      </c>
      <c r="J4" s="361"/>
      <c r="K4" s="362">
        <f>L18+L40+L50+I74</f>
        <v>275000</v>
      </c>
      <c r="L4" s="363"/>
      <c r="M4" s="98"/>
      <c r="O4" s="97"/>
      <c r="P4" s="97"/>
    </row>
    <row r="5" spans="1:19" s="95" customFormat="1" ht="15" customHeight="1">
      <c r="A5" s="102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98"/>
      <c r="R5" s="97"/>
      <c r="S5" s="97"/>
    </row>
    <row r="6" spans="1:19" s="95" customFormat="1" ht="42.75" customHeight="1" thickBot="1">
      <c r="A6" s="209" t="s">
        <v>124</v>
      </c>
      <c r="B6" s="209"/>
      <c r="C6" s="209"/>
      <c r="D6" s="210"/>
      <c r="E6" s="210"/>
      <c r="F6" s="210"/>
      <c r="G6" s="210"/>
      <c r="H6" s="210"/>
      <c r="I6" s="210"/>
      <c r="J6" s="210"/>
      <c r="K6" s="210"/>
      <c r="L6" s="209"/>
    </row>
    <row r="7" spans="1:19" s="99" customFormat="1" ht="58.5" thickBot="1">
      <c r="A7" s="211" t="s">
        <v>82</v>
      </c>
      <c r="B7" s="212" t="s">
        <v>83</v>
      </c>
      <c r="C7" s="213" t="s">
        <v>84</v>
      </c>
      <c r="D7" s="277" t="s">
        <v>111</v>
      </c>
      <c r="E7" s="212" t="s">
        <v>112</v>
      </c>
      <c r="F7" s="322" t="s">
        <v>113</v>
      </c>
      <c r="G7" s="212" t="s">
        <v>114</v>
      </c>
      <c r="H7" s="322" t="s">
        <v>115</v>
      </c>
      <c r="I7" s="214" t="s">
        <v>116</v>
      </c>
      <c r="J7" s="323" t="s">
        <v>117</v>
      </c>
      <c r="K7" s="214" t="s">
        <v>118</v>
      </c>
      <c r="L7" s="324" t="s">
        <v>77</v>
      </c>
    </row>
    <row r="8" spans="1:19" s="95" customFormat="1" ht="15" customHeight="1">
      <c r="A8" s="216" t="s">
        <v>85</v>
      </c>
      <c r="B8" s="217" t="s">
        <v>86</v>
      </c>
      <c r="C8" s="218">
        <v>10</v>
      </c>
      <c r="D8" s="288">
        <f>$C8*E8</f>
        <v>0</v>
      </c>
      <c r="E8" s="289"/>
      <c r="F8" s="288">
        <f>$C8*G8</f>
        <v>0</v>
      </c>
      <c r="G8" s="289"/>
      <c r="H8" s="288">
        <f>$C8*I8</f>
        <v>0</v>
      </c>
      <c r="I8" s="208"/>
      <c r="J8" s="290">
        <f>$C8*K8</f>
        <v>0</v>
      </c>
      <c r="K8" s="208"/>
      <c r="L8" s="219"/>
    </row>
    <row r="9" spans="1:19" s="95" customFormat="1" ht="15" customHeight="1">
      <c r="A9" s="220" t="s">
        <v>85</v>
      </c>
      <c r="B9" s="221" t="s">
        <v>87</v>
      </c>
      <c r="C9" s="222">
        <v>10</v>
      </c>
      <c r="D9" s="187">
        <f t="shared" ref="D9" si="0">$C9*E9</f>
        <v>0</v>
      </c>
      <c r="E9" s="299"/>
      <c r="F9" s="187">
        <f>$C9*G9</f>
        <v>0</v>
      </c>
      <c r="G9" s="299"/>
      <c r="H9" s="187">
        <f t="shared" ref="H9" si="1">$C9*I9</f>
        <v>0</v>
      </c>
      <c r="I9" s="188"/>
      <c r="J9" s="306">
        <f t="shared" ref="J9" si="2">$C9*K9</f>
        <v>0</v>
      </c>
      <c r="K9" s="188"/>
      <c r="L9" s="219"/>
    </row>
    <row r="10" spans="1:19" s="95" customFormat="1">
      <c r="A10" s="224" t="s">
        <v>88</v>
      </c>
      <c r="B10" s="225" t="s">
        <v>89</v>
      </c>
      <c r="C10" s="226">
        <v>6</v>
      </c>
      <c r="D10" s="189">
        <f t="shared" ref="D10:D15" si="3">$C10*E10</f>
        <v>0</v>
      </c>
      <c r="E10" s="302"/>
      <c r="F10" s="189">
        <f>$C10*G10</f>
        <v>0</v>
      </c>
      <c r="G10" s="302"/>
      <c r="H10" s="189">
        <f t="shared" ref="H10:H15" si="4">$C10*I10</f>
        <v>0</v>
      </c>
      <c r="I10" s="190"/>
      <c r="J10" s="308">
        <f t="shared" ref="J10:J15" si="5">$C10*K10</f>
        <v>0</v>
      </c>
      <c r="K10" s="309"/>
      <c r="L10" s="219"/>
    </row>
    <row r="11" spans="1:19" s="95" customFormat="1">
      <c r="A11" s="228" t="s">
        <v>126</v>
      </c>
      <c r="B11" s="229" t="s">
        <v>89</v>
      </c>
      <c r="C11" s="230">
        <v>4</v>
      </c>
      <c r="D11" s="191">
        <f t="shared" si="3"/>
        <v>0</v>
      </c>
      <c r="E11" s="291"/>
      <c r="F11" s="191">
        <f>$C11*G11</f>
        <v>0</v>
      </c>
      <c r="G11" s="291"/>
      <c r="H11" s="191">
        <f t="shared" si="4"/>
        <v>0</v>
      </c>
      <c r="I11" s="192"/>
      <c r="J11" s="292">
        <f t="shared" si="5"/>
        <v>0</v>
      </c>
      <c r="K11" s="310"/>
      <c r="L11" s="219"/>
    </row>
    <row r="12" spans="1:19" s="95" customFormat="1" ht="15" customHeight="1">
      <c r="A12" s="232" t="s">
        <v>127</v>
      </c>
      <c r="B12" s="233" t="s">
        <v>89</v>
      </c>
      <c r="C12" s="234">
        <v>2</v>
      </c>
      <c r="D12" s="193">
        <f t="shared" si="3"/>
        <v>0</v>
      </c>
      <c r="E12" s="304"/>
      <c r="F12" s="193">
        <f t="shared" ref="F12" si="6">$C12*G12</f>
        <v>0</v>
      </c>
      <c r="G12" s="304"/>
      <c r="H12" s="193">
        <f t="shared" si="4"/>
        <v>0</v>
      </c>
      <c r="I12" s="194"/>
      <c r="J12" s="311">
        <f t="shared" si="5"/>
        <v>0</v>
      </c>
      <c r="K12" s="312"/>
      <c r="L12" s="219"/>
      <c r="M12" s="236"/>
    </row>
    <row r="13" spans="1:19" s="95" customFormat="1" ht="15" customHeight="1">
      <c r="A13" s="237" t="s">
        <v>88</v>
      </c>
      <c r="B13" s="238" t="s">
        <v>90</v>
      </c>
      <c r="C13" s="239">
        <v>4</v>
      </c>
      <c r="D13" s="195">
        <f t="shared" si="3"/>
        <v>0</v>
      </c>
      <c r="E13" s="305"/>
      <c r="F13" s="195">
        <f>$C13*G13</f>
        <v>0</v>
      </c>
      <c r="G13" s="305"/>
      <c r="H13" s="195">
        <f t="shared" si="4"/>
        <v>0</v>
      </c>
      <c r="I13" s="196"/>
      <c r="J13" s="307">
        <f t="shared" si="5"/>
        <v>0</v>
      </c>
      <c r="K13" s="196"/>
      <c r="L13" s="219"/>
      <c r="M13" s="236"/>
    </row>
    <row r="14" spans="1:19" s="95" customFormat="1" ht="15" customHeight="1">
      <c r="A14" s="228" t="s">
        <v>126</v>
      </c>
      <c r="B14" s="229" t="s">
        <v>90</v>
      </c>
      <c r="C14" s="230">
        <v>0</v>
      </c>
      <c r="D14" s="191">
        <f t="shared" si="3"/>
        <v>0</v>
      </c>
      <c r="E14" s="291"/>
      <c r="F14" s="191">
        <f>$C14*G14</f>
        <v>0</v>
      </c>
      <c r="G14" s="291"/>
      <c r="H14" s="191">
        <f t="shared" si="4"/>
        <v>0</v>
      </c>
      <c r="I14" s="192"/>
      <c r="J14" s="292">
        <f t="shared" si="5"/>
        <v>0</v>
      </c>
      <c r="K14" s="192"/>
      <c r="L14" s="219"/>
      <c r="M14" s="236"/>
    </row>
    <row r="15" spans="1:19" s="95" customFormat="1" ht="15" customHeight="1" thickBot="1">
      <c r="A15" s="241" t="s">
        <v>128</v>
      </c>
      <c r="B15" s="242" t="s">
        <v>90</v>
      </c>
      <c r="C15" s="243">
        <v>0</v>
      </c>
      <c r="D15" s="197">
        <f t="shared" si="3"/>
        <v>0</v>
      </c>
      <c r="E15" s="293"/>
      <c r="F15" s="197">
        <f>$C15*G15</f>
        <v>0</v>
      </c>
      <c r="G15" s="293"/>
      <c r="H15" s="197">
        <f t="shared" si="4"/>
        <v>0</v>
      </c>
      <c r="I15" s="198"/>
      <c r="J15" s="294">
        <f t="shared" si="5"/>
        <v>0</v>
      </c>
      <c r="K15" s="198"/>
      <c r="L15" s="219"/>
    </row>
    <row r="16" spans="1:19" s="248" customFormat="1">
      <c r="A16" s="245"/>
      <c r="B16" s="246"/>
      <c r="C16" s="247" t="s">
        <v>91</v>
      </c>
      <c r="D16" s="199">
        <f t="shared" ref="D16:K16" si="7">SUM(D8:D15)</f>
        <v>0</v>
      </c>
      <c r="E16" s="295">
        <f t="shared" si="7"/>
        <v>0</v>
      </c>
      <c r="F16" s="199">
        <f t="shared" si="7"/>
        <v>0</v>
      </c>
      <c r="G16" s="295">
        <f t="shared" si="7"/>
        <v>0</v>
      </c>
      <c r="H16" s="199">
        <f t="shared" si="7"/>
        <v>0</v>
      </c>
      <c r="I16" s="295">
        <f t="shared" si="7"/>
        <v>0</v>
      </c>
      <c r="J16" s="199">
        <f t="shared" si="7"/>
        <v>0</v>
      </c>
      <c r="K16" s="205">
        <f t="shared" si="7"/>
        <v>0</v>
      </c>
      <c r="L16" s="219"/>
    </row>
    <row r="17" spans="1:15" s="248" customFormat="1" ht="21">
      <c r="A17" s="249"/>
      <c r="B17" s="250"/>
      <c r="C17" s="251" t="s">
        <v>92</v>
      </c>
      <c r="D17" s="335"/>
      <c r="E17" s="296">
        <f>IFERROR(((D16/E16)/10)*E18,0)</f>
        <v>0</v>
      </c>
      <c r="F17" s="336"/>
      <c r="G17" s="296">
        <f>IFERROR(((F16/G16)/10)*G18,0)</f>
        <v>0</v>
      </c>
      <c r="H17" s="336"/>
      <c r="I17" s="296">
        <f>IFERROR(((H16/I16)/10)*I18,0)</f>
        <v>0</v>
      </c>
      <c r="J17" s="336"/>
      <c r="K17" s="206">
        <f>IFERROR(((J16/K16)/10)*K18,0)</f>
        <v>0</v>
      </c>
      <c r="L17" s="253">
        <f>SUM(D17:K17)</f>
        <v>0</v>
      </c>
    </row>
    <row r="18" spans="1:15" s="95" customFormat="1" ht="21.5" thickBot="1">
      <c r="A18" s="254"/>
      <c r="B18" s="255"/>
      <c r="C18" s="256" t="s">
        <v>93</v>
      </c>
      <c r="D18" s="337"/>
      <c r="E18" s="297">
        <v>47000</v>
      </c>
      <c r="F18" s="338"/>
      <c r="G18" s="297">
        <v>35000</v>
      </c>
      <c r="H18" s="338"/>
      <c r="I18" s="297">
        <v>25000</v>
      </c>
      <c r="J18" s="338"/>
      <c r="K18" s="207">
        <v>8000</v>
      </c>
      <c r="L18" s="258">
        <f>SUM(E18:K18)</f>
        <v>115000</v>
      </c>
    </row>
    <row r="19" spans="1:15" s="95" customFormat="1">
      <c r="D19" s="236"/>
      <c r="E19" s="236"/>
      <c r="F19" s="236"/>
      <c r="G19" s="236"/>
      <c r="H19" s="236"/>
      <c r="I19" s="236"/>
      <c r="J19" s="236"/>
      <c r="K19" s="97"/>
      <c r="L19" s="236"/>
      <c r="M19" s="97"/>
      <c r="N19" s="236"/>
      <c r="O19" s="97"/>
    </row>
    <row r="20" spans="1:15" s="95" customFormat="1">
      <c r="C20" s="200"/>
      <c r="D20" s="236"/>
      <c r="E20" s="236"/>
      <c r="F20" s="236"/>
      <c r="G20" s="236"/>
      <c r="H20" s="236"/>
      <c r="I20" s="236"/>
      <c r="J20" s="236"/>
      <c r="K20" s="97"/>
      <c r="L20" s="236"/>
      <c r="M20" s="97"/>
      <c r="O20" s="97"/>
    </row>
    <row r="21" spans="1:15" s="99" customFormat="1" ht="42.75" customHeight="1" thickBot="1">
      <c r="A21" s="209" t="s">
        <v>125</v>
      </c>
      <c r="B21" s="209"/>
      <c r="C21" s="209"/>
      <c r="D21" s="210"/>
      <c r="E21" s="210"/>
      <c r="F21" s="210"/>
      <c r="G21" s="210"/>
      <c r="H21" s="210"/>
      <c r="I21" s="210"/>
      <c r="J21" s="210"/>
      <c r="K21" s="210"/>
      <c r="L21" s="209"/>
    </row>
    <row r="22" spans="1:15" s="95" customFormat="1" ht="44" thickBot="1">
      <c r="A22" s="211" t="s">
        <v>94</v>
      </c>
      <c r="B22" s="212" t="s">
        <v>83</v>
      </c>
      <c r="C22" s="213" t="s">
        <v>84</v>
      </c>
      <c r="D22" s="109" t="s">
        <v>111</v>
      </c>
      <c r="E22" s="212" t="s">
        <v>119</v>
      </c>
      <c r="F22" s="322" t="s">
        <v>113</v>
      </c>
      <c r="G22" s="212" t="s">
        <v>120</v>
      </c>
      <c r="H22" s="322" t="s">
        <v>115</v>
      </c>
      <c r="I22" s="212" t="s">
        <v>121</v>
      </c>
      <c r="J22" s="353" t="s">
        <v>122</v>
      </c>
      <c r="K22" s="354"/>
      <c r="L22" s="215" t="s">
        <v>77</v>
      </c>
    </row>
    <row r="23" spans="1:15" s="95" customFormat="1" ht="15" customHeight="1">
      <c r="A23" s="259" t="s">
        <v>95</v>
      </c>
      <c r="B23" s="217" t="s">
        <v>86</v>
      </c>
      <c r="C23" s="260">
        <v>10</v>
      </c>
      <c r="D23" s="202">
        <f>$C23*E23</f>
        <v>0</v>
      </c>
      <c r="E23" s="289"/>
      <c r="F23" s="202">
        <f>$C23*G23</f>
        <v>0</v>
      </c>
      <c r="G23" s="289"/>
      <c r="H23" s="202">
        <f>$C23*I23</f>
        <v>0</v>
      </c>
      <c r="I23" s="289"/>
      <c r="J23" s="342" t="s">
        <v>123</v>
      </c>
      <c r="K23" s="343"/>
      <c r="L23" s="348"/>
    </row>
    <row r="24" spans="1:15" s="95" customFormat="1" ht="15" customHeight="1">
      <c r="A24" s="220" t="s">
        <v>109</v>
      </c>
      <c r="B24" s="263" t="s">
        <v>87</v>
      </c>
      <c r="C24" s="264">
        <v>10</v>
      </c>
      <c r="D24" s="298">
        <f t="shared" ref="D24:D37" si="8">$C24*E24</f>
        <v>0</v>
      </c>
      <c r="E24" s="299"/>
      <c r="F24" s="298">
        <f t="shared" ref="F24:F37" si="9">$C24*G24</f>
        <v>0</v>
      </c>
      <c r="G24" s="299"/>
      <c r="H24" s="298">
        <f t="shared" ref="H24:H37" si="10">$C24*I24</f>
        <v>0</v>
      </c>
      <c r="I24" s="299"/>
      <c r="J24" s="344"/>
      <c r="K24" s="345"/>
      <c r="L24" s="349"/>
    </row>
    <row r="25" spans="1:15" s="95" customFormat="1" ht="15" customHeight="1">
      <c r="A25" s="265" t="s">
        <v>96</v>
      </c>
      <c r="B25" s="266" t="s">
        <v>89</v>
      </c>
      <c r="C25" s="267">
        <v>7</v>
      </c>
      <c r="D25" s="203">
        <f t="shared" si="8"/>
        <v>0</v>
      </c>
      <c r="E25" s="300"/>
      <c r="F25" s="203">
        <f t="shared" si="9"/>
        <v>0</v>
      </c>
      <c r="G25" s="300"/>
      <c r="H25" s="203">
        <f t="shared" si="10"/>
        <v>0</v>
      </c>
      <c r="I25" s="300"/>
      <c r="J25" s="344"/>
      <c r="K25" s="345"/>
      <c r="L25" s="349"/>
      <c r="M25" s="236"/>
    </row>
    <row r="26" spans="1:15" s="95" customFormat="1" ht="15" customHeight="1">
      <c r="A26" s="268" t="s">
        <v>97</v>
      </c>
      <c r="B26" s="225" t="s">
        <v>98</v>
      </c>
      <c r="C26" s="269">
        <v>5.5</v>
      </c>
      <c r="D26" s="301">
        <f t="shared" si="8"/>
        <v>0</v>
      </c>
      <c r="E26" s="302"/>
      <c r="F26" s="301">
        <f t="shared" si="9"/>
        <v>0</v>
      </c>
      <c r="G26" s="302"/>
      <c r="H26" s="301">
        <f t="shared" si="10"/>
        <v>0</v>
      </c>
      <c r="I26" s="302"/>
      <c r="J26" s="344"/>
      <c r="K26" s="345"/>
      <c r="L26" s="349"/>
      <c r="M26" s="236"/>
    </row>
    <row r="27" spans="1:15" s="95" customFormat="1" ht="15" customHeight="1">
      <c r="A27" s="220" t="s">
        <v>99</v>
      </c>
      <c r="B27" s="229" t="s">
        <v>100</v>
      </c>
      <c r="C27" s="270">
        <v>4.5</v>
      </c>
      <c r="D27" s="303">
        <f t="shared" si="8"/>
        <v>0</v>
      </c>
      <c r="E27" s="291"/>
      <c r="F27" s="303">
        <f t="shared" si="9"/>
        <v>0</v>
      </c>
      <c r="G27" s="291"/>
      <c r="H27" s="303">
        <f t="shared" si="10"/>
        <v>0</v>
      </c>
      <c r="I27" s="291"/>
      <c r="J27" s="344"/>
      <c r="K27" s="345"/>
      <c r="L27" s="349"/>
    </row>
    <row r="28" spans="1:15" s="95" customFormat="1" ht="15" customHeight="1">
      <c r="A28" s="220"/>
      <c r="B28" s="229" t="s">
        <v>101</v>
      </c>
      <c r="C28" s="270">
        <v>4.5</v>
      </c>
      <c r="D28" s="303">
        <f t="shared" si="8"/>
        <v>0</v>
      </c>
      <c r="E28" s="291"/>
      <c r="F28" s="303">
        <f t="shared" si="9"/>
        <v>0</v>
      </c>
      <c r="G28" s="291"/>
      <c r="H28" s="303">
        <f t="shared" si="10"/>
        <v>0</v>
      </c>
      <c r="I28" s="291"/>
      <c r="J28" s="344"/>
      <c r="K28" s="345"/>
      <c r="L28" s="349"/>
    </row>
    <row r="29" spans="1:15" s="95" customFormat="1" ht="15" customHeight="1">
      <c r="A29" s="271"/>
      <c r="B29" s="233" t="s">
        <v>102</v>
      </c>
      <c r="C29" s="272">
        <v>4</v>
      </c>
      <c r="D29" s="298">
        <f t="shared" si="8"/>
        <v>0</v>
      </c>
      <c r="E29" s="304"/>
      <c r="F29" s="298">
        <f t="shared" si="9"/>
        <v>0</v>
      </c>
      <c r="G29" s="304"/>
      <c r="H29" s="298">
        <f t="shared" si="10"/>
        <v>0</v>
      </c>
      <c r="I29" s="304"/>
      <c r="J29" s="344"/>
      <c r="K29" s="345"/>
      <c r="L29" s="349"/>
    </row>
    <row r="30" spans="1:15" s="95" customFormat="1" ht="15" customHeight="1">
      <c r="A30" s="268" t="s">
        <v>97</v>
      </c>
      <c r="B30" s="225" t="s">
        <v>98</v>
      </c>
      <c r="C30" s="269">
        <v>3.5</v>
      </c>
      <c r="D30" s="301">
        <f t="shared" si="8"/>
        <v>0</v>
      </c>
      <c r="E30" s="302"/>
      <c r="F30" s="301">
        <f t="shared" si="9"/>
        <v>0</v>
      </c>
      <c r="G30" s="302"/>
      <c r="H30" s="301">
        <f t="shared" si="10"/>
        <v>0</v>
      </c>
      <c r="I30" s="302"/>
      <c r="J30" s="344"/>
      <c r="K30" s="345"/>
      <c r="L30" s="349"/>
    </row>
    <row r="31" spans="1:15" s="95" customFormat="1" ht="15" customHeight="1">
      <c r="A31" s="220" t="s">
        <v>103</v>
      </c>
      <c r="B31" s="229" t="s">
        <v>100</v>
      </c>
      <c r="C31" s="270">
        <v>2.5</v>
      </c>
      <c r="D31" s="303">
        <f t="shared" si="8"/>
        <v>0</v>
      </c>
      <c r="E31" s="291"/>
      <c r="F31" s="303">
        <f t="shared" si="9"/>
        <v>0</v>
      </c>
      <c r="G31" s="291"/>
      <c r="H31" s="303">
        <f t="shared" si="10"/>
        <v>0</v>
      </c>
      <c r="I31" s="291"/>
      <c r="J31" s="344"/>
      <c r="K31" s="345"/>
      <c r="L31" s="349"/>
    </row>
    <row r="32" spans="1:15" s="95" customFormat="1" ht="15" customHeight="1">
      <c r="A32" s="220"/>
      <c r="B32" s="229" t="s">
        <v>101</v>
      </c>
      <c r="C32" s="270">
        <v>2.5</v>
      </c>
      <c r="D32" s="303">
        <f t="shared" si="8"/>
        <v>0</v>
      </c>
      <c r="E32" s="291"/>
      <c r="F32" s="303">
        <f t="shared" si="9"/>
        <v>0</v>
      </c>
      <c r="G32" s="291"/>
      <c r="H32" s="303">
        <f t="shared" si="10"/>
        <v>0</v>
      </c>
      <c r="I32" s="291"/>
      <c r="J32" s="344"/>
      <c r="K32" s="345"/>
      <c r="L32" s="349"/>
    </row>
    <row r="33" spans="1:18" s="95" customFormat="1" ht="15" customHeight="1">
      <c r="A33" s="271"/>
      <c r="B33" s="233" t="s">
        <v>102</v>
      </c>
      <c r="C33" s="272">
        <v>2</v>
      </c>
      <c r="D33" s="298">
        <f t="shared" si="8"/>
        <v>0</v>
      </c>
      <c r="E33" s="304"/>
      <c r="F33" s="298">
        <f t="shared" si="9"/>
        <v>0</v>
      </c>
      <c r="G33" s="304"/>
      <c r="H33" s="298">
        <f t="shared" si="10"/>
        <v>0</v>
      </c>
      <c r="I33" s="304"/>
      <c r="J33" s="344"/>
      <c r="K33" s="345"/>
      <c r="L33" s="349"/>
    </row>
    <row r="34" spans="1:18" s="95" customFormat="1" ht="15" customHeight="1">
      <c r="A34" s="220" t="s">
        <v>104</v>
      </c>
      <c r="B34" s="238" t="s">
        <v>98</v>
      </c>
      <c r="C34" s="273">
        <v>2</v>
      </c>
      <c r="D34" s="301">
        <f t="shared" si="8"/>
        <v>0</v>
      </c>
      <c r="E34" s="305"/>
      <c r="F34" s="301">
        <f t="shared" si="9"/>
        <v>0</v>
      </c>
      <c r="G34" s="305"/>
      <c r="H34" s="301">
        <f t="shared" si="10"/>
        <v>0</v>
      </c>
      <c r="I34" s="305"/>
      <c r="J34" s="344"/>
      <c r="K34" s="345"/>
      <c r="L34" s="349"/>
    </row>
    <row r="35" spans="1:18" s="95" customFormat="1" ht="15" customHeight="1">
      <c r="A35" s="220"/>
      <c r="B35" s="229" t="s">
        <v>100</v>
      </c>
      <c r="C35" s="270">
        <v>0.5</v>
      </c>
      <c r="D35" s="303">
        <f t="shared" si="8"/>
        <v>0</v>
      </c>
      <c r="E35" s="291"/>
      <c r="F35" s="303">
        <f t="shared" si="9"/>
        <v>0</v>
      </c>
      <c r="G35" s="291"/>
      <c r="H35" s="303">
        <f t="shared" si="10"/>
        <v>0</v>
      </c>
      <c r="I35" s="291"/>
      <c r="J35" s="344"/>
      <c r="K35" s="345"/>
      <c r="L35" s="349"/>
    </row>
    <row r="36" spans="1:18" s="95" customFormat="1" ht="15" customHeight="1">
      <c r="A36" s="220"/>
      <c r="B36" s="229" t="s">
        <v>101</v>
      </c>
      <c r="C36" s="270">
        <v>0.5</v>
      </c>
      <c r="D36" s="303">
        <f t="shared" si="8"/>
        <v>0</v>
      </c>
      <c r="E36" s="291"/>
      <c r="F36" s="303">
        <f t="shared" si="9"/>
        <v>0</v>
      </c>
      <c r="G36" s="291"/>
      <c r="H36" s="303">
        <f t="shared" si="10"/>
        <v>0</v>
      </c>
      <c r="I36" s="291"/>
      <c r="J36" s="344"/>
      <c r="K36" s="345"/>
      <c r="L36" s="349"/>
    </row>
    <row r="37" spans="1:18" s="95" customFormat="1" ht="15" customHeight="1" thickBot="1">
      <c r="A37" s="274"/>
      <c r="B37" s="263" t="s">
        <v>102</v>
      </c>
      <c r="C37" s="264">
        <v>0</v>
      </c>
      <c r="D37" s="204">
        <f t="shared" si="8"/>
        <v>0</v>
      </c>
      <c r="E37" s="293"/>
      <c r="F37" s="204">
        <f t="shared" si="9"/>
        <v>0</v>
      </c>
      <c r="G37" s="293"/>
      <c r="H37" s="204">
        <f t="shared" si="10"/>
        <v>0</v>
      </c>
      <c r="I37" s="293"/>
      <c r="J37" s="344"/>
      <c r="K37" s="345"/>
      <c r="L37" s="349"/>
    </row>
    <row r="38" spans="1:18" s="95" customFormat="1">
      <c r="A38" s="245"/>
      <c r="B38" s="246"/>
      <c r="C38" s="247" t="s">
        <v>91</v>
      </c>
      <c r="D38" s="201">
        <f>SUM(D23:D37)</f>
        <v>0</v>
      </c>
      <c r="E38" s="295">
        <f>SUM(E23:E37)</f>
        <v>0</v>
      </c>
      <c r="F38" s="199">
        <f t="shared" ref="F38:I38" si="11">SUM(F23:F37)</f>
        <v>0</v>
      </c>
      <c r="G38" s="295">
        <f t="shared" si="11"/>
        <v>0</v>
      </c>
      <c r="H38" s="199">
        <f t="shared" si="11"/>
        <v>0</v>
      </c>
      <c r="I38" s="295">
        <f t="shared" si="11"/>
        <v>0</v>
      </c>
      <c r="J38" s="344"/>
      <c r="K38" s="345"/>
      <c r="L38" s="349"/>
    </row>
    <row r="39" spans="1:18" s="248" customFormat="1" ht="21" customHeight="1">
      <c r="A39" s="249"/>
      <c r="B39" s="275"/>
      <c r="C39" s="251" t="s">
        <v>92</v>
      </c>
      <c r="D39" s="252"/>
      <c r="E39" s="296">
        <f>IFERROR(((D38/E38)/10)*E40,0)</f>
        <v>0</v>
      </c>
      <c r="F39" s="252"/>
      <c r="G39" s="296">
        <f>IFERROR(((F38/G38)/10)*G40,0)</f>
        <v>0</v>
      </c>
      <c r="H39" s="252"/>
      <c r="I39" s="296">
        <f>IFERROR(((H38/I38)/10)*I40,0)</f>
        <v>0</v>
      </c>
      <c r="J39" s="344"/>
      <c r="K39" s="345"/>
      <c r="L39" s="253">
        <f>SUM(D39:K39)</f>
        <v>0</v>
      </c>
    </row>
    <row r="40" spans="1:18" s="248" customFormat="1" ht="21" customHeight="1" thickBot="1">
      <c r="A40" s="254"/>
      <c r="B40" s="255"/>
      <c r="C40" s="256" t="s">
        <v>93</v>
      </c>
      <c r="D40" s="257"/>
      <c r="E40" s="297">
        <v>70000</v>
      </c>
      <c r="F40" s="257"/>
      <c r="G40" s="297">
        <v>50000</v>
      </c>
      <c r="H40" s="257"/>
      <c r="I40" s="297">
        <v>40000</v>
      </c>
      <c r="J40" s="346"/>
      <c r="K40" s="347"/>
      <c r="L40" s="258">
        <f>SUM(D40:I40)</f>
        <v>160000</v>
      </c>
    </row>
    <row r="41" spans="1:18" s="248" customFormat="1" hidden="1">
      <c r="A41" s="95"/>
      <c r="B41" s="95"/>
      <c r="C41" s="95"/>
      <c r="D41" s="96"/>
      <c r="E41" s="96"/>
      <c r="F41" s="96"/>
      <c r="G41" s="96"/>
      <c r="H41" s="96"/>
      <c r="I41" s="96"/>
      <c r="J41" s="96"/>
      <c r="K41" s="97"/>
      <c r="L41" s="95"/>
      <c r="M41" s="97"/>
      <c r="N41" s="95"/>
      <c r="O41" s="97"/>
      <c r="P41" s="95"/>
      <c r="Q41" s="95"/>
      <c r="R41" s="95"/>
    </row>
    <row r="42" spans="1:18" s="95" customFormat="1" ht="21.65" hidden="1" customHeight="1"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O42" s="97"/>
    </row>
    <row r="43" spans="1:18" s="99" customFormat="1" ht="42.75" hidden="1" customHeight="1" thickBot="1">
      <c r="A43" s="209" t="s">
        <v>108</v>
      </c>
      <c r="B43" s="209"/>
      <c r="C43" s="209"/>
      <c r="D43" s="210"/>
      <c r="E43" s="210"/>
      <c r="F43" s="210"/>
      <c r="G43" s="210"/>
      <c r="H43" s="210"/>
      <c r="I43" s="210"/>
      <c r="J43" s="210"/>
      <c r="K43" s="210"/>
      <c r="L43" s="209"/>
    </row>
    <row r="44" spans="1:18" s="95" customFormat="1" ht="58.5" hidden="1" thickBot="1">
      <c r="A44" s="277" t="s">
        <v>83</v>
      </c>
      <c r="B44" s="278"/>
      <c r="C44" s="213" t="s">
        <v>84</v>
      </c>
      <c r="D44" s="277" t="s">
        <v>111</v>
      </c>
      <c r="E44" s="212" t="s">
        <v>112</v>
      </c>
      <c r="F44" s="322" t="s">
        <v>113</v>
      </c>
      <c r="G44" s="212" t="s">
        <v>114</v>
      </c>
      <c r="H44" s="322" t="s">
        <v>115</v>
      </c>
      <c r="I44" s="214" t="s">
        <v>116</v>
      </c>
      <c r="J44" s="323" t="s">
        <v>117</v>
      </c>
      <c r="K44" s="214" t="s">
        <v>118</v>
      </c>
      <c r="L44" s="215" t="s">
        <v>77</v>
      </c>
    </row>
    <row r="45" spans="1:18" s="95" customFormat="1" hidden="1">
      <c r="A45" s="279" t="s">
        <v>86</v>
      </c>
      <c r="B45" s="280"/>
      <c r="C45" s="218">
        <v>10</v>
      </c>
      <c r="D45" s="288">
        <f>$C45*E45</f>
        <v>0</v>
      </c>
      <c r="E45" s="325"/>
      <c r="F45" s="288">
        <f>$C45*G45</f>
        <v>0</v>
      </c>
      <c r="G45" s="325"/>
      <c r="H45" s="288">
        <f>$C45*I45</f>
        <v>0</v>
      </c>
      <c r="I45" s="261"/>
      <c r="J45" s="290">
        <f>$C45*K45</f>
        <v>0</v>
      </c>
      <c r="K45" s="261"/>
      <c r="L45" s="262"/>
    </row>
    <row r="46" spans="1:18" s="95" customFormat="1" hidden="1">
      <c r="A46" s="281" t="s">
        <v>105</v>
      </c>
      <c r="B46" s="282"/>
      <c r="C46" s="283">
        <v>4</v>
      </c>
      <c r="D46" s="187">
        <f t="shared" ref="D46:D47" si="12">$C46*E46</f>
        <v>0</v>
      </c>
      <c r="E46" s="326"/>
      <c r="F46" s="187">
        <f>$C46*G46</f>
        <v>0</v>
      </c>
      <c r="G46" s="326"/>
      <c r="H46" s="187">
        <f t="shared" ref="H46:H47" si="13">$C46*I46</f>
        <v>0</v>
      </c>
      <c r="I46" s="223"/>
      <c r="J46" s="306">
        <f t="shared" ref="J46:J47" si="14">$C46*K46</f>
        <v>0</v>
      </c>
      <c r="K46" s="223"/>
      <c r="L46" s="219"/>
    </row>
    <row r="47" spans="1:18" s="95" customFormat="1" ht="15" hidden="1" thickBot="1">
      <c r="A47" s="284" t="s">
        <v>106</v>
      </c>
      <c r="B47" s="285"/>
      <c r="C47" s="286">
        <v>0</v>
      </c>
      <c r="D47" s="189">
        <f t="shared" si="12"/>
        <v>0</v>
      </c>
      <c r="E47" s="327"/>
      <c r="F47" s="189">
        <f>$C47*G47</f>
        <v>0</v>
      </c>
      <c r="G47" s="327"/>
      <c r="H47" s="189">
        <f t="shared" si="13"/>
        <v>0</v>
      </c>
      <c r="I47" s="227"/>
      <c r="J47" s="308">
        <f t="shared" si="14"/>
        <v>0</v>
      </c>
      <c r="K47" s="328"/>
      <c r="L47" s="219"/>
    </row>
    <row r="48" spans="1:18" s="95" customFormat="1" hidden="1">
      <c r="A48" s="245"/>
      <c r="B48" s="246"/>
      <c r="C48" s="247" t="s">
        <v>91</v>
      </c>
      <c r="D48" s="199">
        <f>SUM(D40:D47)</f>
        <v>0</v>
      </c>
      <c r="E48" s="295">
        <f>SUM(E45:E47)</f>
        <v>0</v>
      </c>
      <c r="F48" s="199">
        <f>SUM(F40:F47)</f>
        <v>0</v>
      </c>
      <c r="G48" s="295">
        <f>SUM(G45:G47)</f>
        <v>0</v>
      </c>
      <c r="H48" s="199">
        <f>SUM(H40:H47)</f>
        <v>0</v>
      </c>
      <c r="I48" s="295">
        <f>SUM(I45:I47)</f>
        <v>0</v>
      </c>
      <c r="J48" s="199">
        <f>SUM(J40:J47)</f>
        <v>0</v>
      </c>
      <c r="K48" s="316">
        <f>SUM(K45:K47)</f>
        <v>0</v>
      </c>
      <c r="L48" s="315"/>
    </row>
    <row r="49" spans="1:33" s="248" customFormat="1" ht="21" hidden="1" customHeight="1">
      <c r="A49" s="249"/>
      <c r="B49" s="275"/>
      <c r="C49" s="251" t="s">
        <v>92</v>
      </c>
      <c r="D49" s="335"/>
      <c r="E49" s="296">
        <f>IFERROR(((D48/E48)/10)*E50,0)</f>
        <v>0</v>
      </c>
      <c r="F49" s="336"/>
      <c r="G49" s="296">
        <f>IFERROR(((F48/G48)/10)*G50,0)</f>
        <v>0</v>
      </c>
      <c r="H49" s="336"/>
      <c r="I49" s="296">
        <f>IFERROR(((H48/I48)/10)*I50,0)</f>
        <v>0</v>
      </c>
      <c r="J49" s="336"/>
      <c r="K49" s="206">
        <f>IFERROR(((J48/K48)/10)*K50,0)</f>
        <v>0</v>
      </c>
      <c r="L49" s="253">
        <f>SUM(D49:K49)</f>
        <v>0</v>
      </c>
    </row>
    <row r="50" spans="1:33" s="248" customFormat="1" ht="21" hidden="1" customHeight="1" thickBot="1">
      <c r="A50" s="254"/>
      <c r="B50" s="255"/>
      <c r="C50" s="256" t="s">
        <v>93</v>
      </c>
      <c r="D50" s="337"/>
      <c r="E50" s="297">
        <v>0</v>
      </c>
      <c r="F50" s="338"/>
      <c r="G50" s="297">
        <v>0</v>
      </c>
      <c r="H50" s="338"/>
      <c r="I50" s="297">
        <v>0</v>
      </c>
      <c r="J50" s="338"/>
      <c r="K50" s="207">
        <v>0</v>
      </c>
      <c r="L50" s="258">
        <f>SUM(D50:I50)</f>
        <v>0</v>
      </c>
    </row>
    <row r="51" spans="1:33" s="95" customFormat="1" ht="15" hidden="1" customHeight="1">
      <c r="A51" s="102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98"/>
      <c r="R51" s="97"/>
      <c r="S51" s="97"/>
    </row>
    <row r="52" spans="1:33" s="95" customFormat="1" ht="15" hidden="1" customHeight="1">
      <c r="A52" s="102"/>
      <c r="B52" s="104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5"/>
      <c r="N52" s="105"/>
      <c r="O52" s="105"/>
      <c r="P52" s="98"/>
      <c r="R52" s="97"/>
      <c r="S52" s="97"/>
    </row>
    <row r="53" spans="1:33" s="95" customFormat="1" ht="42.75" hidden="1" customHeight="1" thickBot="1">
      <c r="A53" s="101" t="s">
        <v>107</v>
      </c>
      <c r="B53" s="101"/>
      <c r="C53" s="101"/>
      <c r="D53" s="101"/>
      <c r="E53" s="101"/>
      <c r="F53" s="101"/>
      <c r="G53" s="101"/>
      <c r="H53" s="101"/>
      <c r="I53" s="101"/>
      <c r="J53" s="97"/>
      <c r="K53" s="97"/>
      <c r="L53" s="97"/>
      <c r="M53" s="97"/>
      <c r="N53" s="97"/>
      <c r="O53" s="97"/>
      <c r="P53" s="97"/>
      <c r="Q53" s="97"/>
    </row>
    <row r="54" spans="1:33" s="95" customFormat="1" ht="29.5" hidden="1" thickBot="1">
      <c r="A54" s="121" t="s">
        <v>69</v>
      </c>
      <c r="B54" s="122" t="s">
        <v>27</v>
      </c>
      <c r="C54" s="123" t="s">
        <v>75</v>
      </c>
      <c r="D54" s="109" t="s">
        <v>81</v>
      </c>
      <c r="E54" s="124" t="s">
        <v>76</v>
      </c>
      <c r="F54" s="109" t="s">
        <v>78</v>
      </c>
      <c r="G54" s="109" t="s">
        <v>79</v>
      </c>
      <c r="H54" s="109" t="s">
        <v>80</v>
      </c>
      <c r="I54" s="125" t="s">
        <v>77</v>
      </c>
      <c r="J54" s="97"/>
      <c r="L54" s="97"/>
      <c r="M54" s="97"/>
    </row>
    <row r="55" spans="1:33" hidden="1">
      <c r="A55" s="164">
        <v>634330</v>
      </c>
      <c r="B55" s="142" t="s">
        <v>46</v>
      </c>
      <c r="C55" s="126"/>
      <c r="D55" s="127"/>
      <c r="E55" s="127"/>
      <c r="F55" s="145">
        <f>IF(C55=ISBLANK(0),0,(roodMKIdrempel-C55)*(roodMKIkorting/(roodMKIdrempel-roodMKIplafond)))</f>
        <v>0</v>
      </c>
      <c r="G55" s="115">
        <f>IF(D55=ISBLANK(0),0,D55-roodCIRCdrempel)*(roodCIRCkorting/(roodCIRCplafond-roodCIRCdrempel))</f>
        <v>0</v>
      </c>
      <c r="H55" s="113">
        <f>IF(E55=ISBLANK(0),0,(E55-roodGARdrempel)*(roodGARkorting/(roodGARplafond-roodGARdrempel)))</f>
        <v>0</v>
      </c>
      <c r="I55" s="350">
        <f>(SUM(F55:H55))</f>
        <v>0</v>
      </c>
      <c r="M55" s="102"/>
      <c r="N55" s="102"/>
      <c r="O55" s="102"/>
      <c r="AA55" s="103"/>
      <c r="AG55" s="102"/>
    </row>
    <row r="56" spans="1:33" ht="15" hidden="1" customHeight="1">
      <c r="A56" s="147"/>
      <c r="B56" s="143" t="s">
        <v>46</v>
      </c>
      <c r="C56" s="128"/>
      <c r="D56" s="129"/>
      <c r="E56" s="129"/>
      <c r="F56" s="146">
        <f>IF(C56=ISBLANK(0),0,(roodMKIdrempel-C56)*(roodMKIkorting/(roodMKIdrempel-roodMKIplafond)))</f>
        <v>0</v>
      </c>
      <c r="G56" s="116">
        <f>IF(D56=ISBLANK(0),0,D56-roodCIRCdrempel)*(roodCIRCkorting/(roodCIRCplafond-roodCIRCdrempel))</f>
        <v>0</v>
      </c>
      <c r="H56" s="114">
        <f>IF(E56=ISBLANK(0),0,(E56-roodGARdrempel)*(roodGARkorting/(roodGARplafond-roodGARdrempel)))</f>
        <v>0</v>
      </c>
      <c r="I56" s="351"/>
      <c r="M56" s="102"/>
      <c r="N56" s="102"/>
      <c r="O56" s="102"/>
      <c r="AA56" s="103"/>
      <c r="AG56" s="102"/>
    </row>
    <row r="57" spans="1:33" ht="15" hidden="1" customHeight="1">
      <c r="A57" s="155"/>
      <c r="B57" s="148" t="s">
        <v>46</v>
      </c>
      <c r="C57" s="165"/>
      <c r="D57" s="166"/>
      <c r="E57" s="166"/>
      <c r="F57" s="156">
        <f>IF(C57=ISBLANK(0),0,(roodMKIdrempel-C57)*(roodMKIkorting/(roodMKIdrempel-roodMKIplafond)))</f>
        <v>0</v>
      </c>
      <c r="G57" s="120">
        <f>IF(D57=ISBLANK(0),0,D57-roodCIRCdrempel)*(roodCIRCkorting/(roodCIRCplafond-roodCIRCdrempel))</f>
        <v>0</v>
      </c>
      <c r="H57" s="110">
        <f>IF(E57=ISBLANK(0),0,(E57-roodGARdrempel)*(roodGARkorting/(roodGARplafond-roodGARdrempel)))</f>
        <v>0</v>
      </c>
      <c r="I57" s="352"/>
      <c r="M57" s="102"/>
      <c r="N57" s="102"/>
      <c r="O57" s="102"/>
      <c r="AA57" s="103"/>
      <c r="AG57" s="102"/>
    </row>
    <row r="58" spans="1:33" hidden="1">
      <c r="A58" s="167">
        <v>633250</v>
      </c>
      <c r="B58" s="160" t="s">
        <v>67</v>
      </c>
      <c r="C58" s="132"/>
      <c r="D58" s="133"/>
      <c r="E58" s="133"/>
      <c r="F58" s="161">
        <f>IF(C58=ISBLANK(0),0,(tussenMKIdrempel-C58)*(tussenMKIkorting/(tussenMKIdrempel-tussenMKIplafond)))</f>
        <v>0</v>
      </c>
      <c r="G58" s="162">
        <f>IF(D58=ISBLANK(0),0,D58-tussenCIRCdrempel)*(tussenCIRCkorting/(tussenCIRCplafond-tussenCIRCdrempel))</f>
        <v>0</v>
      </c>
      <c r="H58" s="163">
        <f>IF(E58=ISBLANK(0),0,(E58-tussenGARdrempel)*(tussenGARkorting/(tussenGARplafond-tussenGARdrempel)))</f>
        <v>0</v>
      </c>
      <c r="I58" s="112">
        <f>SUM(F58:H58)</f>
        <v>0</v>
      </c>
      <c r="M58" s="102"/>
      <c r="N58" s="102"/>
      <c r="O58" s="102"/>
      <c r="AA58" s="103"/>
      <c r="AG58" s="102"/>
    </row>
    <row r="59" spans="1:33" ht="15" hidden="1" thickBot="1">
      <c r="A59" s="168">
        <v>632320</v>
      </c>
      <c r="B59" s="157" t="s">
        <v>66</v>
      </c>
      <c r="C59" s="169"/>
      <c r="D59" s="170"/>
      <c r="E59" s="170"/>
      <c r="F59" s="158">
        <f>IF(C59=ISBLANK(0),0,(onderMKIdrempel-C59)*(onderMKIkorting/(onderMKIdrempel-onderMKIplafond)))</f>
        <v>0</v>
      </c>
      <c r="G59" s="158">
        <f>IF(D59=ISBLANK(0),0,D59-onderCIRCdrempel)*(onderCIRCkorting/(onderCIRCplafond-onderCIRCdrempel))</f>
        <v>0</v>
      </c>
      <c r="H59" s="153">
        <f>IF(E59=ISBLANK(0),0,(E59-onderGARdrempel)*(onderGARkorting/(onderGARplafond-onderGARdrempel)))</f>
        <v>0</v>
      </c>
      <c r="I59" s="159">
        <f>(SUM(F59:H59))</f>
        <v>0</v>
      </c>
      <c r="M59" s="102"/>
      <c r="N59" s="102"/>
      <c r="O59" s="102"/>
      <c r="AA59" s="103"/>
      <c r="AG59" s="102"/>
    </row>
    <row r="60" spans="1:33" hidden="1">
      <c r="A60" s="171">
        <v>534280</v>
      </c>
      <c r="B60" s="142" t="s">
        <v>68</v>
      </c>
      <c r="C60" s="126"/>
      <c r="D60" s="127"/>
      <c r="E60" s="172"/>
      <c r="F60" s="145">
        <f t="shared" ref="F60:F70" si="15">IF(C60=ISBLANK(0),0,(bandenMKIdrempel-C60)*(bandenMKIkorting/(bandenMKIdrempel-bandenMKIplafond)))</f>
        <v>0</v>
      </c>
      <c r="G60" s="115">
        <f t="shared" ref="G60:G70" si="16">IF(D60=ISBLANK(0),0,D60-bandenCIRCdrempel)*(bandenCIRCkorting/(bandenCIRCplafond-bandenCIRCdrempel))</f>
        <v>0</v>
      </c>
      <c r="H60" s="152"/>
      <c r="I60" s="350">
        <f>(SUM(F60:G60)+SUM(F61:G61)+SUM(F62:G62))/3</f>
        <v>0</v>
      </c>
      <c r="M60" s="102"/>
      <c r="N60" s="102"/>
      <c r="O60" s="102"/>
      <c r="AA60" s="103"/>
      <c r="AG60" s="102"/>
    </row>
    <row r="61" spans="1:33" hidden="1">
      <c r="A61" s="173">
        <v>616540</v>
      </c>
      <c r="B61" s="143" t="s">
        <v>68</v>
      </c>
      <c r="C61" s="128"/>
      <c r="D61" s="129"/>
      <c r="E61" s="174"/>
      <c r="F61" s="146">
        <f t="shared" si="15"/>
        <v>0</v>
      </c>
      <c r="G61" s="116">
        <f t="shared" si="16"/>
        <v>0</v>
      </c>
      <c r="H61" s="153"/>
      <c r="I61" s="351"/>
      <c r="M61" s="102"/>
      <c r="N61" s="102"/>
      <c r="O61" s="102"/>
      <c r="AA61" s="103"/>
      <c r="AG61" s="102"/>
    </row>
    <row r="62" spans="1:33" hidden="1">
      <c r="A62" s="175">
        <v>616560</v>
      </c>
      <c r="B62" s="144" t="s">
        <v>68</v>
      </c>
      <c r="C62" s="130"/>
      <c r="D62" s="131"/>
      <c r="E62" s="176"/>
      <c r="F62" s="151">
        <f t="shared" si="15"/>
        <v>0</v>
      </c>
      <c r="G62" s="117">
        <f t="shared" si="16"/>
        <v>0</v>
      </c>
      <c r="H62" s="153"/>
      <c r="I62" s="352"/>
      <c r="M62" s="102"/>
      <c r="N62" s="102"/>
      <c r="O62" s="102"/>
      <c r="AA62" s="103"/>
      <c r="AG62" s="102"/>
    </row>
    <row r="63" spans="1:33" hidden="1">
      <c r="A63" s="177">
        <v>524030</v>
      </c>
      <c r="B63" s="149" t="s">
        <v>71</v>
      </c>
      <c r="C63" s="178"/>
      <c r="D63" s="179"/>
      <c r="E63" s="180"/>
      <c r="F63" s="150">
        <f t="shared" si="15"/>
        <v>0</v>
      </c>
      <c r="G63" s="118">
        <f t="shared" si="16"/>
        <v>0</v>
      </c>
      <c r="H63" s="153"/>
      <c r="I63" s="340">
        <f>(SUM(F63:G63)+SUM(F64:G64)+SUM(F65:G65)+SUM(F66:G66)+SUM(F68:G68)+SUM(F67:G67))/COUNT(G63:G68)</f>
        <v>0</v>
      </c>
      <c r="M63" s="102"/>
      <c r="N63" s="102"/>
      <c r="O63" s="102"/>
      <c r="AA63" s="103"/>
      <c r="AG63" s="102"/>
    </row>
    <row r="64" spans="1:33" hidden="1">
      <c r="A64" s="173">
        <v>527010</v>
      </c>
      <c r="B64" s="143" t="s">
        <v>71</v>
      </c>
      <c r="C64" s="128"/>
      <c r="D64" s="129"/>
      <c r="E64" s="174"/>
      <c r="F64" s="146">
        <f t="shared" si="15"/>
        <v>0</v>
      </c>
      <c r="G64" s="116">
        <f t="shared" si="16"/>
        <v>0</v>
      </c>
      <c r="H64" s="153"/>
      <c r="I64" s="351"/>
      <c r="M64" s="102"/>
      <c r="N64" s="102"/>
      <c r="O64" s="102"/>
      <c r="AA64" s="103"/>
      <c r="AG64" s="102"/>
    </row>
    <row r="65" spans="1:33" hidden="1">
      <c r="A65" s="173">
        <v>527030</v>
      </c>
      <c r="B65" s="143" t="s">
        <v>71</v>
      </c>
      <c r="C65" s="128"/>
      <c r="D65" s="129"/>
      <c r="E65" s="174"/>
      <c r="F65" s="146">
        <f t="shared" si="15"/>
        <v>0</v>
      </c>
      <c r="G65" s="116">
        <f t="shared" si="16"/>
        <v>0</v>
      </c>
      <c r="H65" s="153"/>
      <c r="I65" s="351"/>
      <c r="M65" s="102"/>
      <c r="N65" s="102"/>
      <c r="O65" s="102"/>
      <c r="AA65" s="103"/>
      <c r="AG65" s="102"/>
    </row>
    <row r="66" spans="1:33" hidden="1">
      <c r="A66" s="173">
        <v>527060</v>
      </c>
      <c r="B66" s="143" t="s">
        <v>71</v>
      </c>
      <c r="C66" s="128"/>
      <c r="D66" s="129"/>
      <c r="E66" s="174"/>
      <c r="F66" s="146">
        <f t="shared" si="15"/>
        <v>0</v>
      </c>
      <c r="G66" s="116">
        <f t="shared" si="16"/>
        <v>0</v>
      </c>
      <c r="H66" s="153"/>
      <c r="I66" s="351"/>
      <c r="M66" s="102"/>
      <c r="N66" s="102"/>
      <c r="O66" s="102"/>
      <c r="AA66" s="103"/>
      <c r="AG66" s="102"/>
    </row>
    <row r="67" spans="1:33" hidden="1">
      <c r="A67" s="184">
        <v>527080</v>
      </c>
      <c r="B67" s="148" t="s">
        <v>71</v>
      </c>
      <c r="C67" s="165"/>
      <c r="D67" s="166"/>
      <c r="E67" s="185"/>
      <c r="F67" s="156">
        <f>IF(C67=ISBLANK(0),0,(bandenMKIdrempel-C67)*(bandenMKIkorting/(bandenMKIdrempel-bandenMKIplafond)))</f>
        <v>0</v>
      </c>
      <c r="G67" s="120">
        <f t="shared" si="16"/>
        <v>0</v>
      </c>
      <c r="H67" s="153"/>
      <c r="I67" s="351"/>
      <c r="M67" s="102"/>
      <c r="N67" s="102"/>
      <c r="O67" s="102"/>
      <c r="AA67" s="103"/>
      <c r="AG67" s="102"/>
    </row>
    <row r="68" spans="1:33" hidden="1">
      <c r="A68" s="287">
        <v>527230</v>
      </c>
      <c r="B68" s="144" t="s">
        <v>71</v>
      </c>
      <c r="C68" s="130"/>
      <c r="D68" s="131"/>
      <c r="E68" s="176"/>
      <c r="F68" s="151">
        <f t="shared" si="15"/>
        <v>0</v>
      </c>
      <c r="G68" s="117">
        <f t="shared" si="16"/>
        <v>0</v>
      </c>
      <c r="H68" s="153"/>
      <c r="I68" s="352"/>
      <c r="M68" s="102"/>
      <c r="N68" s="102"/>
      <c r="O68" s="102"/>
      <c r="AA68" s="103"/>
      <c r="AG68" s="102"/>
    </row>
    <row r="69" spans="1:33" hidden="1">
      <c r="A69" s="177">
        <v>617110</v>
      </c>
      <c r="B69" s="149" t="s">
        <v>70</v>
      </c>
      <c r="C69" s="178"/>
      <c r="D69" s="179"/>
      <c r="E69" s="180"/>
      <c r="F69" s="150">
        <f t="shared" si="15"/>
        <v>0</v>
      </c>
      <c r="G69" s="118">
        <f t="shared" si="16"/>
        <v>0</v>
      </c>
      <c r="H69" s="153"/>
      <c r="I69" s="340">
        <f>(SUM(F69:G69)+SUM(F70:G70))/2</f>
        <v>0</v>
      </c>
      <c r="M69" s="102"/>
      <c r="N69" s="102"/>
      <c r="O69" s="102"/>
      <c r="AA69" s="103"/>
      <c r="AG69" s="102"/>
    </row>
    <row r="70" spans="1:33" hidden="1">
      <c r="A70" s="175">
        <v>617310</v>
      </c>
      <c r="B70" s="144" t="s">
        <v>70</v>
      </c>
      <c r="C70" s="130"/>
      <c r="D70" s="131"/>
      <c r="E70" s="176"/>
      <c r="F70" s="151">
        <f t="shared" si="15"/>
        <v>0</v>
      </c>
      <c r="G70" s="117">
        <f t="shared" si="16"/>
        <v>0</v>
      </c>
      <c r="H70" s="153"/>
      <c r="I70" s="352"/>
      <c r="M70" s="102"/>
      <c r="N70" s="102"/>
      <c r="O70" s="102"/>
      <c r="AA70" s="103"/>
      <c r="AG70" s="102"/>
    </row>
    <row r="71" spans="1:33" hidden="1">
      <c r="A71" s="102">
        <v>331140</v>
      </c>
      <c r="B71" s="149" t="s">
        <v>72</v>
      </c>
      <c r="C71" s="178"/>
      <c r="D71" s="179"/>
      <c r="E71" s="180"/>
      <c r="F71" s="183">
        <f>IF(C71=ISBLANK(0),0,(buizenMKIdrempel-C71)*(buizenMKIkorting/(buizenMKIdrempel-buizenMKIplafond)))</f>
        <v>0</v>
      </c>
      <c r="G71" s="118">
        <f>IF(D71=ISBLANK(0),0,D71-buizenCIRCdrempel)*(buizenCIRCkorting/(buizenCIRCplafond-buizenCIRCdrempel))</f>
        <v>0</v>
      </c>
      <c r="H71" s="153"/>
      <c r="I71" s="340">
        <f>(SUM(F71:G71)+SUM(F72:G72))/2</f>
        <v>0</v>
      </c>
      <c r="M71" s="102"/>
      <c r="N71" s="102"/>
      <c r="O71" s="102"/>
      <c r="AA71" s="103"/>
      <c r="AG71" s="102"/>
    </row>
    <row r="72" spans="1:33" ht="15" hidden="1" thickBot="1">
      <c r="A72" s="181">
        <v>331180</v>
      </c>
      <c r="B72" s="134" t="s">
        <v>72</v>
      </c>
      <c r="C72" s="135"/>
      <c r="D72" s="136"/>
      <c r="E72" s="182"/>
      <c r="F72" s="119">
        <f>IF(C72=ISBLANK(0),0,(buizenMKIdrempel-C72)*(buizenMKIkorting/(buizenMKIdrempel-buizenMKIplafond)))</f>
        <v>0</v>
      </c>
      <c r="G72" s="119">
        <f>IF(D72=ISBLANK(0),0,D72-buizenCIRCdrempel)*(buizenCIRCkorting/(buizenCIRCplafond-buizenCIRCdrempel))</f>
        <v>0</v>
      </c>
      <c r="H72" s="154"/>
      <c r="I72" s="341"/>
      <c r="M72" s="102"/>
      <c r="N72" s="102"/>
      <c r="O72" s="102"/>
      <c r="AA72" s="103"/>
      <c r="AG72" s="102"/>
    </row>
    <row r="73" spans="1:33" ht="21" hidden="1">
      <c r="A73" s="249"/>
      <c r="B73" s="251" t="s">
        <v>92</v>
      </c>
      <c r="C73" s="317"/>
      <c r="D73" s="318"/>
      <c r="E73" s="318"/>
      <c r="F73" s="318"/>
      <c r="G73" s="318"/>
      <c r="H73" s="318"/>
      <c r="I73" s="253">
        <f>IF(SUM(I55:I72)&lt;0,0,SUM(I55:I72))</f>
        <v>0</v>
      </c>
      <c r="M73" s="102"/>
      <c r="N73" s="102"/>
      <c r="O73" s="102"/>
      <c r="Z73" s="103"/>
      <c r="AG73" s="102"/>
    </row>
    <row r="74" spans="1:33" ht="6" hidden="1" customHeight="1" thickBot="1">
      <c r="A74" s="254"/>
      <c r="B74" s="256" t="s">
        <v>93</v>
      </c>
      <c r="C74" s="319"/>
      <c r="D74" s="320"/>
      <c r="E74" s="320"/>
      <c r="F74" s="320"/>
      <c r="G74" s="320"/>
      <c r="H74" s="320"/>
      <c r="I74" s="258">
        <f>SUM(A74:F74)</f>
        <v>0</v>
      </c>
      <c r="J74" s="140"/>
      <c r="K74" s="141"/>
      <c r="M74" s="102"/>
      <c r="N74" s="102"/>
      <c r="O74" s="102"/>
      <c r="Z74" s="103"/>
      <c r="AG74" s="102"/>
    </row>
    <row r="75" spans="1:33" ht="10" hidden="1" customHeight="1">
      <c r="H75" s="314"/>
      <c r="I75" s="140"/>
      <c r="J75" s="141"/>
      <c r="M75" s="102"/>
      <c r="N75" s="102"/>
      <c r="O75" s="102"/>
      <c r="Y75" s="103"/>
      <c r="AG75" s="102"/>
    </row>
    <row r="76" spans="1:33" ht="30.75" customHeight="1">
      <c r="I76" s="314"/>
      <c r="J76" s="140"/>
      <c r="K76" s="141"/>
      <c r="M76" s="102"/>
      <c r="N76" s="102"/>
      <c r="O76" s="102"/>
      <c r="Z76" s="103"/>
      <c r="AG76" s="102"/>
    </row>
    <row r="77" spans="1:33" ht="16" customHeight="1">
      <c r="A77" s="139" t="s">
        <v>74</v>
      </c>
      <c r="AF77" s="103"/>
      <c r="AG77" s="102"/>
    </row>
    <row r="78" spans="1:33" ht="16" customHeight="1">
      <c r="A78" s="95"/>
      <c r="C78" s="365"/>
      <c r="D78" s="365"/>
      <c r="E78" s="365"/>
      <c r="F78" s="365"/>
      <c r="G78" s="365"/>
      <c r="H78" s="365"/>
      <c r="I78" s="365"/>
      <c r="O78" s="99"/>
      <c r="AF78" s="103"/>
      <c r="AG78" s="102"/>
    </row>
    <row r="79" spans="1:33" ht="16" customHeight="1">
      <c r="A79" s="137" t="s">
        <v>50</v>
      </c>
      <c r="C79" s="364"/>
      <c r="D79" s="364"/>
      <c r="E79" s="364"/>
      <c r="F79" s="364"/>
      <c r="G79" s="364"/>
      <c r="H79" s="364"/>
      <c r="I79" s="364"/>
      <c r="O79" s="99"/>
      <c r="AF79" s="103"/>
      <c r="AG79" s="102"/>
    </row>
    <row r="80" spans="1:33" ht="16" customHeight="1">
      <c r="A80" s="137"/>
      <c r="C80" s="365"/>
      <c r="D80" s="365"/>
      <c r="E80" s="365"/>
      <c r="F80" s="365"/>
      <c r="G80" s="365"/>
      <c r="H80" s="365"/>
      <c r="I80" s="365"/>
      <c r="O80" s="99"/>
      <c r="AF80" s="103"/>
      <c r="AG80" s="102"/>
    </row>
    <row r="81" spans="1:33">
      <c r="A81" s="137" t="s">
        <v>51</v>
      </c>
      <c r="C81" s="364"/>
      <c r="D81" s="364"/>
      <c r="E81" s="364"/>
      <c r="F81" s="364"/>
      <c r="G81" s="364"/>
      <c r="H81" s="364"/>
      <c r="I81" s="364"/>
      <c r="O81" s="99"/>
      <c r="AE81" s="103"/>
      <c r="AG81" s="102"/>
    </row>
    <row r="82" spans="1:33">
      <c r="A82" s="137"/>
      <c r="C82" s="365"/>
      <c r="D82" s="365"/>
      <c r="E82" s="365"/>
      <c r="F82" s="365"/>
      <c r="G82" s="365"/>
      <c r="H82" s="365"/>
      <c r="I82" s="365"/>
      <c r="O82" s="99"/>
    </row>
    <row r="83" spans="1:33">
      <c r="A83" s="137" t="s">
        <v>52</v>
      </c>
      <c r="C83" s="364"/>
      <c r="D83" s="364"/>
      <c r="E83" s="364"/>
      <c r="F83" s="364"/>
      <c r="G83" s="364"/>
      <c r="H83" s="364"/>
      <c r="I83" s="364"/>
      <c r="O83" s="99"/>
    </row>
    <row r="84" spans="1:33">
      <c r="A84" s="137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</row>
    <row r="85" spans="1:33">
      <c r="A85" s="138" t="s">
        <v>53</v>
      </c>
      <c r="D85" s="95"/>
      <c r="E85" s="95"/>
      <c r="F85" s="95"/>
      <c r="G85" s="95"/>
      <c r="H85" s="95"/>
      <c r="I85" s="95"/>
      <c r="J85" s="95"/>
      <c r="K85" s="96"/>
      <c r="L85" s="97"/>
      <c r="M85" s="95"/>
      <c r="N85" s="97"/>
      <c r="O85" s="97"/>
      <c r="R85" s="106"/>
    </row>
    <row r="86" spans="1:33">
      <c r="A86" s="137" t="s">
        <v>54</v>
      </c>
      <c r="D86" s="95"/>
      <c r="E86" s="95"/>
      <c r="F86" s="95"/>
      <c r="G86" s="95"/>
      <c r="H86" s="95"/>
      <c r="I86" s="95"/>
      <c r="J86" s="95"/>
      <c r="K86" s="96"/>
      <c r="L86" s="97"/>
      <c r="M86" s="95"/>
      <c r="N86" s="97"/>
      <c r="O86" s="97"/>
    </row>
    <row r="87" spans="1:33">
      <c r="A87" s="137" t="s">
        <v>55</v>
      </c>
      <c r="D87" s="95"/>
      <c r="E87" s="95"/>
      <c r="F87" s="95"/>
      <c r="G87" s="95"/>
      <c r="H87" s="95"/>
      <c r="I87" s="95"/>
      <c r="J87" s="95"/>
      <c r="K87" s="96"/>
      <c r="L87" s="97"/>
      <c r="M87" s="95"/>
      <c r="N87" s="97"/>
      <c r="O87" s="97"/>
    </row>
    <row r="88" spans="1:33">
      <c r="A88" s="137" t="s">
        <v>56</v>
      </c>
      <c r="D88" s="95"/>
      <c r="E88" s="95"/>
      <c r="F88" s="95"/>
      <c r="G88" s="95"/>
      <c r="H88" s="95"/>
      <c r="I88" s="95"/>
      <c r="J88" s="95"/>
      <c r="K88" s="96"/>
      <c r="L88" s="97"/>
      <c r="M88" s="95"/>
      <c r="N88" s="97"/>
      <c r="O88" s="97"/>
    </row>
    <row r="89" spans="1:33">
      <c r="A89" s="137" t="s">
        <v>57</v>
      </c>
      <c r="D89" s="95"/>
      <c r="E89" s="95"/>
      <c r="F89" s="95"/>
      <c r="G89" s="95"/>
      <c r="H89" s="95"/>
      <c r="I89" s="95"/>
      <c r="J89" s="95"/>
      <c r="K89" s="96"/>
      <c r="L89" s="97"/>
      <c r="M89" s="95"/>
      <c r="N89" s="97"/>
      <c r="O89" s="97"/>
    </row>
    <row r="90" spans="1:33">
      <c r="A90" s="137"/>
      <c r="C90" s="365"/>
      <c r="D90" s="365"/>
      <c r="E90" s="365"/>
      <c r="F90" s="365"/>
      <c r="G90" s="365"/>
      <c r="H90" s="365"/>
      <c r="I90" s="365"/>
      <c r="O90" s="99"/>
    </row>
    <row r="91" spans="1:33">
      <c r="A91" s="137" t="s">
        <v>58</v>
      </c>
      <c r="C91" s="364"/>
      <c r="D91" s="364"/>
      <c r="E91" s="364"/>
      <c r="F91" s="364"/>
      <c r="G91" s="364"/>
      <c r="H91" s="364"/>
      <c r="I91" s="364"/>
      <c r="O91" s="99"/>
    </row>
    <row r="92" spans="1:33">
      <c r="A92" s="137"/>
      <c r="C92" s="365"/>
      <c r="D92" s="365"/>
      <c r="E92" s="365"/>
      <c r="F92" s="365"/>
      <c r="G92" s="365"/>
      <c r="H92" s="365"/>
      <c r="I92" s="365"/>
      <c r="O92" s="99"/>
    </row>
    <row r="93" spans="1:33">
      <c r="A93" s="137" t="s">
        <v>59</v>
      </c>
      <c r="C93" s="364"/>
      <c r="D93" s="364"/>
      <c r="E93" s="364"/>
      <c r="F93" s="364"/>
      <c r="G93" s="364"/>
      <c r="H93" s="364"/>
      <c r="I93" s="364"/>
      <c r="O93" s="99"/>
    </row>
    <row r="94" spans="1:33">
      <c r="A94" s="137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</row>
    <row r="95" spans="1:33">
      <c r="A95" s="137"/>
      <c r="C95" s="365"/>
      <c r="D95" s="365"/>
      <c r="E95" s="365"/>
      <c r="F95" s="365"/>
      <c r="G95" s="365"/>
      <c r="H95" s="365"/>
      <c r="I95" s="365"/>
      <c r="J95" s="99"/>
      <c r="K95" s="99"/>
      <c r="L95" s="99"/>
      <c r="M95" s="99"/>
      <c r="N95" s="99"/>
      <c r="O95" s="99"/>
    </row>
    <row r="96" spans="1:33">
      <c r="A96" s="137"/>
      <c r="C96" s="365"/>
      <c r="D96" s="365"/>
      <c r="E96" s="365"/>
      <c r="F96" s="365"/>
      <c r="G96" s="365"/>
      <c r="H96" s="365"/>
      <c r="I96" s="365"/>
      <c r="J96" s="99"/>
      <c r="K96" s="99"/>
      <c r="L96" s="99"/>
      <c r="M96" s="99"/>
      <c r="N96" s="99"/>
      <c r="O96" s="99"/>
    </row>
    <row r="97" spans="1:15">
      <c r="A97" s="137" t="s">
        <v>60</v>
      </c>
      <c r="C97" s="364"/>
      <c r="D97" s="364"/>
      <c r="E97" s="364"/>
      <c r="F97" s="364"/>
      <c r="G97" s="364"/>
      <c r="H97" s="364"/>
      <c r="I97" s="364"/>
      <c r="J97" s="99"/>
      <c r="K97" s="99"/>
      <c r="L97" s="99"/>
      <c r="M97" s="99"/>
      <c r="N97" s="99"/>
      <c r="O97" s="99"/>
    </row>
    <row r="98" spans="1:15">
      <c r="A98" s="137"/>
      <c r="C98" s="365"/>
      <c r="D98" s="365"/>
      <c r="E98" s="365"/>
      <c r="F98" s="365"/>
      <c r="G98" s="365"/>
      <c r="H98" s="365"/>
      <c r="I98" s="365"/>
      <c r="J98" s="99"/>
      <c r="K98" s="99"/>
      <c r="L98" s="99"/>
      <c r="M98" s="99"/>
      <c r="N98" s="99"/>
      <c r="O98" s="99"/>
    </row>
    <row r="99" spans="1:15">
      <c r="A99" s="137" t="s">
        <v>61</v>
      </c>
      <c r="C99" s="364"/>
      <c r="D99" s="364"/>
      <c r="E99" s="364"/>
      <c r="F99" s="364"/>
      <c r="G99" s="364"/>
      <c r="H99" s="364"/>
      <c r="I99" s="364"/>
      <c r="J99" s="99"/>
      <c r="K99" s="99"/>
      <c r="L99" s="99"/>
      <c r="M99" s="99"/>
      <c r="N99" s="99"/>
      <c r="O99" s="99"/>
    </row>
    <row r="100" spans="1:15">
      <c r="A100" s="137"/>
      <c r="C100" s="365"/>
      <c r="D100" s="365"/>
      <c r="E100" s="365"/>
      <c r="F100" s="365"/>
      <c r="G100" s="365"/>
      <c r="H100" s="365"/>
      <c r="I100" s="365"/>
      <c r="O100" s="99"/>
    </row>
    <row r="101" spans="1:15">
      <c r="A101" s="137" t="s">
        <v>62</v>
      </c>
      <c r="C101" s="364"/>
      <c r="D101" s="364"/>
      <c r="E101" s="364"/>
      <c r="F101" s="364"/>
      <c r="G101" s="364"/>
      <c r="H101" s="364"/>
      <c r="I101" s="364"/>
      <c r="O101" s="99"/>
    </row>
    <row r="102" spans="1:15">
      <c r="A102" s="139"/>
      <c r="D102" s="95"/>
      <c r="E102" s="95"/>
      <c r="F102" s="95"/>
      <c r="G102" s="95"/>
      <c r="H102" s="95"/>
      <c r="I102" s="95"/>
      <c r="J102" s="95"/>
      <c r="K102" s="96"/>
      <c r="L102" s="97"/>
      <c r="M102" s="95"/>
      <c r="N102" s="97"/>
      <c r="O102" s="97"/>
    </row>
    <row r="103" spans="1:15">
      <c r="A103" s="138" t="s">
        <v>63</v>
      </c>
      <c r="D103" s="95"/>
      <c r="E103" s="95"/>
      <c r="F103" s="95"/>
      <c r="G103" s="95"/>
      <c r="H103" s="95"/>
      <c r="I103" s="95"/>
      <c r="J103" s="95"/>
      <c r="K103" s="96"/>
      <c r="L103" s="97"/>
      <c r="M103" s="95"/>
      <c r="N103" s="97"/>
      <c r="O103" s="97"/>
    </row>
    <row r="104" spans="1:15">
      <c r="A104" s="138" t="s">
        <v>64</v>
      </c>
      <c r="D104" s="95"/>
      <c r="E104" s="95"/>
      <c r="F104" s="95"/>
      <c r="G104" s="95"/>
      <c r="H104" s="95"/>
      <c r="I104" s="95"/>
      <c r="J104" s="95"/>
      <c r="K104" s="96"/>
      <c r="L104" s="97"/>
      <c r="M104" s="95"/>
      <c r="N104" s="97"/>
      <c r="O104" s="97"/>
    </row>
    <row r="105" spans="1:15">
      <c r="B105" s="95"/>
      <c r="C105" s="95"/>
      <c r="D105" s="95"/>
      <c r="E105" s="95"/>
      <c r="F105" s="95"/>
      <c r="G105" s="95"/>
      <c r="H105" s="95"/>
      <c r="I105" s="95"/>
      <c r="J105" s="95"/>
      <c r="K105" s="96"/>
      <c r="L105" s="97"/>
      <c r="M105" s="95"/>
      <c r="N105" s="97"/>
      <c r="O105" s="97"/>
    </row>
    <row r="106" spans="1:15">
      <c r="B106" s="95"/>
      <c r="C106" s="95"/>
      <c r="D106" s="95"/>
      <c r="E106" s="95"/>
      <c r="F106" s="95"/>
      <c r="G106" s="95"/>
      <c r="H106" s="95"/>
      <c r="I106" s="95"/>
      <c r="J106" s="95"/>
      <c r="K106" s="96"/>
      <c r="L106" s="97"/>
      <c r="M106" s="95"/>
      <c r="N106" s="97"/>
      <c r="O106" s="97"/>
    </row>
    <row r="107" spans="1:15">
      <c r="B107" s="95"/>
      <c r="C107" s="95"/>
      <c r="D107" s="95"/>
      <c r="E107" s="95"/>
      <c r="F107" s="95"/>
      <c r="G107" s="95"/>
      <c r="H107" s="95"/>
      <c r="I107" s="95"/>
      <c r="J107" s="95"/>
      <c r="K107" s="96"/>
      <c r="L107" s="97"/>
      <c r="M107" s="95"/>
      <c r="N107" s="97"/>
      <c r="O107" s="97"/>
    </row>
  </sheetData>
  <sheetProtection algorithmName="SHA-512" hashValue="fFdU1Mwe57rFkYsKoxZY9ZUlBwSIUNpuMzAnO/E2Jsm7t7t1l4MwYiG624+aMTp7JedW0eNgX5vKl/0f/WoYSg==" saltValue="M1YlImBDGKINbyfEbYKXhA==" spinCount="100000" sheet="1" selectLockedCells="1"/>
  <mergeCells count="21">
    <mergeCell ref="C82:I83"/>
    <mergeCell ref="C90:I91"/>
    <mergeCell ref="C92:I93"/>
    <mergeCell ref="C98:I99"/>
    <mergeCell ref="C100:I101"/>
    <mergeCell ref="C95:I97"/>
    <mergeCell ref="I63:I68"/>
    <mergeCell ref="I69:I70"/>
    <mergeCell ref="I71:I72"/>
    <mergeCell ref="C78:I79"/>
    <mergeCell ref="C80:I81"/>
    <mergeCell ref="I60:I62"/>
    <mergeCell ref="I55:I57"/>
    <mergeCell ref="J22:K22"/>
    <mergeCell ref="J23:K40"/>
    <mergeCell ref="L23:L38"/>
    <mergeCell ref="B4:D4"/>
    <mergeCell ref="I3:J3"/>
    <mergeCell ref="K3:L3"/>
    <mergeCell ref="I4:J4"/>
    <mergeCell ref="K4:L4"/>
  </mergeCells>
  <conditionalFormatting sqref="D55:D57">
    <cfRule type="cellIs" dxfId="7" priority="6" operator="notBetween">
      <formula>0</formula>
      <formula>98</formula>
    </cfRule>
  </conditionalFormatting>
  <conditionalFormatting sqref="C71:C72">
    <cfRule type="cellIs" dxfId="6" priority="8" operator="notBetween">
      <formula>0</formula>
      <formula>14.14</formula>
    </cfRule>
  </conditionalFormatting>
  <conditionalFormatting sqref="D71:D72">
    <cfRule type="cellIs" dxfId="5" priority="7" operator="notBetween">
      <formula>0</formula>
      <formula>50</formula>
    </cfRule>
  </conditionalFormatting>
  <conditionalFormatting sqref="E55">
    <cfRule type="cellIs" dxfId="4" priority="5" operator="notBetween">
      <formula>5</formula>
      <formula>10</formula>
    </cfRule>
  </conditionalFormatting>
  <conditionalFormatting sqref="C55:C57">
    <cfRule type="cellIs" dxfId="3" priority="4" operator="notBetween">
      <formula>12</formula>
      <formula>20</formula>
    </cfRule>
  </conditionalFormatting>
  <conditionalFormatting sqref="C58:C59">
    <cfRule type="cellIs" dxfId="2" priority="3" operator="notBetween">
      <formula>0</formula>
      <formula>5.61</formula>
    </cfRule>
  </conditionalFormatting>
  <conditionalFormatting sqref="D58:D59">
    <cfRule type="cellIs" dxfId="1" priority="2" operator="notBetween">
      <formula>50</formula>
      <formula>98</formula>
    </cfRule>
  </conditionalFormatting>
  <conditionalFormatting sqref="E58:E59">
    <cfRule type="cellIs" dxfId="0" priority="1" operator="notBetween">
      <formula>10</formula>
      <formula>15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61</vt:i4>
      </vt:variant>
    </vt:vector>
  </HeadingPairs>
  <TitlesOfParts>
    <vt:vector size="65" baseType="lpstr">
      <vt:lpstr>dashboard</vt:lpstr>
      <vt:lpstr>output</vt:lpstr>
      <vt:lpstr>voorbeeldberekening</vt:lpstr>
      <vt:lpstr>invulblad</vt:lpstr>
      <vt:lpstr>asfaltMAXkorting</vt:lpstr>
      <vt:lpstr>bandenCIRCdrempel</vt:lpstr>
      <vt:lpstr>bandenCIRCkorting</vt:lpstr>
      <vt:lpstr>bandenCIRCplafond</vt:lpstr>
      <vt:lpstr>bandenMAXkorting</vt:lpstr>
      <vt:lpstr>bandenMKIdrempel</vt:lpstr>
      <vt:lpstr>bandenMKIkorting</vt:lpstr>
      <vt:lpstr>bandenMKIplafond</vt:lpstr>
      <vt:lpstr>betonMAXkorting</vt:lpstr>
      <vt:lpstr>buizenCIRCdrempel</vt:lpstr>
      <vt:lpstr>buizenCIRCkorting</vt:lpstr>
      <vt:lpstr>buizenCIRCplafond</vt:lpstr>
      <vt:lpstr>buizenMAXkorting</vt:lpstr>
      <vt:lpstr>buizenMKIdrempel</vt:lpstr>
      <vt:lpstr>buizenMKIkorting</vt:lpstr>
      <vt:lpstr>buizenMKIplafond</vt:lpstr>
      <vt:lpstr>deklaagCIRCdrempel</vt:lpstr>
      <vt:lpstr>deklaagCIRCfactor</vt:lpstr>
      <vt:lpstr>deklaagCIRCkorting</vt:lpstr>
      <vt:lpstr>deklaagCIRCplafond</vt:lpstr>
      <vt:lpstr>deklaagGARdrempel</vt:lpstr>
      <vt:lpstr>deklaagGARkorting</vt:lpstr>
      <vt:lpstr>deklaagGARplafond</vt:lpstr>
      <vt:lpstr>deklaagMAXkorting</vt:lpstr>
      <vt:lpstr>deklaagMKIdrempel</vt:lpstr>
      <vt:lpstr>deklaagMKIfactor</vt:lpstr>
      <vt:lpstr>deklaagMKIkorting</vt:lpstr>
      <vt:lpstr>deklaagMKIplafond</vt:lpstr>
      <vt:lpstr>kortingTOTAAL</vt:lpstr>
      <vt:lpstr>onderCIRCdrempel</vt:lpstr>
      <vt:lpstr>onderCIRCfactor</vt:lpstr>
      <vt:lpstr>onderCIRCkorting</vt:lpstr>
      <vt:lpstr>onderCIRCplafond</vt:lpstr>
      <vt:lpstr>onderGARdrempel</vt:lpstr>
      <vt:lpstr>onderGARkorting</vt:lpstr>
      <vt:lpstr>onderGARplafond</vt:lpstr>
      <vt:lpstr>onderMAXkorting</vt:lpstr>
      <vt:lpstr>onderMKIdrempel</vt:lpstr>
      <vt:lpstr>onderMKIfactor</vt:lpstr>
      <vt:lpstr>onderMKIkorting</vt:lpstr>
      <vt:lpstr>onderMKIplafond</vt:lpstr>
      <vt:lpstr>roodCIRCdrempel</vt:lpstr>
      <vt:lpstr>roodCIRCkorting</vt:lpstr>
      <vt:lpstr>roodCIRCplafond</vt:lpstr>
      <vt:lpstr>roodGARdrempel</vt:lpstr>
      <vt:lpstr>roodGARkorting</vt:lpstr>
      <vt:lpstr>roodGARplafond</vt:lpstr>
      <vt:lpstr>roodMKIdrempel</vt:lpstr>
      <vt:lpstr>roodMKIkorting</vt:lpstr>
      <vt:lpstr>roodMKIplafond</vt:lpstr>
      <vt:lpstr>tussenCIRCdrempel</vt:lpstr>
      <vt:lpstr>tussenCIRCfactor</vt:lpstr>
      <vt:lpstr>tussenCIRCkorting</vt:lpstr>
      <vt:lpstr>tussenCIRCplafond</vt:lpstr>
      <vt:lpstr>tussenGARdrempel</vt:lpstr>
      <vt:lpstr>tussenGARkorting</vt:lpstr>
      <vt:lpstr>tussenGARplafond</vt:lpstr>
      <vt:lpstr>tussenMAXkorting</vt:lpstr>
      <vt:lpstr>tussenMKIdrempel</vt:lpstr>
      <vt:lpstr>tussenMKIkorting</vt:lpstr>
      <vt:lpstr>tussenMKIplafond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Vieve Smulders</cp:lastModifiedBy>
  <cp:lastPrinted>2021-07-15T15:07:14Z</cp:lastPrinted>
  <dcterms:created xsi:type="dcterms:W3CDTF">2020-05-26T14:06:55Z</dcterms:created>
  <dcterms:modified xsi:type="dcterms:W3CDTF">2021-10-13T07:25:15Z</dcterms:modified>
</cp:coreProperties>
</file>