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DATA\EXTERN\Stichting Openbaar Onderwijs Oost Groningen\Aanbesteding 2021\Uitlever\"/>
    </mc:Choice>
  </mc:AlternateContent>
  <xr:revisionPtr revIDLastSave="0" documentId="8_{6F809E41-CAAC-4D7B-80FF-0F98A0D8E1B2}" xr6:coauthVersionLast="45" xr6:coauthVersionMax="45" xr10:uidLastSave="{00000000-0000-0000-0000-000000000000}"/>
  <bookViews>
    <workbookView xWindow="4095" yWindow="1710" windowWidth="23040" windowHeight="12195" activeTab="2" xr2:uid="{AA6DD629-D786-4697-ACAA-4167A8C2BB7E}"/>
  </bookViews>
  <sheets>
    <sheet name="Omreken" sheetId="1" r:id="rId1"/>
    <sheet name="Categorienormen" sheetId="2" r:id="rId2"/>
    <sheet name="Regulier werk" sheetId="3" r:id="rId3"/>
    <sheet name="Objectinformatie" sheetId="4" r:id="rId4"/>
    <sheet name="Objecten" sheetId="5" r:id="rId5"/>
    <sheet name="Niet-meewerkende objectleiding" sheetId="6" r:id="rId6"/>
    <sheet name="Totaalblad Objecten" sheetId="7" r:id="rId7"/>
    <sheet name="Afroep" sheetId="8" r:id="rId8"/>
    <sheet name="Afroep incidenteel" sheetId="9" r:id="rId9"/>
    <sheet name="Glas" sheetId="10" r:id="rId10"/>
    <sheet name="Glas per locatie" sheetId="11" r:id="rId11"/>
    <sheet name="Totaal" sheetId="12" r:id="rId12"/>
  </sheets>
  <definedNames>
    <definedName name="_xlnm.Print_Titles" localSheetId="7">Afroep!$1:$3</definedName>
    <definedName name="_xlnm.Print_Titles" localSheetId="8">'Afroep incidenteel'!$1:$3</definedName>
    <definedName name="_xlnm.Print_Titles" localSheetId="1">Categorienormen!$1:$3</definedName>
    <definedName name="_xlnm.Print_Titles" localSheetId="9">Glas!$1:$3</definedName>
    <definedName name="_xlnm.Print_Titles" localSheetId="10">'Glas per locatie'!$1:$3</definedName>
    <definedName name="_xlnm.Print_Titles" localSheetId="5">'Niet-meewerkende objectleiding'!$1:$3</definedName>
    <definedName name="_xlnm.Print_Titles" localSheetId="4">Objecten!$1:$3</definedName>
    <definedName name="_xlnm.Print_Titles" localSheetId="3">Objectinformatie!$A:$D,Objectinformatie!$1:$4</definedName>
    <definedName name="_xlnm.Print_Titles" localSheetId="2">'Regulier werk'!$1:$3</definedName>
    <definedName name="_xlnm.Print_Titles" localSheetId="11">Totaal!$1:$3</definedName>
    <definedName name="_xlnm.Print_Titles" localSheetId="6">'Totaalblad Objecten'!$1:$3</definedName>
    <definedName name="catdw_1_AHB_1">Categorienormen!$F$17</definedName>
    <definedName name="catdw_1_AHV_40">Categorienormen!$F$23</definedName>
    <definedName name="catdw_1_AZB_1">Categorienormen!$F$30</definedName>
    <definedName name="catdw_1_AZV_40">Categorienormen!$F$33</definedName>
    <definedName name="catdw_1_BHB_1">Categorienormen!$F$6</definedName>
    <definedName name="catdw_1_BHV_40">Categorienormen!$F$8</definedName>
    <definedName name="catdw_1_BZB_1">Categorienormen!$F$10</definedName>
    <definedName name="catdw_1_BZV_40">Categorienormen!$F$12</definedName>
    <definedName name="catdw_1_EHB_1">Categorienormen!$F$18</definedName>
    <definedName name="catdw_1_EHV_40">Categorienormen!$F$24</definedName>
    <definedName name="catdw_1_EZB_1">Categorienormen!$F$31</definedName>
    <definedName name="catdw_1_EZV_40">Categorienormen!$F$35</definedName>
    <definedName name="catdw_1_EZV_52">Categorienormen!$F$34</definedName>
    <definedName name="catdw_1_GHB_1">Categorienormen!$F$19</definedName>
    <definedName name="catdw_1_GHV_40">Categorienormen!$F$25</definedName>
    <definedName name="catdw_1_GZV_40">Categorienormen!$F$36</definedName>
    <definedName name="catdw_1_LHB_1">Categorienormen!$F$7</definedName>
    <definedName name="catdw_1_LHV_40">Categorienormen!$F$9</definedName>
    <definedName name="catdw_1_LZB_1">Categorienormen!$F$11</definedName>
    <definedName name="catdw_1_LZV_40">Categorienormen!$F$13</definedName>
    <definedName name="catdw_1_PHB_1">Categorienormen!$F$20</definedName>
    <definedName name="catdw_1_PHV_40">Categorienormen!$F$26</definedName>
    <definedName name="catdw_1_SHB_1">Categorienormen!$F$14</definedName>
    <definedName name="catdw_1_SHV_40">Categorienormen!$F$15</definedName>
    <definedName name="catdw_1_SHV_52">Categorienormen!$F$16</definedName>
    <definedName name="catdw_1_THB_1">Categorienormen!$F$21</definedName>
    <definedName name="catdw_1_THV_40">Categorienormen!$F$27</definedName>
    <definedName name="catdw_1_VHB_1">Categorienormen!$F$22</definedName>
    <definedName name="catdw_1_VHV_40">Categorienormen!$F$28</definedName>
    <definedName name="catdw_1_VHV_52">Categorienormen!$F$29</definedName>
    <definedName name="catdw_1_VZB_1">Categorienormen!$F$32</definedName>
    <definedName name="catdw_1_VZV_40">Categorienormen!$F$37</definedName>
    <definedName name="catdw_1_XBB_1">Categorienormen!$F$38</definedName>
    <definedName name="catfd_1_AHB_1">Categorienormen!$C$17</definedName>
    <definedName name="catfd_1_AHV_40">Categorienormen!$C$23</definedName>
    <definedName name="catfd_1_AZB_1">Categorienormen!$C$30</definedName>
    <definedName name="catfd_1_AZV_40">Categorienormen!$C$33</definedName>
    <definedName name="catfd_1_BHB_1">Categorienormen!$C$6</definedName>
    <definedName name="catfd_1_BHV_40">Categorienormen!$C$8</definedName>
    <definedName name="catfd_1_BZB_1">Categorienormen!$C$10</definedName>
    <definedName name="catfd_1_BZV_40">Categorienormen!$C$12</definedName>
    <definedName name="catfd_1_EHB_1">Categorienormen!$C$18</definedName>
    <definedName name="catfd_1_EHV_40">Categorienormen!$C$24</definedName>
    <definedName name="catfd_1_EZB_1">Categorienormen!$C$31</definedName>
    <definedName name="catfd_1_EZV_40">Categorienormen!$C$35</definedName>
    <definedName name="catfd_1_EZV_52">Categorienormen!$C$34</definedName>
    <definedName name="catfd_1_GHB_1">Categorienormen!$C$19</definedName>
    <definedName name="catfd_1_GHV_40">Categorienormen!$C$25</definedName>
    <definedName name="catfd_1_GZV_40">Categorienormen!$C$36</definedName>
    <definedName name="catfd_1_LHB_1">Categorienormen!$C$7</definedName>
    <definedName name="catfd_1_LHV_40">Categorienormen!$C$9</definedName>
    <definedName name="catfd_1_LZB_1">Categorienormen!$C$11</definedName>
    <definedName name="catfd_1_LZV_40">Categorienormen!$C$13</definedName>
    <definedName name="catfd_1_PHB_1">Categorienormen!$C$20</definedName>
    <definedName name="catfd_1_PHV_40">Categorienormen!$C$26</definedName>
    <definedName name="catfd_1_SHB_1">Categorienormen!$C$14</definedName>
    <definedName name="catfd_1_SHV_40">Categorienormen!$C$15</definedName>
    <definedName name="catfd_1_SHV_52">Categorienormen!$C$16</definedName>
    <definedName name="catfd_1_THB_1">Categorienormen!$C$21</definedName>
    <definedName name="catfd_1_THV_40">Categorienormen!$C$27</definedName>
    <definedName name="catfd_1_VHB_1">Categorienormen!$C$22</definedName>
    <definedName name="catfd_1_VHV_40">Categorienormen!$C$28</definedName>
    <definedName name="catfd_1_VHV_52">Categorienormen!$C$29</definedName>
    <definedName name="catfd_1_VZB_1">Categorienormen!$C$32</definedName>
    <definedName name="catfd_1_VZV_40">Categorienormen!$C$37</definedName>
    <definedName name="catfd_1_XBB_1">Categorienormen!$C$38</definedName>
    <definedName name="catpn_1_AHB_1">Categorienormen!$E$17</definedName>
    <definedName name="catpn_1_AHV_40">Categorienormen!$E$23</definedName>
    <definedName name="catpn_1_AZB_1">Categorienormen!$E$30</definedName>
    <definedName name="catpn_1_AZV_40">Categorienormen!$E$33</definedName>
    <definedName name="catpn_1_BHB_1">Categorienormen!$E$6</definedName>
    <definedName name="catpn_1_BHV_40">Categorienormen!$E$8</definedName>
    <definedName name="catpn_1_BZB_1">Categorienormen!$E$10</definedName>
    <definedName name="catpn_1_BZV_40">Categorienormen!$E$12</definedName>
    <definedName name="catpn_1_EHB_1">Categorienormen!$E$18</definedName>
    <definedName name="catpn_1_EHV_40">Categorienormen!$E$24</definedName>
    <definedName name="catpn_1_EZB_1">Categorienormen!$E$31</definedName>
    <definedName name="catpn_1_EZV_40">Categorienormen!$E$35</definedName>
    <definedName name="catpn_1_EZV_52">Categorienormen!$E$34</definedName>
    <definedName name="catpn_1_GHB_1">Categorienormen!$E$19</definedName>
    <definedName name="catpn_1_GHV_40">Categorienormen!$E$25</definedName>
    <definedName name="catpn_1_GZV_40">Categorienormen!$E$36</definedName>
    <definedName name="catpn_1_LHB_1">Categorienormen!$E$7</definedName>
    <definedName name="catpn_1_LHV_40">Categorienormen!$E$9</definedName>
    <definedName name="catpn_1_LZB_1">Categorienormen!$E$11</definedName>
    <definedName name="catpn_1_LZV_40">Categorienormen!$E$13</definedName>
    <definedName name="catpn_1_PHB_1">Categorienormen!$E$20</definedName>
    <definedName name="catpn_1_PHV_40">Categorienormen!$E$26</definedName>
    <definedName name="catpn_1_SHB_1">Categorienormen!$E$14</definedName>
    <definedName name="catpn_1_SHV_40">Categorienormen!$E$15</definedName>
    <definedName name="catpn_1_SHV_52">Categorienormen!$E$16</definedName>
    <definedName name="catpn_1_THB_1">Categorienormen!$E$21</definedName>
    <definedName name="catpn_1_THV_40">Categorienormen!$E$27</definedName>
    <definedName name="catpn_1_VHB_1">Categorienormen!$E$22</definedName>
    <definedName name="catpn_1_VHV_40">Categorienormen!$E$28</definedName>
    <definedName name="catpn_1_VHV_52">Categorienormen!$E$29</definedName>
    <definedName name="catpn_1_VZB_1">Categorienormen!$E$32</definedName>
    <definedName name="catpn_1_VZV_40">Categorienormen!$E$37</definedName>
    <definedName name="catpn_1_XBB_1">Categorienormen!$E$38</definedName>
    <definedName name="cattf_1_AHB_1">Categorienormen!$H$17</definedName>
    <definedName name="cattf_1_AHV_40">Categorienormen!$H$23</definedName>
    <definedName name="cattf_1_AZB_1">Categorienormen!$H$30</definedName>
    <definedName name="cattf_1_AZV_40">Categorienormen!$H$33</definedName>
    <definedName name="cattf_1_BHB_1">Categorienormen!$H$6</definedName>
    <definedName name="cattf_1_BHV_40">Categorienormen!$H$8</definedName>
    <definedName name="cattf_1_BZB_1">Categorienormen!$H$10</definedName>
    <definedName name="cattf_1_BZV_40">Categorienormen!$H$12</definedName>
    <definedName name="cattf_1_EHB_1">Categorienormen!$H$18</definedName>
    <definedName name="cattf_1_EHV_40">Categorienormen!$H$24</definedName>
    <definedName name="cattf_1_EZB_1">Categorienormen!$H$31</definedName>
    <definedName name="cattf_1_EZV_40">Categorienormen!$H$35</definedName>
    <definedName name="cattf_1_EZV_52">Categorienormen!$H$34</definedName>
    <definedName name="cattf_1_GHB_1">Categorienormen!$H$19</definedName>
    <definedName name="cattf_1_GHV_40">Categorienormen!$H$25</definedName>
    <definedName name="cattf_1_GZV_40">Categorienormen!$H$36</definedName>
    <definedName name="cattf_1_LHB_1">Categorienormen!$H$7</definedName>
    <definedName name="cattf_1_LHV_40">Categorienormen!$H$9</definedName>
    <definedName name="cattf_1_LZB_1">Categorienormen!$H$11</definedName>
    <definedName name="cattf_1_LZV_40">Categorienormen!$H$13</definedName>
    <definedName name="cattf_1_PHB_1">Categorienormen!$H$20</definedName>
    <definedName name="cattf_1_PHV_40">Categorienormen!$H$26</definedName>
    <definedName name="cattf_1_SHB_1">Categorienormen!$H$14</definedName>
    <definedName name="cattf_1_SHV_40">Categorienormen!$H$15</definedName>
    <definedName name="cattf_1_SHV_52">Categorienormen!$H$16</definedName>
    <definedName name="cattf_1_THB_1">Categorienormen!$H$21</definedName>
    <definedName name="cattf_1_THV_40">Categorienormen!$H$27</definedName>
    <definedName name="cattf_1_VHB_1">Categorienormen!$H$22</definedName>
    <definedName name="cattf_1_VHV_40">Categorienormen!$H$28</definedName>
    <definedName name="cattf_1_VHV_52">Categorienormen!$H$29</definedName>
    <definedName name="cattf_1_VZB_1">Categorienormen!$H$32</definedName>
    <definedName name="cattf_1_VZV_40">Categorienormen!$H$37</definedName>
    <definedName name="cattf_1_XBB_1">Categorienormen!$H$38</definedName>
    <definedName name="dagenperjaar1">Omreken!$B$9</definedName>
    <definedName name="dagenperjaar2">Omreken!$E$9</definedName>
    <definedName name="dagenperjaar3">Omreken!$H$9</definedName>
    <definedName name="dagenperjaar4">Omreken!$K$9</definedName>
    <definedName name="dagenperweek1">Omreken!$B$10</definedName>
    <definedName name="dagenperweek2">Omreken!$E$10</definedName>
    <definedName name="dagenperweek3">Omreken!$H$10</definedName>
    <definedName name="dagenperweek4">Omreken!$K$10</definedName>
    <definedName name="dagsoorttabel1">Omreken!$A$13:$B$33</definedName>
    <definedName name="dagsoorttabel2">Omreken!$D$13:$E$24</definedName>
    <definedName name="dagsoorttabel3">Omreken!$G$13:$H$14</definedName>
    <definedName name="dagsoorttabel4">Omreken!$J$13:$K$24</definedName>
    <definedName name="dagwerk10">'Regulier werk'!$H$10</definedName>
    <definedName name="dagwerk11">'Regulier werk'!$H$11</definedName>
    <definedName name="dagwerk12">'Regulier werk'!$H$12</definedName>
    <definedName name="dagwerk13">'Regulier werk'!$H$13</definedName>
    <definedName name="dagwerk14">'Regulier werk'!$H$14</definedName>
    <definedName name="dagwerk15">'Regulier werk'!$H$15</definedName>
    <definedName name="dagwerk16">'Regulier werk'!$H$16</definedName>
    <definedName name="dagwerk17">'Regulier werk'!$H$17</definedName>
    <definedName name="dagwerk18">'Regulier werk'!$H$18</definedName>
    <definedName name="dagwerk19">'Regulier werk'!$H$19</definedName>
    <definedName name="dagwerk20">'Regulier werk'!$H$20</definedName>
    <definedName name="dagwerk21">'Regulier werk'!$H$21</definedName>
    <definedName name="dagwerk22">'Regulier werk'!$H$22</definedName>
    <definedName name="dagwerk23">'Regulier werk'!$H$23</definedName>
    <definedName name="dagwerk24">'Regulier werk'!$H$24</definedName>
    <definedName name="dagwerk25">'Regulier werk'!$H$25</definedName>
    <definedName name="dagwerk26">'Regulier werk'!$H$26</definedName>
    <definedName name="dagwerk27">'Regulier werk'!$H$27</definedName>
    <definedName name="dagwerk28">'Regulier werk'!$H$28</definedName>
    <definedName name="dagwerk29">'Regulier werk'!$H$29</definedName>
    <definedName name="dagwerk30">'Regulier werk'!$H$30</definedName>
    <definedName name="dagwerk31">'Regulier werk'!$H$31</definedName>
    <definedName name="dagwerk32">'Regulier werk'!$H$32</definedName>
    <definedName name="dagwerk33">'Regulier werk'!$H$33</definedName>
    <definedName name="dagwerk34">'Regulier werk'!$H$34</definedName>
    <definedName name="dagwerk35">'Regulier werk'!$H$35</definedName>
    <definedName name="dagwerk36">'Regulier werk'!$H$36</definedName>
    <definedName name="dagwerk37">'Regulier werk'!$H$37</definedName>
    <definedName name="dagwerk38">'Regulier werk'!$H$38</definedName>
    <definedName name="dagwerk6">'Regulier werk'!$H$6</definedName>
    <definedName name="dagwerk7">'Regulier werk'!$H$7</definedName>
    <definedName name="dagwerk8">'Regulier werk'!$H$8</definedName>
    <definedName name="dagwerk9">'Regulier werk'!$H$9</definedName>
    <definedName name="dagwerktabel1">Objectinformatie!$H$5:$H$37</definedName>
    <definedName name="gemuurtarief1">'Regulier werk'!$J$41</definedName>
    <definedName name="kengetaltabel1">Objectinformatie!$G$5:$G$37</definedName>
    <definedName name="object1_opptabel1">Objectinformatie!$J$5:$J$37</definedName>
    <definedName name="object10_opptabel1">Objectinformatie!$S$5:$S$37</definedName>
    <definedName name="object11_opptabel1">Objectinformatie!$T$5:$T$37</definedName>
    <definedName name="object12_opptabel1">Objectinformatie!$U$5:$U$37</definedName>
    <definedName name="object13_opptabel1">Objectinformatie!$V$5:$V$37</definedName>
    <definedName name="object14_opptabel1">Objectinformatie!$W$5:$W$37</definedName>
    <definedName name="object15_opptabel1">Objectinformatie!$X$5:$X$37</definedName>
    <definedName name="object16_opptabel1">Objectinformatie!$Y$5:$Y$37</definedName>
    <definedName name="object17_opptabel1">Objectinformatie!$Z$5:$Z$37</definedName>
    <definedName name="object18_opptabel1">Objectinformatie!$AA$5:$AA$37</definedName>
    <definedName name="object2_opptabel1">Objectinformatie!$K$5:$K$37</definedName>
    <definedName name="object3_opptabel1">Objectinformatie!$L$5:$L$37</definedName>
    <definedName name="object4_opptabel1">Objectinformatie!$M$5:$M$37</definedName>
    <definedName name="object5_opptabel1">Objectinformatie!$N$5:$N$37</definedName>
    <definedName name="object6_opptabel1">Objectinformatie!$O$5:$O$37</definedName>
    <definedName name="object7_opptabel1">Objectinformatie!$P$5:$P$37</definedName>
    <definedName name="object8_opptabel1">Objectinformatie!$Q$5:$Q$37</definedName>
    <definedName name="object9_opptabel1">Objectinformatie!$R$5:$R$37</definedName>
    <definedName name="objectprijs1_1">Objecten!$Q$6</definedName>
    <definedName name="objectprijs10_1">Objecten!$Q$15</definedName>
    <definedName name="objectprijs11_1">Objecten!$Q$16</definedName>
    <definedName name="objectprijs12_1">Objecten!$Q$17</definedName>
    <definedName name="objectprijs13_1">Objecten!$Q$18</definedName>
    <definedName name="objectprijs14_1">Objecten!$Q$19</definedName>
    <definedName name="objectprijs15_1">Objecten!$Q$20</definedName>
    <definedName name="objectprijs16_1">Objecten!$Q$21</definedName>
    <definedName name="objectprijs17_1">Objecten!$Q$22</definedName>
    <definedName name="objectprijs18_1">Objecten!$Q$23</definedName>
    <definedName name="objectprijs2_1">Objecten!$Q$7</definedName>
    <definedName name="objectprijs3_1">Objecten!$Q$8</definedName>
    <definedName name="objectprijs4_1">Objecten!$Q$9</definedName>
    <definedName name="objectprijs5_1">Objecten!$Q$10</definedName>
    <definedName name="objectprijs6_1">Objecten!$Q$11</definedName>
    <definedName name="objectprijs7_1">Objecten!$Q$12</definedName>
    <definedName name="objectprijs8_1">Objecten!$Q$13</definedName>
    <definedName name="objectprijs9_1">Objecten!$Q$14</definedName>
    <definedName name="objecturen1_1">Objecten!$P$6</definedName>
    <definedName name="objecturen10_1">Objecten!$P$15</definedName>
    <definedName name="objecturen11_1">Objecten!$P$16</definedName>
    <definedName name="objecturen12_1">Objecten!$P$17</definedName>
    <definedName name="objecturen13_1">Objecten!$P$18</definedName>
    <definedName name="objecturen14_1">Objecten!$P$19</definedName>
    <definedName name="objecturen15_1">Objecten!$P$20</definedName>
    <definedName name="objecturen16_1">Objecten!$P$21</definedName>
    <definedName name="objecturen17_1">Objecten!$P$22</definedName>
    <definedName name="objecturen18_1">Objecten!$P$23</definedName>
    <definedName name="objecturen2_1">Objecten!$P$7</definedName>
    <definedName name="objecturen3_1">Objecten!$P$8</definedName>
    <definedName name="objecturen4_1">Objecten!$P$9</definedName>
    <definedName name="objecturen5_1">Objecten!$P$10</definedName>
    <definedName name="objecturen6_1">Objecten!$P$11</definedName>
    <definedName name="objecturen7_1">Objecten!$P$12</definedName>
    <definedName name="objecturen8_1">Objecten!$P$13</definedName>
    <definedName name="objecturen9_1">Objecten!$P$14</definedName>
    <definedName name="objecturenhf1_1">Objecten!$O$6</definedName>
    <definedName name="objecturenhf10_1">Objecten!$O$15</definedName>
    <definedName name="objecturenhf11_1">Objecten!$O$16</definedName>
    <definedName name="objecturenhf12_1">Objecten!$O$17</definedName>
    <definedName name="objecturenhf13_1">Objecten!$O$18</definedName>
    <definedName name="objecturenhf14_1">Objecten!$O$19</definedName>
    <definedName name="objecturenhf15_1">Objecten!$O$20</definedName>
    <definedName name="objecturenhf16_1">Objecten!$O$21</definedName>
    <definedName name="objecturenhf17_1">Objecten!$O$22</definedName>
    <definedName name="objecturenhf18_1">Objecten!$O$23</definedName>
    <definedName name="objecturenhf2_1">Objecten!$O$7</definedName>
    <definedName name="objecturenhf3_1">Objecten!$O$8</definedName>
    <definedName name="objecturenhf4_1">Objecten!$O$9</definedName>
    <definedName name="objecturenhf5_1">Objecten!$O$10</definedName>
    <definedName name="objecturenhf6_1">Objecten!$O$11</definedName>
    <definedName name="objecturenhf7_1">Objecten!$O$12</definedName>
    <definedName name="objecturenhf8_1">Objecten!$O$13</definedName>
    <definedName name="objecturenhf9_1">Objecten!$O$14</definedName>
    <definedName name="prijsdag1">'Regulier werk'!$L$39</definedName>
    <definedName name="prijsjaar">'Regulier werk'!$N$44</definedName>
    <definedName name="prijsjaar1">'Regulier werk'!$N$39</definedName>
    <definedName name="prijsjaarafroep">Afroep!$K$12</definedName>
    <definedName name="prijsjaarafroep1">Afroep!$K$10</definedName>
    <definedName name="prijsjaarglas">Glas!$K$11</definedName>
    <definedName name="prijsjaarglas1">Glas!$K$9</definedName>
    <definedName name="prijsjaarnietmeewerkend">'Niet-meewerkende objectleiding'!$J$171</definedName>
    <definedName name="prijsjaartotaal">Objecten!$Q$27</definedName>
    <definedName name="prijsjaartotaal1">Objecten!$Q$24</definedName>
    <definedName name="prijsjaartotaaloverzicht">'Totaalblad Objecten'!$G$23</definedName>
    <definedName name="prijsmaandtotaal1">Objecten!$R$24</definedName>
    <definedName name="prodnorm10">'Regulier werk'!$G$10</definedName>
    <definedName name="prodnorm11">'Regulier werk'!$G$11</definedName>
    <definedName name="prodnorm12">'Regulier werk'!$G$12</definedName>
    <definedName name="prodnorm13">'Regulier werk'!$G$13</definedName>
    <definedName name="prodnorm14">'Regulier werk'!$G$14</definedName>
    <definedName name="prodnorm15">'Regulier werk'!$G$15</definedName>
    <definedName name="prodnorm16">'Regulier werk'!$G$16</definedName>
    <definedName name="prodnorm17">'Regulier werk'!$G$17</definedName>
    <definedName name="prodnorm18">'Regulier werk'!$G$18</definedName>
    <definedName name="prodnorm19">'Regulier werk'!$G$19</definedName>
    <definedName name="prodnorm20">'Regulier werk'!$G$20</definedName>
    <definedName name="prodnorm21">'Regulier werk'!$G$21</definedName>
    <definedName name="prodnorm22">'Regulier werk'!$G$22</definedName>
    <definedName name="prodnorm23">'Regulier werk'!$G$23</definedName>
    <definedName name="prodnorm24">'Regulier werk'!$G$24</definedName>
    <definedName name="prodnorm25">'Regulier werk'!$G$25</definedName>
    <definedName name="prodnorm26">'Regulier werk'!$G$26</definedName>
    <definedName name="prodnorm27">'Regulier werk'!$G$27</definedName>
    <definedName name="prodnorm28">'Regulier werk'!$G$28</definedName>
    <definedName name="prodnorm29">'Regulier werk'!$G$29</definedName>
    <definedName name="prodnorm30">'Regulier werk'!$G$30</definedName>
    <definedName name="prodnorm31">'Regulier werk'!$G$31</definedName>
    <definedName name="prodnorm32">'Regulier werk'!$G$32</definedName>
    <definedName name="prodnorm33">'Regulier werk'!$G$33</definedName>
    <definedName name="prodnorm34">'Regulier werk'!$G$34</definedName>
    <definedName name="prodnorm35">'Regulier werk'!$G$35</definedName>
    <definedName name="prodnorm36">'Regulier werk'!$G$36</definedName>
    <definedName name="prodnorm37">'Regulier werk'!$G$37</definedName>
    <definedName name="prodnorm38">'Regulier werk'!$G$38</definedName>
    <definedName name="prodnorm6">'Regulier werk'!$G$6</definedName>
    <definedName name="prodnorm7">'Regulier werk'!$G$7</definedName>
    <definedName name="prodnorm8">'Regulier werk'!$G$8</definedName>
    <definedName name="prodnorm9">'Regulier werk'!$G$9</definedName>
    <definedName name="taakfreqtabel1">Objectinformatie!$E$5:$E$37</definedName>
    <definedName name="tabeltype">Omreken!$B$5:$B$5</definedName>
    <definedName name="tarieftabel1">Objectinformatie!$I$5:$I$37</definedName>
    <definedName name="tzpjt1">'Niet-meewerkende objectleiding'!$J$168</definedName>
    <definedName name="tzpjt1_1">'Niet-meewerkende objectleiding'!$J$13</definedName>
    <definedName name="tzpjt10_1">'Niet-meewerkende objectleiding'!$J$94</definedName>
    <definedName name="tzpjt11_1">'Niet-meewerkende objectleiding'!$J$103</definedName>
    <definedName name="tzpjt12_1">'Niet-meewerkende objectleiding'!$J$112</definedName>
    <definedName name="tzpjt13_1">'Niet-meewerkende objectleiding'!$J$121</definedName>
    <definedName name="tzpjt14_1">'Niet-meewerkende objectleiding'!$J$130</definedName>
    <definedName name="tzpjt15_1">'Niet-meewerkende objectleiding'!$J$139</definedName>
    <definedName name="tzpjt16_1">'Niet-meewerkende objectleiding'!$J$148</definedName>
    <definedName name="tzpjt17_1">'Niet-meewerkende objectleiding'!$J$157</definedName>
    <definedName name="tzpjt18_1">'Niet-meewerkende objectleiding'!$J$166</definedName>
    <definedName name="tzpjt2_1">'Niet-meewerkende objectleiding'!$J$22</definedName>
    <definedName name="tzpjt3_1">'Niet-meewerkende objectleiding'!$J$31</definedName>
    <definedName name="tzpjt4_1">'Niet-meewerkende objectleiding'!$J$40</definedName>
    <definedName name="tzpjt5_1">'Niet-meewerkende objectleiding'!$J$49</definedName>
    <definedName name="tzpjt6_1">'Niet-meewerkende objectleiding'!$J$58</definedName>
    <definedName name="tzpjt7_1">'Niet-meewerkende objectleiding'!$J$67</definedName>
    <definedName name="tzpjt8_1">'Niet-meewerkende objectleiding'!$J$76</definedName>
    <definedName name="tzpjt9_1">'Niet-meewerkende objectleiding'!$J$85</definedName>
    <definedName name="tzpmt1">'Niet-meewerkende objectleiding'!$K$168</definedName>
    <definedName name="tzpmt1_1">'Niet-meewerkende objectleiding'!$K$13</definedName>
    <definedName name="tzpmt10_1">'Niet-meewerkende objectleiding'!$K$94</definedName>
    <definedName name="tzpmt11_1">'Niet-meewerkende objectleiding'!$K$103</definedName>
    <definedName name="tzpmt12_1">'Niet-meewerkende objectleiding'!$K$112</definedName>
    <definedName name="tzpmt13_1">'Niet-meewerkende objectleiding'!$K$121</definedName>
    <definedName name="tzpmt14_1">'Niet-meewerkende objectleiding'!$K$130</definedName>
    <definedName name="tzpmt15_1">'Niet-meewerkende objectleiding'!$K$139</definedName>
    <definedName name="tzpmt16_1">'Niet-meewerkende objectleiding'!$K$148</definedName>
    <definedName name="tzpmt17_1">'Niet-meewerkende objectleiding'!$K$157</definedName>
    <definedName name="tzpmt18_1">'Niet-meewerkende objectleiding'!$K$166</definedName>
    <definedName name="tzpmt2_1">'Niet-meewerkende objectleiding'!$K$22</definedName>
    <definedName name="tzpmt3_1">'Niet-meewerkende objectleiding'!$K$31</definedName>
    <definedName name="tzpmt4_1">'Niet-meewerkende objectleiding'!$K$40</definedName>
    <definedName name="tzpmt5_1">'Niet-meewerkende objectleiding'!$K$49</definedName>
    <definedName name="tzpmt6_1">'Niet-meewerkende objectleiding'!$K$58</definedName>
    <definedName name="tzpmt7_1">'Niet-meewerkende objectleiding'!$K$67</definedName>
    <definedName name="tzpmt8_1">'Niet-meewerkende objectleiding'!$K$76</definedName>
    <definedName name="tzpmt9_1">'Niet-meewerkende objectleiding'!$K$85</definedName>
    <definedName name="tzujt1">'Niet-meewerkende objectleiding'!$H$168</definedName>
    <definedName name="tzujt1_1">'Niet-meewerkende objectleiding'!$H$13</definedName>
    <definedName name="tzujt10_1">'Niet-meewerkende objectleiding'!$H$94</definedName>
    <definedName name="tzujt11_1">'Niet-meewerkende objectleiding'!$H$103</definedName>
    <definedName name="tzujt12_1">'Niet-meewerkende objectleiding'!$H$112</definedName>
    <definedName name="tzujt13_1">'Niet-meewerkende objectleiding'!$H$121</definedName>
    <definedName name="tzujt14_1">'Niet-meewerkende objectleiding'!$H$130</definedName>
    <definedName name="tzujt15_1">'Niet-meewerkende objectleiding'!$H$139</definedName>
    <definedName name="tzujt16_1">'Niet-meewerkende objectleiding'!$H$148</definedName>
    <definedName name="tzujt17_1">'Niet-meewerkende objectleiding'!$H$157</definedName>
    <definedName name="tzujt18_1">'Niet-meewerkende objectleiding'!$H$166</definedName>
    <definedName name="tzujt2_1">'Niet-meewerkende objectleiding'!$H$22</definedName>
    <definedName name="tzujt3_1">'Niet-meewerkende objectleiding'!$H$31</definedName>
    <definedName name="tzujt4_1">'Niet-meewerkende objectleiding'!$H$40</definedName>
    <definedName name="tzujt5_1">'Niet-meewerkende objectleiding'!$H$49</definedName>
    <definedName name="tzujt6_1">'Niet-meewerkende objectleiding'!$H$58</definedName>
    <definedName name="tzujt7_1">'Niet-meewerkende objectleiding'!$H$67</definedName>
    <definedName name="tzujt8_1">'Niet-meewerkende objectleiding'!$H$76</definedName>
    <definedName name="tzujt9_1">'Niet-meewerkende objectleiding'!$H$85</definedName>
    <definedName name="urendag1">'Regulier werk'!$K$39</definedName>
    <definedName name="urenjaar">'Regulier werk'!$M$44</definedName>
    <definedName name="urenjaar1">'Regulier werk'!$M$39</definedName>
    <definedName name="urenjaarnietmeewerkend">'Niet-meewerkende objectleiding'!$H$171</definedName>
    <definedName name="urenjaartotaal">Objecten!$P$27</definedName>
    <definedName name="urenjaartotaal1">Objecten!$P$24</definedName>
    <definedName name="urenjaartotaalhf">Objecten!$O$27</definedName>
    <definedName name="urenjaartotaalhf1">Objecten!$O$24</definedName>
    <definedName name="urenjaartotaaloverzicht">'Totaalblad Objecten'!$F$23</definedName>
    <definedName name="urenjaartotaaloverzichthf">'Totaalblad Objecten'!$E$23</definedName>
    <definedName name="uurfactortabel1">Objectinformatie!$F$5:$F$37</definedName>
    <definedName name="uurtarief10">'Regulier werk'!$J$10</definedName>
    <definedName name="uurtarief11">'Regulier werk'!$J$11</definedName>
    <definedName name="uurtarief12">'Regulier werk'!$J$12</definedName>
    <definedName name="uurtarief13">'Regulier werk'!$J$13</definedName>
    <definedName name="uurtarief14">'Regulier werk'!$J$14</definedName>
    <definedName name="uurtarief15">'Regulier werk'!$J$15</definedName>
    <definedName name="uurtarief16">'Regulier werk'!$J$16</definedName>
    <definedName name="uurtarief17">'Regulier werk'!$J$17</definedName>
    <definedName name="uurtarief18">'Regulier werk'!$J$18</definedName>
    <definedName name="uurtarief19">'Regulier werk'!$J$19</definedName>
    <definedName name="uurtarief20">'Regulier werk'!$J$20</definedName>
    <definedName name="uurtarief21">'Regulier werk'!$J$21</definedName>
    <definedName name="uurtarief22">'Regulier werk'!$J$22</definedName>
    <definedName name="uurtarief23">'Regulier werk'!$J$23</definedName>
    <definedName name="uurtarief24">'Regulier werk'!$J$24</definedName>
    <definedName name="uurtarief25">'Regulier werk'!$J$25</definedName>
    <definedName name="uurtarief26">'Regulier werk'!$J$26</definedName>
    <definedName name="uurtarief27">'Regulier werk'!$J$27</definedName>
    <definedName name="uurtarief28">'Regulier werk'!$J$28</definedName>
    <definedName name="uurtarief29">'Regulier werk'!$J$29</definedName>
    <definedName name="uurtarief30">'Regulier werk'!$J$30</definedName>
    <definedName name="uurtarief31">'Regulier werk'!$J$31</definedName>
    <definedName name="uurtarief32">'Regulier werk'!$J$32</definedName>
    <definedName name="uurtarief33">'Regulier werk'!$J$33</definedName>
    <definedName name="uurtarief34">'Regulier werk'!$J$34</definedName>
    <definedName name="uurtarief35">'Regulier werk'!$J$35</definedName>
    <definedName name="uurtarief36">'Regulier werk'!$J$36</definedName>
    <definedName name="uurtarief37">'Regulier werk'!$J$37</definedName>
    <definedName name="uurtarief38">'Regulier werk'!$J$38</definedName>
    <definedName name="uurtarief6">'Regulier werk'!$J$6</definedName>
    <definedName name="uurtarief7">'Regulier werk'!$J$7</definedName>
    <definedName name="uurtarief8">'Regulier werk'!$J$8</definedName>
    <definedName name="uurtarief9">'Regulier werk'!$J$9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" i="12" l="1"/>
  <c r="J110" i="11"/>
  <c r="K110" i="11" s="1"/>
  <c r="H110" i="11"/>
  <c r="J109" i="11"/>
  <c r="K109" i="11" s="1"/>
  <c r="H109" i="11"/>
  <c r="J108" i="11"/>
  <c r="K108" i="11" s="1"/>
  <c r="K111" i="11" s="1"/>
  <c r="H108" i="11"/>
  <c r="J104" i="11"/>
  <c r="K104" i="11" s="1"/>
  <c r="H104" i="11"/>
  <c r="J103" i="11"/>
  <c r="K103" i="11" s="1"/>
  <c r="H103" i="11"/>
  <c r="J102" i="11"/>
  <c r="K102" i="11" s="1"/>
  <c r="K105" i="11" s="1"/>
  <c r="H102" i="11"/>
  <c r="K98" i="11"/>
  <c r="J98" i="11"/>
  <c r="H98" i="11"/>
  <c r="C98" i="11"/>
  <c r="L98" i="11" s="1"/>
  <c r="M98" i="11" s="1"/>
  <c r="J97" i="11"/>
  <c r="K97" i="11" s="1"/>
  <c r="H97" i="11"/>
  <c r="J96" i="11"/>
  <c r="K96" i="11" s="1"/>
  <c r="K99" i="11" s="1"/>
  <c r="H96" i="11"/>
  <c r="J92" i="11"/>
  <c r="K92" i="11" s="1"/>
  <c r="H92" i="11"/>
  <c r="J91" i="11"/>
  <c r="K91" i="11" s="1"/>
  <c r="H91" i="11"/>
  <c r="J90" i="11"/>
  <c r="K90" i="11" s="1"/>
  <c r="K93" i="11" s="1"/>
  <c r="H90" i="11"/>
  <c r="K86" i="11"/>
  <c r="J86" i="11"/>
  <c r="H86" i="11"/>
  <c r="K85" i="11"/>
  <c r="J85" i="11"/>
  <c r="H85" i="11"/>
  <c r="J84" i="11"/>
  <c r="K84" i="11" s="1"/>
  <c r="K87" i="11" s="1"/>
  <c r="H84" i="11"/>
  <c r="K80" i="11"/>
  <c r="J80" i="11"/>
  <c r="H80" i="11"/>
  <c r="C80" i="11"/>
  <c r="L80" i="11" s="1"/>
  <c r="M80" i="11" s="1"/>
  <c r="K79" i="11"/>
  <c r="J79" i="11"/>
  <c r="H79" i="11"/>
  <c r="J78" i="11"/>
  <c r="K78" i="11" s="1"/>
  <c r="K81" i="11" s="1"/>
  <c r="H78" i="11"/>
  <c r="K74" i="11"/>
  <c r="J74" i="11"/>
  <c r="H74" i="11"/>
  <c r="K73" i="11"/>
  <c r="J73" i="11"/>
  <c r="H73" i="11"/>
  <c r="K72" i="11"/>
  <c r="K75" i="11" s="1"/>
  <c r="J72" i="11"/>
  <c r="H72" i="11"/>
  <c r="C72" i="11"/>
  <c r="L72" i="11" s="1"/>
  <c r="K68" i="11"/>
  <c r="J68" i="11"/>
  <c r="H68" i="11"/>
  <c r="K67" i="11"/>
  <c r="J67" i="11"/>
  <c r="H67" i="11"/>
  <c r="J66" i="11"/>
  <c r="K66" i="11" s="1"/>
  <c r="K69" i="11" s="1"/>
  <c r="H66" i="11"/>
  <c r="K62" i="11"/>
  <c r="J62" i="11"/>
  <c r="H62" i="11"/>
  <c r="C62" i="11"/>
  <c r="L62" i="11" s="1"/>
  <c r="M62" i="11" s="1"/>
  <c r="K61" i="11"/>
  <c r="K63" i="11" s="1"/>
  <c r="J61" i="11"/>
  <c r="H61" i="11"/>
  <c r="K60" i="11"/>
  <c r="J60" i="11"/>
  <c r="H60" i="11"/>
  <c r="K56" i="11"/>
  <c r="J56" i="11"/>
  <c r="H56" i="11"/>
  <c r="J55" i="11"/>
  <c r="K55" i="11" s="1"/>
  <c r="H55" i="11"/>
  <c r="K54" i="11"/>
  <c r="K57" i="11" s="1"/>
  <c r="J54" i="11"/>
  <c r="H54" i="11"/>
  <c r="C54" i="11"/>
  <c r="L54" i="11" s="1"/>
  <c r="K50" i="11"/>
  <c r="J50" i="11"/>
  <c r="H50" i="11"/>
  <c r="J49" i="11"/>
  <c r="K49" i="11" s="1"/>
  <c r="H49" i="11"/>
  <c r="K48" i="11"/>
  <c r="J48" i="11"/>
  <c r="H48" i="11"/>
  <c r="J44" i="11"/>
  <c r="K44" i="11" s="1"/>
  <c r="H44" i="11"/>
  <c r="K43" i="11"/>
  <c r="J43" i="11"/>
  <c r="H43" i="11"/>
  <c r="K42" i="11"/>
  <c r="J42" i="11"/>
  <c r="H42" i="11"/>
  <c r="J38" i="11"/>
  <c r="K38" i="11" s="1"/>
  <c r="H38" i="11"/>
  <c r="K37" i="11"/>
  <c r="J37" i="11"/>
  <c r="H37" i="11"/>
  <c r="K36" i="11"/>
  <c r="K39" i="11" s="1"/>
  <c r="J36" i="11"/>
  <c r="H36" i="11"/>
  <c r="J32" i="11"/>
  <c r="K32" i="11" s="1"/>
  <c r="H32" i="11"/>
  <c r="K31" i="11"/>
  <c r="J31" i="11"/>
  <c r="H31" i="11"/>
  <c r="K30" i="11"/>
  <c r="K33" i="11" s="1"/>
  <c r="J30" i="11"/>
  <c r="H30" i="11"/>
  <c r="J26" i="11"/>
  <c r="K26" i="11" s="1"/>
  <c r="H26" i="11"/>
  <c r="J25" i="11"/>
  <c r="K25" i="11" s="1"/>
  <c r="K27" i="11" s="1"/>
  <c r="H25" i="11"/>
  <c r="K24" i="11"/>
  <c r="J24" i="11"/>
  <c r="H24" i="11"/>
  <c r="K20" i="11"/>
  <c r="J20" i="11"/>
  <c r="H20" i="11"/>
  <c r="J19" i="11"/>
  <c r="K19" i="11" s="1"/>
  <c r="H19" i="11"/>
  <c r="J18" i="11"/>
  <c r="K18" i="11" s="1"/>
  <c r="K21" i="11" s="1"/>
  <c r="H18" i="11"/>
  <c r="K14" i="11"/>
  <c r="J14" i="11"/>
  <c r="H14" i="11"/>
  <c r="J13" i="11"/>
  <c r="K13" i="11" s="1"/>
  <c r="H13" i="11"/>
  <c r="J12" i="11"/>
  <c r="K12" i="11" s="1"/>
  <c r="K15" i="11" s="1"/>
  <c r="H12" i="11"/>
  <c r="J8" i="11"/>
  <c r="K8" i="11" s="1"/>
  <c r="H8" i="11"/>
  <c r="J7" i="11"/>
  <c r="K7" i="11" s="1"/>
  <c r="H7" i="11"/>
  <c r="J6" i="11"/>
  <c r="K6" i="11" s="1"/>
  <c r="K9" i="11" s="1"/>
  <c r="H6" i="11"/>
  <c r="A1" i="11"/>
  <c r="J8" i="10"/>
  <c r="J7" i="10"/>
  <c r="J6" i="10"/>
  <c r="A1" i="10"/>
  <c r="A1" i="9"/>
  <c r="J9" i="8"/>
  <c r="J8" i="8"/>
  <c r="J7" i="8"/>
  <c r="K6" i="8"/>
  <c r="L6" i="8" s="1"/>
  <c r="J6" i="8"/>
  <c r="C6" i="8"/>
  <c r="A1" i="8"/>
  <c r="A1" i="7"/>
  <c r="H166" i="6"/>
  <c r="H21" i="7" s="1"/>
  <c r="J165" i="6"/>
  <c r="J166" i="6" s="1"/>
  <c r="I21" i="7" s="1"/>
  <c r="H165" i="6"/>
  <c r="C165" i="6"/>
  <c r="I165" i="6" s="1"/>
  <c r="J164" i="6"/>
  <c r="K164" i="6" s="1"/>
  <c r="H164" i="6"/>
  <c r="C164" i="6"/>
  <c r="I164" i="6" s="1"/>
  <c r="J163" i="6"/>
  <c r="K163" i="6" s="1"/>
  <c r="H163" i="6"/>
  <c r="C163" i="6"/>
  <c r="I163" i="6" s="1"/>
  <c r="K162" i="6"/>
  <c r="J162" i="6"/>
  <c r="H162" i="6"/>
  <c r="C162" i="6"/>
  <c r="I162" i="6" s="1"/>
  <c r="J161" i="6"/>
  <c r="K161" i="6" s="1"/>
  <c r="H161" i="6"/>
  <c r="K156" i="6"/>
  <c r="J156" i="6"/>
  <c r="H156" i="6"/>
  <c r="C156" i="6"/>
  <c r="I156" i="6" s="1"/>
  <c r="K155" i="6"/>
  <c r="J155" i="6"/>
  <c r="H155" i="6"/>
  <c r="I155" i="6" s="1"/>
  <c r="C155" i="6"/>
  <c r="J154" i="6"/>
  <c r="K154" i="6" s="1"/>
  <c r="H154" i="6"/>
  <c r="I154" i="6" s="1"/>
  <c r="C154" i="6"/>
  <c r="K153" i="6"/>
  <c r="J153" i="6"/>
  <c r="I153" i="6"/>
  <c r="H153" i="6"/>
  <c r="C153" i="6"/>
  <c r="J152" i="6"/>
  <c r="K152" i="6" s="1"/>
  <c r="K157" i="6" s="1"/>
  <c r="H152" i="6"/>
  <c r="H157" i="6" s="1"/>
  <c r="H20" i="7" s="1"/>
  <c r="K147" i="6"/>
  <c r="J147" i="6"/>
  <c r="H147" i="6"/>
  <c r="C147" i="6"/>
  <c r="I147" i="6" s="1"/>
  <c r="J146" i="6"/>
  <c r="K146" i="6" s="1"/>
  <c r="H146" i="6"/>
  <c r="C146" i="6"/>
  <c r="I146" i="6" s="1"/>
  <c r="K145" i="6"/>
  <c r="J145" i="6"/>
  <c r="I145" i="6"/>
  <c r="H145" i="6"/>
  <c r="C145" i="6"/>
  <c r="J144" i="6"/>
  <c r="K144" i="6" s="1"/>
  <c r="I144" i="6"/>
  <c r="H144" i="6"/>
  <c r="C144" i="6"/>
  <c r="J143" i="6"/>
  <c r="K143" i="6" s="1"/>
  <c r="K148" i="6" s="1"/>
  <c r="H143" i="6"/>
  <c r="H148" i="6" s="1"/>
  <c r="H19" i="7" s="1"/>
  <c r="J138" i="6"/>
  <c r="K138" i="6" s="1"/>
  <c r="H138" i="6"/>
  <c r="C138" i="6"/>
  <c r="I138" i="6" s="1"/>
  <c r="J137" i="6"/>
  <c r="K137" i="6" s="1"/>
  <c r="H137" i="6"/>
  <c r="C137" i="6"/>
  <c r="I137" i="6" s="1"/>
  <c r="J136" i="6"/>
  <c r="K136" i="6" s="1"/>
  <c r="H136" i="6"/>
  <c r="H139" i="6" s="1"/>
  <c r="H18" i="7" s="1"/>
  <c r="C136" i="6"/>
  <c r="J135" i="6"/>
  <c r="K135" i="6" s="1"/>
  <c r="H135" i="6"/>
  <c r="C135" i="6"/>
  <c r="I135" i="6" s="1"/>
  <c r="J134" i="6"/>
  <c r="K134" i="6" s="1"/>
  <c r="K139" i="6" s="1"/>
  <c r="H134" i="6"/>
  <c r="J129" i="6"/>
  <c r="K129" i="6" s="1"/>
  <c r="H129" i="6"/>
  <c r="I129" i="6" s="1"/>
  <c r="C129" i="6"/>
  <c r="J128" i="6"/>
  <c r="K128" i="6" s="1"/>
  <c r="H128" i="6"/>
  <c r="C128" i="6"/>
  <c r="I128" i="6" s="1"/>
  <c r="J127" i="6"/>
  <c r="K127" i="6" s="1"/>
  <c r="H127" i="6"/>
  <c r="H130" i="6" s="1"/>
  <c r="H17" i="7" s="1"/>
  <c r="C127" i="6"/>
  <c r="I127" i="6" s="1"/>
  <c r="J126" i="6"/>
  <c r="J130" i="6" s="1"/>
  <c r="I17" i="7" s="1"/>
  <c r="I126" i="6"/>
  <c r="H126" i="6"/>
  <c r="C126" i="6"/>
  <c r="K125" i="6"/>
  <c r="J125" i="6"/>
  <c r="H125" i="6"/>
  <c r="J120" i="6"/>
  <c r="K120" i="6" s="1"/>
  <c r="I120" i="6"/>
  <c r="H120" i="6"/>
  <c r="C120" i="6"/>
  <c r="K119" i="6"/>
  <c r="J119" i="6"/>
  <c r="I119" i="6"/>
  <c r="H119" i="6"/>
  <c r="C119" i="6"/>
  <c r="K118" i="6"/>
  <c r="J118" i="6"/>
  <c r="I118" i="6"/>
  <c r="H118" i="6"/>
  <c r="C118" i="6"/>
  <c r="J117" i="6"/>
  <c r="K117" i="6" s="1"/>
  <c r="H117" i="6"/>
  <c r="H121" i="6" s="1"/>
  <c r="H16" i="7" s="1"/>
  <c r="C117" i="6"/>
  <c r="I117" i="6" s="1"/>
  <c r="J116" i="6"/>
  <c r="J121" i="6" s="1"/>
  <c r="I16" i="7" s="1"/>
  <c r="H116" i="6"/>
  <c r="J111" i="6"/>
  <c r="K111" i="6" s="1"/>
  <c r="H111" i="6"/>
  <c r="C111" i="6"/>
  <c r="I111" i="6" s="1"/>
  <c r="K110" i="6"/>
  <c r="J110" i="6"/>
  <c r="H110" i="6"/>
  <c r="C110" i="6"/>
  <c r="I110" i="6" s="1"/>
  <c r="J109" i="6"/>
  <c r="K109" i="6" s="1"/>
  <c r="H109" i="6"/>
  <c r="C109" i="6"/>
  <c r="I109" i="6" s="1"/>
  <c r="J108" i="6"/>
  <c r="K108" i="6" s="1"/>
  <c r="H108" i="6"/>
  <c r="C108" i="6"/>
  <c r="I108" i="6" s="1"/>
  <c r="K107" i="6"/>
  <c r="J107" i="6"/>
  <c r="J112" i="6" s="1"/>
  <c r="I15" i="7" s="1"/>
  <c r="H107" i="6"/>
  <c r="H112" i="6" s="1"/>
  <c r="H15" i="7" s="1"/>
  <c r="C107" i="6"/>
  <c r="I107" i="6" s="1"/>
  <c r="K103" i="6"/>
  <c r="K102" i="6"/>
  <c r="J102" i="6"/>
  <c r="H102" i="6"/>
  <c r="C102" i="6"/>
  <c r="I102" i="6" s="1"/>
  <c r="K101" i="6"/>
  <c r="J101" i="6"/>
  <c r="H101" i="6"/>
  <c r="C101" i="6"/>
  <c r="I101" i="6" s="1"/>
  <c r="K100" i="6"/>
  <c r="J100" i="6"/>
  <c r="H100" i="6"/>
  <c r="I100" i="6" s="1"/>
  <c r="C100" i="6"/>
  <c r="K99" i="6"/>
  <c r="J99" i="6"/>
  <c r="H99" i="6"/>
  <c r="I99" i="6" s="1"/>
  <c r="C99" i="6"/>
  <c r="K98" i="6"/>
  <c r="J98" i="6"/>
  <c r="J103" i="6" s="1"/>
  <c r="I14" i="7" s="1"/>
  <c r="H98" i="6"/>
  <c r="H103" i="6" s="1"/>
  <c r="H14" i="7" s="1"/>
  <c r="C98" i="6"/>
  <c r="I98" i="6" s="1"/>
  <c r="H94" i="6"/>
  <c r="H13" i="7" s="1"/>
  <c r="J93" i="6"/>
  <c r="K93" i="6" s="1"/>
  <c r="H93" i="6"/>
  <c r="C93" i="6"/>
  <c r="I93" i="6" s="1"/>
  <c r="J92" i="6"/>
  <c r="K92" i="6" s="1"/>
  <c r="H92" i="6"/>
  <c r="C92" i="6"/>
  <c r="I92" i="6" s="1"/>
  <c r="J91" i="6"/>
  <c r="K91" i="6" s="1"/>
  <c r="H91" i="6"/>
  <c r="C91" i="6"/>
  <c r="I91" i="6" s="1"/>
  <c r="K90" i="6"/>
  <c r="J90" i="6"/>
  <c r="H90" i="6"/>
  <c r="C90" i="6"/>
  <c r="I90" i="6" s="1"/>
  <c r="J89" i="6"/>
  <c r="K89" i="6" s="1"/>
  <c r="K94" i="6" s="1"/>
  <c r="H89" i="6"/>
  <c r="K84" i="6"/>
  <c r="J84" i="6"/>
  <c r="H84" i="6"/>
  <c r="C84" i="6"/>
  <c r="I84" i="6" s="1"/>
  <c r="K83" i="6"/>
  <c r="J83" i="6"/>
  <c r="H83" i="6"/>
  <c r="I83" i="6" s="1"/>
  <c r="C83" i="6"/>
  <c r="J82" i="6"/>
  <c r="K82" i="6" s="1"/>
  <c r="H82" i="6"/>
  <c r="I82" i="6" s="1"/>
  <c r="C82" i="6"/>
  <c r="K81" i="6"/>
  <c r="J81" i="6"/>
  <c r="I81" i="6"/>
  <c r="H81" i="6"/>
  <c r="C81" i="6"/>
  <c r="J80" i="6"/>
  <c r="K80" i="6" s="1"/>
  <c r="H80" i="6"/>
  <c r="H85" i="6" s="1"/>
  <c r="H12" i="7" s="1"/>
  <c r="K75" i="6"/>
  <c r="J75" i="6"/>
  <c r="H75" i="6"/>
  <c r="C75" i="6"/>
  <c r="I75" i="6" s="1"/>
  <c r="J74" i="6"/>
  <c r="K74" i="6" s="1"/>
  <c r="H74" i="6"/>
  <c r="C74" i="6"/>
  <c r="I74" i="6" s="1"/>
  <c r="K73" i="6"/>
  <c r="J73" i="6"/>
  <c r="I73" i="6"/>
  <c r="H73" i="6"/>
  <c r="C73" i="6"/>
  <c r="J72" i="6"/>
  <c r="K72" i="6" s="1"/>
  <c r="I72" i="6"/>
  <c r="H72" i="6"/>
  <c r="C72" i="6"/>
  <c r="J71" i="6"/>
  <c r="K71" i="6" s="1"/>
  <c r="K76" i="6" s="1"/>
  <c r="H71" i="6"/>
  <c r="H76" i="6" s="1"/>
  <c r="H11" i="7" s="1"/>
  <c r="J66" i="6"/>
  <c r="K66" i="6" s="1"/>
  <c r="H66" i="6"/>
  <c r="C66" i="6"/>
  <c r="I66" i="6" s="1"/>
  <c r="J65" i="6"/>
  <c r="K65" i="6" s="1"/>
  <c r="H65" i="6"/>
  <c r="C65" i="6"/>
  <c r="I65" i="6" s="1"/>
  <c r="J64" i="6"/>
  <c r="K64" i="6" s="1"/>
  <c r="H64" i="6"/>
  <c r="H67" i="6" s="1"/>
  <c r="H10" i="7" s="1"/>
  <c r="C64" i="6"/>
  <c r="J63" i="6"/>
  <c r="K63" i="6" s="1"/>
  <c r="H63" i="6"/>
  <c r="C63" i="6"/>
  <c r="I63" i="6" s="1"/>
  <c r="J62" i="6"/>
  <c r="K62" i="6" s="1"/>
  <c r="H62" i="6"/>
  <c r="J57" i="6"/>
  <c r="K57" i="6" s="1"/>
  <c r="H57" i="6"/>
  <c r="I57" i="6" s="1"/>
  <c r="C57" i="6"/>
  <c r="J56" i="6"/>
  <c r="K56" i="6" s="1"/>
  <c r="H56" i="6"/>
  <c r="C56" i="6"/>
  <c r="I56" i="6" s="1"/>
  <c r="J55" i="6"/>
  <c r="K55" i="6" s="1"/>
  <c r="H55" i="6"/>
  <c r="H58" i="6" s="1"/>
  <c r="H9" i="7" s="1"/>
  <c r="C55" i="6"/>
  <c r="I55" i="6" s="1"/>
  <c r="J54" i="6"/>
  <c r="J58" i="6" s="1"/>
  <c r="I9" i="7" s="1"/>
  <c r="I54" i="6"/>
  <c r="H54" i="6"/>
  <c r="C54" i="6"/>
  <c r="K53" i="6"/>
  <c r="J53" i="6"/>
  <c r="H53" i="6"/>
  <c r="J48" i="6"/>
  <c r="K48" i="6" s="1"/>
  <c r="I48" i="6"/>
  <c r="H48" i="6"/>
  <c r="C48" i="6"/>
  <c r="K47" i="6"/>
  <c r="J47" i="6"/>
  <c r="I47" i="6"/>
  <c r="H47" i="6"/>
  <c r="C47" i="6"/>
  <c r="K46" i="6"/>
  <c r="J46" i="6"/>
  <c r="I46" i="6"/>
  <c r="H46" i="6"/>
  <c r="C46" i="6"/>
  <c r="J45" i="6"/>
  <c r="K45" i="6" s="1"/>
  <c r="H45" i="6"/>
  <c r="H49" i="6" s="1"/>
  <c r="H8" i="7" s="1"/>
  <c r="C45" i="6"/>
  <c r="I45" i="6" s="1"/>
  <c r="J44" i="6"/>
  <c r="J49" i="6" s="1"/>
  <c r="I8" i="7" s="1"/>
  <c r="H44" i="6"/>
  <c r="J39" i="6"/>
  <c r="K39" i="6" s="1"/>
  <c r="H39" i="6"/>
  <c r="C39" i="6"/>
  <c r="I39" i="6" s="1"/>
  <c r="K38" i="6"/>
  <c r="J38" i="6"/>
  <c r="H38" i="6"/>
  <c r="C38" i="6"/>
  <c r="I38" i="6" s="1"/>
  <c r="J37" i="6"/>
  <c r="K37" i="6" s="1"/>
  <c r="H37" i="6"/>
  <c r="C37" i="6"/>
  <c r="I37" i="6" s="1"/>
  <c r="J36" i="6"/>
  <c r="K36" i="6" s="1"/>
  <c r="H36" i="6"/>
  <c r="C36" i="6"/>
  <c r="I36" i="6" s="1"/>
  <c r="K35" i="6"/>
  <c r="K40" i="6" s="1"/>
  <c r="J35" i="6"/>
  <c r="J40" i="6" s="1"/>
  <c r="I7" i="7" s="1"/>
  <c r="H35" i="6"/>
  <c r="H40" i="6" s="1"/>
  <c r="H7" i="7" s="1"/>
  <c r="C35" i="6"/>
  <c r="I35" i="6" s="1"/>
  <c r="K31" i="6"/>
  <c r="K30" i="6"/>
  <c r="J30" i="6"/>
  <c r="H30" i="6"/>
  <c r="C30" i="6"/>
  <c r="I30" i="6" s="1"/>
  <c r="K29" i="6"/>
  <c r="J29" i="6"/>
  <c r="H29" i="6"/>
  <c r="C29" i="6"/>
  <c r="I29" i="6" s="1"/>
  <c r="K28" i="6"/>
  <c r="J28" i="6"/>
  <c r="H28" i="6"/>
  <c r="I28" i="6" s="1"/>
  <c r="C28" i="6"/>
  <c r="K27" i="6"/>
  <c r="J27" i="6"/>
  <c r="H27" i="6"/>
  <c r="I27" i="6" s="1"/>
  <c r="C27" i="6"/>
  <c r="K26" i="6"/>
  <c r="J26" i="6"/>
  <c r="J31" i="6" s="1"/>
  <c r="I6" i="7" s="1"/>
  <c r="H26" i="6"/>
  <c r="H31" i="6" s="1"/>
  <c r="H6" i="7" s="1"/>
  <c r="C26" i="6"/>
  <c r="I26" i="6" s="1"/>
  <c r="H22" i="6"/>
  <c r="H5" i="7" s="1"/>
  <c r="J21" i="6"/>
  <c r="K21" i="6" s="1"/>
  <c r="H21" i="6"/>
  <c r="C21" i="6"/>
  <c r="I21" i="6" s="1"/>
  <c r="J20" i="6"/>
  <c r="K20" i="6" s="1"/>
  <c r="H20" i="6"/>
  <c r="C20" i="6"/>
  <c r="I20" i="6" s="1"/>
  <c r="J19" i="6"/>
  <c r="K19" i="6" s="1"/>
  <c r="H19" i="6"/>
  <c r="C19" i="6"/>
  <c r="I19" i="6" s="1"/>
  <c r="J18" i="6"/>
  <c r="K18" i="6" s="1"/>
  <c r="H18" i="6"/>
  <c r="C18" i="6"/>
  <c r="I18" i="6" s="1"/>
  <c r="J17" i="6"/>
  <c r="K17" i="6" s="1"/>
  <c r="K22" i="6" s="1"/>
  <c r="H17" i="6"/>
  <c r="C17" i="6"/>
  <c r="I17" i="6" s="1"/>
  <c r="K12" i="6"/>
  <c r="J12" i="6"/>
  <c r="H12" i="6"/>
  <c r="C12" i="6"/>
  <c r="I12" i="6" s="1"/>
  <c r="K11" i="6"/>
  <c r="J11" i="6"/>
  <c r="H11" i="6"/>
  <c r="I11" i="6" s="1"/>
  <c r="C11" i="6"/>
  <c r="J10" i="6"/>
  <c r="K10" i="6" s="1"/>
  <c r="H10" i="6"/>
  <c r="I10" i="6" s="1"/>
  <c r="C10" i="6"/>
  <c r="K9" i="6"/>
  <c r="J9" i="6"/>
  <c r="I9" i="6"/>
  <c r="H9" i="6"/>
  <c r="C9" i="6"/>
  <c r="J8" i="6"/>
  <c r="K8" i="6" s="1"/>
  <c r="K13" i="6" s="1"/>
  <c r="H8" i="6"/>
  <c r="H13" i="6" s="1"/>
  <c r="A1" i="6"/>
  <c r="A1" i="5"/>
  <c r="I37" i="4"/>
  <c r="H37" i="4"/>
  <c r="G37" i="4"/>
  <c r="I36" i="4"/>
  <c r="H36" i="4"/>
  <c r="G36" i="4"/>
  <c r="E36" i="4"/>
  <c r="I35" i="4"/>
  <c r="H35" i="4"/>
  <c r="G35" i="4"/>
  <c r="H34" i="4"/>
  <c r="G33" i="4"/>
  <c r="E32" i="4"/>
  <c r="G31" i="4"/>
  <c r="I30" i="4"/>
  <c r="E30" i="4"/>
  <c r="G29" i="4"/>
  <c r="I28" i="4"/>
  <c r="H28" i="4"/>
  <c r="G28" i="4"/>
  <c r="E28" i="4"/>
  <c r="I27" i="4"/>
  <c r="H27" i="4"/>
  <c r="G27" i="4"/>
  <c r="H26" i="4"/>
  <c r="G25" i="4"/>
  <c r="E24" i="4"/>
  <c r="G23" i="4"/>
  <c r="I22" i="4"/>
  <c r="G21" i="4"/>
  <c r="I20" i="4"/>
  <c r="H20" i="4"/>
  <c r="G20" i="4"/>
  <c r="E20" i="4"/>
  <c r="I19" i="4"/>
  <c r="H19" i="4"/>
  <c r="G19" i="4"/>
  <c r="H18" i="4"/>
  <c r="G17" i="4"/>
  <c r="E16" i="4"/>
  <c r="G15" i="4"/>
  <c r="I14" i="4"/>
  <c r="E14" i="4"/>
  <c r="G13" i="4"/>
  <c r="I12" i="4"/>
  <c r="H12" i="4"/>
  <c r="G12" i="4"/>
  <c r="E12" i="4"/>
  <c r="I11" i="4"/>
  <c r="H11" i="4"/>
  <c r="G11" i="4"/>
  <c r="H10" i="4"/>
  <c r="G9" i="4"/>
  <c r="E8" i="4"/>
  <c r="G7" i="4"/>
  <c r="E7" i="4"/>
  <c r="I6" i="4"/>
  <c r="E6" i="4"/>
  <c r="G5" i="4"/>
  <c r="N38" i="3"/>
  <c r="M38" i="3"/>
  <c r="L38" i="3"/>
  <c r="K38" i="3"/>
  <c r="J37" i="3"/>
  <c r="H37" i="3"/>
  <c r="G37" i="3"/>
  <c r="K37" i="3" s="1"/>
  <c r="F37" i="3"/>
  <c r="M36" i="3"/>
  <c r="N36" i="3" s="1"/>
  <c r="K36" i="3"/>
  <c r="J36" i="3"/>
  <c r="L36" i="3" s="1"/>
  <c r="H36" i="3"/>
  <c r="G36" i="3"/>
  <c r="F36" i="3"/>
  <c r="J35" i="3"/>
  <c r="I34" i="4" s="1"/>
  <c r="H35" i="3"/>
  <c r="G35" i="3"/>
  <c r="G34" i="4" s="1"/>
  <c r="F35" i="3"/>
  <c r="M34" i="3"/>
  <c r="N34" i="3" s="1"/>
  <c r="L34" i="3"/>
  <c r="K34" i="3"/>
  <c r="J34" i="3"/>
  <c r="I33" i="4" s="1"/>
  <c r="H34" i="3"/>
  <c r="H33" i="4" s="1"/>
  <c r="G34" i="3"/>
  <c r="J33" i="3"/>
  <c r="I32" i="4" s="1"/>
  <c r="H33" i="3"/>
  <c r="H32" i="4" s="1"/>
  <c r="G33" i="3"/>
  <c r="K33" i="3" s="1"/>
  <c r="F33" i="3"/>
  <c r="M32" i="3"/>
  <c r="N32" i="3" s="1"/>
  <c r="K32" i="3"/>
  <c r="J32" i="3"/>
  <c r="I31" i="4" s="1"/>
  <c r="H32" i="3"/>
  <c r="H31" i="4" s="1"/>
  <c r="G32" i="3"/>
  <c r="F32" i="3"/>
  <c r="J31" i="3"/>
  <c r="H31" i="3"/>
  <c r="H30" i="4" s="1"/>
  <c r="G31" i="3"/>
  <c r="G30" i="4" s="1"/>
  <c r="F31" i="3"/>
  <c r="M30" i="3"/>
  <c r="N30" i="3" s="1"/>
  <c r="L30" i="3"/>
  <c r="K30" i="3"/>
  <c r="J30" i="3"/>
  <c r="I29" i="4" s="1"/>
  <c r="H30" i="3"/>
  <c r="H29" i="4" s="1"/>
  <c r="G30" i="3"/>
  <c r="J29" i="3"/>
  <c r="H29" i="3"/>
  <c r="G29" i="3"/>
  <c r="K29" i="3" s="1"/>
  <c r="F29" i="3"/>
  <c r="M28" i="3"/>
  <c r="N28" i="3" s="1"/>
  <c r="K28" i="3"/>
  <c r="J28" i="3"/>
  <c r="L28" i="3" s="1"/>
  <c r="H28" i="3"/>
  <c r="G28" i="3"/>
  <c r="J27" i="3"/>
  <c r="I26" i="4" s="1"/>
  <c r="H27" i="3"/>
  <c r="G27" i="3"/>
  <c r="G26" i="4" s="1"/>
  <c r="F27" i="3"/>
  <c r="M26" i="3"/>
  <c r="N26" i="3" s="1"/>
  <c r="L26" i="3"/>
  <c r="K26" i="3"/>
  <c r="J26" i="3"/>
  <c r="I25" i="4" s="1"/>
  <c r="H26" i="3"/>
  <c r="H25" i="4" s="1"/>
  <c r="G26" i="3"/>
  <c r="J25" i="3"/>
  <c r="I24" i="4" s="1"/>
  <c r="H25" i="3"/>
  <c r="H24" i="4" s="1"/>
  <c r="G25" i="3"/>
  <c r="G24" i="4" s="1"/>
  <c r="F25" i="3"/>
  <c r="M24" i="3"/>
  <c r="N24" i="3" s="1"/>
  <c r="K24" i="3"/>
  <c r="J24" i="3"/>
  <c r="I23" i="4" s="1"/>
  <c r="H24" i="3"/>
  <c r="H23" i="4" s="1"/>
  <c r="G24" i="3"/>
  <c r="J23" i="3"/>
  <c r="H23" i="3"/>
  <c r="H22" i="4" s="1"/>
  <c r="G23" i="3"/>
  <c r="G22" i="4" s="1"/>
  <c r="F23" i="3"/>
  <c r="M22" i="3"/>
  <c r="N22" i="3" s="1"/>
  <c r="L22" i="3"/>
  <c r="K22" i="3"/>
  <c r="J22" i="3"/>
  <c r="I21" i="4" s="1"/>
  <c r="H22" i="3"/>
  <c r="H21" i="4" s="1"/>
  <c r="G22" i="3"/>
  <c r="J21" i="3"/>
  <c r="H21" i="3"/>
  <c r="G21" i="3"/>
  <c r="K21" i="3" s="1"/>
  <c r="F21" i="3"/>
  <c r="M20" i="3"/>
  <c r="N20" i="3" s="1"/>
  <c r="K20" i="3"/>
  <c r="J20" i="3"/>
  <c r="L20" i="3" s="1"/>
  <c r="H20" i="3"/>
  <c r="G20" i="3"/>
  <c r="J19" i="3"/>
  <c r="I18" i="4" s="1"/>
  <c r="H19" i="3"/>
  <c r="G19" i="3"/>
  <c r="G18" i="4" s="1"/>
  <c r="F19" i="3"/>
  <c r="M18" i="3"/>
  <c r="N18" i="3" s="1"/>
  <c r="L18" i="3"/>
  <c r="K18" i="3"/>
  <c r="J18" i="3"/>
  <c r="I17" i="4" s="1"/>
  <c r="H18" i="3"/>
  <c r="H17" i="4" s="1"/>
  <c r="G18" i="3"/>
  <c r="J17" i="3"/>
  <c r="I16" i="4" s="1"/>
  <c r="H17" i="3"/>
  <c r="H16" i="4" s="1"/>
  <c r="G17" i="3"/>
  <c r="G16" i="4" s="1"/>
  <c r="F17" i="3"/>
  <c r="M16" i="3"/>
  <c r="N16" i="3" s="1"/>
  <c r="K16" i="3"/>
  <c r="J16" i="3"/>
  <c r="I15" i="4" s="1"/>
  <c r="H16" i="3"/>
  <c r="H15" i="4" s="1"/>
  <c r="G16" i="3"/>
  <c r="J15" i="3"/>
  <c r="H15" i="3"/>
  <c r="H14" i="4" s="1"/>
  <c r="G15" i="3"/>
  <c r="G14" i="4" s="1"/>
  <c r="F15" i="3"/>
  <c r="M14" i="3"/>
  <c r="N14" i="3" s="1"/>
  <c r="L14" i="3"/>
  <c r="K14" i="3"/>
  <c r="J14" i="3"/>
  <c r="I13" i="4" s="1"/>
  <c r="H14" i="3"/>
  <c r="H13" i="4" s="1"/>
  <c r="G14" i="3"/>
  <c r="J13" i="3"/>
  <c r="H13" i="3"/>
  <c r="G13" i="3"/>
  <c r="K13" i="3" s="1"/>
  <c r="F13" i="3"/>
  <c r="M12" i="3"/>
  <c r="N12" i="3" s="1"/>
  <c r="K12" i="3"/>
  <c r="J12" i="3"/>
  <c r="L12" i="3" s="1"/>
  <c r="H12" i="3"/>
  <c r="G12" i="3"/>
  <c r="F12" i="3"/>
  <c r="J11" i="3"/>
  <c r="I10" i="4" s="1"/>
  <c r="H11" i="3"/>
  <c r="G11" i="3"/>
  <c r="G10" i="4" s="1"/>
  <c r="F11" i="3"/>
  <c r="M10" i="3"/>
  <c r="N10" i="3" s="1"/>
  <c r="L10" i="3"/>
  <c r="K10" i="3"/>
  <c r="J10" i="3"/>
  <c r="I9" i="4" s="1"/>
  <c r="H10" i="3"/>
  <c r="H9" i="4" s="1"/>
  <c r="G10" i="3"/>
  <c r="J9" i="3"/>
  <c r="I8" i="4" s="1"/>
  <c r="H9" i="3"/>
  <c r="H8" i="4" s="1"/>
  <c r="G9" i="3"/>
  <c r="K9" i="3" s="1"/>
  <c r="F9" i="3"/>
  <c r="M8" i="3"/>
  <c r="N8" i="3" s="1"/>
  <c r="K8" i="3"/>
  <c r="J8" i="3"/>
  <c r="I7" i="4" s="1"/>
  <c r="H8" i="3"/>
  <c r="H7" i="4" s="1"/>
  <c r="G8" i="3"/>
  <c r="F8" i="3"/>
  <c r="J7" i="3"/>
  <c r="H7" i="3"/>
  <c r="H6" i="4" s="1"/>
  <c r="G7" i="3"/>
  <c r="G6" i="4" s="1"/>
  <c r="F7" i="3"/>
  <c r="M6" i="3"/>
  <c r="L6" i="3"/>
  <c r="K6" i="3"/>
  <c r="J6" i="3"/>
  <c r="I5" i="4" s="1"/>
  <c r="H6" i="3"/>
  <c r="H5" i="4" s="1"/>
  <c r="G6" i="3"/>
  <c r="A1" i="3"/>
  <c r="A1" i="2"/>
  <c r="K24" i="1"/>
  <c r="K23" i="1"/>
  <c r="K22" i="1"/>
  <c r="K21" i="1"/>
  <c r="K20" i="1"/>
  <c r="K19" i="1"/>
  <c r="K18" i="1"/>
  <c r="K17" i="1"/>
  <c r="K16" i="1"/>
  <c r="K15" i="1"/>
  <c r="K14" i="1"/>
  <c r="K13" i="1"/>
  <c r="H14" i="1"/>
  <c r="H13" i="1"/>
  <c r="E24" i="1"/>
  <c r="E23" i="1"/>
  <c r="E22" i="1"/>
  <c r="E21" i="1"/>
  <c r="E20" i="1"/>
  <c r="E19" i="1"/>
  <c r="E18" i="1"/>
  <c r="E17" i="1"/>
  <c r="E16" i="1"/>
  <c r="E15" i="1"/>
  <c r="E14" i="1"/>
  <c r="E13" i="1"/>
  <c r="B33" i="1"/>
  <c r="C9" i="8" s="1"/>
  <c r="K9" i="8" s="1"/>
  <c r="L9" i="8" s="1"/>
  <c r="B32" i="1"/>
  <c r="C90" i="11" s="1"/>
  <c r="B31" i="1"/>
  <c r="B30" i="1"/>
  <c r="B29" i="1"/>
  <c r="B28" i="1"/>
  <c r="C8" i="8" s="1"/>
  <c r="K8" i="8" s="1"/>
  <c r="L8" i="8" s="1"/>
  <c r="B27" i="1"/>
  <c r="B26" i="1"/>
  <c r="B25" i="1"/>
  <c r="E11" i="4" s="1"/>
  <c r="B24" i="1"/>
  <c r="B23" i="1"/>
  <c r="E34" i="4" s="1"/>
  <c r="B22" i="1"/>
  <c r="B21" i="1"/>
  <c r="E15" i="4" s="1"/>
  <c r="B20" i="1"/>
  <c r="E18" i="4" s="1"/>
  <c r="B19" i="1"/>
  <c r="B18" i="1"/>
  <c r="E26" i="4" s="1"/>
  <c r="B17" i="1"/>
  <c r="E27" i="4" s="1"/>
  <c r="B16" i="1"/>
  <c r="B15" i="1"/>
  <c r="E35" i="4" s="1"/>
  <c r="B14" i="1"/>
  <c r="B13" i="1"/>
  <c r="K45" i="11" l="1"/>
  <c r="L9" i="3"/>
  <c r="M9" i="3"/>
  <c r="N9" i="3" s="1"/>
  <c r="K51" i="11"/>
  <c r="M72" i="11"/>
  <c r="H4" i="7"/>
  <c r="H23" i="7" s="1"/>
  <c r="H168" i="6"/>
  <c r="H171" i="6" s="1"/>
  <c r="D5" i="12" s="1"/>
  <c r="D9" i="12" s="1"/>
  <c r="L15" i="3"/>
  <c r="M54" i="11"/>
  <c r="L37" i="3"/>
  <c r="M37" i="3"/>
  <c r="N37" i="3" s="1"/>
  <c r="K112" i="6"/>
  <c r="H6" i="5"/>
  <c r="J6" i="5" s="1"/>
  <c r="O6" i="5" s="1"/>
  <c r="H22" i="5"/>
  <c r="J22" i="5" s="1"/>
  <c r="O22" i="5" s="1"/>
  <c r="E20" i="7" s="1"/>
  <c r="H14" i="5"/>
  <c r="J14" i="5" s="1"/>
  <c r="O14" i="5" s="1"/>
  <c r="E12" i="7" s="1"/>
  <c r="H19" i="5"/>
  <c r="J19" i="5" s="1"/>
  <c r="O19" i="5" s="1"/>
  <c r="E17" i="7" s="1"/>
  <c r="H11" i="5"/>
  <c r="J11" i="5" s="1"/>
  <c r="O11" i="5" s="1"/>
  <c r="E9" i="7" s="1"/>
  <c r="H16" i="5"/>
  <c r="J16" i="5" s="1"/>
  <c r="O16" i="5" s="1"/>
  <c r="E14" i="7" s="1"/>
  <c r="H8" i="5"/>
  <c r="J8" i="5" s="1"/>
  <c r="O8" i="5" s="1"/>
  <c r="E6" i="7" s="1"/>
  <c r="L13" i="3"/>
  <c r="M13" i="3"/>
  <c r="N13" i="3" s="1"/>
  <c r="M33" i="3"/>
  <c r="N33" i="3" s="1"/>
  <c r="L33" i="3"/>
  <c r="L29" i="3"/>
  <c r="M29" i="3"/>
  <c r="N29" i="3" s="1"/>
  <c r="K85" i="6"/>
  <c r="L90" i="11"/>
  <c r="K67" i="6"/>
  <c r="L21" i="3"/>
  <c r="M21" i="3"/>
  <c r="N21" i="3" s="1"/>
  <c r="I64" i="6"/>
  <c r="I136" i="6"/>
  <c r="K165" i="6"/>
  <c r="K166" i="6" s="1"/>
  <c r="K54" i="6"/>
  <c r="K58" i="6" s="1"/>
  <c r="K168" i="6" s="1"/>
  <c r="K171" i="6" s="1"/>
  <c r="J22" i="6"/>
  <c r="I5" i="7" s="1"/>
  <c r="J94" i="6"/>
  <c r="I13" i="7" s="1"/>
  <c r="C18" i="11"/>
  <c r="L18" i="11" s="1"/>
  <c r="C44" i="11"/>
  <c r="L44" i="11" s="1"/>
  <c r="M44" i="11" s="1"/>
  <c r="C26" i="11"/>
  <c r="L26" i="11" s="1"/>
  <c r="M26" i="11" s="1"/>
  <c r="C109" i="11"/>
  <c r="L109" i="11" s="1"/>
  <c r="M109" i="11" s="1"/>
  <c r="C8" i="11"/>
  <c r="L8" i="11" s="1"/>
  <c r="M8" i="11" s="1"/>
  <c r="C91" i="11"/>
  <c r="L91" i="11" s="1"/>
  <c r="M91" i="11" s="1"/>
  <c r="C73" i="11"/>
  <c r="L73" i="11" s="1"/>
  <c r="M73" i="11" s="1"/>
  <c r="K7" i="3"/>
  <c r="K15" i="3"/>
  <c r="M15" i="3" s="1"/>
  <c r="N15" i="3" s="1"/>
  <c r="K27" i="3"/>
  <c r="M27" i="3" s="1"/>
  <c r="N27" i="3" s="1"/>
  <c r="E5" i="4"/>
  <c r="E13" i="4"/>
  <c r="E29" i="4"/>
  <c r="E37" i="4"/>
  <c r="J13" i="6"/>
  <c r="J85" i="6"/>
  <c r="I12" i="7" s="1"/>
  <c r="J157" i="6"/>
  <c r="I20" i="7" s="1"/>
  <c r="C55" i="11"/>
  <c r="L55" i="11" s="1"/>
  <c r="M55" i="11" s="1"/>
  <c r="K11" i="3"/>
  <c r="M11" i="3" s="1"/>
  <c r="N11" i="3" s="1"/>
  <c r="K19" i="3"/>
  <c r="M19" i="3" s="1"/>
  <c r="N19" i="3" s="1"/>
  <c r="K23" i="3"/>
  <c r="M23" i="3" s="1"/>
  <c r="N23" i="3" s="1"/>
  <c r="K31" i="3"/>
  <c r="M31" i="3" s="1"/>
  <c r="N31" i="3" s="1"/>
  <c r="K35" i="3"/>
  <c r="M35" i="3" s="1"/>
  <c r="N35" i="3" s="1"/>
  <c r="E21" i="4"/>
  <c r="L11" i="3"/>
  <c r="L19" i="3"/>
  <c r="L27" i="3"/>
  <c r="L35" i="3"/>
  <c r="C6" i="10"/>
  <c r="K6" i="10" s="1"/>
  <c r="C37" i="11"/>
  <c r="L37" i="11" s="1"/>
  <c r="M37" i="11" s="1"/>
  <c r="C89" i="6"/>
  <c r="I89" i="6" s="1"/>
  <c r="C19" i="11"/>
  <c r="L19" i="11" s="1"/>
  <c r="M19" i="11" s="1"/>
  <c r="C102" i="11"/>
  <c r="L102" i="11" s="1"/>
  <c r="C161" i="6"/>
  <c r="I161" i="6" s="1"/>
  <c r="C84" i="11"/>
  <c r="L84" i="11" s="1"/>
  <c r="C110" i="11"/>
  <c r="L110" i="11" s="1"/>
  <c r="M110" i="11" s="1"/>
  <c r="F24" i="3"/>
  <c r="J76" i="6"/>
  <c r="I11" i="7" s="1"/>
  <c r="J148" i="6"/>
  <c r="I19" i="7" s="1"/>
  <c r="C66" i="11"/>
  <c r="L66" i="11" s="1"/>
  <c r="C92" i="11"/>
  <c r="L92" i="11" s="1"/>
  <c r="M92" i="11" s="1"/>
  <c r="F16" i="3"/>
  <c r="F20" i="3"/>
  <c r="F28" i="3"/>
  <c r="E22" i="4"/>
  <c r="C7" i="10"/>
  <c r="K7" i="10" s="1"/>
  <c r="L7" i="10" s="1"/>
  <c r="C48" i="11"/>
  <c r="L48" i="11" s="1"/>
  <c r="C74" i="11"/>
  <c r="L74" i="11" s="1"/>
  <c r="M74" i="11" s="1"/>
  <c r="N6" i="3"/>
  <c r="C8" i="6"/>
  <c r="I8" i="6" s="1"/>
  <c r="C80" i="6"/>
  <c r="I80" i="6" s="1"/>
  <c r="C152" i="6"/>
  <c r="I152" i="6" s="1"/>
  <c r="C30" i="11"/>
  <c r="L30" i="11" s="1"/>
  <c r="C56" i="11"/>
  <c r="L56" i="11" s="1"/>
  <c r="M56" i="11" s="1"/>
  <c r="C12" i="11"/>
  <c r="L12" i="11" s="1"/>
  <c r="C38" i="11"/>
  <c r="L38" i="11" s="1"/>
  <c r="M38" i="11" s="1"/>
  <c r="E23" i="4"/>
  <c r="E31" i="4"/>
  <c r="J67" i="6"/>
  <c r="I10" i="7" s="1"/>
  <c r="J139" i="6"/>
  <c r="I18" i="7" s="1"/>
  <c r="C20" i="11"/>
  <c r="L20" i="11" s="1"/>
  <c r="M20" i="11" s="1"/>
  <c r="C103" i="11"/>
  <c r="L103" i="11" s="1"/>
  <c r="M103" i="11" s="1"/>
  <c r="L8" i="3"/>
  <c r="L16" i="3"/>
  <c r="L24" i="3"/>
  <c r="L32" i="3"/>
  <c r="C8" i="10"/>
  <c r="K8" i="10" s="1"/>
  <c r="L8" i="10" s="1"/>
  <c r="C85" i="11"/>
  <c r="L85" i="11" s="1"/>
  <c r="M85" i="11" s="1"/>
  <c r="C71" i="6"/>
  <c r="I71" i="6" s="1"/>
  <c r="C143" i="6"/>
  <c r="I143" i="6" s="1"/>
  <c r="C67" i="11"/>
  <c r="L67" i="11" s="1"/>
  <c r="M67" i="11" s="1"/>
  <c r="K126" i="6"/>
  <c r="K130" i="6" s="1"/>
  <c r="C49" i="11"/>
  <c r="L49" i="11" s="1"/>
  <c r="M49" i="11" s="1"/>
  <c r="K44" i="6"/>
  <c r="K49" i="6" s="1"/>
  <c r="K116" i="6"/>
  <c r="K121" i="6" s="1"/>
  <c r="C31" i="11"/>
  <c r="L31" i="11" s="1"/>
  <c r="M31" i="11" s="1"/>
  <c r="C13" i="11"/>
  <c r="L13" i="11" s="1"/>
  <c r="M13" i="11" s="1"/>
  <c r="C96" i="11"/>
  <c r="L96" i="11" s="1"/>
  <c r="C36" i="11"/>
  <c r="L36" i="11" s="1"/>
  <c r="G8" i="4"/>
  <c r="C62" i="6"/>
  <c r="I62" i="6" s="1"/>
  <c r="C134" i="6"/>
  <c r="I134" i="6" s="1"/>
  <c r="C78" i="11"/>
  <c r="L78" i="11" s="1"/>
  <c r="C104" i="11"/>
  <c r="L104" i="11" s="1"/>
  <c r="M104" i="11" s="1"/>
  <c r="C7" i="8"/>
  <c r="K7" i="8" s="1"/>
  <c r="C60" i="11"/>
  <c r="L60" i="11" s="1"/>
  <c r="C86" i="11"/>
  <c r="L86" i="11" s="1"/>
  <c r="M86" i="11" s="1"/>
  <c r="G32" i="4"/>
  <c r="K17" i="3"/>
  <c r="K25" i="3"/>
  <c r="E9" i="4"/>
  <c r="H18" i="5" s="1"/>
  <c r="J18" i="5" s="1"/>
  <c r="O18" i="5" s="1"/>
  <c r="E16" i="7" s="1"/>
  <c r="E17" i="4"/>
  <c r="E25" i="4"/>
  <c r="E33" i="4"/>
  <c r="C42" i="11"/>
  <c r="L42" i="11" s="1"/>
  <c r="C68" i="11"/>
  <c r="L68" i="11" s="1"/>
  <c r="M68" i="11" s="1"/>
  <c r="C24" i="11"/>
  <c r="L24" i="11" s="1"/>
  <c r="C50" i="11"/>
  <c r="L50" i="11" s="1"/>
  <c r="M50" i="11" s="1"/>
  <c r="C53" i="6"/>
  <c r="I53" i="6" s="1"/>
  <c r="C125" i="6"/>
  <c r="I125" i="6" s="1"/>
  <c r="C6" i="11"/>
  <c r="L6" i="11" s="1"/>
  <c r="C32" i="11"/>
  <c r="L32" i="11" s="1"/>
  <c r="M32" i="11" s="1"/>
  <c r="C14" i="11"/>
  <c r="L14" i="11" s="1"/>
  <c r="M14" i="11" s="1"/>
  <c r="C97" i="11"/>
  <c r="L97" i="11" s="1"/>
  <c r="M97" i="11" s="1"/>
  <c r="F6" i="3"/>
  <c r="F14" i="3"/>
  <c r="F22" i="3"/>
  <c r="F26" i="3"/>
  <c r="F34" i="3"/>
  <c r="C79" i="11"/>
  <c r="L79" i="11" s="1"/>
  <c r="M79" i="11" s="1"/>
  <c r="F10" i="3"/>
  <c r="F18" i="3"/>
  <c r="F30" i="3"/>
  <c r="F38" i="3"/>
  <c r="E10" i="4"/>
  <c r="C61" i="11"/>
  <c r="L61" i="11" s="1"/>
  <c r="M61" i="11" s="1"/>
  <c r="C116" i="6"/>
  <c r="I116" i="6" s="1"/>
  <c r="C43" i="11"/>
  <c r="L43" i="11" s="1"/>
  <c r="M43" i="11" s="1"/>
  <c r="C44" i="6"/>
  <c r="I44" i="6" s="1"/>
  <c r="C25" i="11"/>
  <c r="L25" i="11" s="1"/>
  <c r="M25" i="11" s="1"/>
  <c r="C108" i="11"/>
  <c r="L108" i="11" s="1"/>
  <c r="E19" i="4"/>
  <c r="C7" i="11"/>
  <c r="L7" i="11" s="1"/>
  <c r="M7" i="11" s="1"/>
  <c r="E4" i="7" l="1"/>
  <c r="M7" i="3"/>
  <c r="K39" i="3"/>
  <c r="L21" i="11"/>
  <c r="M21" i="11" s="1"/>
  <c r="M18" i="11"/>
  <c r="H13" i="5"/>
  <c r="J13" i="5" s="1"/>
  <c r="O13" i="5" s="1"/>
  <c r="E11" i="7" s="1"/>
  <c r="H9" i="5"/>
  <c r="J9" i="5" s="1"/>
  <c r="O9" i="5" s="1"/>
  <c r="E7" i="7" s="1"/>
  <c r="H17" i="5"/>
  <c r="J17" i="5" s="1"/>
  <c r="O17" i="5" s="1"/>
  <c r="E15" i="7" s="1"/>
  <c r="M6" i="11"/>
  <c r="L9" i="11"/>
  <c r="M9" i="11" s="1"/>
  <c r="H21" i="5"/>
  <c r="J21" i="5" s="1"/>
  <c r="O21" i="5" s="1"/>
  <c r="E19" i="7" s="1"/>
  <c r="H20" i="5"/>
  <c r="J20" i="5" s="1"/>
  <c r="O20" i="5" s="1"/>
  <c r="E18" i="7" s="1"/>
  <c r="L87" i="11"/>
  <c r="M87" i="11" s="1"/>
  <c r="M84" i="11"/>
  <c r="H12" i="5"/>
  <c r="J12" i="5" s="1"/>
  <c r="O12" i="5" s="1"/>
  <c r="E10" i="7" s="1"/>
  <c r="H7" i="5"/>
  <c r="J7" i="5" s="1"/>
  <c r="O7" i="5" s="1"/>
  <c r="E5" i="7" s="1"/>
  <c r="H15" i="5"/>
  <c r="J15" i="5" s="1"/>
  <c r="O15" i="5" s="1"/>
  <c r="E13" i="7" s="1"/>
  <c r="M17" i="3"/>
  <c r="N17" i="3" s="1"/>
  <c r="L17" i="3"/>
  <c r="H23" i="5"/>
  <c r="J23" i="5" s="1"/>
  <c r="O23" i="5" s="1"/>
  <c r="E21" i="7" s="1"/>
  <c r="L7" i="3"/>
  <c r="H10" i="5"/>
  <c r="J10" i="5" s="1"/>
  <c r="O10" i="5" s="1"/>
  <c r="E8" i="7" s="1"/>
  <c r="L69" i="11"/>
  <c r="M69" i="11" s="1"/>
  <c r="M66" i="11"/>
  <c r="M60" i="11"/>
  <c r="L63" i="11"/>
  <c r="M63" i="11" s="1"/>
  <c r="L23" i="3"/>
  <c r="K9" i="10"/>
  <c r="L6" i="10"/>
  <c r="L7" i="8"/>
  <c r="K10" i="8"/>
  <c r="M30" i="11"/>
  <c r="L33" i="11"/>
  <c r="M33" i="11" s="1"/>
  <c r="L25" i="3"/>
  <c r="M25" i="3"/>
  <c r="N25" i="3" s="1"/>
  <c r="M78" i="11"/>
  <c r="L81" i="11"/>
  <c r="M81" i="11" s="1"/>
  <c r="L93" i="11"/>
  <c r="M93" i="11" s="1"/>
  <c r="M90" i="11"/>
  <c r="L111" i="11"/>
  <c r="M111" i="11" s="1"/>
  <c r="M108" i="11"/>
  <c r="L57" i="11"/>
  <c r="M57" i="11" s="1"/>
  <c r="L105" i="11"/>
  <c r="M105" i="11" s="1"/>
  <c r="M102" i="11"/>
  <c r="M12" i="11"/>
  <c r="L15" i="11"/>
  <c r="M15" i="11" s="1"/>
  <c r="L39" i="11"/>
  <c r="M39" i="11" s="1"/>
  <c r="M36" i="11"/>
  <c r="L51" i="11"/>
  <c r="M51" i="11" s="1"/>
  <c r="M48" i="11"/>
  <c r="I4" i="7"/>
  <c r="I23" i="7" s="1"/>
  <c r="J168" i="6"/>
  <c r="J171" i="6" s="1"/>
  <c r="E5" i="12" s="1"/>
  <c r="L31" i="3"/>
  <c r="L75" i="11"/>
  <c r="M75" i="11" s="1"/>
  <c r="M24" i="11"/>
  <c r="L27" i="11"/>
  <c r="M27" i="11" s="1"/>
  <c r="M96" i="11"/>
  <c r="L99" i="11"/>
  <c r="M99" i="11" s="1"/>
  <c r="L15" i="5"/>
  <c r="L23" i="5"/>
  <c r="G10" i="5"/>
  <c r="K10" i="5" s="1"/>
  <c r="P10" i="5" s="1"/>
  <c r="F8" i="7" s="1"/>
  <c r="G13" i="5"/>
  <c r="K13" i="5" s="1"/>
  <c r="P13" i="5" s="1"/>
  <c r="F11" i="7" s="1"/>
  <c r="G18" i="5"/>
  <c r="K18" i="5" s="1"/>
  <c r="P18" i="5" s="1"/>
  <c r="F16" i="7" s="1"/>
  <c r="L7" i="5"/>
  <c r="G15" i="5"/>
  <c r="K15" i="5" s="1"/>
  <c r="P15" i="5" s="1"/>
  <c r="F13" i="7" s="1"/>
  <c r="L14" i="5"/>
  <c r="L20" i="5"/>
  <c r="G9" i="5"/>
  <c r="K9" i="5" s="1"/>
  <c r="P9" i="5" s="1"/>
  <c r="F7" i="7" s="1"/>
  <c r="G7" i="5"/>
  <c r="K7" i="5" s="1"/>
  <c r="P7" i="5" s="1"/>
  <c r="F5" i="7" s="1"/>
  <c r="G23" i="5"/>
  <c r="K23" i="5" s="1"/>
  <c r="P23" i="5" s="1"/>
  <c r="F21" i="7" s="1"/>
  <c r="L12" i="5"/>
  <c r="L6" i="5"/>
  <c r="G17" i="5"/>
  <c r="K17" i="5" s="1"/>
  <c r="P17" i="5" s="1"/>
  <c r="F15" i="7" s="1"/>
  <c r="G20" i="5"/>
  <c r="K20" i="5" s="1"/>
  <c r="P20" i="5" s="1"/>
  <c r="F18" i="7" s="1"/>
  <c r="L17" i="5"/>
  <c r="G12" i="5"/>
  <c r="K12" i="5" s="1"/>
  <c r="P12" i="5" s="1"/>
  <c r="F10" i="7" s="1"/>
  <c r="L9" i="5"/>
  <c r="L18" i="5"/>
  <c r="L22" i="5"/>
  <c r="G22" i="5"/>
  <c r="K22" i="5" s="1"/>
  <c r="P22" i="5" s="1"/>
  <c r="F20" i="7" s="1"/>
  <c r="L19" i="5"/>
  <c r="G14" i="5"/>
  <c r="K14" i="5" s="1"/>
  <c r="P14" i="5" s="1"/>
  <c r="F12" i="7" s="1"/>
  <c r="L11" i="5"/>
  <c r="G6" i="5"/>
  <c r="K6" i="5" s="1"/>
  <c r="P6" i="5" s="1"/>
  <c r="G21" i="5"/>
  <c r="K21" i="5" s="1"/>
  <c r="P21" i="5" s="1"/>
  <c r="F19" i="7" s="1"/>
  <c r="G11" i="5"/>
  <c r="K11" i="5" s="1"/>
  <c r="P11" i="5" s="1"/>
  <c r="F9" i="7" s="1"/>
  <c r="L8" i="5"/>
  <c r="L16" i="5"/>
  <c r="G19" i="5"/>
  <c r="K19" i="5" s="1"/>
  <c r="P19" i="5" s="1"/>
  <c r="F17" i="7" s="1"/>
  <c r="G8" i="5"/>
  <c r="K8" i="5" s="1"/>
  <c r="P8" i="5" s="1"/>
  <c r="F6" i="7" s="1"/>
  <c r="G16" i="5"/>
  <c r="K16" i="5" s="1"/>
  <c r="P16" i="5" s="1"/>
  <c r="F14" i="7" s="1"/>
  <c r="L13" i="5"/>
  <c r="L21" i="5"/>
  <c r="L10" i="5"/>
  <c r="M42" i="11"/>
  <c r="L45" i="11"/>
  <c r="M45" i="11" s="1"/>
  <c r="K11" i="10" l="1"/>
  <c r="L9" i="10"/>
  <c r="F4" i="7"/>
  <c r="F23" i="7" s="1"/>
  <c r="B4" i="12" s="1"/>
  <c r="B9" i="12" s="1"/>
  <c r="B11" i="12" s="1"/>
  <c r="P24" i="5"/>
  <c r="P27" i="5" s="1"/>
  <c r="L39" i="3"/>
  <c r="K12" i="8"/>
  <c r="L10" i="8"/>
  <c r="N7" i="3"/>
  <c r="N39" i="3" s="1"/>
  <c r="N44" i="3" s="1"/>
  <c r="M39" i="3"/>
  <c r="O24" i="5"/>
  <c r="O27" i="5" s="1"/>
  <c r="E23" i="7"/>
  <c r="C4" i="12" s="1"/>
  <c r="C9" i="12" s="1"/>
  <c r="E6" i="12" l="1"/>
  <c r="L12" i="8"/>
  <c r="M44" i="3"/>
  <c r="J41" i="3"/>
  <c r="E7" i="12"/>
  <c r="L11" i="10"/>
  <c r="F18" i="5" l="1"/>
  <c r="M18" i="5" s="1"/>
  <c r="N18" i="5" s="1"/>
  <c r="Q18" i="5" s="1"/>
  <c r="F10" i="5"/>
  <c r="M10" i="5" s="1"/>
  <c r="N10" i="5" s="1"/>
  <c r="Q10" i="5" s="1"/>
  <c r="F7" i="5"/>
  <c r="M7" i="5" s="1"/>
  <c r="N7" i="5" s="1"/>
  <c r="Q7" i="5" s="1"/>
  <c r="F13" i="5"/>
  <c r="M13" i="5" s="1"/>
  <c r="N13" i="5" s="1"/>
  <c r="Q13" i="5" s="1"/>
  <c r="F23" i="5"/>
  <c r="M23" i="5" s="1"/>
  <c r="N23" i="5" s="1"/>
  <c r="Q23" i="5" s="1"/>
  <c r="F15" i="5"/>
  <c r="M15" i="5" s="1"/>
  <c r="N15" i="5" s="1"/>
  <c r="Q15" i="5" s="1"/>
  <c r="F20" i="5"/>
  <c r="M20" i="5" s="1"/>
  <c r="N20" i="5" s="1"/>
  <c r="Q20" i="5" s="1"/>
  <c r="F12" i="5"/>
  <c r="M12" i="5" s="1"/>
  <c r="N12" i="5" s="1"/>
  <c r="Q12" i="5" s="1"/>
  <c r="F17" i="5"/>
  <c r="M17" i="5" s="1"/>
  <c r="N17" i="5" s="1"/>
  <c r="Q17" i="5" s="1"/>
  <c r="F9" i="5"/>
  <c r="M9" i="5" s="1"/>
  <c r="N9" i="5" s="1"/>
  <c r="Q9" i="5" s="1"/>
  <c r="F22" i="5"/>
  <c r="M22" i="5" s="1"/>
  <c r="N22" i="5" s="1"/>
  <c r="Q22" i="5" s="1"/>
  <c r="F14" i="5"/>
  <c r="M14" i="5" s="1"/>
  <c r="N14" i="5" s="1"/>
  <c r="Q14" i="5" s="1"/>
  <c r="F6" i="5"/>
  <c r="M6" i="5" s="1"/>
  <c r="N6" i="5" s="1"/>
  <c r="Q6" i="5" s="1"/>
  <c r="F19" i="5"/>
  <c r="M19" i="5" s="1"/>
  <c r="N19" i="5" s="1"/>
  <c r="Q19" i="5" s="1"/>
  <c r="F11" i="5"/>
  <c r="M11" i="5" s="1"/>
  <c r="N11" i="5" s="1"/>
  <c r="Q11" i="5" s="1"/>
  <c r="F16" i="5"/>
  <c r="M16" i="5" s="1"/>
  <c r="N16" i="5" s="1"/>
  <c r="Q16" i="5" s="1"/>
  <c r="F8" i="5"/>
  <c r="M8" i="5" s="1"/>
  <c r="N8" i="5" s="1"/>
  <c r="Q8" i="5" s="1"/>
  <c r="F21" i="5"/>
  <c r="M21" i="5" s="1"/>
  <c r="N21" i="5" s="1"/>
  <c r="Q21" i="5" s="1"/>
  <c r="R11" i="5" l="1"/>
  <c r="G9" i="7"/>
  <c r="J9" i="7" s="1"/>
  <c r="K9" i="7" s="1"/>
  <c r="R6" i="5"/>
  <c r="G4" i="7"/>
  <c r="Q24" i="5"/>
  <c r="Q27" i="5" s="1"/>
  <c r="G19" i="7"/>
  <c r="J19" i="7" s="1"/>
  <c r="K19" i="7" s="1"/>
  <c r="R21" i="5"/>
  <c r="R9" i="5"/>
  <c r="G7" i="7"/>
  <c r="J7" i="7" s="1"/>
  <c r="K7" i="7" s="1"/>
  <c r="R12" i="5"/>
  <c r="G10" i="7"/>
  <c r="J10" i="7" s="1"/>
  <c r="K10" i="7" s="1"/>
  <c r="R20" i="5"/>
  <c r="G18" i="7"/>
  <c r="J18" i="7" s="1"/>
  <c r="K18" i="7" s="1"/>
  <c r="G13" i="7"/>
  <c r="J13" i="7" s="1"/>
  <c r="K13" i="7" s="1"/>
  <c r="R15" i="5"/>
  <c r="G14" i="7"/>
  <c r="J14" i="7" s="1"/>
  <c r="K14" i="7" s="1"/>
  <c r="R16" i="5"/>
  <c r="G21" i="7"/>
  <c r="J21" i="7" s="1"/>
  <c r="K21" i="7" s="1"/>
  <c r="R23" i="5"/>
  <c r="G6" i="7"/>
  <c r="J6" i="7" s="1"/>
  <c r="K6" i="7" s="1"/>
  <c r="R8" i="5"/>
  <c r="G11" i="7"/>
  <c r="J11" i="7" s="1"/>
  <c r="K11" i="7" s="1"/>
  <c r="R13" i="5"/>
  <c r="R14" i="5"/>
  <c r="G12" i="7"/>
  <c r="J12" i="7" s="1"/>
  <c r="K12" i="7" s="1"/>
  <c r="G5" i="7"/>
  <c r="J5" i="7" s="1"/>
  <c r="K5" i="7" s="1"/>
  <c r="R7" i="5"/>
  <c r="R19" i="5"/>
  <c r="G17" i="7"/>
  <c r="J17" i="7" s="1"/>
  <c r="K17" i="7" s="1"/>
  <c r="G15" i="7"/>
  <c r="J15" i="7" s="1"/>
  <c r="K15" i="7" s="1"/>
  <c r="R17" i="5"/>
  <c r="G8" i="7"/>
  <c r="J8" i="7" s="1"/>
  <c r="K8" i="7" s="1"/>
  <c r="R10" i="5"/>
  <c r="G20" i="7"/>
  <c r="J20" i="7" s="1"/>
  <c r="K20" i="7" s="1"/>
  <c r="R22" i="5"/>
  <c r="R18" i="5"/>
  <c r="G16" i="7"/>
  <c r="J16" i="7" s="1"/>
  <c r="K16" i="7" s="1"/>
  <c r="J4" i="7" l="1"/>
  <c r="G23" i="7"/>
  <c r="E4" i="12" s="1"/>
  <c r="E9" i="12" s="1"/>
  <c r="R24" i="5"/>
  <c r="R27" i="5" s="1"/>
  <c r="K4" i="7" l="1"/>
  <c r="K23" i="7" s="1"/>
  <c r="J23" i="7"/>
</calcChain>
</file>

<file path=xl/sharedStrings.xml><?xml version="1.0" encoding="utf-8"?>
<sst xmlns="http://schemas.openxmlformats.org/spreadsheetml/2006/main" count="1685" uniqueCount="473">
  <si>
    <t>Blad 'Omreken'</t>
  </si>
  <si>
    <t>Dit blad mag niet worden gewijzigd!</t>
  </si>
  <si>
    <t>Type:</t>
  </si>
  <si>
    <t>Invultabel</t>
  </si>
  <si>
    <t xml:space="preserve">werkdag             </t>
  </si>
  <si>
    <t xml:space="preserve">per jaar: </t>
  </si>
  <si>
    <t xml:space="preserve">per week: </t>
  </si>
  <si>
    <t>FREQ</t>
  </si>
  <si>
    <t>FACTOR</t>
  </si>
  <si>
    <t>224J</t>
  </si>
  <si>
    <t>5W</t>
  </si>
  <si>
    <t>200J</t>
  </si>
  <si>
    <t>4W</t>
  </si>
  <si>
    <t>160J</t>
  </si>
  <si>
    <t>156J</t>
  </si>
  <si>
    <t>3W</t>
  </si>
  <si>
    <t>120J</t>
  </si>
  <si>
    <t>104J</t>
  </si>
  <si>
    <t>2W</t>
  </si>
  <si>
    <t>80J</t>
  </si>
  <si>
    <t>1W</t>
  </si>
  <si>
    <t>40J</t>
  </si>
  <si>
    <t>26J</t>
  </si>
  <si>
    <t>12J</t>
  </si>
  <si>
    <t>10J</t>
  </si>
  <si>
    <t>6J</t>
  </si>
  <si>
    <t>4J</t>
  </si>
  <si>
    <t>3J</t>
  </si>
  <si>
    <t>2J</t>
  </si>
  <si>
    <t>1J</t>
  </si>
  <si>
    <t xml:space="preserve">werkdag vakantie    </t>
  </si>
  <si>
    <t xml:space="preserve">weekenddag          </t>
  </si>
  <si>
    <t xml:space="preserve">periodiek           </t>
  </si>
  <si>
    <t>NORM-CODE</t>
  </si>
  <si>
    <t>CATEGORIE</t>
  </si>
  <si>
    <t>DAGEN/JAAR</t>
  </si>
  <si>
    <t>OMSCHRIJVING</t>
  </si>
  <si>
    <t>PRODUCTIE-NORM</t>
  </si>
  <si>
    <t>% HOOG-FREQUENT</t>
  </si>
  <si>
    <t>EENHEID</t>
  </si>
  <si>
    <t>TARIEF (EURO)</t>
  </si>
  <si>
    <t xml:space="preserve">WERKDAG             </t>
  </si>
  <si>
    <t>BHB</t>
  </si>
  <si>
    <t xml:space="preserve">B    </t>
  </si>
  <si>
    <t>Kantoor-/personeels-/vergaderruimte - hard (basis)</t>
  </si>
  <si>
    <t>m²/uur</t>
  </si>
  <si>
    <t>LHB</t>
  </si>
  <si>
    <t>Leslokalen/studieruimte - hard (basis)</t>
  </si>
  <si>
    <t>BHV</t>
  </si>
  <si>
    <t>Kantoor-/personeels-/vergaderruimte - hard (volledig)</t>
  </si>
  <si>
    <t>LHV</t>
  </si>
  <si>
    <t>Leslokalen/studieruimte - hard (volledig)</t>
  </si>
  <si>
    <t>BZB</t>
  </si>
  <si>
    <t>Kantoor-/personeels-/vergaderruimte - zacht (basis)</t>
  </si>
  <si>
    <t>LZB</t>
  </si>
  <si>
    <t>Leslokalen/studieruimte - zacht (basis)</t>
  </si>
  <si>
    <t>BZV</t>
  </si>
  <si>
    <t>Kantoor-/personeels-/vergaderruimte - zacht (volledig)</t>
  </si>
  <si>
    <t>LZV</t>
  </si>
  <si>
    <t>Leslokalen/studieruimte - zacht (volledig)</t>
  </si>
  <si>
    <t>SHB</t>
  </si>
  <si>
    <t xml:space="preserve">S    </t>
  </si>
  <si>
    <t>Sanitaire ruimte/toiletgroep - hard (basis)</t>
  </si>
  <si>
    <t>SHV</t>
  </si>
  <si>
    <t>Sanitaire ruimte/toiletgroep - hard (volledig)</t>
  </si>
  <si>
    <t>AHB</t>
  </si>
  <si>
    <t xml:space="preserve">V    </t>
  </si>
  <si>
    <t>Aula/pauzeruimte - hard (basis)</t>
  </si>
  <si>
    <t>EHB</t>
  </si>
  <si>
    <t>Entree - hard (basis)</t>
  </si>
  <si>
    <t>GHB</t>
  </si>
  <si>
    <t>Gymzaal/sportruimte - hard (basis)</t>
  </si>
  <si>
    <t>PHB</t>
  </si>
  <si>
    <t>Pantry/keuken - hard (basis)</t>
  </si>
  <si>
    <t>THB</t>
  </si>
  <si>
    <t>Trap - hard (basis)</t>
  </si>
  <si>
    <t>VHB</t>
  </si>
  <si>
    <t>Verkeersruimte/garderobe/reprografie - hard (basis)</t>
  </si>
  <si>
    <t>AHV</t>
  </si>
  <si>
    <t>Aula/pauzeruimte - hard (volledig)</t>
  </si>
  <si>
    <t>EHV</t>
  </si>
  <si>
    <t>Entree - hard (volledig)</t>
  </si>
  <si>
    <t>GHV</t>
  </si>
  <si>
    <t>Gymzaal/sportruimte - hard (volledig)</t>
  </si>
  <si>
    <t>PHV</t>
  </si>
  <si>
    <t>Pantry/keuken - hard (volledig)</t>
  </si>
  <si>
    <t>THV</t>
  </si>
  <si>
    <t>Trap - hard (volledig)</t>
  </si>
  <si>
    <t>VHV</t>
  </si>
  <si>
    <t>Verkeersruimte/garderobe/reprografie - hard (volledig)</t>
  </si>
  <si>
    <t>AZB</t>
  </si>
  <si>
    <t>Aula/pauzeruimte - zacht (basis)</t>
  </si>
  <si>
    <t>EZB</t>
  </si>
  <si>
    <t>Entree - zacht (basis)</t>
  </si>
  <si>
    <t>VZB</t>
  </si>
  <si>
    <t>Verkeersruimte/garderobe/reprografie - zacht (basis)</t>
  </si>
  <si>
    <t>AZV</t>
  </si>
  <si>
    <t>Aula/pauzeruimte - zacht (volledig)</t>
  </si>
  <si>
    <t>EZV</t>
  </si>
  <si>
    <t>Entree - zacht (volledig)</t>
  </si>
  <si>
    <t>GZV</t>
  </si>
  <si>
    <t>Gymzaal/sportruimte - zacht (volledig)</t>
  </si>
  <si>
    <t>VZV</t>
  </si>
  <si>
    <t>Verkeersruimte/garderobe/reprografie - zacht (volledig)</t>
  </si>
  <si>
    <t>XBB</t>
  </si>
  <si>
    <t xml:space="preserve">X    </t>
  </si>
  <si>
    <t>Periodiek vloeren beschermd (basis)</t>
  </si>
  <si>
    <t>TAAK</t>
  </si>
  <si>
    <t>WERK- SOORT</t>
  </si>
  <si>
    <t>OPP OF AANTAL</t>
  </si>
  <si>
    <t>OPP OF AANTAL /DAG</t>
  </si>
  <si>
    <t>UREN/ DAG</t>
  </si>
  <si>
    <t>PRIJS/ DAG</t>
  </si>
  <si>
    <t>UREN/ JAAR</t>
  </si>
  <si>
    <t>PRIJS/ JAAR</t>
  </si>
  <si>
    <t>AH</t>
  </si>
  <si>
    <t>interieur</t>
  </si>
  <si>
    <t>Aula/pauzeruimte</t>
  </si>
  <si>
    <t>AZ</t>
  </si>
  <si>
    <t>BH</t>
  </si>
  <si>
    <t>Kantoor/personeels-/vergaderrruimte</t>
  </si>
  <si>
    <t>BZ</t>
  </si>
  <si>
    <t>EH</t>
  </si>
  <si>
    <t>Entree</t>
  </si>
  <si>
    <t>EZ</t>
  </si>
  <si>
    <t>GH</t>
  </si>
  <si>
    <t>Gymzaal/sportruimte/toestelberging</t>
  </si>
  <si>
    <t>LH</t>
  </si>
  <si>
    <t>Leslokaal/studieruimte</t>
  </si>
  <si>
    <t>LZ</t>
  </si>
  <si>
    <t>PH</t>
  </si>
  <si>
    <t>Pantry/keuken</t>
  </si>
  <si>
    <t>SH</t>
  </si>
  <si>
    <t>Sanitaire ruimte/toiletten</t>
  </si>
  <si>
    <t>TH</t>
  </si>
  <si>
    <t>Trap</t>
  </si>
  <si>
    <t>VH</t>
  </si>
  <si>
    <t>Verkeersruimte/garderobe/reprografie</t>
  </si>
  <si>
    <t>VZ</t>
  </si>
  <si>
    <t>XB</t>
  </si>
  <si>
    <t>Periodiek vloeren beschermd</t>
  </si>
  <si>
    <t>Z002</t>
  </si>
  <si>
    <t>Extra moppen vloeren</t>
  </si>
  <si>
    <t xml:space="preserve">Totaal werkdag             </t>
  </si>
  <si>
    <t xml:space="preserve">Gemiddeld uurtarief werkdag             </t>
  </si>
  <si>
    <t>Totaal regulier werk excl. BTW</t>
  </si>
  <si>
    <t>Omrekentabel t.b.v. Invultabel Objecten (niet afdrukken)</t>
  </si>
  <si>
    <t>DAGSOORT</t>
  </si>
  <si>
    <t>WERKSOORT</t>
  </si>
  <si>
    <t>FREQ DECIMAAL</t>
  </si>
  <si>
    <t>UURFACTOR</t>
  </si>
  <si>
    <t>KENGETAL</t>
  </si>
  <si>
    <t>TARIEF</t>
  </si>
  <si>
    <t xml:space="preserve">     100</t>
  </si>
  <si>
    <t xml:space="preserve">     110</t>
  </si>
  <si>
    <t xml:space="preserve">     120</t>
  </si>
  <si>
    <t xml:space="preserve">     200</t>
  </si>
  <si>
    <t xml:space="preserve">     210</t>
  </si>
  <si>
    <t xml:space="preserve">     220</t>
  </si>
  <si>
    <t xml:space="preserve">     230</t>
  </si>
  <si>
    <t xml:space="preserve">     300</t>
  </si>
  <si>
    <t xml:space="preserve">     310</t>
  </si>
  <si>
    <t xml:space="preserve">     330</t>
  </si>
  <si>
    <t xml:space="preserve">     400</t>
  </si>
  <si>
    <t xml:space="preserve">     410</t>
  </si>
  <si>
    <t xml:space="preserve">     500</t>
  </si>
  <si>
    <t xml:space="preserve">     510</t>
  </si>
  <si>
    <t xml:space="preserve">     520</t>
  </si>
  <si>
    <t xml:space="preserve">     530</t>
  </si>
  <si>
    <t xml:space="preserve">     620</t>
  </si>
  <si>
    <t xml:space="preserve">     630</t>
  </si>
  <si>
    <t>werkdag</t>
  </si>
  <si>
    <t>OBJECT</t>
  </si>
  <si>
    <t>NAAM</t>
  </si>
  <si>
    <t>ADRES</t>
  </si>
  <si>
    <t>PLAATS</t>
  </si>
  <si>
    <t>BASIS UUR- TARIEF</t>
  </si>
  <si>
    <t>UREN/ UITVOERING</t>
  </si>
  <si>
    <t>UREN HOOG-FREQUENT/ UITVOERING</t>
  </si>
  <si>
    <t>UREN HOOG-FREQUENT SUPPLETIE/ UITVOERING</t>
  </si>
  <si>
    <t>UREN HOOG-FREQUENT TOTAAL/ UITVOERING</t>
  </si>
  <si>
    <t>UREN TOTAAL/ UITVOERING</t>
  </si>
  <si>
    <t>PRIJS/ UITVOERING</t>
  </si>
  <si>
    <t>PRIJS SUPPLETIE/ UITVOERING</t>
  </si>
  <si>
    <t>PRIJS TOTAAL/ UITVOERING</t>
  </si>
  <si>
    <t>UREN HOOG-FREQUENT/ JAAR</t>
  </si>
  <si>
    <t>PRIJS/ JAAR (EURO)</t>
  </si>
  <si>
    <t>PRIJS/ MAAND (EURO)</t>
  </si>
  <si>
    <t>100</t>
  </si>
  <si>
    <t>OBS Feiko Clock 11RY</t>
  </si>
  <si>
    <t>Sportlaan 10</t>
  </si>
  <si>
    <t>Oude Pekela</t>
  </si>
  <si>
    <t>110</t>
  </si>
  <si>
    <t>OBS Oosterschool 06CN</t>
  </si>
  <si>
    <t>Hoofdweg 233</t>
  </si>
  <si>
    <t>Bellingwolde</t>
  </si>
  <si>
    <t>120</t>
  </si>
  <si>
    <t>OBS Westerschool 08IC</t>
  </si>
  <si>
    <t>Hoofdweg 77</t>
  </si>
  <si>
    <t>200</t>
  </si>
  <si>
    <t>OBS De Uilenburcht 09DO</t>
  </si>
  <si>
    <t>FJJ Dreweslaan 1</t>
  </si>
  <si>
    <t>Beerta</t>
  </si>
  <si>
    <t>210</t>
  </si>
  <si>
    <t>OBS Houwingaham 03DW</t>
  </si>
  <si>
    <t>Linteloostraat 1</t>
  </si>
  <si>
    <t>Nieuweschans</t>
  </si>
  <si>
    <t>220</t>
  </si>
  <si>
    <t>OBS De Kleine Dollard 12EJ</t>
  </si>
  <si>
    <t>Jachtlaan 21</t>
  </si>
  <si>
    <t>Winschoten</t>
  </si>
  <si>
    <t>230</t>
  </si>
  <si>
    <t>OBS De Bouwsteen 18HQ</t>
  </si>
  <si>
    <t>De Hardenberg 8</t>
  </si>
  <si>
    <t>Finsterwolde</t>
  </si>
  <si>
    <t>300</t>
  </si>
  <si>
    <t>OBS Beukenlaan 12VN</t>
  </si>
  <si>
    <t>Beukenlaan 42</t>
  </si>
  <si>
    <t>310</t>
  </si>
  <si>
    <t>OBS Heiligerlee 09EU</t>
  </si>
  <si>
    <t>Schoollaan 5</t>
  </si>
  <si>
    <t>Heiligerlee</t>
  </si>
  <si>
    <t>330</t>
  </si>
  <si>
    <t>OBS De Wiekslag 11UZ</t>
  </si>
  <si>
    <t>Veurste Rou 4</t>
  </si>
  <si>
    <t>Blijham</t>
  </si>
  <si>
    <t>400</t>
  </si>
  <si>
    <t>OBS De Waterlelie 12HB</t>
  </si>
  <si>
    <t>Albert Verweijstraat 1</t>
  </si>
  <si>
    <t>410</t>
  </si>
  <si>
    <t>OBS Letterwies 00BB</t>
  </si>
  <si>
    <t>Meidoornstraat 20</t>
  </si>
  <si>
    <t>Nieuwolda</t>
  </si>
  <si>
    <t>500</t>
  </si>
  <si>
    <t>OBS De Linde 10BG</t>
  </si>
  <si>
    <t>Verlengde Berkenlaan 2</t>
  </si>
  <si>
    <t>Nieuwe Pekela</t>
  </si>
  <si>
    <t>510</t>
  </si>
  <si>
    <t>OBS Theo Thijssen 10BG</t>
  </si>
  <si>
    <t>H.B. Hulsmanstraat K8b</t>
  </si>
  <si>
    <t>Boven Pekela</t>
  </si>
  <si>
    <t>520</t>
  </si>
  <si>
    <t>OBS Drieborg 08DD</t>
  </si>
  <si>
    <t>G. Topelenstraat 9</t>
  </si>
  <si>
    <t>Drieborg</t>
  </si>
  <si>
    <t>530</t>
  </si>
  <si>
    <t>OBS De Tweemaster 13BM</t>
  </si>
  <si>
    <t>Piet Heinlaan 19</t>
  </si>
  <si>
    <t>620</t>
  </si>
  <si>
    <t>SWS De Driesprong 10DT</t>
  </si>
  <si>
    <t>Dorpstraat 145a</t>
  </si>
  <si>
    <t>Vriescheloo</t>
  </si>
  <si>
    <t>630</t>
  </si>
  <si>
    <t>OBS De Vlonder 11JJ</t>
  </si>
  <si>
    <t>Wedderhofte 10</t>
  </si>
  <si>
    <t>Wedde</t>
  </si>
  <si>
    <t>Totaal regulier werk incl. suppleties (excl. BTW)</t>
  </si>
  <si>
    <t>CODE</t>
  </si>
  <si>
    <t>FREQ (dagen)</t>
  </si>
  <si>
    <t>FUNCTIENAAM</t>
  </si>
  <si>
    <t>UURTARIEF (euro)</t>
  </si>
  <si>
    <t>PERC. VAN UREN/JAAR REGULIER WERK</t>
  </si>
  <si>
    <t>VASTE UREN/KEER (decimaal)</t>
  </si>
  <si>
    <t>UREN/ KEER</t>
  </si>
  <si>
    <t>PRIJS/ JAAR (euro)</t>
  </si>
  <si>
    <t>PRIJS/ MAAND (euro)</t>
  </si>
  <si>
    <t>100 - OBS Feiko Clock 11RY, Sportlaan 10, Oude Pekela</t>
  </si>
  <si>
    <t>1000</t>
  </si>
  <si>
    <t>Niet meewerkende objectleiding</t>
  </si>
  <si>
    <t>&lt;invullen functie afh. van uren uitvoering per jaar&gt;</t>
  </si>
  <si>
    <t>&lt;invullen functie met vaste uren per dag&gt;</t>
  </si>
  <si>
    <t>Totaal 100 - OBS Feiko Clock 11RY, Sportlaan 10, Oude Pekela</t>
  </si>
  <si>
    <t>110 - OBS Oosterschool 06CN, Hoofdweg 233, Bellingwolde</t>
  </si>
  <si>
    <t>Totaal 110 - OBS Oosterschool 06CN, Hoofdweg 233, Bellingwolde</t>
  </si>
  <si>
    <t>120 - OBS Westerschool 08IC, Hoofdweg 77, Bellingwolde</t>
  </si>
  <si>
    <t>Totaal 120 - OBS Westerschool 08IC, Hoofdweg 77, Bellingwolde</t>
  </si>
  <si>
    <t>200 - OBS De Uilenburcht 09DO, FJJ Dreweslaan 1, Beerta</t>
  </si>
  <si>
    <t>Totaal 200 - OBS De Uilenburcht 09DO, FJJ Dreweslaan 1, Beerta</t>
  </si>
  <si>
    <t>210 - OBS Houwingaham 03DW, Linteloostraat 1, Nieuweschans</t>
  </si>
  <si>
    <t>Totaal 210 - OBS Houwingaham 03DW, Linteloostraat 1, Nieuweschans</t>
  </si>
  <si>
    <t>220 - OBS De Kleine Dollard 12EJ, Jachtlaan 21, Winschoten</t>
  </si>
  <si>
    <t>Totaal 220 - OBS De Kleine Dollard 12EJ, Jachtlaan 21, Winschoten</t>
  </si>
  <si>
    <t>230 - OBS De Bouwsteen 18HQ, De Hardenberg 8, Finsterwolde</t>
  </si>
  <si>
    <t>Totaal 230 - OBS De Bouwsteen 18HQ, De Hardenberg 8, Finsterwolde</t>
  </si>
  <si>
    <t>300 - OBS Beukenlaan 12VN, Beukenlaan 42, Winschoten</t>
  </si>
  <si>
    <t>Totaal 300 - OBS Beukenlaan 12VN, Beukenlaan 42, Winschoten</t>
  </si>
  <si>
    <t>310 - OBS Heiligerlee 09EU, Schoollaan 5, Heiligerlee</t>
  </si>
  <si>
    <t>Totaal 310 - OBS Heiligerlee 09EU, Schoollaan 5, Heiligerlee</t>
  </si>
  <si>
    <t>330 - OBS De Wiekslag 11UZ, Veurste Rou 4, Blijham</t>
  </si>
  <si>
    <t>Totaal 330 - OBS De Wiekslag 11UZ, Veurste Rou 4, Blijham</t>
  </si>
  <si>
    <t>400 - OBS De Waterlelie 12HB, Albert Verweijstraat 1, Winschoten</t>
  </si>
  <si>
    <t>Totaal 400 - OBS De Waterlelie 12HB, Albert Verweijstraat 1, Winschoten</t>
  </si>
  <si>
    <t>410 - OBS Letterwies 00BB, Meidoornstraat 20, Nieuwolda</t>
  </si>
  <si>
    <t>Totaal 410 - OBS Letterwies 00BB, Meidoornstraat 20, Nieuwolda</t>
  </si>
  <si>
    <t>500 - OBS De Linde 10BG, Verlengde Berkenlaan 2, Nieuwe Pekela</t>
  </si>
  <si>
    <t>Totaal 500 - OBS De Linde 10BG, Verlengde Berkenlaan 2, Nieuwe Pekela</t>
  </si>
  <si>
    <t>510 - OBS Theo Thijssen 10BG, H.B. Hulsmanstraat K8b, Boven Pekela</t>
  </si>
  <si>
    <t>Totaal 510 - OBS Theo Thijssen 10BG, H.B. Hulsmanstraat K8b, Boven Pekela</t>
  </si>
  <si>
    <t>520 - OBS Drieborg 08DD, G. Topelenstraat 9, Drieborg</t>
  </si>
  <si>
    <t>Totaal 520 - OBS Drieborg 08DD, G. Topelenstraat 9, Drieborg</t>
  </si>
  <si>
    <t>530 - OBS De Tweemaster 13BM, Piet Heinlaan 19, Winschoten</t>
  </si>
  <si>
    <t>Totaal 530 - OBS De Tweemaster 13BM, Piet Heinlaan 19, Winschoten</t>
  </si>
  <si>
    <t>620 - SWS De Driesprong 10DT, Dorpstraat 145a, Vriescheloo</t>
  </si>
  <si>
    <t>Totaal 620 - SWS De Driesprong 10DT, Dorpstraat 145a, Vriescheloo</t>
  </si>
  <si>
    <t>630 - OBS De Vlonder 11JJ, Wedderhofte 10, Wedde</t>
  </si>
  <si>
    <t>Totaal 630 - OBS De Vlonder 11JJ, Wedderhofte 10, Wedde</t>
  </si>
  <si>
    <t>Totaal niet-meewerkende objectleiding</t>
  </si>
  <si>
    <t>PRIJS UITVOEREND/ JAAR</t>
  </si>
  <si>
    <t>UREN LEIDING/ JAAR</t>
  </si>
  <si>
    <t>PRIJS LEIDING/ JAAR</t>
  </si>
  <si>
    <t>PRIJS MET LEIDING/ JAAR</t>
  </si>
  <si>
    <t>PRIJS/ MAAND EXCL.BTW</t>
  </si>
  <si>
    <t>Totaal van alle objecten (excl. BTW)</t>
  </si>
  <si>
    <t>BEURT</t>
  </si>
  <si>
    <t>FREQ (DAGEN)</t>
  </si>
  <si>
    <t>HOEVEELHEID /KEER</t>
  </si>
  <si>
    <t>UURTARIEF (EURO)</t>
  </si>
  <si>
    <t>NORM</t>
  </si>
  <si>
    <t>PRIJS/ EENHEID (EURO)</t>
  </si>
  <si>
    <t>PRIJS/ KEER</t>
  </si>
  <si>
    <t>7000</t>
  </si>
  <si>
    <t>Computers reingen</t>
  </si>
  <si>
    <t>prijs per uur</t>
  </si>
  <si>
    <t>9000</t>
  </si>
  <si>
    <t>Medewerker regiewerkzaamheden</t>
  </si>
  <si>
    <t>9100</t>
  </si>
  <si>
    <t>Medewerker specialistische werkzaamheden</t>
  </si>
  <si>
    <t>9200</t>
  </si>
  <si>
    <t>Tapijt reinigen sproei/extractie methode</t>
  </si>
  <si>
    <t>prijs per m²</t>
  </si>
  <si>
    <t>Totaal afroep excl. BTW</t>
  </si>
  <si>
    <t>STAFFEL</t>
  </si>
  <si>
    <t>2000A</t>
  </si>
  <si>
    <t>Systeemkast/monitor reinigen</t>
  </si>
  <si>
    <t>prijs per stuk</t>
  </si>
  <si>
    <t>&lt; 25 stuks</t>
  </si>
  <si>
    <t>2000B</t>
  </si>
  <si>
    <t>25 tot 100 stuks</t>
  </si>
  <si>
    <t>2000C</t>
  </si>
  <si>
    <t>100 tot 500 stuks</t>
  </si>
  <si>
    <t>2000D</t>
  </si>
  <si>
    <t>&gt;= 500 stuks</t>
  </si>
  <si>
    <t>2010A</t>
  </si>
  <si>
    <t>Printer uitwendig reinigen</t>
  </si>
  <si>
    <t>2010B</t>
  </si>
  <si>
    <t>2010C</t>
  </si>
  <si>
    <t>2010D</t>
  </si>
  <si>
    <t>2020A</t>
  </si>
  <si>
    <t>Fax uitwendig reinigen</t>
  </si>
  <si>
    <t>2020B</t>
  </si>
  <si>
    <t>2020C</t>
  </si>
  <si>
    <t>2020D</t>
  </si>
  <si>
    <t>2030A</t>
  </si>
  <si>
    <t>Toetsenbord reinigen</t>
  </si>
  <si>
    <t>2030B</t>
  </si>
  <si>
    <t>2030C</t>
  </si>
  <si>
    <t>2030D</t>
  </si>
  <si>
    <t>3000A</t>
  </si>
  <si>
    <t>Lamellen (horizontaal) reinigen (alumin)</t>
  </si>
  <si>
    <t>&lt; 5 m²</t>
  </si>
  <si>
    <t>3000B</t>
  </si>
  <si>
    <t>5 &lt; 25 m²</t>
  </si>
  <si>
    <t>3000C</t>
  </si>
  <si>
    <t>25 &lt; 100 m²</t>
  </si>
  <si>
    <t>3000D</t>
  </si>
  <si>
    <t>&gt;=100 m²</t>
  </si>
  <si>
    <t>3001A</t>
  </si>
  <si>
    <t>Lamellen (horizontaal) reinigen (stof)</t>
  </si>
  <si>
    <t>3001B</t>
  </si>
  <si>
    <t>3001C</t>
  </si>
  <si>
    <t>3001D</t>
  </si>
  <si>
    <t>3002A</t>
  </si>
  <si>
    <t>Lamellen (horizontaal) reinigen (kunst)</t>
  </si>
  <si>
    <t>3002B</t>
  </si>
  <si>
    <t>3002C</t>
  </si>
  <si>
    <t>3002D</t>
  </si>
  <si>
    <t>3010A</t>
  </si>
  <si>
    <t>Lamellen (verticaal) reinigen (alumin)</t>
  </si>
  <si>
    <t>3010B</t>
  </si>
  <si>
    <t>3010C</t>
  </si>
  <si>
    <t>3010D</t>
  </si>
  <si>
    <t>3011A</t>
  </si>
  <si>
    <t>Lamellen (verticaal) reinigen (stof)</t>
  </si>
  <si>
    <t>3011B</t>
  </si>
  <si>
    <t>3011C</t>
  </si>
  <si>
    <t>3011D</t>
  </si>
  <si>
    <t>3012A</t>
  </si>
  <si>
    <t>Lamellen (verticaal) reinigen (kunst)</t>
  </si>
  <si>
    <t>3012B</t>
  </si>
  <si>
    <t>3012C</t>
  </si>
  <si>
    <t>3012D</t>
  </si>
  <si>
    <t>3020A</t>
  </si>
  <si>
    <t>Gordijnen reinigen</t>
  </si>
  <si>
    <t>3020B</t>
  </si>
  <si>
    <t>3020C</t>
  </si>
  <si>
    <t>3020D</t>
  </si>
  <si>
    <t>3030</t>
  </si>
  <si>
    <t>Graffiti verwijderen</t>
  </si>
  <si>
    <t/>
  </si>
  <si>
    <t>3040</t>
  </si>
  <si>
    <t>Graffiti verwijderen spec.</t>
  </si>
  <si>
    <t>4000A</t>
  </si>
  <si>
    <t>Vloer schrobben/waterzuigen</t>
  </si>
  <si>
    <t>&lt; 500 m²</t>
  </si>
  <si>
    <t>4000B</t>
  </si>
  <si>
    <t>500 &lt; 1000 m²</t>
  </si>
  <si>
    <t>4000C</t>
  </si>
  <si>
    <t>1000 &lt; 2000 m²</t>
  </si>
  <si>
    <t>4000D</t>
  </si>
  <si>
    <t>&gt;= 2000 m²</t>
  </si>
  <si>
    <t>4010A</t>
  </si>
  <si>
    <t>Sure step vloeren opwrijven</t>
  </si>
  <si>
    <t>4010B</t>
  </si>
  <si>
    <t>4010C</t>
  </si>
  <si>
    <t>4010D</t>
  </si>
  <si>
    <t>4020A</t>
  </si>
  <si>
    <t>Linoleum sprayen /opwrijven</t>
  </si>
  <si>
    <t>4020B</t>
  </si>
  <si>
    <t>4020C</t>
  </si>
  <si>
    <t>4020D</t>
  </si>
  <si>
    <t>4030A</t>
  </si>
  <si>
    <t>Linoleum vloeren strippen/conserveren</t>
  </si>
  <si>
    <t>4030B</t>
  </si>
  <si>
    <t>4030C</t>
  </si>
  <si>
    <t>4030D</t>
  </si>
  <si>
    <t>4040A</t>
  </si>
  <si>
    <t>Tapijt reinigen droge methode (Host)</t>
  </si>
  <si>
    <t>4040B</t>
  </si>
  <si>
    <t>4040C</t>
  </si>
  <si>
    <t>4040D</t>
  </si>
  <si>
    <t>4050A</t>
  </si>
  <si>
    <t>Tapijt reinigen op koolzuur basis</t>
  </si>
  <si>
    <t>4050B</t>
  </si>
  <si>
    <t>4050C</t>
  </si>
  <si>
    <t>4050D</t>
  </si>
  <si>
    <t>4060A</t>
  </si>
  <si>
    <t>4060B</t>
  </si>
  <si>
    <t>4060C</t>
  </si>
  <si>
    <t>4060D</t>
  </si>
  <si>
    <t>4070A</t>
  </si>
  <si>
    <t>Tapijt borstelzuigen</t>
  </si>
  <si>
    <t>4070B</t>
  </si>
  <si>
    <t>4070C</t>
  </si>
  <si>
    <t>4070D</t>
  </si>
  <si>
    <t>4080A</t>
  </si>
  <si>
    <t>Sanitair vloer reinigen d.m.v. "stomen"</t>
  </si>
  <si>
    <t>4080B</t>
  </si>
  <si>
    <t>4080C</t>
  </si>
  <si>
    <t>4080D</t>
  </si>
  <si>
    <t>4090A</t>
  </si>
  <si>
    <t>Inloopmatten uitkloppen</t>
  </si>
  <si>
    <t>4090B</t>
  </si>
  <si>
    <t>4090C</t>
  </si>
  <si>
    <t>4090D</t>
  </si>
  <si>
    <t>Totaal afroep incidenteel excl. BTW</t>
  </si>
  <si>
    <t>8000</t>
  </si>
  <si>
    <t>Gevelglas buitenzijde</t>
  </si>
  <si>
    <t>8010</t>
  </si>
  <si>
    <t>Gevelglas binnenzijde</t>
  </si>
  <si>
    <t>8020</t>
  </si>
  <si>
    <t>Separatieglas (m ² is totaal)</t>
  </si>
  <si>
    <t>Totaal glas excl. BTW</t>
  </si>
  <si>
    <t>Soort werk</t>
  </si>
  <si>
    <t>Uren per jaar uitvoering</t>
  </si>
  <si>
    <t>Uren hoogfrequent per jaar uitvoering</t>
  </si>
  <si>
    <t>Uren per jaar leiding</t>
  </si>
  <si>
    <t>Bedrag per jaar excl. BTW (euro)</t>
  </si>
  <si>
    <t>Regulier werk</t>
  </si>
  <si>
    <t>Objectleiding</t>
  </si>
  <si>
    <t>Afroepwerk (geschatte frequenties)</t>
  </si>
  <si>
    <t>Glas</t>
  </si>
  <si>
    <t>Totaal generaal</t>
  </si>
  <si>
    <t>Percentage objectleiding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</si>
</sst>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[$€-2]\ * #,##0.0000_-;_-[$€-2]\ * #,##0.0000\-;_-[$€-2]\ * &quot;-&quot;????_-;_-@_-"/>
    <numFmt numFmtId="165" formatCode="#,##0.0000"/>
    <numFmt numFmtId="166" formatCode="_-[$€-2]\ * #,##0.00_-;_-[$€-2]\ * #,##0.00\-;_-[$€-2]\ * &quot;-&quot;??_-;_-@_-"/>
  </numFmts>
  <fonts count="2" x14ac:knownFonts="1">
    <font>
      <sz val="10"/>
      <color theme="1"/>
      <name val="Verdana"/>
      <family val="2"/>
    </font>
    <font>
      <b/>
      <sz val="10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2" borderId="2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7" xfId="0" applyFill="1" applyBorder="1"/>
    <xf numFmtId="0" fontId="0" fillId="2" borderId="8" xfId="0" applyFill="1" applyBorder="1"/>
    <xf numFmtId="49" fontId="0" fillId="3" borderId="6" xfId="0" applyNumberFormat="1" applyFill="1" applyBorder="1" applyAlignment="1">
      <alignment wrapText="1"/>
    </xf>
    <xf numFmtId="0" fontId="0" fillId="3" borderId="4" xfId="0" applyFill="1" applyBorder="1"/>
    <xf numFmtId="0" fontId="0" fillId="3" borderId="9" xfId="0" applyFill="1" applyBorder="1"/>
    <xf numFmtId="0" fontId="0" fillId="3" borderId="5" xfId="0" applyFill="1" applyBorder="1"/>
    <xf numFmtId="0" fontId="0" fillId="3" borderId="7" xfId="0" applyFill="1" applyBorder="1"/>
    <xf numFmtId="0" fontId="0" fillId="3" borderId="13" xfId="0" applyFill="1" applyBorder="1"/>
    <xf numFmtId="0" fontId="0" fillId="3" borderId="8" xfId="0" applyFill="1" applyBorder="1"/>
    <xf numFmtId="49" fontId="0" fillId="2" borderId="14" xfId="0" applyNumberFormat="1" applyFill="1" applyBorder="1"/>
    <xf numFmtId="1" fontId="0" fillId="2" borderId="14" xfId="0" applyNumberFormat="1" applyFill="1" applyBorder="1"/>
    <xf numFmtId="4" fontId="0" fillId="0" borderId="14" xfId="0" applyNumberFormat="1" applyBorder="1" applyProtection="1">
      <protection locked="0"/>
    </xf>
    <xf numFmtId="10" fontId="0" fillId="0" borderId="14" xfId="0" applyNumberFormat="1" applyBorder="1" applyProtection="1">
      <protection locked="0"/>
    </xf>
    <xf numFmtId="164" fontId="0" fillId="0" borderId="14" xfId="0" applyNumberFormat="1" applyBorder="1" applyProtection="1">
      <protection locked="0"/>
    </xf>
    <xf numFmtId="49" fontId="0" fillId="2" borderId="15" xfId="0" applyNumberFormat="1" applyFill="1" applyBorder="1"/>
    <xf numFmtId="1" fontId="0" fillId="2" borderId="15" xfId="0" applyNumberFormat="1" applyFill="1" applyBorder="1"/>
    <xf numFmtId="4" fontId="0" fillId="0" borderId="15" xfId="0" applyNumberFormat="1" applyBorder="1" applyProtection="1">
      <protection locked="0"/>
    </xf>
    <xf numFmtId="10" fontId="0" fillId="0" borderId="15" xfId="0" applyNumberFormat="1" applyBorder="1" applyProtection="1">
      <protection locked="0"/>
    </xf>
    <xf numFmtId="164" fontId="0" fillId="0" borderId="15" xfId="0" applyNumberFormat="1" applyBorder="1" applyProtection="1">
      <protection locked="0"/>
    </xf>
    <xf numFmtId="49" fontId="0" fillId="2" borderId="16" xfId="0" applyNumberFormat="1" applyFill="1" applyBorder="1"/>
    <xf numFmtId="1" fontId="0" fillId="2" borderId="16" xfId="0" applyNumberFormat="1" applyFill="1" applyBorder="1"/>
    <xf numFmtId="4" fontId="0" fillId="0" borderId="16" xfId="0" applyNumberFormat="1" applyBorder="1" applyProtection="1">
      <protection locked="0"/>
    </xf>
    <xf numFmtId="10" fontId="0" fillId="0" borderId="16" xfId="0" applyNumberFormat="1" applyBorder="1" applyProtection="1">
      <protection locked="0"/>
    </xf>
    <xf numFmtId="164" fontId="0" fillId="0" borderId="16" xfId="0" applyNumberFormat="1" applyBorder="1" applyProtection="1">
      <protection locked="0"/>
    </xf>
    <xf numFmtId="4" fontId="0" fillId="2" borderId="14" xfId="0" applyNumberFormat="1" applyFill="1" applyBorder="1"/>
    <xf numFmtId="165" fontId="0" fillId="2" borderId="14" xfId="0" applyNumberFormat="1" applyFill="1" applyBorder="1"/>
    <xf numFmtId="10" fontId="0" fillId="2" borderId="14" xfId="0" applyNumberFormat="1" applyFill="1" applyBorder="1"/>
    <xf numFmtId="164" fontId="0" fillId="2" borderId="14" xfId="0" applyNumberFormat="1" applyFill="1" applyBorder="1"/>
    <xf numFmtId="166" fontId="0" fillId="2" borderId="14" xfId="0" applyNumberFormat="1" applyFill="1" applyBorder="1"/>
    <xf numFmtId="4" fontId="0" fillId="2" borderId="15" xfId="0" applyNumberFormat="1" applyFill="1" applyBorder="1"/>
    <xf numFmtId="165" fontId="0" fillId="2" borderId="15" xfId="0" applyNumberFormat="1" applyFill="1" applyBorder="1"/>
    <xf numFmtId="10" fontId="0" fillId="2" borderId="15" xfId="0" applyNumberFormat="1" applyFill="1" applyBorder="1"/>
    <xf numFmtId="164" fontId="0" fillId="2" borderId="15" xfId="0" applyNumberFormat="1" applyFill="1" applyBorder="1"/>
    <xf numFmtId="166" fontId="0" fillId="2" borderId="15" xfId="0" applyNumberFormat="1" applyFill="1" applyBorder="1"/>
    <xf numFmtId="4" fontId="0" fillId="2" borderId="16" xfId="0" applyNumberFormat="1" applyFill="1" applyBorder="1"/>
    <xf numFmtId="165" fontId="0" fillId="0" borderId="16" xfId="0" applyNumberFormat="1" applyBorder="1" applyProtection="1">
      <protection locked="0"/>
    </xf>
    <xf numFmtId="166" fontId="0" fillId="2" borderId="16" xfId="0" applyNumberFormat="1" applyFill="1" applyBorder="1"/>
    <xf numFmtId="49" fontId="0" fillId="3" borderId="10" xfId="0" applyNumberFormat="1" applyFill="1" applyBorder="1"/>
    <xf numFmtId="0" fontId="0" fillId="3" borderId="11" xfId="0" applyFill="1" applyBorder="1"/>
    <xf numFmtId="4" fontId="0" fillId="3" borderId="6" xfId="0" applyNumberFormat="1" applyFill="1" applyBorder="1"/>
    <xf numFmtId="166" fontId="0" fillId="3" borderId="6" xfId="0" applyNumberFormat="1" applyFill="1" applyBorder="1"/>
    <xf numFmtId="166" fontId="0" fillId="3" borderId="17" xfId="0" applyNumberFormat="1" applyFill="1" applyBorder="1"/>
    <xf numFmtId="0" fontId="0" fillId="3" borderId="10" xfId="0" applyFill="1" applyBorder="1"/>
    <xf numFmtId="0" fontId="0" fillId="3" borderId="18" xfId="0" applyFill="1" applyBorder="1"/>
    <xf numFmtId="49" fontId="0" fillId="3" borderId="3" xfId="0" applyNumberFormat="1" applyFill="1" applyBorder="1"/>
    <xf numFmtId="0" fontId="0" fillId="3" borderId="19" xfId="0" applyFill="1" applyBorder="1"/>
    <xf numFmtId="49" fontId="0" fillId="3" borderId="19" xfId="0" applyNumberFormat="1" applyFill="1" applyBorder="1"/>
    <xf numFmtId="10" fontId="0" fillId="2" borderId="16" xfId="0" applyNumberFormat="1" applyFill="1" applyBorder="1"/>
    <xf numFmtId="0" fontId="0" fillId="3" borderId="6" xfId="0" applyFill="1" applyBorder="1"/>
    <xf numFmtId="49" fontId="0" fillId="4" borderId="14" xfId="0" applyNumberFormat="1" applyFill="1" applyBorder="1" applyProtection="1">
      <protection locked="0"/>
    </xf>
    <xf numFmtId="166" fontId="0" fillId="4" borderId="14" xfId="0" applyNumberFormat="1" applyFill="1" applyBorder="1" applyProtection="1">
      <protection locked="0"/>
    </xf>
    <xf numFmtId="4" fontId="0" fillId="0" borderId="14" xfId="0" applyNumberFormat="1" applyBorder="1"/>
    <xf numFmtId="49" fontId="0" fillId="4" borderId="15" xfId="0" applyNumberFormat="1" applyFill="1" applyBorder="1" applyProtection="1">
      <protection locked="0"/>
    </xf>
    <xf numFmtId="166" fontId="0" fillId="4" borderId="15" xfId="0" applyNumberFormat="1" applyFill="1" applyBorder="1" applyProtection="1">
      <protection locked="0"/>
    </xf>
    <xf numFmtId="4" fontId="0" fillId="0" borderId="15" xfId="0" applyNumberFormat="1" applyBorder="1"/>
    <xf numFmtId="49" fontId="0" fillId="4" borderId="16" xfId="0" applyNumberFormat="1" applyFill="1" applyBorder="1" applyProtection="1">
      <protection locked="0"/>
    </xf>
    <xf numFmtId="166" fontId="0" fillId="4" borderId="16" xfId="0" applyNumberFormat="1" applyFill="1" applyBorder="1" applyProtection="1">
      <protection locked="0"/>
    </xf>
    <xf numFmtId="4" fontId="0" fillId="0" borderId="16" xfId="0" applyNumberFormat="1" applyBorder="1"/>
    <xf numFmtId="0" fontId="0" fillId="0" borderId="4" xfId="0" applyBorder="1"/>
    <xf numFmtId="0" fontId="0" fillId="0" borderId="9" xfId="0" applyBorder="1"/>
    <xf numFmtId="0" fontId="0" fillId="0" borderId="5" xfId="0" applyBorder="1"/>
    <xf numFmtId="0" fontId="0" fillId="3" borderId="7" xfId="0" applyFill="1" applyBorder="1" applyAlignment="1"/>
    <xf numFmtId="166" fontId="0" fillId="0" borderId="14" xfId="0" applyNumberFormat="1" applyBorder="1" applyProtection="1">
      <protection locked="0"/>
    </xf>
    <xf numFmtId="4" fontId="0" fillId="3" borderId="14" xfId="0" applyNumberFormat="1" applyFill="1" applyBorder="1"/>
    <xf numFmtId="1" fontId="0" fillId="0" borderId="15" xfId="0" applyNumberFormat="1" applyBorder="1"/>
    <xf numFmtId="49" fontId="0" fillId="0" borderId="15" xfId="0" applyNumberFormat="1" applyBorder="1"/>
    <xf numFmtId="166" fontId="0" fillId="0" borderId="15" xfId="0" applyNumberFormat="1" applyBorder="1" applyProtection="1">
      <protection locked="0"/>
    </xf>
    <xf numFmtId="4" fontId="0" fillId="3" borderId="15" xfId="0" applyNumberFormat="1" applyFill="1" applyBorder="1"/>
    <xf numFmtId="10" fontId="0" fillId="3" borderId="15" xfId="0" applyNumberFormat="1" applyFill="1" applyBorder="1"/>
    <xf numFmtId="1" fontId="0" fillId="0" borderId="16" xfId="0" applyNumberFormat="1" applyBorder="1"/>
    <xf numFmtId="49" fontId="0" fillId="0" borderId="16" xfId="0" applyNumberFormat="1" applyBorder="1"/>
    <xf numFmtId="166" fontId="0" fillId="0" borderId="16" xfId="0" applyNumberFormat="1" applyBorder="1" applyProtection="1">
      <protection locked="0"/>
    </xf>
    <xf numFmtId="10" fontId="0" fillId="3" borderId="16" xfId="0" applyNumberFormat="1" applyFill="1" applyBorder="1"/>
    <xf numFmtId="49" fontId="0" fillId="3" borderId="10" xfId="0" applyNumberFormat="1" applyFill="1" applyBorder="1" applyAlignment="1"/>
    <xf numFmtId="4" fontId="0" fillId="4" borderId="14" xfId="0" applyNumberFormat="1" applyFill="1" applyBorder="1" applyProtection="1">
      <protection locked="0"/>
    </xf>
    <xf numFmtId="4" fontId="0" fillId="3" borderId="14" xfId="0" applyNumberFormat="1" applyFill="1" applyBorder="1" applyProtection="1">
      <protection locked="0"/>
    </xf>
    <xf numFmtId="4" fontId="0" fillId="4" borderId="15" xfId="0" applyNumberFormat="1" applyFill="1" applyBorder="1" applyProtection="1">
      <protection locked="0"/>
    </xf>
    <xf numFmtId="4" fontId="0" fillId="3" borderId="15" xfId="0" applyNumberFormat="1" applyFill="1" applyBorder="1" applyProtection="1">
      <protection locked="0"/>
    </xf>
    <xf numFmtId="4" fontId="0" fillId="4" borderId="16" xfId="0" applyNumberFormat="1" applyFill="1" applyBorder="1" applyProtection="1">
      <protection locked="0"/>
    </xf>
    <xf numFmtId="4" fontId="0" fillId="3" borderId="16" xfId="0" applyNumberFormat="1" applyFill="1" applyBorder="1" applyProtection="1">
      <protection locked="0"/>
    </xf>
    <xf numFmtId="166" fontId="0" fillId="3" borderId="12" xfId="0" applyNumberFormat="1" applyFill="1" applyBorder="1"/>
    <xf numFmtId="0" fontId="0" fillId="3" borderId="12" xfId="0" applyFill="1" applyBorder="1"/>
    <xf numFmtId="0" fontId="0" fillId="3" borderId="10" xfId="0" applyFill="1" applyBorder="1" applyAlignment="1"/>
    <xf numFmtId="166" fontId="0" fillId="2" borderId="14" xfId="0" applyNumberFormat="1" applyFill="1" applyBorder="1" applyProtection="1">
      <protection locked="0"/>
    </xf>
    <xf numFmtId="166" fontId="0" fillId="2" borderId="15" xfId="0" applyNumberFormat="1" applyFill="1" applyBorder="1" applyProtection="1">
      <protection locked="0"/>
    </xf>
    <xf numFmtId="166" fontId="0" fillId="2" borderId="16" xfId="0" applyNumberFormat="1" applyFill="1" applyBorder="1" applyProtection="1">
      <protection locked="0"/>
    </xf>
    <xf numFmtId="49" fontId="0" fillId="3" borderId="14" xfId="0" applyNumberFormat="1" applyFill="1" applyBorder="1" applyAlignment="1">
      <alignment wrapText="1"/>
    </xf>
    <xf numFmtId="49" fontId="0" fillId="3" borderId="15" xfId="0" applyNumberFormat="1" applyFill="1" applyBorder="1" applyAlignment="1">
      <alignment wrapText="1"/>
    </xf>
    <xf numFmtId="49" fontId="0" fillId="3" borderId="16" xfId="0" applyNumberFormat="1" applyFill="1" applyBorder="1" applyAlignment="1">
      <alignment wrapText="1"/>
    </xf>
    <xf numFmtId="4" fontId="0" fillId="3" borderId="16" xfId="0" applyNumberFormat="1" applyFill="1" applyBorder="1"/>
    <xf numFmtId="10" fontId="0" fillId="3" borderId="6" xfId="0" applyNumberForma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B9C13-15EB-41C3-AA90-82F8F7269BA7}">
  <dimension ref="A1:K33"/>
  <sheetViews>
    <sheetView workbookViewId="0"/>
  </sheetViews>
  <sheetFormatPr defaultRowHeight="12.75" x14ac:dyDescent="0.2"/>
  <sheetData>
    <row r="1" spans="1:11" x14ac:dyDescent="0.2">
      <c r="A1" s="1" t="s">
        <v>0</v>
      </c>
    </row>
    <row r="3" spans="1:11" x14ac:dyDescent="0.2">
      <c r="A3" t="s">
        <v>1</v>
      </c>
    </row>
    <row r="5" spans="1:11" x14ac:dyDescent="0.2">
      <c r="A5" t="s">
        <v>2</v>
      </c>
      <c r="B5" t="s">
        <v>3</v>
      </c>
    </row>
    <row r="7" spans="1:11" x14ac:dyDescent="0.2">
      <c r="A7" s="4" t="s">
        <v>4</v>
      </c>
      <c r="B7" s="5"/>
      <c r="D7" s="4" t="s">
        <v>30</v>
      </c>
      <c r="E7" s="5"/>
      <c r="G7" s="4" t="s">
        <v>31</v>
      </c>
      <c r="H7" s="5"/>
      <c r="J7" s="4" t="s">
        <v>32</v>
      </c>
      <c r="K7" s="5"/>
    </row>
    <row r="8" spans="1:11" x14ac:dyDescent="0.2">
      <c r="A8" s="2"/>
      <c r="B8" s="3"/>
      <c r="D8" s="2"/>
      <c r="E8" s="3"/>
      <c r="G8" s="2"/>
      <c r="H8" s="3"/>
      <c r="J8" s="2"/>
      <c r="K8" s="3"/>
    </row>
    <row r="9" spans="1:11" x14ac:dyDescent="0.2">
      <c r="A9" s="2" t="s">
        <v>5</v>
      </c>
      <c r="B9" s="3">
        <v>200</v>
      </c>
      <c r="D9" s="2" t="s">
        <v>5</v>
      </c>
      <c r="E9" s="3">
        <v>55</v>
      </c>
      <c r="G9" s="2" t="s">
        <v>5</v>
      </c>
      <c r="H9" s="3">
        <v>102</v>
      </c>
      <c r="J9" s="2" t="s">
        <v>5</v>
      </c>
      <c r="K9" s="3">
        <v>1</v>
      </c>
    </row>
    <row r="10" spans="1:11" x14ac:dyDescent="0.2">
      <c r="A10" s="2" t="s">
        <v>6</v>
      </c>
      <c r="B10" s="3">
        <v>5</v>
      </c>
      <c r="D10" s="2" t="s">
        <v>6</v>
      </c>
      <c r="E10" s="3">
        <v>5</v>
      </c>
      <c r="G10" s="2" t="s">
        <v>6</v>
      </c>
      <c r="H10" s="3">
        <v>2</v>
      </c>
      <c r="J10" s="2" t="s">
        <v>6</v>
      </c>
      <c r="K10" s="3">
        <v>1</v>
      </c>
    </row>
    <row r="11" spans="1:11" x14ac:dyDescent="0.2">
      <c r="A11" s="2"/>
      <c r="B11" s="3"/>
      <c r="D11" s="2"/>
      <c r="E11" s="3"/>
      <c r="G11" s="2"/>
      <c r="H11" s="3"/>
      <c r="J11" s="2"/>
      <c r="K11" s="3"/>
    </row>
    <row r="12" spans="1:11" x14ac:dyDescent="0.2">
      <c r="A12" s="2" t="s">
        <v>7</v>
      </c>
      <c r="B12" s="3" t="s">
        <v>8</v>
      </c>
      <c r="D12" s="2" t="s">
        <v>7</v>
      </c>
      <c r="E12" s="3" t="s">
        <v>8</v>
      </c>
      <c r="G12" s="2" t="s">
        <v>7</v>
      </c>
      <c r="H12" s="3" t="s">
        <v>8</v>
      </c>
      <c r="J12" s="2" t="s">
        <v>7</v>
      </c>
      <c r="K12" s="3" t="s">
        <v>8</v>
      </c>
    </row>
    <row r="13" spans="1:11" x14ac:dyDescent="0.2">
      <c r="A13" s="2" t="s">
        <v>9</v>
      </c>
      <c r="B13" s="3">
        <f>IF(A13="2½W",2.5/dagenperweek1,IF(RIGHT(A13,1)="W",VALUE(LEFT(A13,LEN(A13)-1))/dagenperweek1,IF(RIGHT(A13,1)="J",VALUE(LEFT(A13,LEN(A13)-1))/dagenperjaar1,"handmatig!")))</f>
        <v>1.1200000000000001</v>
      </c>
      <c r="D13" s="2" t="s">
        <v>10</v>
      </c>
      <c r="E13" s="3">
        <f>IF(D13="2½W",2.5/dagenperweek2,IF(RIGHT(D13,1)="W",VALUE(LEFT(D13,LEN(D13)-1))/dagenperweek2,IF(RIGHT(D13,1)="J",VALUE(LEFT(D13,LEN(D13)-1))/dagenperjaar2,"handmatig!")))</f>
        <v>1</v>
      </c>
      <c r="G13" s="2" t="s">
        <v>18</v>
      </c>
      <c r="H13" s="3">
        <f>IF(G13="2½W",2.5/dagenperweek3,IF(RIGHT(G13,1)="W",VALUE(LEFT(G13,LEN(G13)-1))/dagenperweek3,IF(RIGHT(G13,1)="J",VALUE(LEFT(G13,LEN(G13)-1))/dagenperjaar3,"handmatig!")))</f>
        <v>1</v>
      </c>
      <c r="J13" s="2" t="s">
        <v>10</v>
      </c>
      <c r="K13" s="3">
        <f>IF(J13="2½W",2.5/dagenperweek4,IF(RIGHT(J13,1)="W",VALUE(LEFT(J13,LEN(J13)-1))/dagenperweek4,IF(RIGHT(J13,1)="J",VALUE(LEFT(J13,LEN(J13)-1))/dagenperjaar4,"handmatig!")))</f>
        <v>5</v>
      </c>
    </row>
    <row r="14" spans="1:11" x14ac:dyDescent="0.2">
      <c r="A14" s="2" t="s">
        <v>10</v>
      </c>
      <c r="B14" s="3">
        <f>IF(A14="2½W",2.5/dagenperweek1,IF(RIGHT(A14,1)="W",VALUE(LEFT(A14,LEN(A14)-1))/dagenperweek1,IF(RIGHT(A14,1)="J",VALUE(LEFT(A14,LEN(A14)-1))/dagenperjaar1,"handmatig!")))</f>
        <v>1</v>
      </c>
      <c r="D14" s="2" t="s">
        <v>12</v>
      </c>
      <c r="E14" s="3">
        <f>IF(D14="2½W",2.5/dagenperweek2,IF(RIGHT(D14,1)="W",VALUE(LEFT(D14,LEN(D14)-1))/dagenperweek2,IF(RIGHT(D14,1)="J",VALUE(LEFT(D14,LEN(D14)-1))/dagenperjaar2,"handmatig!")))</f>
        <v>0.8</v>
      </c>
      <c r="G14" s="6" t="s">
        <v>20</v>
      </c>
      <c r="H14" s="7">
        <f>IF(G14="2½W",2.5/dagenperweek3,IF(RIGHT(G14,1)="W",VALUE(LEFT(G14,LEN(G14)-1))/dagenperweek3,IF(RIGHT(G14,1)="J",VALUE(LEFT(G14,LEN(G14)-1))/dagenperjaar3,"handmatig!")))</f>
        <v>0.5</v>
      </c>
      <c r="J14" s="2" t="s">
        <v>12</v>
      </c>
      <c r="K14" s="3">
        <f>IF(J14="2½W",2.5/dagenperweek4,IF(RIGHT(J14,1)="W",VALUE(LEFT(J14,LEN(J14)-1))/dagenperweek4,IF(RIGHT(J14,1)="J",VALUE(LEFT(J14,LEN(J14)-1))/dagenperjaar4,"handmatig!")))</f>
        <v>4</v>
      </c>
    </row>
    <row r="15" spans="1:11" x14ac:dyDescent="0.2">
      <c r="A15" s="2" t="s">
        <v>11</v>
      </c>
      <c r="B15" s="3">
        <f>IF(A15="2½W",2.5/dagenperweek1,IF(RIGHT(A15,1)="W",VALUE(LEFT(A15,LEN(A15)-1))/dagenperweek1,IF(RIGHT(A15,1)="J",VALUE(LEFT(A15,LEN(A15)-1))/dagenperjaar1,"handmatig!")))</f>
        <v>1</v>
      </c>
      <c r="D15" s="2" t="s">
        <v>15</v>
      </c>
      <c r="E15" s="3">
        <f>IF(D15="2½W",2.5/dagenperweek2,IF(RIGHT(D15,1)="W",VALUE(LEFT(D15,LEN(D15)-1))/dagenperweek2,IF(RIGHT(D15,1)="J",VALUE(LEFT(D15,LEN(D15)-1))/dagenperjaar2,"handmatig!")))</f>
        <v>0.6</v>
      </c>
      <c r="J15" s="2" t="s">
        <v>15</v>
      </c>
      <c r="K15" s="3">
        <f>IF(J15="2½W",2.5/dagenperweek4,IF(RIGHT(J15,1)="W",VALUE(LEFT(J15,LEN(J15)-1))/dagenperweek4,IF(RIGHT(J15,1)="J",VALUE(LEFT(J15,LEN(J15)-1))/dagenperjaar4,"handmatig!")))</f>
        <v>3</v>
      </c>
    </row>
    <row r="16" spans="1:11" x14ac:dyDescent="0.2">
      <c r="A16" s="2" t="s">
        <v>12</v>
      </c>
      <c r="B16" s="3">
        <f>IF(A16="2½W",2.5/dagenperweek1,IF(RIGHT(A16,1)="W",VALUE(LEFT(A16,LEN(A16)-1))/dagenperweek1,IF(RIGHT(A16,1)="J",VALUE(LEFT(A16,LEN(A16)-1))/dagenperjaar1,"handmatig!")))</f>
        <v>0.8</v>
      </c>
      <c r="D16" s="2" t="s">
        <v>18</v>
      </c>
      <c r="E16" s="3">
        <f>IF(D16="2½W",2.5/dagenperweek2,IF(RIGHT(D16,1)="W",VALUE(LEFT(D16,LEN(D16)-1))/dagenperweek2,IF(RIGHT(D16,1)="J",VALUE(LEFT(D16,LEN(D16)-1))/dagenperjaar2,"handmatig!")))</f>
        <v>0.4</v>
      </c>
      <c r="J16" s="2" t="s">
        <v>18</v>
      </c>
      <c r="K16" s="3">
        <f>IF(J16="2½W",2.5/dagenperweek4,IF(RIGHT(J16,1)="W",VALUE(LEFT(J16,LEN(J16)-1))/dagenperweek4,IF(RIGHT(J16,1)="J",VALUE(LEFT(J16,LEN(J16)-1))/dagenperjaar4,"handmatig!")))</f>
        <v>2</v>
      </c>
    </row>
    <row r="17" spans="1:11" x14ac:dyDescent="0.2">
      <c r="A17" s="2" t="s">
        <v>13</v>
      </c>
      <c r="B17" s="3">
        <f>IF(A17="2½W",2.5/dagenperweek1,IF(RIGHT(A17,1)="W",VALUE(LEFT(A17,LEN(A17)-1))/dagenperweek1,IF(RIGHT(A17,1)="J",VALUE(LEFT(A17,LEN(A17)-1))/dagenperjaar1,"handmatig!")))</f>
        <v>0.8</v>
      </c>
      <c r="D17" s="2" t="s">
        <v>20</v>
      </c>
      <c r="E17" s="3">
        <f>IF(D17="2½W",2.5/dagenperweek2,IF(RIGHT(D17,1)="W",VALUE(LEFT(D17,LEN(D17)-1))/dagenperweek2,IF(RIGHT(D17,1)="J",VALUE(LEFT(D17,LEN(D17)-1))/dagenperjaar2,"handmatig!")))</f>
        <v>0.2</v>
      </c>
      <c r="J17" s="2" t="s">
        <v>20</v>
      </c>
      <c r="K17" s="3">
        <f>IF(J17="2½W",2.5/dagenperweek4,IF(RIGHT(J17,1)="W",VALUE(LEFT(J17,LEN(J17)-1))/dagenperweek4,IF(RIGHT(J17,1)="J",VALUE(LEFT(J17,LEN(J17)-1))/dagenperjaar4,"handmatig!")))</f>
        <v>1</v>
      </c>
    </row>
    <row r="18" spans="1:11" x14ac:dyDescent="0.2">
      <c r="A18" s="2" t="s">
        <v>14</v>
      </c>
      <c r="B18" s="3">
        <f>IF(A18="2½W",2.5/dagenperweek1,IF(RIGHT(A18,1)="W",VALUE(LEFT(A18,LEN(A18)-1))/dagenperweek1,IF(RIGHT(A18,1)="J",VALUE(LEFT(A18,LEN(A18)-1))/dagenperjaar1,"handmatig!")))</f>
        <v>0.78</v>
      </c>
      <c r="D18" s="2" t="s">
        <v>22</v>
      </c>
      <c r="E18" s="3">
        <f>IF(D18="2½W",2.5/dagenperweek2,IF(RIGHT(D18,1)="W",VALUE(LEFT(D18,LEN(D18)-1))/dagenperweek2,IF(RIGHT(D18,1)="J",VALUE(LEFT(D18,LEN(D18)-1))/dagenperjaar2,"handmatig!")))</f>
        <v>0.47272727272727272</v>
      </c>
      <c r="J18" s="2" t="s">
        <v>22</v>
      </c>
      <c r="K18" s="3">
        <f>IF(J18="2½W",2.5/dagenperweek4,IF(RIGHT(J18,1)="W",VALUE(LEFT(J18,LEN(J18)-1))/dagenperweek4,IF(RIGHT(J18,1)="J",VALUE(LEFT(J18,LEN(J18)-1))/dagenperjaar4,"handmatig!")))</f>
        <v>26</v>
      </c>
    </row>
    <row r="19" spans="1:11" x14ac:dyDescent="0.2">
      <c r="A19" s="2" t="s">
        <v>15</v>
      </c>
      <c r="B19" s="3">
        <f>IF(A19="2½W",2.5/dagenperweek1,IF(RIGHT(A19,1)="W",VALUE(LEFT(A19,LEN(A19)-1))/dagenperweek1,IF(RIGHT(A19,1)="J",VALUE(LEFT(A19,LEN(A19)-1))/dagenperjaar1,"handmatig!")))</f>
        <v>0.6</v>
      </c>
      <c r="D19" s="2" t="s">
        <v>23</v>
      </c>
      <c r="E19" s="3">
        <f>IF(D19="2½W",2.5/dagenperweek2,IF(RIGHT(D19,1)="W",VALUE(LEFT(D19,LEN(D19)-1))/dagenperweek2,IF(RIGHT(D19,1)="J",VALUE(LEFT(D19,LEN(D19)-1))/dagenperjaar2,"handmatig!")))</f>
        <v>0.21818181818181817</v>
      </c>
      <c r="J19" s="2" t="s">
        <v>23</v>
      </c>
      <c r="K19" s="3">
        <f>IF(J19="2½W",2.5/dagenperweek4,IF(RIGHT(J19,1)="W",VALUE(LEFT(J19,LEN(J19)-1))/dagenperweek4,IF(RIGHT(J19,1)="J",VALUE(LEFT(J19,LEN(J19)-1))/dagenperjaar4,"handmatig!")))</f>
        <v>12</v>
      </c>
    </row>
    <row r="20" spans="1:11" x14ac:dyDescent="0.2">
      <c r="A20" s="2" t="s">
        <v>16</v>
      </c>
      <c r="B20" s="3">
        <f>IF(A20="2½W",2.5/dagenperweek1,IF(RIGHT(A20,1)="W",VALUE(LEFT(A20,LEN(A20)-1))/dagenperweek1,IF(RIGHT(A20,1)="J",VALUE(LEFT(A20,LEN(A20)-1))/dagenperjaar1,"handmatig!")))</f>
        <v>0.6</v>
      </c>
      <c r="D20" s="2" t="s">
        <v>25</v>
      </c>
      <c r="E20" s="3">
        <f>IF(D20="2½W",2.5/dagenperweek2,IF(RIGHT(D20,1)="W",VALUE(LEFT(D20,LEN(D20)-1))/dagenperweek2,IF(RIGHT(D20,1)="J",VALUE(LEFT(D20,LEN(D20)-1))/dagenperjaar2,"handmatig!")))</f>
        <v>0.10909090909090909</v>
      </c>
      <c r="J20" s="2" t="s">
        <v>25</v>
      </c>
      <c r="K20" s="3">
        <f>IF(J20="2½W",2.5/dagenperweek4,IF(RIGHT(J20,1)="W",VALUE(LEFT(J20,LEN(J20)-1))/dagenperweek4,IF(RIGHT(J20,1)="J",VALUE(LEFT(J20,LEN(J20)-1))/dagenperjaar4,"handmatig!")))</f>
        <v>6</v>
      </c>
    </row>
    <row r="21" spans="1:11" x14ac:dyDescent="0.2">
      <c r="A21" s="2" t="s">
        <v>17</v>
      </c>
      <c r="B21" s="3">
        <f>IF(A21="2½W",2.5/dagenperweek1,IF(RIGHT(A21,1)="W",VALUE(LEFT(A21,LEN(A21)-1))/dagenperweek1,IF(RIGHT(A21,1)="J",VALUE(LEFT(A21,LEN(A21)-1))/dagenperjaar1,"handmatig!")))</f>
        <v>0.52</v>
      </c>
      <c r="D21" s="2" t="s">
        <v>26</v>
      </c>
      <c r="E21" s="3">
        <f>IF(D21="2½W",2.5/dagenperweek2,IF(RIGHT(D21,1)="W",VALUE(LEFT(D21,LEN(D21)-1))/dagenperweek2,IF(RIGHT(D21,1)="J",VALUE(LEFT(D21,LEN(D21)-1))/dagenperjaar2,"handmatig!")))</f>
        <v>7.2727272727272724E-2</v>
      </c>
      <c r="J21" s="2" t="s">
        <v>26</v>
      </c>
      <c r="K21" s="3">
        <f>IF(J21="2½W",2.5/dagenperweek4,IF(RIGHT(J21,1)="W",VALUE(LEFT(J21,LEN(J21)-1))/dagenperweek4,IF(RIGHT(J21,1)="J",VALUE(LEFT(J21,LEN(J21)-1))/dagenperjaar4,"handmatig!")))</f>
        <v>4</v>
      </c>
    </row>
    <row r="22" spans="1:11" x14ac:dyDescent="0.2">
      <c r="A22" s="2" t="s">
        <v>18</v>
      </c>
      <c r="B22" s="3">
        <f>IF(A22="2½W",2.5/dagenperweek1,IF(RIGHT(A22,1)="W",VALUE(LEFT(A22,LEN(A22)-1))/dagenperweek1,IF(RIGHT(A22,1)="J",VALUE(LEFT(A22,LEN(A22)-1))/dagenperjaar1,"handmatig!")))</f>
        <v>0.4</v>
      </c>
      <c r="D22" s="2" t="s">
        <v>27</v>
      </c>
      <c r="E22" s="3">
        <f>IF(D22="2½W",2.5/dagenperweek2,IF(RIGHT(D22,1)="W",VALUE(LEFT(D22,LEN(D22)-1))/dagenperweek2,IF(RIGHT(D22,1)="J",VALUE(LEFT(D22,LEN(D22)-1))/dagenperjaar2,"handmatig!")))</f>
        <v>5.4545454545454543E-2</v>
      </c>
      <c r="J22" s="2" t="s">
        <v>27</v>
      </c>
      <c r="K22" s="3">
        <f>IF(J22="2½W",2.5/dagenperweek4,IF(RIGHT(J22,1)="W",VALUE(LEFT(J22,LEN(J22)-1))/dagenperweek4,IF(RIGHT(J22,1)="J",VALUE(LEFT(J22,LEN(J22)-1))/dagenperjaar4,"handmatig!")))</f>
        <v>3</v>
      </c>
    </row>
    <row r="23" spans="1:11" x14ac:dyDescent="0.2">
      <c r="A23" s="2" t="s">
        <v>19</v>
      </c>
      <c r="B23" s="3">
        <f>IF(A23="2½W",2.5/dagenperweek1,IF(RIGHT(A23,1)="W",VALUE(LEFT(A23,LEN(A23)-1))/dagenperweek1,IF(RIGHT(A23,1)="J",VALUE(LEFT(A23,LEN(A23)-1))/dagenperjaar1,"handmatig!")))</f>
        <v>0.4</v>
      </c>
      <c r="D23" s="2" t="s">
        <v>28</v>
      </c>
      <c r="E23" s="3">
        <f>IF(D23="2½W",2.5/dagenperweek2,IF(RIGHT(D23,1)="W",VALUE(LEFT(D23,LEN(D23)-1))/dagenperweek2,IF(RIGHT(D23,1)="J",VALUE(LEFT(D23,LEN(D23)-1))/dagenperjaar2,"handmatig!")))</f>
        <v>3.6363636363636362E-2</v>
      </c>
      <c r="J23" s="2" t="s">
        <v>28</v>
      </c>
      <c r="K23" s="3">
        <f>IF(J23="2½W",2.5/dagenperweek4,IF(RIGHT(J23,1)="W",VALUE(LEFT(J23,LEN(J23)-1))/dagenperweek4,IF(RIGHT(J23,1)="J",VALUE(LEFT(J23,LEN(J23)-1))/dagenperjaar4,"handmatig!")))</f>
        <v>2</v>
      </c>
    </row>
    <row r="24" spans="1:11" x14ac:dyDescent="0.2">
      <c r="A24" s="2" t="s">
        <v>20</v>
      </c>
      <c r="B24" s="3">
        <f>IF(A24="2½W",2.5/dagenperweek1,IF(RIGHT(A24,1)="W",VALUE(LEFT(A24,LEN(A24)-1))/dagenperweek1,IF(RIGHT(A24,1)="J",VALUE(LEFT(A24,LEN(A24)-1))/dagenperjaar1,"handmatig!")))</f>
        <v>0.2</v>
      </c>
      <c r="D24" s="6" t="s">
        <v>29</v>
      </c>
      <c r="E24" s="7">
        <f>IF(D24="2½W",2.5/dagenperweek2,IF(RIGHT(D24,1)="W",VALUE(LEFT(D24,LEN(D24)-1))/dagenperweek2,IF(RIGHT(D24,1)="J",VALUE(LEFT(D24,LEN(D24)-1))/dagenperjaar2,"handmatig!")))</f>
        <v>1.8181818181818181E-2</v>
      </c>
      <c r="J24" s="6" t="s">
        <v>29</v>
      </c>
      <c r="K24" s="7">
        <f>IF(J24="2½W",2.5/dagenperweek4,IF(RIGHT(J24,1)="W",VALUE(LEFT(J24,LEN(J24)-1))/dagenperweek4,IF(RIGHT(J24,1)="J",VALUE(LEFT(J24,LEN(J24)-1))/dagenperjaar4,"handmatig!")))</f>
        <v>1</v>
      </c>
    </row>
    <row r="25" spans="1:11" x14ac:dyDescent="0.2">
      <c r="A25" s="2" t="s">
        <v>21</v>
      </c>
      <c r="B25" s="3">
        <f>IF(A25="2½W",2.5/dagenperweek1,IF(RIGHT(A25,1)="W",VALUE(LEFT(A25,LEN(A25)-1))/dagenperweek1,IF(RIGHT(A25,1)="J",VALUE(LEFT(A25,LEN(A25)-1))/dagenperjaar1,"handmatig!")))</f>
        <v>0.2</v>
      </c>
    </row>
    <row r="26" spans="1:11" x14ac:dyDescent="0.2">
      <c r="A26" s="2" t="s">
        <v>22</v>
      </c>
      <c r="B26" s="3">
        <f>IF(A26="2½W",2.5/dagenperweek1,IF(RIGHT(A26,1)="W",VALUE(LEFT(A26,LEN(A26)-1))/dagenperweek1,IF(RIGHT(A26,1)="J",VALUE(LEFT(A26,LEN(A26)-1))/dagenperjaar1,"handmatig!")))</f>
        <v>0.13</v>
      </c>
    </row>
    <row r="27" spans="1:11" x14ac:dyDescent="0.2">
      <c r="A27" s="2" t="s">
        <v>23</v>
      </c>
      <c r="B27" s="3">
        <f>IF(A27="2½W",2.5/dagenperweek1,IF(RIGHT(A27,1)="W",VALUE(LEFT(A27,LEN(A27)-1))/dagenperweek1,IF(RIGHT(A27,1)="J",VALUE(LEFT(A27,LEN(A27)-1))/dagenperjaar1,"handmatig!")))</f>
        <v>0.06</v>
      </c>
    </row>
    <row r="28" spans="1:11" x14ac:dyDescent="0.2">
      <c r="A28" s="2" t="s">
        <v>24</v>
      </c>
      <c r="B28" s="3">
        <f>IF(A28="2½W",2.5/dagenperweek1,IF(RIGHT(A28,1)="W",VALUE(LEFT(A28,LEN(A28)-1))/dagenperweek1,IF(RIGHT(A28,1)="J",VALUE(LEFT(A28,LEN(A28)-1))/dagenperjaar1,"handmatig!")))</f>
        <v>0.05</v>
      </c>
    </row>
    <row r="29" spans="1:11" x14ac:dyDescent="0.2">
      <c r="A29" s="2" t="s">
        <v>25</v>
      </c>
      <c r="B29" s="3">
        <f>IF(A29="2½W",2.5/dagenperweek1,IF(RIGHT(A29,1)="W",VALUE(LEFT(A29,LEN(A29)-1))/dagenperweek1,IF(RIGHT(A29,1)="J",VALUE(LEFT(A29,LEN(A29)-1))/dagenperjaar1,"handmatig!")))</f>
        <v>0.03</v>
      </c>
    </row>
    <row r="30" spans="1:11" x14ac:dyDescent="0.2">
      <c r="A30" s="2" t="s">
        <v>26</v>
      </c>
      <c r="B30" s="3">
        <f>IF(A30="2½W",2.5/dagenperweek1,IF(RIGHT(A30,1)="W",VALUE(LEFT(A30,LEN(A30)-1))/dagenperweek1,IF(RIGHT(A30,1)="J",VALUE(LEFT(A30,LEN(A30)-1))/dagenperjaar1,"handmatig!")))</f>
        <v>0.02</v>
      </c>
    </row>
    <row r="31" spans="1:11" x14ac:dyDescent="0.2">
      <c r="A31" s="2" t="s">
        <v>27</v>
      </c>
      <c r="B31" s="3">
        <f>IF(A31="2½W",2.5/dagenperweek1,IF(RIGHT(A31,1)="W",VALUE(LEFT(A31,LEN(A31)-1))/dagenperweek1,IF(RIGHT(A31,1)="J",VALUE(LEFT(A31,LEN(A31)-1))/dagenperjaar1,"handmatig!")))</f>
        <v>1.4999999999999999E-2</v>
      </c>
    </row>
    <row r="32" spans="1:11" x14ac:dyDescent="0.2">
      <c r="A32" s="2" t="s">
        <v>28</v>
      </c>
      <c r="B32" s="3">
        <f>IF(A32="2½W",2.5/dagenperweek1,IF(RIGHT(A32,1)="W",VALUE(LEFT(A32,LEN(A32)-1))/dagenperweek1,IF(RIGHT(A32,1)="J",VALUE(LEFT(A32,LEN(A32)-1))/dagenperjaar1,"handmatig!")))</f>
        <v>0.01</v>
      </c>
    </row>
    <row r="33" spans="1:2" x14ac:dyDescent="0.2">
      <c r="A33" s="6" t="s">
        <v>29</v>
      </c>
      <c r="B33" s="7">
        <f>IF(A33="2½W",2.5/dagenperweek1,IF(RIGHT(A33,1)="W",VALUE(LEFT(A33,LEN(A33)-1))/dagenperweek1,IF(RIGHT(A33,1)="J",VALUE(LEFT(A33,LEN(A33)-1))/dagenperjaar1,"handmatig!")))</f>
        <v>5.0000000000000001E-3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415C2-4BF8-4C84-8F5A-335AEA22C9AB}">
  <dimension ref="A1:L11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50.625" customWidth="1"/>
    <col min="5" max="6" width="14.625" customWidth="1"/>
    <col min="7" max="9" width="11.625" customWidth="1"/>
    <col min="10" max="10" width="12.625" customWidth="1"/>
    <col min="11" max="11" width="14.625" customWidth="1"/>
    <col min="12" max="12" width="13.625" customWidth="1"/>
  </cols>
  <sheetData>
    <row r="1" spans="1:12" x14ac:dyDescent="0.2">
      <c r="A1" s="1" t="str">
        <f>CONCATENATE("Bijlage H.8: ",tabeltype," glas")</f>
        <v>Bijlage H.8: Invultabel glas</v>
      </c>
    </row>
    <row r="3" spans="1:12" ht="38.25" x14ac:dyDescent="0.2">
      <c r="A3" s="8" t="s">
        <v>313</v>
      </c>
      <c r="B3" s="8" t="s">
        <v>7</v>
      </c>
      <c r="C3" s="8" t="s">
        <v>314</v>
      </c>
      <c r="D3" s="8" t="s">
        <v>36</v>
      </c>
      <c r="E3" s="8" t="s">
        <v>39</v>
      </c>
      <c r="F3" s="8" t="s">
        <v>315</v>
      </c>
      <c r="G3" s="8" t="s">
        <v>316</v>
      </c>
      <c r="H3" s="8" t="s">
        <v>317</v>
      </c>
      <c r="I3" s="8" t="s">
        <v>318</v>
      </c>
      <c r="J3" s="8" t="s">
        <v>319</v>
      </c>
      <c r="K3" s="8" t="s">
        <v>114</v>
      </c>
      <c r="L3" s="8" t="s">
        <v>187</v>
      </c>
    </row>
    <row r="4" spans="1:12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1"/>
    </row>
    <row r="5" spans="1:12" x14ac:dyDescent="0.2">
      <c r="A5" s="12" t="s">
        <v>41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4"/>
    </row>
    <row r="6" spans="1:12" x14ac:dyDescent="0.2">
      <c r="A6" s="15" t="s">
        <v>455</v>
      </c>
      <c r="B6" s="15" t="s">
        <v>28</v>
      </c>
      <c r="C6" s="16">
        <f>IF(ISBLANK(B6),0,IF(ISERROR(VALUE(B6)),VLOOKUP(B6,dagsoorttabel1,2,FALSE)*dagenperjaar1,VALUE(B6)))</f>
        <v>2</v>
      </c>
      <c r="D6" s="15" t="s">
        <v>456</v>
      </c>
      <c r="E6" s="15" t="s">
        <v>329</v>
      </c>
      <c r="F6" s="80">
        <v>7337</v>
      </c>
      <c r="G6" s="68"/>
      <c r="H6" s="81"/>
      <c r="I6" s="68"/>
      <c r="J6" s="34">
        <f>IF(ISBLANK(F6),0,F6)*I6</f>
        <v>0</v>
      </c>
      <c r="K6" s="34">
        <f>C6*J6</f>
        <v>0</v>
      </c>
      <c r="L6" s="34">
        <f>K6/12</f>
        <v>0</v>
      </c>
    </row>
    <row r="7" spans="1:12" x14ac:dyDescent="0.2">
      <c r="A7" s="20" t="s">
        <v>457</v>
      </c>
      <c r="B7" s="20" t="s">
        <v>28</v>
      </c>
      <c r="C7" s="21">
        <f>IF(ISBLANK(B7),0,IF(ISERROR(VALUE(B7)),VLOOKUP(B7,dagsoorttabel1,2,FALSE)*dagenperjaar1,VALUE(B7)))</f>
        <v>2</v>
      </c>
      <c r="D7" s="20" t="s">
        <v>458</v>
      </c>
      <c r="E7" s="20" t="s">
        <v>329</v>
      </c>
      <c r="F7" s="82">
        <v>7346</v>
      </c>
      <c r="G7" s="72"/>
      <c r="H7" s="83"/>
      <c r="I7" s="72"/>
      <c r="J7" s="39">
        <f>IF(ISBLANK(F7),0,F7)*I7</f>
        <v>0</v>
      </c>
      <c r="K7" s="39">
        <f>C7*J7</f>
        <v>0</v>
      </c>
      <c r="L7" s="39">
        <f>K7/12</f>
        <v>0</v>
      </c>
    </row>
    <row r="8" spans="1:12" x14ac:dyDescent="0.2">
      <c r="A8" s="25" t="s">
        <v>459</v>
      </c>
      <c r="B8" s="25" t="s">
        <v>28</v>
      </c>
      <c r="C8" s="26">
        <f>IF(ISBLANK(B8),0,IF(ISERROR(VALUE(B8)),VLOOKUP(B8,dagsoorttabel1,2,FALSE)*dagenperjaar1,VALUE(B8)))</f>
        <v>2</v>
      </c>
      <c r="D8" s="25" t="s">
        <v>460</v>
      </c>
      <c r="E8" s="25" t="s">
        <v>329</v>
      </c>
      <c r="F8" s="84">
        <v>2351</v>
      </c>
      <c r="G8" s="77"/>
      <c r="H8" s="85"/>
      <c r="I8" s="77"/>
      <c r="J8" s="42">
        <f>IF(ISBLANK(F8),0,F8)*I8</f>
        <v>0</v>
      </c>
      <c r="K8" s="42">
        <f>C8*J8</f>
        <v>0</v>
      </c>
      <c r="L8" s="42">
        <f>K8/12</f>
        <v>0</v>
      </c>
    </row>
    <row r="9" spans="1:12" x14ac:dyDescent="0.2">
      <c r="A9" s="43" t="s">
        <v>143</v>
      </c>
      <c r="B9" s="44"/>
      <c r="C9" s="44"/>
      <c r="D9" s="44"/>
      <c r="E9" s="44"/>
      <c r="F9" s="44"/>
      <c r="G9" s="44"/>
      <c r="H9" s="44"/>
      <c r="I9" s="44"/>
      <c r="J9" s="44"/>
      <c r="K9" s="46">
        <f>SUM(K6:K8)</f>
        <v>0</v>
      </c>
      <c r="L9" s="86">
        <f>K9/12</f>
        <v>0</v>
      </c>
    </row>
    <row r="11" spans="1:12" x14ac:dyDescent="0.2">
      <c r="A11" s="43" t="s">
        <v>461</v>
      </c>
      <c r="B11" s="44"/>
      <c r="C11" s="44"/>
      <c r="D11" s="44"/>
      <c r="E11" s="44"/>
      <c r="F11" s="44"/>
      <c r="G11" s="44"/>
      <c r="H11" s="44"/>
      <c r="I11" s="44"/>
      <c r="J11" s="44"/>
      <c r="K11" s="46">
        <f>prijsjaarglas1</f>
        <v>0</v>
      </c>
      <c r="L11" s="86">
        <f>K11/12</f>
        <v>0</v>
      </c>
    </row>
  </sheetData>
  <pageMargins left="0.7" right="0.7" top="0.75" bottom="0.75" header="0.3" footer="0.3"/>
  <pageSetup paperSize="9" scale="65" orientation="landscape" horizontalDpi="4294967295" verticalDpi="4294967295" r:id="rId1"/>
  <headerFooter>
    <oddFooter>&amp;LStichting Openbaar Onderwijs Oost Groningen EA              &amp;ROpmaakdatum: 17-08-2021
Intexso - De Start 5 - Leusden
+31 (33) 2778485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9FB58-6CE2-4CF5-A64A-C9FDA6716FF2}">
  <dimension ref="A1:M111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11.625" customWidth="1"/>
    <col min="5" max="5" width="50.625" customWidth="1"/>
    <col min="6" max="7" width="14.625" customWidth="1"/>
    <col min="8" max="10" width="11.625" customWidth="1"/>
    <col min="11" max="11" width="12.625" customWidth="1"/>
    <col min="12" max="12" width="14.625" customWidth="1"/>
    <col min="13" max="13" width="13.625" customWidth="1"/>
  </cols>
  <sheetData>
    <row r="1" spans="1:13" x14ac:dyDescent="0.2">
      <c r="A1" s="1" t="str">
        <f>CONCATENATE("Bijlage H.9: ",tabeltype," glas per locatie")</f>
        <v>Bijlage H.9: Invultabel glas per locatie</v>
      </c>
    </row>
    <row r="3" spans="1:13" ht="38.25" x14ac:dyDescent="0.2">
      <c r="A3" s="8" t="s">
        <v>313</v>
      </c>
      <c r="B3" s="8" t="s">
        <v>7</v>
      </c>
      <c r="C3" s="8" t="s">
        <v>314</v>
      </c>
      <c r="D3" s="8" t="s">
        <v>147</v>
      </c>
      <c r="E3" s="8" t="s">
        <v>36</v>
      </c>
      <c r="F3" s="8" t="s">
        <v>39</v>
      </c>
      <c r="G3" s="8" t="s">
        <v>315</v>
      </c>
      <c r="H3" s="8" t="s">
        <v>316</v>
      </c>
      <c r="I3" s="8" t="s">
        <v>317</v>
      </c>
      <c r="J3" s="8" t="s">
        <v>318</v>
      </c>
      <c r="K3" s="8" t="s">
        <v>319</v>
      </c>
      <c r="L3" s="8" t="s">
        <v>114</v>
      </c>
      <c r="M3" s="8" t="s">
        <v>187</v>
      </c>
    </row>
    <row r="5" spans="1:13" x14ac:dyDescent="0.2">
      <c r="A5" s="88" t="s">
        <v>266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87"/>
    </row>
    <row r="6" spans="1:13" x14ac:dyDescent="0.2">
      <c r="A6" s="15" t="s">
        <v>455</v>
      </c>
      <c r="B6" s="15" t="s">
        <v>28</v>
      </c>
      <c r="C6" s="16">
        <f>IF(ISBLANK(B6),0,IF(ISERROR(VALUE(B6)),VLOOKUP(B6,dagsoorttabel1,2,FALSE)*dagenperjaar1,VALUE(B6)))</f>
        <v>2</v>
      </c>
      <c r="D6" s="15" t="s">
        <v>171</v>
      </c>
      <c r="E6" s="15" t="s">
        <v>456</v>
      </c>
      <c r="F6" s="15" t="s">
        <v>329</v>
      </c>
      <c r="G6" s="80">
        <v>484</v>
      </c>
      <c r="H6" s="89">
        <f>Glas!G6</f>
        <v>0</v>
      </c>
      <c r="I6" s="81"/>
      <c r="J6" s="89">
        <f>Glas!I6</f>
        <v>0</v>
      </c>
      <c r="K6" s="34">
        <f>IF(ISBLANK(G6),0,G6)*J6</f>
        <v>0</v>
      </c>
      <c r="L6" s="34">
        <f>C6*K6</f>
        <v>0</v>
      </c>
      <c r="M6" s="34">
        <f>L6/12</f>
        <v>0</v>
      </c>
    </row>
    <row r="7" spans="1:13" x14ac:dyDescent="0.2">
      <c r="A7" s="20" t="s">
        <v>457</v>
      </c>
      <c r="B7" s="20" t="s">
        <v>28</v>
      </c>
      <c r="C7" s="21">
        <f>IF(ISBLANK(B7),0,IF(ISERROR(VALUE(B7)),VLOOKUP(B7,dagsoorttabel1,2,FALSE)*dagenperjaar1,VALUE(B7)))</f>
        <v>2</v>
      </c>
      <c r="D7" s="20" t="s">
        <v>171</v>
      </c>
      <c r="E7" s="20" t="s">
        <v>458</v>
      </c>
      <c r="F7" s="20" t="s">
        <v>329</v>
      </c>
      <c r="G7" s="82">
        <v>484</v>
      </c>
      <c r="H7" s="90">
        <f>Glas!G7</f>
        <v>0</v>
      </c>
      <c r="I7" s="83"/>
      <c r="J7" s="90">
        <f>Glas!I7</f>
        <v>0</v>
      </c>
      <c r="K7" s="39">
        <f>IF(ISBLANK(G7),0,G7)*J7</f>
        <v>0</v>
      </c>
      <c r="L7" s="39">
        <f>C7*K7</f>
        <v>0</v>
      </c>
      <c r="M7" s="39">
        <f>L7/12</f>
        <v>0</v>
      </c>
    </row>
    <row r="8" spans="1:13" x14ac:dyDescent="0.2">
      <c r="A8" s="25" t="s">
        <v>459</v>
      </c>
      <c r="B8" s="25" t="s">
        <v>28</v>
      </c>
      <c r="C8" s="26">
        <f>IF(ISBLANK(B8),0,IF(ISERROR(VALUE(B8)),VLOOKUP(B8,dagsoorttabel1,2,FALSE)*dagenperjaar1,VALUE(B8)))</f>
        <v>2</v>
      </c>
      <c r="D8" s="25" t="s">
        <v>171</v>
      </c>
      <c r="E8" s="25" t="s">
        <v>460</v>
      </c>
      <c r="F8" s="25" t="s">
        <v>329</v>
      </c>
      <c r="G8" s="84">
        <v>104</v>
      </c>
      <c r="H8" s="91">
        <f>Glas!G8</f>
        <v>0</v>
      </c>
      <c r="I8" s="85"/>
      <c r="J8" s="91">
        <f>Glas!I8</f>
        <v>0</v>
      </c>
      <c r="K8" s="42">
        <f>IF(ISBLANK(G8),0,G8)*J8</f>
        <v>0</v>
      </c>
      <c r="L8" s="42">
        <f>C8*K8</f>
        <v>0</v>
      </c>
      <c r="M8" s="42">
        <f>L8/12</f>
        <v>0</v>
      </c>
    </row>
    <row r="9" spans="1:13" x14ac:dyDescent="0.2">
      <c r="A9" s="79" t="s">
        <v>271</v>
      </c>
      <c r="B9" s="44"/>
      <c r="C9" s="44"/>
      <c r="D9" s="44"/>
      <c r="E9" s="44"/>
      <c r="F9" s="44"/>
      <c r="G9" s="44"/>
      <c r="H9" s="44"/>
      <c r="I9" s="44"/>
      <c r="J9" s="44"/>
      <c r="K9" s="46">
        <f>SUM(K6:K8)</f>
        <v>0</v>
      </c>
      <c r="L9" s="46">
        <f>SUM(L6:L8)</f>
        <v>0</v>
      </c>
      <c r="M9" s="86">
        <f>L9/12</f>
        <v>0</v>
      </c>
    </row>
    <row r="11" spans="1:13" x14ac:dyDescent="0.2">
      <c r="A11" s="88" t="s">
        <v>272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87"/>
    </row>
    <row r="12" spans="1:13" x14ac:dyDescent="0.2">
      <c r="A12" s="15" t="s">
        <v>455</v>
      </c>
      <c r="B12" s="15" t="s">
        <v>28</v>
      </c>
      <c r="C12" s="16">
        <f>IF(ISBLANK(B12),0,IF(ISERROR(VALUE(B12)),VLOOKUP(B12,dagsoorttabel1,2,FALSE)*dagenperjaar1,VALUE(B12)))</f>
        <v>2</v>
      </c>
      <c r="D12" s="15" t="s">
        <v>171</v>
      </c>
      <c r="E12" s="15" t="s">
        <v>456</v>
      </c>
      <c r="F12" s="15" t="s">
        <v>329</v>
      </c>
      <c r="G12" s="80">
        <v>290</v>
      </c>
      <c r="H12" s="89">
        <f>Glas!G6</f>
        <v>0</v>
      </c>
      <c r="I12" s="81"/>
      <c r="J12" s="89">
        <f>Glas!I6</f>
        <v>0</v>
      </c>
      <c r="K12" s="34">
        <f>IF(ISBLANK(G12),0,G12)*J12</f>
        <v>0</v>
      </c>
      <c r="L12" s="34">
        <f>C12*K12</f>
        <v>0</v>
      </c>
      <c r="M12" s="34">
        <f>L12/12</f>
        <v>0</v>
      </c>
    </row>
    <row r="13" spans="1:13" x14ac:dyDescent="0.2">
      <c r="A13" s="20" t="s">
        <v>457</v>
      </c>
      <c r="B13" s="20" t="s">
        <v>28</v>
      </c>
      <c r="C13" s="21">
        <f>IF(ISBLANK(B13),0,IF(ISERROR(VALUE(B13)),VLOOKUP(B13,dagsoorttabel1,2,FALSE)*dagenperjaar1,VALUE(B13)))</f>
        <v>2</v>
      </c>
      <c r="D13" s="20" t="s">
        <v>171</v>
      </c>
      <c r="E13" s="20" t="s">
        <v>458</v>
      </c>
      <c r="F13" s="20" t="s">
        <v>329</v>
      </c>
      <c r="G13" s="82">
        <v>290</v>
      </c>
      <c r="H13" s="90">
        <f>Glas!G7</f>
        <v>0</v>
      </c>
      <c r="I13" s="83"/>
      <c r="J13" s="90">
        <f>Glas!I7</f>
        <v>0</v>
      </c>
      <c r="K13" s="39">
        <f>IF(ISBLANK(G13),0,G13)*J13</f>
        <v>0</v>
      </c>
      <c r="L13" s="39">
        <f>C13*K13</f>
        <v>0</v>
      </c>
      <c r="M13" s="39">
        <f>L13/12</f>
        <v>0</v>
      </c>
    </row>
    <row r="14" spans="1:13" x14ac:dyDescent="0.2">
      <c r="A14" s="25" t="s">
        <v>459</v>
      </c>
      <c r="B14" s="25" t="s">
        <v>28</v>
      </c>
      <c r="C14" s="26">
        <f>IF(ISBLANK(B14),0,IF(ISERROR(VALUE(B14)),VLOOKUP(B14,dagsoorttabel1,2,FALSE)*dagenperjaar1,VALUE(B14)))</f>
        <v>2</v>
      </c>
      <c r="D14" s="25" t="s">
        <v>171</v>
      </c>
      <c r="E14" s="25" t="s">
        <v>460</v>
      </c>
      <c r="F14" s="25" t="s">
        <v>329</v>
      </c>
      <c r="G14" s="84">
        <v>117</v>
      </c>
      <c r="H14" s="91">
        <f>Glas!G8</f>
        <v>0</v>
      </c>
      <c r="I14" s="85"/>
      <c r="J14" s="91">
        <f>Glas!I8</f>
        <v>0</v>
      </c>
      <c r="K14" s="42">
        <f>IF(ISBLANK(G14),0,G14)*J14</f>
        <v>0</v>
      </c>
      <c r="L14" s="42">
        <f>C14*K14</f>
        <v>0</v>
      </c>
      <c r="M14" s="42">
        <f>L14/12</f>
        <v>0</v>
      </c>
    </row>
    <row r="15" spans="1:13" x14ac:dyDescent="0.2">
      <c r="A15" s="79" t="s">
        <v>273</v>
      </c>
      <c r="B15" s="44"/>
      <c r="C15" s="44"/>
      <c r="D15" s="44"/>
      <c r="E15" s="44"/>
      <c r="F15" s="44"/>
      <c r="G15" s="44"/>
      <c r="H15" s="44"/>
      <c r="I15" s="44"/>
      <c r="J15" s="44"/>
      <c r="K15" s="46">
        <f>SUM(K12:K14)</f>
        <v>0</v>
      </c>
      <c r="L15" s="46">
        <f>SUM(L12:L14)</f>
        <v>0</v>
      </c>
      <c r="M15" s="86">
        <f>L15/12</f>
        <v>0</v>
      </c>
    </row>
    <row r="17" spans="1:13" x14ac:dyDescent="0.2">
      <c r="A17" s="88" t="s">
        <v>274</v>
      </c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87"/>
    </row>
    <row r="18" spans="1:13" x14ac:dyDescent="0.2">
      <c r="A18" s="15" t="s">
        <v>455</v>
      </c>
      <c r="B18" s="15" t="s">
        <v>28</v>
      </c>
      <c r="C18" s="16">
        <f>IF(ISBLANK(B18),0,IF(ISERROR(VALUE(B18)),VLOOKUP(B18,dagsoorttabel1,2,FALSE)*dagenperjaar1,VALUE(B18)))</f>
        <v>2</v>
      </c>
      <c r="D18" s="15" t="s">
        <v>171</v>
      </c>
      <c r="E18" s="15" t="s">
        <v>456</v>
      </c>
      <c r="F18" s="15" t="s">
        <v>329</v>
      </c>
      <c r="G18" s="80">
        <v>161</v>
      </c>
      <c r="H18" s="89">
        <f>Glas!G6</f>
        <v>0</v>
      </c>
      <c r="I18" s="81"/>
      <c r="J18" s="89">
        <f>Glas!I6</f>
        <v>0</v>
      </c>
      <c r="K18" s="34">
        <f>IF(ISBLANK(G18),0,G18)*J18</f>
        <v>0</v>
      </c>
      <c r="L18" s="34">
        <f>C18*K18</f>
        <v>0</v>
      </c>
      <c r="M18" s="34">
        <f>L18/12</f>
        <v>0</v>
      </c>
    </row>
    <row r="19" spans="1:13" x14ac:dyDescent="0.2">
      <c r="A19" s="20" t="s">
        <v>457</v>
      </c>
      <c r="B19" s="20" t="s">
        <v>28</v>
      </c>
      <c r="C19" s="21">
        <f>IF(ISBLANK(B19),0,IF(ISERROR(VALUE(B19)),VLOOKUP(B19,dagsoorttabel1,2,FALSE)*dagenperjaar1,VALUE(B19)))</f>
        <v>2</v>
      </c>
      <c r="D19" s="20" t="s">
        <v>171</v>
      </c>
      <c r="E19" s="20" t="s">
        <v>458</v>
      </c>
      <c r="F19" s="20" t="s">
        <v>329</v>
      </c>
      <c r="G19" s="82">
        <v>161</v>
      </c>
      <c r="H19" s="90">
        <f>Glas!G7</f>
        <v>0</v>
      </c>
      <c r="I19" s="83"/>
      <c r="J19" s="90">
        <f>Glas!I7</f>
        <v>0</v>
      </c>
      <c r="K19" s="39">
        <f>IF(ISBLANK(G19),0,G19)*J19</f>
        <v>0</v>
      </c>
      <c r="L19" s="39">
        <f>C19*K19</f>
        <v>0</v>
      </c>
      <c r="M19" s="39">
        <f>L19/12</f>
        <v>0</v>
      </c>
    </row>
    <row r="20" spans="1:13" x14ac:dyDescent="0.2">
      <c r="A20" s="25" t="s">
        <v>459</v>
      </c>
      <c r="B20" s="25" t="s">
        <v>28</v>
      </c>
      <c r="C20" s="26">
        <f>IF(ISBLANK(B20),0,IF(ISERROR(VALUE(B20)),VLOOKUP(B20,dagsoorttabel1,2,FALSE)*dagenperjaar1,VALUE(B20)))</f>
        <v>2</v>
      </c>
      <c r="D20" s="25" t="s">
        <v>171</v>
      </c>
      <c r="E20" s="25" t="s">
        <v>460</v>
      </c>
      <c r="F20" s="25" t="s">
        <v>329</v>
      </c>
      <c r="G20" s="84">
        <v>100</v>
      </c>
      <c r="H20" s="91">
        <f>Glas!G8</f>
        <v>0</v>
      </c>
      <c r="I20" s="85"/>
      <c r="J20" s="91">
        <f>Glas!I8</f>
        <v>0</v>
      </c>
      <c r="K20" s="42">
        <f>IF(ISBLANK(G20),0,G20)*J20</f>
        <v>0</v>
      </c>
      <c r="L20" s="42">
        <f>C20*K20</f>
        <v>0</v>
      </c>
      <c r="M20" s="42">
        <f>L20/12</f>
        <v>0</v>
      </c>
    </row>
    <row r="21" spans="1:13" x14ac:dyDescent="0.2">
      <c r="A21" s="79" t="s">
        <v>275</v>
      </c>
      <c r="B21" s="44"/>
      <c r="C21" s="44"/>
      <c r="D21" s="44"/>
      <c r="E21" s="44"/>
      <c r="F21" s="44"/>
      <c r="G21" s="44"/>
      <c r="H21" s="44"/>
      <c r="I21" s="44"/>
      <c r="J21" s="44"/>
      <c r="K21" s="46">
        <f>SUM(K18:K20)</f>
        <v>0</v>
      </c>
      <c r="L21" s="46">
        <f>SUM(L18:L20)</f>
        <v>0</v>
      </c>
      <c r="M21" s="86">
        <f>L21/12</f>
        <v>0</v>
      </c>
    </row>
    <row r="23" spans="1:13" x14ac:dyDescent="0.2">
      <c r="A23" s="88" t="s">
        <v>276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87"/>
    </row>
    <row r="24" spans="1:13" x14ac:dyDescent="0.2">
      <c r="A24" s="15" t="s">
        <v>455</v>
      </c>
      <c r="B24" s="15" t="s">
        <v>28</v>
      </c>
      <c r="C24" s="16">
        <f>IF(ISBLANK(B24),0,IF(ISERROR(VALUE(B24)),VLOOKUP(B24,dagsoorttabel1,2,FALSE)*dagenperjaar1,VALUE(B24)))</f>
        <v>2</v>
      </c>
      <c r="D24" s="15" t="s">
        <v>171</v>
      </c>
      <c r="E24" s="15" t="s">
        <v>456</v>
      </c>
      <c r="F24" s="15" t="s">
        <v>329</v>
      </c>
      <c r="G24" s="80">
        <v>714</v>
      </c>
      <c r="H24" s="89">
        <f>Glas!G6</f>
        <v>0</v>
      </c>
      <c r="I24" s="81"/>
      <c r="J24" s="89">
        <f>Glas!I6</f>
        <v>0</v>
      </c>
      <c r="K24" s="34">
        <f>IF(ISBLANK(G24),0,G24)*J24</f>
        <v>0</v>
      </c>
      <c r="L24" s="34">
        <f>C24*K24</f>
        <v>0</v>
      </c>
      <c r="M24" s="34">
        <f>L24/12</f>
        <v>0</v>
      </c>
    </row>
    <row r="25" spans="1:13" x14ac:dyDescent="0.2">
      <c r="A25" s="20" t="s">
        <v>457</v>
      </c>
      <c r="B25" s="20" t="s">
        <v>28</v>
      </c>
      <c r="C25" s="21">
        <f>IF(ISBLANK(B25),0,IF(ISERROR(VALUE(B25)),VLOOKUP(B25,dagsoorttabel1,2,FALSE)*dagenperjaar1,VALUE(B25)))</f>
        <v>2</v>
      </c>
      <c r="D25" s="20" t="s">
        <v>171</v>
      </c>
      <c r="E25" s="20" t="s">
        <v>458</v>
      </c>
      <c r="F25" s="20" t="s">
        <v>329</v>
      </c>
      <c r="G25" s="82">
        <v>714</v>
      </c>
      <c r="H25" s="90">
        <f>Glas!G7</f>
        <v>0</v>
      </c>
      <c r="I25" s="83"/>
      <c r="J25" s="90">
        <f>Glas!I7</f>
        <v>0</v>
      </c>
      <c r="K25" s="39">
        <f>IF(ISBLANK(G25),0,G25)*J25</f>
        <v>0</v>
      </c>
      <c r="L25" s="39">
        <f>C25*K25</f>
        <v>0</v>
      </c>
      <c r="M25" s="39">
        <f>L25/12</f>
        <v>0</v>
      </c>
    </row>
    <row r="26" spans="1:13" x14ac:dyDescent="0.2">
      <c r="A26" s="25" t="s">
        <v>459</v>
      </c>
      <c r="B26" s="25" t="s">
        <v>28</v>
      </c>
      <c r="C26" s="26">
        <f>IF(ISBLANK(B26),0,IF(ISERROR(VALUE(B26)),VLOOKUP(B26,dagsoorttabel1,2,FALSE)*dagenperjaar1,VALUE(B26)))</f>
        <v>2</v>
      </c>
      <c r="D26" s="25" t="s">
        <v>171</v>
      </c>
      <c r="E26" s="25" t="s">
        <v>460</v>
      </c>
      <c r="F26" s="25" t="s">
        <v>329</v>
      </c>
      <c r="G26" s="84">
        <v>190</v>
      </c>
      <c r="H26" s="91">
        <f>Glas!G8</f>
        <v>0</v>
      </c>
      <c r="I26" s="85"/>
      <c r="J26" s="91">
        <f>Glas!I8</f>
        <v>0</v>
      </c>
      <c r="K26" s="42">
        <f>IF(ISBLANK(G26),0,G26)*J26</f>
        <v>0</v>
      </c>
      <c r="L26" s="42">
        <f>C26*K26</f>
        <v>0</v>
      </c>
      <c r="M26" s="42">
        <f>L26/12</f>
        <v>0</v>
      </c>
    </row>
    <row r="27" spans="1:13" x14ac:dyDescent="0.2">
      <c r="A27" s="79" t="s">
        <v>277</v>
      </c>
      <c r="B27" s="44"/>
      <c r="C27" s="44"/>
      <c r="D27" s="44"/>
      <c r="E27" s="44"/>
      <c r="F27" s="44"/>
      <c r="G27" s="44"/>
      <c r="H27" s="44"/>
      <c r="I27" s="44"/>
      <c r="J27" s="44"/>
      <c r="K27" s="46">
        <f>SUM(K24:K26)</f>
        <v>0</v>
      </c>
      <c r="L27" s="46">
        <f>SUM(L24:L26)</f>
        <v>0</v>
      </c>
      <c r="M27" s="86">
        <f>L27/12</f>
        <v>0</v>
      </c>
    </row>
    <row r="29" spans="1:13" x14ac:dyDescent="0.2">
      <c r="A29" s="88" t="s">
        <v>278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87"/>
    </row>
    <row r="30" spans="1:13" x14ac:dyDescent="0.2">
      <c r="A30" s="15" t="s">
        <v>455</v>
      </c>
      <c r="B30" s="15" t="s">
        <v>28</v>
      </c>
      <c r="C30" s="16">
        <f>IF(ISBLANK(B30),0,IF(ISERROR(VALUE(B30)),VLOOKUP(B30,dagsoorttabel1,2,FALSE)*dagenperjaar1,VALUE(B30)))</f>
        <v>2</v>
      </c>
      <c r="D30" s="15" t="s">
        <v>171</v>
      </c>
      <c r="E30" s="15" t="s">
        <v>456</v>
      </c>
      <c r="F30" s="15" t="s">
        <v>329</v>
      </c>
      <c r="G30" s="80">
        <v>125</v>
      </c>
      <c r="H30" s="89">
        <f>Glas!G6</f>
        <v>0</v>
      </c>
      <c r="I30" s="81"/>
      <c r="J30" s="89">
        <f>Glas!I6</f>
        <v>0</v>
      </c>
      <c r="K30" s="34">
        <f>IF(ISBLANK(G30),0,G30)*J30</f>
        <v>0</v>
      </c>
      <c r="L30" s="34">
        <f>C30*K30</f>
        <v>0</v>
      </c>
      <c r="M30" s="34">
        <f>L30/12</f>
        <v>0</v>
      </c>
    </row>
    <row r="31" spans="1:13" x14ac:dyDescent="0.2">
      <c r="A31" s="20" t="s">
        <v>457</v>
      </c>
      <c r="B31" s="20" t="s">
        <v>28</v>
      </c>
      <c r="C31" s="21">
        <f>IF(ISBLANK(B31),0,IF(ISERROR(VALUE(B31)),VLOOKUP(B31,dagsoorttabel1,2,FALSE)*dagenperjaar1,VALUE(B31)))</f>
        <v>2</v>
      </c>
      <c r="D31" s="20" t="s">
        <v>171</v>
      </c>
      <c r="E31" s="20" t="s">
        <v>458</v>
      </c>
      <c r="F31" s="20" t="s">
        <v>329</v>
      </c>
      <c r="G31" s="82">
        <v>125</v>
      </c>
      <c r="H31" s="90">
        <f>Glas!G7</f>
        <v>0</v>
      </c>
      <c r="I31" s="83"/>
      <c r="J31" s="90">
        <f>Glas!I7</f>
        <v>0</v>
      </c>
      <c r="K31" s="39">
        <f>IF(ISBLANK(G31),0,G31)*J31</f>
        <v>0</v>
      </c>
      <c r="L31" s="39">
        <f>C31*K31</f>
        <v>0</v>
      </c>
      <c r="M31" s="39">
        <f>L31/12</f>
        <v>0</v>
      </c>
    </row>
    <row r="32" spans="1:13" x14ac:dyDescent="0.2">
      <c r="A32" s="25" t="s">
        <v>459</v>
      </c>
      <c r="B32" s="25" t="s">
        <v>28</v>
      </c>
      <c r="C32" s="26">
        <f>IF(ISBLANK(B32),0,IF(ISERROR(VALUE(B32)),VLOOKUP(B32,dagsoorttabel1,2,FALSE)*dagenperjaar1,VALUE(B32)))</f>
        <v>2</v>
      </c>
      <c r="D32" s="25" t="s">
        <v>171</v>
      </c>
      <c r="E32" s="25" t="s">
        <v>460</v>
      </c>
      <c r="F32" s="25" t="s">
        <v>329</v>
      </c>
      <c r="G32" s="84">
        <v>150</v>
      </c>
      <c r="H32" s="91">
        <f>Glas!G8</f>
        <v>0</v>
      </c>
      <c r="I32" s="85"/>
      <c r="J32" s="91">
        <f>Glas!I8</f>
        <v>0</v>
      </c>
      <c r="K32" s="42">
        <f>IF(ISBLANK(G32),0,G32)*J32</f>
        <v>0</v>
      </c>
      <c r="L32" s="42">
        <f>C32*K32</f>
        <v>0</v>
      </c>
      <c r="M32" s="42">
        <f>L32/12</f>
        <v>0</v>
      </c>
    </row>
    <row r="33" spans="1:13" x14ac:dyDescent="0.2">
      <c r="A33" s="79" t="s">
        <v>279</v>
      </c>
      <c r="B33" s="44"/>
      <c r="C33" s="44"/>
      <c r="D33" s="44"/>
      <c r="E33" s="44"/>
      <c r="F33" s="44"/>
      <c r="G33" s="44"/>
      <c r="H33" s="44"/>
      <c r="I33" s="44"/>
      <c r="J33" s="44"/>
      <c r="K33" s="46">
        <f>SUM(K30:K32)</f>
        <v>0</v>
      </c>
      <c r="L33" s="46">
        <f>SUM(L30:L32)</f>
        <v>0</v>
      </c>
      <c r="M33" s="86">
        <f>L33/12</f>
        <v>0</v>
      </c>
    </row>
    <row r="35" spans="1:13" x14ac:dyDescent="0.2">
      <c r="A35" s="88" t="s">
        <v>280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87"/>
    </row>
    <row r="36" spans="1:13" x14ac:dyDescent="0.2">
      <c r="A36" s="15" t="s">
        <v>455</v>
      </c>
      <c r="B36" s="15" t="s">
        <v>28</v>
      </c>
      <c r="C36" s="16">
        <f>IF(ISBLANK(B36),0,IF(ISERROR(VALUE(B36)),VLOOKUP(B36,dagsoorttabel1,2,FALSE)*dagenperjaar1,VALUE(B36)))</f>
        <v>2</v>
      </c>
      <c r="D36" s="15" t="s">
        <v>171</v>
      </c>
      <c r="E36" s="15" t="s">
        <v>456</v>
      </c>
      <c r="F36" s="15" t="s">
        <v>329</v>
      </c>
      <c r="G36" s="80">
        <v>854</v>
      </c>
      <c r="H36" s="89">
        <f>Glas!G6</f>
        <v>0</v>
      </c>
      <c r="I36" s="81"/>
      <c r="J36" s="89">
        <f>Glas!I6</f>
        <v>0</v>
      </c>
      <c r="K36" s="34">
        <f>IF(ISBLANK(G36),0,G36)*J36</f>
        <v>0</v>
      </c>
      <c r="L36" s="34">
        <f>C36*K36</f>
        <v>0</v>
      </c>
      <c r="M36" s="34">
        <f>L36/12</f>
        <v>0</v>
      </c>
    </row>
    <row r="37" spans="1:13" x14ac:dyDescent="0.2">
      <c r="A37" s="20" t="s">
        <v>457</v>
      </c>
      <c r="B37" s="20" t="s">
        <v>28</v>
      </c>
      <c r="C37" s="21">
        <f>IF(ISBLANK(B37),0,IF(ISERROR(VALUE(B37)),VLOOKUP(B37,dagsoorttabel1,2,FALSE)*dagenperjaar1,VALUE(B37)))</f>
        <v>2</v>
      </c>
      <c r="D37" s="20" t="s">
        <v>171</v>
      </c>
      <c r="E37" s="20" t="s">
        <v>458</v>
      </c>
      <c r="F37" s="20" t="s">
        <v>329</v>
      </c>
      <c r="G37" s="82">
        <v>854</v>
      </c>
      <c r="H37" s="90">
        <f>Glas!G7</f>
        <v>0</v>
      </c>
      <c r="I37" s="83"/>
      <c r="J37" s="90">
        <f>Glas!I7</f>
        <v>0</v>
      </c>
      <c r="K37" s="39">
        <f>IF(ISBLANK(G37),0,G37)*J37</f>
        <v>0</v>
      </c>
      <c r="L37" s="39">
        <f>C37*K37</f>
        <v>0</v>
      </c>
      <c r="M37" s="39">
        <f>L37/12</f>
        <v>0</v>
      </c>
    </row>
    <row r="38" spans="1:13" x14ac:dyDescent="0.2">
      <c r="A38" s="25" t="s">
        <v>459</v>
      </c>
      <c r="B38" s="25" t="s">
        <v>28</v>
      </c>
      <c r="C38" s="26">
        <f>IF(ISBLANK(B38),0,IF(ISERROR(VALUE(B38)),VLOOKUP(B38,dagsoorttabel1,2,FALSE)*dagenperjaar1,VALUE(B38)))</f>
        <v>2</v>
      </c>
      <c r="D38" s="25" t="s">
        <v>171</v>
      </c>
      <c r="E38" s="25" t="s">
        <v>460</v>
      </c>
      <c r="F38" s="25" t="s">
        <v>329</v>
      </c>
      <c r="G38" s="84">
        <v>185</v>
      </c>
      <c r="H38" s="91">
        <f>Glas!G8</f>
        <v>0</v>
      </c>
      <c r="I38" s="85"/>
      <c r="J38" s="91">
        <f>Glas!I8</f>
        <v>0</v>
      </c>
      <c r="K38" s="42">
        <f>IF(ISBLANK(G38),0,G38)*J38</f>
        <v>0</v>
      </c>
      <c r="L38" s="42">
        <f>C38*K38</f>
        <v>0</v>
      </c>
      <c r="M38" s="42">
        <f>L38/12</f>
        <v>0</v>
      </c>
    </row>
    <row r="39" spans="1:13" x14ac:dyDescent="0.2">
      <c r="A39" s="79" t="s">
        <v>281</v>
      </c>
      <c r="B39" s="44"/>
      <c r="C39" s="44"/>
      <c r="D39" s="44"/>
      <c r="E39" s="44"/>
      <c r="F39" s="44"/>
      <c r="G39" s="44"/>
      <c r="H39" s="44"/>
      <c r="I39" s="44"/>
      <c r="J39" s="44"/>
      <c r="K39" s="46">
        <f>SUM(K36:K38)</f>
        <v>0</v>
      </c>
      <c r="L39" s="46">
        <f>SUM(L36:L38)</f>
        <v>0</v>
      </c>
      <c r="M39" s="86">
        <f>L39/12</f>
        <v>0</v>
      </c>
    </row>
    <row r="41" spans="1:13" x14ac:dyDescent="0.2">
      <c r="A41" s="88" t="s">
        <v>282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87"/>
    </row>
    <row r="42" spans="1:13" x14ac:dyDescent="0.2">
      <c r="A42" s="15" t="s">
        <v>455</v>
      </c>
      <c r="B42" s="15" t="s">
        <v>28</v>
      </c>
      <c r="C42" s="16">
        <f>IF(ISBLANK(B42),0,IF(ISERROR(VALUE(B42)),VLOOKUP(B42,dagsoorttabel1,2,FALSE)*dagenperjaar1,VALUE(B42)))</f>
        <v>2</v>
      </c>
      <c r="D42" s="15" t="s">
        <v>171</v>
      </c>
      <c r="E42" s="15" t="s">
        <v>456</v>
      </c>
      <c r="F42" s="15" t="s">
        <v>329</v>
      </c>
      <c r="G42" s="80">
        <v>135</v>
      </c>
      <c r="H42" s="89">
        <f>Glas!G6</f>
        <v>0</v>
      </c>
      <c r="I42" s="81"/>
      <c r="J42" s="89">
        <f>Glas!I6</f>
        <v>0</v>
      </c>
      <c r="K42" s="34">
        <f>IF(ISBLANK(G42),0,G42)*J42</f>
        <v>0</v>
      </c>
      <c r="L42" s="34">
        <f>C42*K42</f>
        <v>0</v>
      </c>
      <c r="M42" s="34">
        <f>L42/12</f>
        <v>0</v>
      </c>
    </row>
    <row r="43" spans="1:13" x14ac:dyDescent="0.2">
      <c r="A43" s="20" t="s">
        <v>457</v>
      </c>
      <c r="B43" s="20" t="s">
        <v>28</v>
      </c>
      <c r="C43" s="21">
        <f>IF(ISBLANK(B43),0,IF(ISERROR(VALUE(B43)),VLOOKUP(B43,dagsoorttabel1,2,FALSE)*dagenperjaar1,VALUE(B43)))</f>
        <v>2</v>
      </c>
      <c r="D43" s="20" t="s">
        <v>171</v>
      </c>
      <c r="E43" s="20" t="s">
        <v>458</v>
      </c>
      <c r="F43" s="20" t="s">
        <v>329</v>
      </c>
      <c r="G43" s="82">
        <v>135</v>
      </c>
      <c r="H43" s="90">
        <f>Glas!G7</f>
        <v>0</v>
      </c>
      <c r="I43" s="83"/>
      <c r="J43" s="90">
        <f>Glas!I7</f>
        <v>0</v>
      </c>
      <c r="K43" s="39">
        <f>IF(ISBLANK(G43),0,G43)*J43</f>
        <v>0</v>
      </c>
      <c r="L43" s="39">
        <f>C43*K43</f>
        <v>0</v>
      </c>
      <c r="M43" s="39">
        <f>L43/12</f>
        <v>0</v>
      </c>
    </row>
    <row r="44" spans="1:13" x14ac:dyDescent="0.2">
      <c r="A44" s="25" t="s">
        <v>459</v>
      </c>
      <c r="B44" s="25" t="s">
        <v>28</v>
      </c>
      <c r="C44" s="26">
        <f>IF(ISBLANK(B44),0,IF(ISERROR(VALUE(B44)),VLOOKUP(B44,dagsoorttabel1,2,FALSE)*dagenperjaar1,VALUE(B44)))</f>
        <v>2</v>
      </c>
      <c r="D44" s="25" t="s">
        <v>171</v>
      </c>
      <c r="E44" s="25" t="s">
        <v>460</v>
      </c>
      <c r="F44" s="25" t="s">
        <v>329</v>
      </c>
      <c r="G44" s="84">
        <v>92</v>
      </c>
      <c r="H44" s="91">
        <f>Glas!G8</f>
        <v>0</v>
      </c>
      <c r="I44" s="85"/>
      <c r="J44" s="91">
        <f>Glas!I8</f>
        <v>0</v>
      </c>
      <c r="K44" s="42">
        <f>IF(ISBLANK(G44),0,G44)*J44</f>
        <v>0</v>
      </c>
      <c r="L44" s="42">
        <f>C44*K44</f>
        <v>0</v>
      </c>
      <c r="M44" s="42">
        <f>L44/12</f>
        <v>0</v>
      </c>
    </row>
    <row r="45" spans="1:13" x14ac:dyDescent="0.2">
      <c r="A45" s="79" t="s">
        <v>283</v>
      </c>
      <c r="B45" s="44"/>
      <c r="C45" s="44"/>
      <c r="D45" s="44"/>
      <c r="E45" s="44"/>
      <c r="F45" s="44"/>
      <c r="G45" s="44"/>
      <c r="H45" s="44"/>
      <c r="I45" s="44"/>
      <c r="J45" s="44"/>
      <c r="K45" s="46">
        <f>SUM(K42:K44)</f>
        <v>0</v>
      </c>
      <c r="L45" s="46">
        <f>SUM(L42:L44)</f>
        <v>0</v>
      </c>
      <c r="M45" s="86">
        <f>L45/12</f>
        <v>0</v>
      </c>
    </row>
    <row r="47" spans="1:13" x14ac:dyDescent="0.2">
      <c r="A47" s="88" t="s">
        <v>284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87"/>
    </row>
    <row r="48" spans="1:13" x14ac:dyDescent="0.2">
      <c r="A48" s="15" t="s">
        <v>455</v>
      </c>
      <c r="B48" s="15" t="s">
        <v>28</v>
      </c>
      <c r="C48" s="16">
        <f>IF(ISBLANK(B48),0,IF(ISERROR(VALUE(B48)),VLOOKUP(B48,dagsoorttabel1,2,FALSE)*dagenperjaar1,VALUE(B48)))</f>
        <v>2</v>
      </c>
      <c r="D48" s="15" t="s">
        <v>171</v>
      </c>
      <c r="E48" s="15" t="s">
        <v>456</v>
      </c>
      <c r="F48" s="15" t="s">
        <v>329</v>
      </c>
      <c r="G48" s="80">
        <v>788</v>
      </c>
      <c r="H48" s="89">
        <f>Glas!G6</f>
        <v>0</v>
      </c>
      <c r="I48" s="81"/>
      <c r="J48" s="89">
        <f>Glas!I6</f>
        <v>0</v>
      </c>
      <c r="K48" s="34">
        <f>IF(ISBLANK(G48),0,G48)*J48</f>
        <v>0</v>
      </c>
      <c r="L48" s="34">
        <f>C48*K48</f>
        <v>0</v>
      </c>
      <c r="M48" s="34">
        <f>L48/12</f>
        <v>0</v>
      </c>
    </row>
    <row r="49" spans="1:13" x14ac:dyDescent="0.2">
      <c r="A49" s="20" t="s">
        <v>457</v>
      </c>
      <c r="B49" s="20" t="s">
        <v>28</v>
      </c>
      <c r="C49" s="21">
        <f>IF(ISBLANK(B49),0,IF(ISERROR(VALUE(B49)),VLOOKUP(B49,dagsoorttabel1,2,FALSE)*dagenperjaar1,VALUE(B49)))</f>
        <v>2</v>
      </c>
      <c r="D49" s="20" t="s">
        <v>171</v>
      </c>
      <c r="E49" s="20" t="s">
        <v>458</v>
      </c>
      <c r="F49" s="20" t="s">
        <v>329</v>
      </c>
      <c r="G49" s="82">
        <v>788</v>
      </c>
      <c r="H49" s="90">
        <f>Glas!G7</f>
        <v>0</v>
      </c>
      <c r="I49" s="83"/>
      <c r="J49" s="90">
        <f>Glas!I7</f>
        <v>0</v>
      </c>
      <c r="K49" s="39">
        <f>IF(ISBLANK(G49),0,G49)*J49</f>
        <v>0</v>
      </c>
      <c r="L49" s="39">
        <f>C49*K49</f>
        <v>0</v>
      </c>
      <c r="M49" s="39">
        <f>L49/12</f>
        <v>0</v>
      </c>
    </row>
    <row r="50" spans="1:13" x14ac:dyDescent="0.2">
      <c r="A50" s="25" t="s">
        <v>459</v>
      </c>
      <c r="B50" s="25" t="s">
        <v>28</v>
      </c>
      <c r="C50" s="26">
        <f>IF(ISBLANK(B50),0,IF(ISERROR(VALUE(B50)),VLOOKUP(B50,dagsoorttabel1,2,FALSE)*dagenperjaar1,VALUE(B50)))</f>
        <v>2</v>
      </c>
      <c r="D50" s="25" t="s">
        <v>171</v>
      </c>
      <c r="E50" s="25" t="s">
        <v>460</v>
      </c>
      <c r="F50" s="25" t="s">
        <v>329</v>
      </c>
      <c r="G50" s="84">
        <v>186</v>
      </c>
      <c r="H50" s="91">
        <f>Glas!G8</f>
        <v>0</v>
      </c>
      <c r="I50" s="85"/>
      <c r="J50" s="91">
        <f>Glas!I8</f>
        <v>0</v>
      </c>
      <c r="K50" s="42">
        <f>IF(ISBLANK(G50),0,G50)*J50</f>
        <v>0</v>
      </c>
      <c r="L50" s="42">
        <f>C50*K50</f>
        <v>0</v>
      </c>
      <c r="M50" s="42">
        <f>L50/12</f>
        <v>0</v>
      </c>
    </row>
    <row r="51" spans="1:13" x14ac:dyDescent="0.2">
      <c r="A51" s="79" t="s">
        <v>285</v>
      </c>
      <c r="B51" s="44"/>
      <c r="C51" s="44"/>
      <c r="D51" s="44"/>
      <c r="E51" s="44"/>
      <c r="F51" s="44"/>
      <c r="G51" s="44"/>
      <c r="H51" s="44"/>
      <c r="I51" s="44"/>
      <c r="J51" s="44"/>
      <c r="K51" s="46">
        <f>SUM(K48:K50)</f>
        <v>0</v>
      </c>
      <c r="L51" s="46">
        <f>SUM(L48:L50)</f>
        <v>0</v>
      </c>
      <c r="M51" s="86">
        <f>L51/12</f>
        <v>0</v>
      </c>
    </row>
    <row r="53" spans="1:13" x14ac:dyDescent="0.2">
      <c r="A53" s="88" t="s">
        <v>286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87"/>
    </row>
    <row r="54" spans="1:13" x14ac:dyDescent="0.2">
      <c r="A54" s="15" t="s">
        <v>455</v>
      </c>
      <c r="B54" s="15" t="s">
        <v>28</v>
      </c>
      <c r="C54" s="16">
        <f>IF(ISBLANK(B54),0,IF(ISERROR(VALUE(B54)),VLOOKUP(B54,dagsoorttabel1,2,FALSE)*dagenperjaar1,VALUE(B54)))</f>
        <v>2</v>
      </c>
      <c r="D54" s="15" t="s">
        <v>171</v>
      </c>
      <c r="E54" s="15" t="s">
        <v>456</v>
      </c>
      <c r="F54" s="15" t="s">
        <v>329</v>
      </c>
      <c r="G54" s="80">
        <v>406</v>
      </c>
      <c r="H54" s="89">
        <f>Glas!G6</f>
        <v>0</v>
      </c>
      <c r="I54" s="81"/>
      <c r="J54" s="89">
        <f>Glas!I6</f>
        <v>0</v>
      </c>
      <c r="K54" s="34">
        <f>IF(ISBLANK(G54),0,G54)*J54</f>
        <v>0</v>
      </c>
      <c r="L54" s="34">
        <f>C54*K54</f>
        <v>0</v>
      </c>
      <c r="M54" s="34">
        <f>L54/12</f>
        <v>0</v>
      </c>
    </row>
    <row r="55" spans="1:13" x14ac:dyDescent="0.2">
      <c r="A55" s="20" t="s">
        <v>457</v>
      </c>
      <c r="B55" s="20" t="s">
        <v>28</v>
      </c>
      <c r="C55" s="21">
        <f>IF(ISBLANK(B55),0,IF(ISERROR(VALUE(B55)),VLOOKUP(B55,dagsoorttabel1,2,FALSE)*dagenperjaar1,VALUE(B55)))</f>
        <v>2</v>
      </c>
      <c r="D55" s="20" t="s">
        <v>171</v>
      </c>
      <c r="E55" s="20" t="s">
        <v>458</v>
      </c>
      <c r="F55" s="20" t="s">
        <v>329</v>
      </c>
      <c r="G55" s="82">
        <v>406</v>
      </c>
      <c r="H55" s="90">
        <f>Glas!G7</f>
        <v>0</v>
      </c>
      <c r="I55" s="83"/>
      <c r="J55" s="90">
        <f>Glas!I7</f>
        <v>0</v>
      </c>
      <c r="K55" s="39">
        <f>IF(ISBLANK(G55),0,G55)*J55</f>
        <v>0</v>
      </c>
      <c r="L55" s="39">
        <f>C55*K55</f>
        <v>0</v>
      </c>
      <c r="M55" s="39">
        <f>L55/12</f>
        <v>0</v>
      </c>
    </row>
    <row r="56" spans="1:13" x14ac:dyDescent="0.2">
      <c r="A56" s="25" t="s">
        <v>459</v>
      </c>
      <c r="B56" s="25" t="s">
        <v>28</v>
      </c>
      <c r="C56" s="26">
        <f>IF(ISBLANK(B56),0,IF(ISERROR(VALUE(B56)),VLOOKUP(B56,dagsoorttabel1,2,FALSE)*dagenperjaar1,VALUE(B56)))</f>
        <v>2</v>
      </c>
      <c r="D56" s="25" t="s">
        <v>171</v>
      </c>
      <c r="E56" s="25" t="s">
        <v>460</v>
      </c>
      <c r="F56" s="25" t="s">
        <v>329</v>
      </c>
      <c r="G56" s="84">
        <v>50</v>
      </c>
      <c r="H56" s="91">
        <f>Glas!G8</f>
        <v>0</v>
      </c>
      <c r="I56" s="85"/>
      <c r="J56" s="91">
        <f>Glas!I8</f>
        <v>0</v>
      </c>
      <c r="K56" s="42">
        <f>IF(ISBLANK(G56),0,G56)*J56</f>
        <v>0</v>
      </c>
      <c r="L56" s="42">
        <f>C56*K56</f>
        <v>0</v>
      </c>
      <c r="M56" s="42">
        <f>L56/12</f>
        <v>0</v>
      </c>
    </row>
    <row r="57" spans="1:13" x14ac:dyDescent="0.2">
      <c r="A57" s="79" t="s">
        <v>287</v>
      </c>
      <c r="B57" s="44"/>
      <c r="C57" s="44"/>
      <c r="D57" s="44"/>
      <c r="E57" s="44"/>
      <c r="F57" s="44"/>
      <c r="G57" s="44"/>
      <c r="H57" s="44"/>
      <c r="I57" s="44"/>
      <c r="J57" s="44"/>
      <c r="K57" s="46">
        <f>SUM(K54:K56)</f>
        <v>0</v>
      </c>
      <c r="L57" s="46">
        <f>SUM(L54:L56)</f>
        <v>0</v>
      </c>
      <c r="M57" s="86">
        <f>L57/12</f>
        <v>0</v>
      </c>
    </row>
    <row r="59" spans="1:13" x14ac:dyDescent="0.2">
      <c r="A59" s="88" t="s">
        <v>288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87"/>
    </row>
    <row r="60" spans="1:13" x14ac:dyDescent="0.2">
      <c r="A60" s="15" t="s">
        <v>455</v>
      </c>
      <c r="B60" s="15" t="s">
        <v>28</v>
      </c>
      <c r="C60" s="16">
        <f>IF(ISBLANK(B60),0,IF(ISERROR(VALUE(B60)),VLOOKUP(B60,dagsoorttabel1,2,FALSE)*dagenperjaar1,VALUE(B60)))</f>
        <v>2</v>
      </c>
      <c r="D60" s="15" t="s">
        <v>171</v>
      </c>
      <c r="E60" s="15" t="s">
        <v>456</v>
      </c>
      <c r="F60" s="15" t="s">
        <v>329</v>
      </c>
      <c r="G60" s="80">
        <v>155</v>
      </c>
      <c r="H60" s="89">
        <f>Glas!G6</f>
        <v>0</v>
      </c>
      <c r="I60" s="81"/>
      <c r="J60" s="89">
        <f>Glas!I6</f>
        <v>0</v>
      </c>
      <c r="K60" s="34">
        <f>IF(ISBLANK(G60),0,G60)*J60</f>
        <v>0</v>
      </c>
      <c r="L60" s="34">
        <f>C60*K60</f>
        <v>0</v>
      </c>
      <c r="M60" s="34">
        <f>L60/12</f>
        <v>0</v>
      </c>
    </row>
    <row r="61" spans="1:13" x14ac:dyDescent="0.2">
      <c r="A61" s="20" t="s">
        <v>457</v>
      </c>
      <c r="B61" s="20" t="s">
        <v>28</v>
      </c>
      <c r="C61" s="21">
        <f>IF(ISBLANK(B61),0,IF(ISERROR(VALUE(B61)),VLOOKUP(B61,dagsoorttabel1,2,FALSE)*dagenperjaar1,VALUE(B61)))</f>
        <v>2</v>
      </c>
      <c r="D61" s="20" t="s">
        <v>171</v>
      </c>
      <c r="E61" s="20" t="s">
        <v>458</v>
      </c>
      <c r="F61" s="20" t="s">
        <v>329</v>
      </c>
      <c r="G61" s="82">
        <v>155</v>
      </c>
      <c r="H61" s="90">
        <f>Glas!G7</f>
        <v>0</v>
      </c>
      <c r="I61" s="83"/>
      <c r="J61" s="90">
        <f>Glas!I7</f>
        <v>0</v>
      </c>
      <c r="K61" s="39">
        <f>IF(ISBLANK(G61),0,G61)*J61</f>
        <v>0</v>
      </c>
      <c r="L61" s="39">
        <f>C61*K61</f>
        <v>0</v>
      </c>
      <c r="M61" s="39">
        <f>L61/12</f>
        <v>0</v>
      </c>
    </row>
    <row r="62" spans="1:13" x14ac:dyDescent="0.2">
      <c r="A62" s="25" t="s">
        <v>459</v>
      </c>
      <c r="B62" s="25" t="s">
        <v>28</v>
      </c>
      <c r="C62" s="26">
        <f>IF(ISBLANK(B62),0,IF(ISERROR(VALUE(B62)),VLOOKUP(B62,dagsoorttabel1,2,FALSE)*dagenperjaar1,VALUE(B62)))</f>
        <v>2</v>
      </c>
      <c r="D62" s="25" t="s">
        <v>171</v>
      </c>
      <c r="E62" s="25" t="s">
        <v>460</v>
      </c>
      <c r="F62" s="25" t="s">
        <v>329</v>
      </c>
      <c r="G62" s="84">
        <v>210</v>
      </c>
      <c r="H62" s="91">
        <f>Glas!G8</f>
        <v>0</v>
      </c>
      <c r="I62" s="85"/>
      <c r="J62" s="91">
        <f>Glas!I8</f>
        <v>0</v>
      </c>
      <c r="K62" s="42">
        <f>IF(ISBLANK(G62),0,G62)*J62</f>
        <v>0</v>
      </c>
      <c r="L62" s="42">
        <f>C62*K62</f>
        <v>0</v>
      </c>
      <c r="M62" s="42">
        <f>L62/12</f>
        <v>0</v>
      </c>
    </row>
    <row r="63" spans="1:13" x14ac:dyDescent="0.2">
      <c r="A63" s="79" t="s">
        <v>289</v>
      </c>
      <c r="B63" s="44"/>
      <c r="C63" s="44"/>
      <c r="D63" s="44"/>
      <c r="E63" s="44"/>
      <c r="F63" s="44"/>
      <c r="G63" s="44"/>
      <c r="H63" s="44"/>
      <c r="I63" s="44"/>
      <c r="J63" s="44"/>
      <c r="K63" s="46">
        <f>SUM(K60:K62)</f>
        <v>0</v>
      </c>
      <c r="L63" s="46">
        <f>SUM(L60:L62)</f>
        <v>0</v>
      </c>
      <c r="M63" s="86">
        <f>L63/12</f>
        <v>0</v>
      </c>
    </row>
    <row r="65" spans="1:13" x14ac:dyDescent="0.2">
      <c r="A65" s="88" t="s">
        <v>290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87"/>
    </row>
    <row r="66" spans="1:13" x14ac:dyDescent="0.2">
      <c r="A66" s="15" t="s">
        <v>455</v>
      </c>
      <c r="B66" s="15" t="s">
        <v>28</v>
      </c>
      <c r="C66" s="16">
        <f>IF(ISBLANK(B66),0,IF(ISERROR(VALUE(B66)),VLOOKUP(B66,dagsoorttabel1,2,FALSE)*dagenperjaar1,VALUE(B66)))</f>
        <v>2</v>
      </c>
      <c r="D66" s="15" t="s">
        <v>171</v>
      </c>
      <c r="E66" s="15" t="s">
        <v>456</v>
      </c>
      <c r="F66" s="15" t="s">
        <v>329</v>
      </c>
      <c r="G66" s="80">
        <v>896</v>
      </c>
      <c r="H66" s="89">
        <f>Glas!G6</f>
        <v>0</v>
      </c>
      <c r="I66" s="81"/>
      <c r="J66" s="89">
        <f>Glas!I6</f>
        <v>0</v>
      </c>
      <c r="K66" s="34">
        <f>IF(ISBLANK(G66),0,G66)*J66</f>
        <v>0</v>
      </c>
      <c r="L66" s="34">
        <f>C66*K66</f>
        <v>0</v>
      </c>
      <c r="M66" s="34">
        <f>L66/12</f>
        <v>0</v>
      </c>
    </row>
    <row r="67" spans="1:13" x14ac:dyDescent="0.2">
      <c r="A67" s="20" t="s">
        <v>457</v>
      </c>
      <c r="B67" s="20" t="s">
        <v>28</v>
      </c>
      <c r="C67" s="21">
        <f>IF(ISBLANK(B67),0,IF(ISERROR(VALUE(B67)),VLOOKUP(B67,dagsoorttabel1,2,FALSE)*dagenperjaar1,VALUE(B67)))</f>
        <v>2</v>
      </c>
      <c r="D67" s="20" t="s">
        <v>171</v>
      </c>
      <c r="E67" s="20" t="s">
        <v>458</v>
      </c>
      <c r="F67" s="20" t="s">
        <v>329</v>
      </c>
      <c r="G67" s="82">
        <v>896</v>
      </c>
      <c r="H67" s="90">
        <f>Glas!G7</f>
        <v>0</v>
      </c>
      <c r="I67" s="83"/>
      <c r="J67" s="90">
        <f>Glas!I7</f>
        <v>0</v>
      </c>
      <c r="K67" s="39">
        <f>IF(ISBLANK(G67),0,G67)*J67</f>
        <v>0</v>
      </c>
      <c r="L67" s="39">
        <f>C67*K67</f>
        <v>0</v>
      </c>
      <c r="M67" s="39">
        <f>L67/12</f>
        <v>0</v>
      </c>
    </row>
    <row r="68" spans="1:13" x14ac:dyDescent="0.2">
      <c r="A68" s="25" t="s">
        <v>459</v>
      </c>
      <c r="B68" s="25" t="s">
        <v>28</v>
      </c>
      <c r="C68" s="26">
        <f>IF(ISBLANK(B68),0,IF(ISERROR(VALUE(B68)),VLOOKUP(B68,dagsoorttabel1,2,FALSE)*dagenperjaar1,VALUE(B68)))</f>
        <v>2</v>
      </c>
      <c r="D68" s="25" t="s">
        <v>171</v>
      </c>
      <c r="E68" s="25" t="s">
        <v>460</v>
      </c>
      <c r="F68" s="25" t="s">
        <v>329</v>
      </c>
      <c r="G68" s="84">
        <v>142</v>
      </c>
      <c r="H68" s="91">
        <f>Glas!G8</f>
        <v>0</v>
      </c>
      <c r="I68" s="85"/>
      <c r="J68" s="91">
        <f>Glas!I8</f>
        <v>0</v>
      </c>
      <c r="K68" s="42">
        <f>IF(ISBLANK(G68),0,G68)*J68</f>
        <v>0</v>
      </c>
      <c r="L68" s="42">
        <f>C68*K68</f>
        <v>0</v>
      </c>
      <c r="M68" s="42">
        <f>L68/12</f>
        <v>0</v>
      </c>
    </row>
    <row r="69" spans="1:13" x14ac:dyDescent="0.2">
      <c r="A69" s="79" t="s">
        <v>291</v>
      </c>
      <c r="B69" s="44"/>
      <c r="C69" s="44"/>
      <c r="D69" s="44"/>
      <c r="E69" s="44"/>
      <c r="F69" s="44"/>
      <c r="G69" s="44"/>
      <c r="H69" s="44"/>
      <c r="I69" s="44"/>
      <c r="J69" s="44"/>
      <c r="K69" s="46">
        <f>SUM(K66:K68)</f>
        <v>0</v>
      </c>
      <c r="L69" s="46">
        <f>SUM(L66:L68)</f>
        <v>0</v>
      </c>
      <c r="M69" s="86">
        <f>L69/12</f>
        <v>0</v>
      </c>
    </row>
    <row r="71" spans="1:13" x14ac:dyDescent="0.2">
      <c r="A71" s="88" t="s">
        <v>292</v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87"/>
    </row>
    <row r="72" spans="1:13" x14ac:dyDescent="0.2">
      <c r="A72" s="15" t="s">
        <v>455</v>
      </c>
      <c r="B72" s="15" t="s">
        <v>28</v>
      </c>
      <c r="C72" s="16">
        <f>IF(ISBLANK(B72),0,IF(ISERROR(VALUE(B72)),VLOOKUP(B72,dagsoorttabel1,2,FALSE)*dagenperjaar1,VALUE(B72)))</f>
        <v>2</v>
      </c>
      <c r="D72" s="15" t="s">
        <v>171</v>
      </c>
      <c r="E72" s="15" t="s">
        <v>456</v>
      </c>
      <c r="F72" s="15" t="s">
        <v>329</v>
      </c>
      <c r="G72" s="80">
        <v>388</v>
      </c>
      <c r="H72" s="89">
        <f>Glas!G6</f>
        <v>0</v>
      </c>
      <c r="I72" s="81"/>
      <c r="J72" s="89">
        <f>Glas!I6</f>
        <v>0</v>
      </c>
      <c r="K72" s="34">
        <f>IF(ISBLANK(G72),0,G72)*J72</f>
        <v>0</v>
      </c>
      <c r="L72" s="34">
        <f>C72*K72</f>
        <v>0</v>
      </c>
      <c r="M72" s="34">
        <f>L72/12</f>
        <v>0</v>
      </c>
    </row>
    <row r="73" spans="1:13" x14ac:dyDescent="0.2">
      <c r="A73" s="20" t="s">
        <v>457</v>
      </c>
      <c r="B73" s="20" t="s">
        <v>28</v>
      </c>
      <c r="C73" s="21">
        <f>IF(ISBLANK(B73),0,IF(ISERROR(VALUE(B73)),VLOOKUP(B73,dagsoorttabel1,2,FALSE)*dagenperjaar1,VALUE(B73)))</f>
        <v>2</v>
      </c>
      <c r="D73" s="20" t="s">
        <v>171</v>
      </c>
      <c r="E73" s="20" t="s">
        <v>458</v>
      </c>
      <c r="F73" s="20" t="s">
        <v>329</v>
      </c>
      <c r="G73" s="82">
        <v>388</v>
      </c>
      <c r="H73" s="90">
        <f>Glas!G7</f>
        <v>0</v>
      </c>
      <c r="I73" s="83"/>
      <c r="J73" s="90">
        <f>Glas!I7</f>
        <v>0</v>
      </c>
      <c r="K73" s="39">
        <f>IF(ISBLANK(G73),0,G73)*J73</f>
        <v>0</v>
      </c>
      <c r="L73" s="39">
        <f>C73*K73</f>
        <v>0</v>
      </c>
      <c r="M73" s="39">
        <f>L73/12</f>
        <v>0</v>
      </c>
    </row>
    <row r="74" spans="1:13" x14ac:dyDescent="0.2">
      <c r="A74" s="25" t="s">
        <v>459</v>
      </c>
      <c r="B74" s="25" t="s">
        <v>28</v>
      </c>
      <c r="C74" s="26">
        <f>IF(ISBLANK(B74),0,IF(ISERROR(VALUE(B74)),VLOOKUP(B74,dagsoorttabel1,2,FALSE)*dagenperjaar1,VALUE(B74)))</f>
        <v>2</v>
      </c>
      <c r="D74" s="25" t="s">
        <v>171</v>
      </c>
      <c r="E74" s="25" t="s">
        <v>460</v>
      </c>
      <c r="F74" s="25" t="s">
        <v>329</v>
      </c>
      <c r="G74" s="84">
        <v>172</v>
      </c>
      <c r="H74" s="91">
        <f>Glas!G8</f>
        <v>0</v>
      </c>
      <c r="I74" s="85"/>
      <c r="J74" s="91">
        <f>Glas!I8</f>
        <v>0</v>
      </c>
      <c r="K74" s="42">
        <f>IF(ISBLANK(G74),0,G74)*J74</f>
        <v>0</v>
      </c>
      <c r="L74" s="42">
        <f>C74*K74</f>
        <v>0</v>
      </c>
      <c r="M74" s="42">
        <f>L74/12</f>
        <v>0</v>
      </c>
    </row>
    <row r="75" spans="1:13" x14ac:dyDescent="0.2">
      <c r="A75" s="79" t="s">
        <v>293</v>
      </c>
      <c r="B75" s="44"/>
      <c r="C75" s="44"/>
      <c r="D75" s="44"/>
      <c r="E75" s="44"/>
      <c r="F75" s="44"/>
      <c r="G75" s="44"/>
      <c r="H75" s="44"/>
      <c r="I75" s="44"/>
      <c r="J75" s="44"/>
      <c r="K75" s="46">
        <f>SUM(K72:K74)</f>
        <v>0</v>
      </c>
      <c r="L75" s="46">
        <f>SUM(L72:L74)</f>
        <v>0</v>
      </c>
      <c r="M75" s="86">
        <f>L75/12</f>
        <v>0</v>
      </c>
    </row>
    <row r="77" spans="1:13" x14ac:dyDescent="0.2">
      <c r="A77" s="88" t="s">
        <v>294</v>
      </c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87"/>
    </row>
    <row r="78" spans="1:13" x14ac:dyDescent="0.2">
      <c r="A78" s="15" t="s">
        <v>455</v>
      </c>
      <c r="B78" s="15" t="s">
        <v>28</v>
      </c>
      <c r="C78" s="16">
        <f>IF(ISBLANK(B78),0,IF(ISERROR(VALUE(B78)),VLOOKUP(B78,dagsoorttabel1,2,FALSE)*dagenperjaar1,VALUE(B78)))</f>
        <v>2</v>
      </c>
      <c r="D78" s="15" t="s">
        <v>171</v>
      </c>
      <c r="E78" s="15" t="s">
        <v>456</v>
      </c>
      <c r="F78" s="15" t="s">
        <v>329</v>
      </c>
      <c r="G78" s="80">
        <v>365</v>
      </c>
      <c r="H78" s="89">
        <f>Glas!G6</f>
        <v>0</v>
      </c>
      <c r="I78" s="81"/>
      <c r="J78" s="89">
        <f>Glas!I6</f>
        <v>0</v>
      </c>
      <c r="K78" s="34">
        <f>IF(ISBLANK(G78),0,G78)*J78</f>
        <v>0</v>
      </c>
      <c r="L78" s="34">
        <f>C78*K78</f>
        <v>0</v>
      </c>
      <c r="M78" s="34">
        <f>L78/12</f>
        <v>0</v>
      </c>
    </row>
    <row r="79" spans="1:13" x14ac:dyDescent="0.2">
      <c r="A79" s="20" t="s">
        <v>457</v>
      </c>
      <c r="B79" s="20" t="s">
        <v>28</v>
      </c>
      <c r="C79" s="21">
        <f>IF(ISBLANK(B79),0,IF(ISERROR(VALUE(B79)),VLOOKUP(B79,dagsoorttabel1,2,FALSE)*dagenperjaar1,VALUE(B79)))</f>
        <v>2</v>
      </c>
      <c r="D79" s="20" t="s">
        <v>171</v>
      </c>
      <c r="E79" s="20" t="s">
        <v>458</v>
      </c>
      <c r="F79" s="20" t="s">
        <v>329</v>
      </c>
      <c r="G79" s="82">
        <v>365</v>
      </c>
      <c r="H79" s="90">
        <f>Glas!G7</f>
        <v>0</v>
      </c>
      <c r="I79" s="83"/>
      <c r="J79" s="90">
        <f>Glas!I7</f>
        <v>0</v>
      </c>
      <c r="K79" s="39">
        <f>IF(ISBLANK(G79),0,G79)*J79</f>
        <v>0</v>
      </c>
      <c r="L79" s="39">
        <f>C79*K79</f>
        <v>0</v>
      </c>
      <c r="M79" s="39">
        <f>L79/12</f>
        <v>0</v>
      </c>
    </row>
    <row r="80" spans="1:13" x14ac:dyDescent="0.2">
      <c r="A80" s="25" t="s">
        <v>459</v>
      </c>
      <c r="B80" s="25" t="s">
        <v>28</v>
      </c>
      <c r="C80" s="26">
        <f>IF(ISBLANK(B80),0,IF(ISERROR(VALUE(B80)),VLOOKUP(B80,dagsoorttabel1,2,FALSE)*dagenperjaar1,VALUE(B80)))</f>
        <v>2</v>
      </c>
      <c r="D80" s="25" t="s">
        <v>171</v>
      </c>
      <c r="E80" s="25" t="s">
        <v>460</v>
      </c>
      <c r="F80" s="25" t="s">
        <v>329</v>
      </c>
      <c r="G80" s="84">
        <v>88</v>
      </c>
      <c r="H80" s="91">
        <f>Glas!G8</f>
        <v>0</v>
      </c>
      <c r="I80" s="85"/>
      <c r="J80" s="91">
        <f>Glas!I8</f>
        <v>0</v>
      </c>
      <c r="K80" s="42">
        <f>IF(ISBLANK(G80),0,G80)*J80</f>
        <v>0</v>
      </c>
      <c r="L80" s="42">
        <f>C80*K80</f>
        <v>0</v>
      </c>
      <c r="M80" s="42">
        <f>L80/12</f>
        <v>0</v>
      </c>
    </row>
    <row r="81" spans="1:13" x14ac:dyDescent="0.2">
      <c r="A81" s="79" t="s">
        <v>295</v>
      </c>
      <c r="B81" s="44"/>
      <c r="C81" s="44"/>
      <c r="D81" s="44"/>
      <c r="E81" s="44"/>
      <c r="F81" s="44"/>
      <c r="G81" s="44"/>
      <c r="H81" s="44"/>
      <c r="I81" s="44"/>
      <c r="J81" s="44"/>
      <c r="K81" s="46">
        <f>SUM(K78:K80)</f>
        <v>0</v>
      </c>
      <c r="L81" s="46">
        <f>SUM(L78:L80)</f>
        <v>0</v>
      </c>
      <c r="M81" s="86">
        <f>L81/12</f>
        <v>0</v>
      </c>
    </row>
    <row r="83" spans="1:13" x14ac:dyDescent="0.2">
      <c r="A83" s="88" t="s">
        <v>296</v>
      </c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87"/>
    </row>
    <row r="84" spans="1:13" x14ac:dyDescent="0.2">
      <c r="A84" s="15" t="s">
        <v>455</v>
      </c>
      <c r="B84" s="15" t="s">
        <v>28</v>
      </c>
      <c r="C84" s="16">
        <f>IF(ISBLANK(B84),0,IF(ISERROR(VALUE(B84)),VLOOKUP(B84,dagsoorttabel1,2,FALSE)*dagenperjaar1,VALUE(B84)))</f>
        <v>2</v>
      </c>
      <c r="D84" s="15" t="s">
        <v>171</v>
      </c>
      <c r="E84" s="15" t="s">
        <v>456</v>
      </c>
      <c r="F84" s="15" t="s">
        <v>329</v>
      </c>
      <c r="G84" s="80">
        <v>325</v>
      </c>
      <c r="H84" s="89">
        <f>Glas!G6</f>
        <v>0</v>
      </c>
      <c r="I84" s="81"/>
      <c r="J84" s="89">
        <f>Glas!I6</f>
        <v>0</v>
      </c>
      <c r="K84" s="34">
        <f>IF(ISBLANK(G84),0,G84)*J84</f>
        <v>0</v>
      </c>
      <c r="L84" s="34">
        <f>C84*K84</f>
        <v>0</v>
      </c>
      <c r="M84" s="34">
        <f>L84/12</f>
        <v>0</v>
      </c>
    </row>
    <row r="85" spans="1:13" x14ac:dyDescent="0.2">
      <c r="A85" s="20" t="s">
        <v>457</v>
      </c>
      <c r="B85" s="20" t="s">
        <v>28</v>
      </c>
      <c r="C85" s="21">
        <f>IF(ISBLANK(B85),0,IF(ISERROR(VALUE(B85)),VLOOKUP(B85,dagsoorttabel1,2,FALSE)*dagenperjaar1,VALUE(B85)))</f>
        <v>2</v>
      </c>
      <c r="D85" s="20" t="s">
        <v>171</v>
      </c>
      <c r="E85" s="20" t="s">
        <v>458</v>
      </c>
      <c r="F85" s="20" t="s">
        <v>329</v>
      </c>
      <c r="G85" s="82">
        <v>325</v>
      </c>
      <c r="H85" s="90">
        <f>Glas!G7</f>
        <v>0</v>
      </c>
      <c r="I85" s="83"/>
      <c r="J85" s="90">
        <f>Glas!I7</f>
        <v>0</v>
      </c>
      <c r="K85" s="39">
        <f>IF(ISBLANK(G85),0,G85)*J85</f>
        <v>0</v>
      </c>
      <c r="L85" s="39">
        <f>C85*K85</f>
        <v>0</v>
      </c>
      <c r="M85" s="39">
        <f>L85/12</f>
        <v>0</v>
      </c>
    </row>
    <row r="86" spans="1:13" x14ac:dyDescent="0.2">
      <c r="A86" s="25" t="s">
        <v>459</v>
      </c>
      <c r="B86" s="25" t="s">
        <v>28</v>
      </c>
      <c r="C86" s="26">
        <f>IF(ISBLANK(B86),0,IF(ISERROR(VALUE(B86)),VLOOKUP(B86,dagsoorttabel1,2,FALSE)*dagenperjaar1,VALUE(B86)))</f>
        <v>2</v>
      </c>
      <c r="D86" s="25" t="s">
        <v>171</v>
      </c>
      <c r="E86" s="25" t="s">
        <v>460</v>
      </c>
      <c r="F86" s="25" t="s">
        <v>329</v>
      </c>
      <c r="G86" s="84">
        <v>87</v>
      </c>
      <c r="H86" s="91">
        <f>Glas!G8</f>
        <v>0</v>
      </c>
      <c r="I86" s="85"/>
      <c r="J86" s="91">
        <f>Glas!I8</f>
        <v>0</v>
      </c>
      <c r="K86" s="42">
        <f>IF(ISBLANK(G86),0,G86)*J86</f>
        <v>0</v>
      </c>
      <c r="L86" s="42">
        <f>C86*K86</f>
        <v>0</v>
      </c>
      <c r="M86" s="42">
        <f>L86/12</f>
        <v>0</v>
      </c>
    </row>
    <row r="87" spans="1:13" x14ac:dyDescent="0.2">
      <c r="A87" s="79" t="s">
        <v>297</v>
      </c>
      <c r="B87" s="44"/>
      <c r="C87" s="44"/>
      <c r="D87" s="44"/>
      <c r="E87" s="44"/>
      <c r="F87" s="44"/>
      <c r="G87" s="44"/>
      <c r="H87" s="44"/>
      <c r="I87" s="44"/>
      <c r="J87" s="44"/>
      <c r="K87" s="46">
        <f>SUM(K84:K86)</f>
        <v>0</v>
      </c>
      <c r="L87" s="46">
        <f>SUM(L84:L86)</f>
        <v>0</v>
      </c>
      <c r="M87" s="86">
        <f>L87/12</f>
        <v>0</v>
      </c>
    </row>
    <row r="89" spans="1:13" x14ac:dyDescent="0.2">
      <c r="A89" s="88" t="s">
        <v>298</v>
      </c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87"/>
    </row>
    <row r="90" spans="1:13" x14ac:dyDescent="0.2">
      <c r="A90" s="15" t="s">
        <v>455</v>
      </c>
      <c r="B90" s="15" t="s">
        <v>28</v>
      </c>
      <c r="C90" s="16">
        <f>IF(ISBLANK(B90),0,IF(ISERROR(VALUE(B90)),VLOOKUP(B90,dagsoorttabel1,2,FALSE)*dagenperjaar1,VALUE(B90)))</f>
        <v>2</v>
      </c>
      <c r="D90" s="15" t="s">
        <v>171</v>
      </c>
      <c r="E90" s="15" t="s">
        <v>456</v>
      </c>
      <c r="F90" s="15" t="s">
        <v>329</v>
      </c>
      <c r="G90" s="80">
        <v>370</v>
      </c>
      <c r="H90" s="89">
        <f>Glas!G6</f>
        <v>0</v>
      </c>
      <c r="I90" s="81"/>
      <c r="J90" s="89">
        <f>Glas!I6</f>
        <v>0</v>
      </c>
      <c r="K90" s="34">
        <f>IF(ISBLANK(G90),0,G90)*J90</f>
        <v>0</v>
      </c>
      <c r="L90" s="34">
        <f>C90*K90</f>
        <v>0</v>
      </c>
      <c r="M90" s="34">
        <f>L90/12</f>
        <v>0</v>
      </c>
    </row>
    <row r="91" spans="1:13" x14ac:dyDescent="0.2">
      <c r="A91" s="20" t="s">
        <v>457</v>
      </c>
      <c r="B91" s="20" t="s">
        <v>28</v>
      </c>
      <c r="C91" s="21">
        <f>IF(ISBLANK(B91),0,IF(ISERROR(VALUE(B91)),VLOOKUP(B91,dagsoorttabel1,2,FALSE)*dagenperjaar1,VALUE(B91)))</f>
        <v>2</v>
      </c>
      <c r="D91" s="20" t="s">
        <v>171</v>
      </c>
      <c r="E91" s="20" t="s">
        <v>458</v>
      </c>
      <c r="F91" s="20" t="s">
        <v>329</v>
      </c>
      <c r="G91" s="82">
        <v>379</v>
      </c>
      <c r="H91" s="90">
        <f>Glas!G7</f>
        <v>0</v>
      </c>
      <c r="I91" s="83"/>
      <c r="J91" s="90">
        <f>Glas!I7</f>
        <v>0</v>
      </c>
      <c r="K91" s="39">
        <f>IF(ISBLANK(G91),0,G91)*J91</f>
        <v>0</v>
      </c>
      <c r="L91" s="39">
        <f>C91*K91</f>
        <v>0</v>
      </c>
      <c r="M91" s="39">
        <f>L91/12</f>
        <v>0</v>
      </c>
    </row>
    <row r="92" spans="1:13" x14ac:dyDescent="0.2">
      <c r="A92" s="25" t="s">
        <v>459</v>
      </c>
      <c r="B92" s="25" t="s">
        <v>28</v>
      </c>
      <c r="C92" s="26">
        <f>IF(ISBLANK(B92),0,IF(ISERROR(VALUE(B92)),VLOOKUP(B92,dagsoorttabel1,2,FALSE)*dagenperjaar1,VALUE(B92)))</f>
        <v>2</v>
      </c>
      <c r="D92" s="25" t="s">
        <v>171</v>
      </c>
      <c r="E92" s="25" t="s">
        <v>460</v>
      </c>
      <c r="F92" s="25" t="s">
        <v>329</v>
      </c>
      <c r="G92" s="84">
        <v>110</v>
      </c>
      <c r="H92" s="91">
        <f>Glas!G8</f>
        <v>0</v>
      </c>
      <c r="I92" s="85"/>
      <c r="J92" s="91">
        <f>Glas!I8</f>
        <v>0</v>
      </c>
      <c r="K92" s="42">
        <f>IF(ISBLANK(G92),0,G92)*J92</f>
        <v>0</v>
      </c>
      <c r="L92" s="42">
        <f>C92*K92</f>
        <v>0</v>
      </c>
      <c r="M92" s="42">
        <f>L92/12</f>
        <v>0</v>
      </c>
    </row>
    <row r="93" spans="1:13" x14ac:dyDescent="0.2">
      <c r="A93" s="79" t="s">
        <v>299</v>
      </c>
      <c r="B93" s="44"/>
      <c r="C93" s="44"/>
      <c r="D93" s="44"/>
      <c r="E93" s="44"/>
      <c r="F93" s="44"/>
      <c r="G93" s="44"/>
      <c r="H93" s="44"/>
      <c r="I93" s="44"/>
      <c r="J93" s="44"/>
      <c r="K93" s="46">
        <f>SUM(K90:K92)</f>
        <v>0</v>
      </c>
      <c r="L93" s="46">
        <f>SUM(L90:L92)</f>
        <v>0</v>
      </c>
      <c r="M93" s="86">
        <f>L93/12</f>
        <v>0</v>
      </c>
    </row>
    <row r="95" spans="1:13" x14ac:dyDescent="0.2">
      <c r="A95" s="88" t="s">
        <v>300</v>
      </c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87"/>
    </row>
    <row r="96" spans="1:13" x14ac:dyDescent="0.2">
      <c r="A96" s="15" t="s">
        <v>455</v>
      </c>
      <c r="B96" s="15" t="s">
        <v>28</v>
      </c>
      <c r="C96" s="16">
        <f>IF(ISBLANK(B96),0,IF(ISERROR(VALUE(B96)),VLOOKUP(B96,dagsoorttabel1,2,FALSE)*dagenperjaar1,VALUE(B96)))</f>
        <v>2</v>
      </c>
      <c r="D96" s="15" t="s">
        <v>171</v>
      </c>
      <c r="E96" s="15" t="s">
        <v>456</v>
      </c>
      <c r="F96" s="15" t="s">
        <v>329</v>
      </c>
      <c r="G96" s="80">
        <v>492</v>
      </c>
      <c r="H96" s="89">
        <f>Glas!G6</f>
        <v>0</v>
      </c>
      <c r="I96" s="81"/>
      <c r="J96" s="89">
        <f>Glas!I6</f>
        <v>0</v>
      </c>
      <c r="K96" s="34">
        <f>IF(ISBLANK(G96),0,G96)*J96</f>
        <v>0</v>
      </c>
      <c r="L96" s="34">
        <f>C96*K96</f>
        <v>0</v>
      </c>
      <c r="M96" s="34">
        <f>L96/12</f>
        <v>0</v>
      </c>
    </row>
    <row r="97" spans="1:13" x14ac:dyDescent="0.2">
      <c r="A97" s="20" t="s">
        <v>457</v>
      </c>
      <c r="B97" s="20" t="s">
        <v>28</v>
      </c>
      <c r="C97" s="21">
        <f>IF(ISBLANK(B97),0,IF(ISERROR(VALUE(B97)),VLOOKUP(B97,dagsoorttabel1,2,FALSE)*dagenperjaar1,VALUE(B97)))</f>
        <v>2</v>
      </c>
      <c r="D97" s="20" t="s">
        <v>171</v>
      </c>
      <c r="E97" s="20" t="s">
        <v>458</v>
      </c>
      <c r="F97" s="20" t="s">
        <v>329</v>
      </c>
      <c r="G97" s="82">
        <v>492</v>
      </c>
      <c r="H97" s="90">
        <f>Glas!G7</f>
        <v>0</v>
      </c>
      <c r="I97" s="83"/>
      <c r="J97" s="90">
        <f>Glas!I7</f>
        <v>0</v>
      </c>
      <c r="K97" s="39">
        <f>IF(ISBLANK(G97),0,G97)*J97</f>
        <v>0</v>
      </c>
      <c r="L97" s="39">
        <f>C97*K97</f>
        <v>0</v>
      </c>
      <c r="M97" s="39">
        <f>L97/12</f>
        <v>0</v>
      </c>
    </row>
    <row r="98" spans="1:13" x14ac:dyDescent="0.2">
      <c r="A98" s="25" t="s">
        <v>459</v>
      </c>
      <c r="B98" s="25" t="s">
        <v>28</v>
      </c>
      <c r="C98" s="26">
        <f>IF(ISBLANK(B98),0,IF(ISERROR(VALUE(B98)),VLOOKUP(B98,dagsoorttabel1,2,FALSE)*dagenperjaar1,VALUE(B98)))</f>
        <v>2</v>
      </c>
      <c r="D98" s="25" t="s">
        <v>171</v>
      </c>
      <c r="E98" s="25" t="s">
        <v>460</v>
      </c>
      <c r="F98" s="25" t="s">
        <v>329</v>
      </c>
      <c r="G98" s="84">
        <v>152</v>
      </c>
      <c r="H98" s="91">
        <f>Glas!G8</f>
        <v>0</v>
      </c>
      <c r="I98" s="85"/>
      <c r="J98" s="91">
        <f>Glas!I8</f>
        <v>0</v>
      </c>
      <c r="K98" s="42">
        <f>IF(ISBLANK(G98),0,G98)*J98</f>
        <v>0</v>
      </c>
      <c r="L98" s="42">
        <f>C98*K98</f>
        <v>0</v>
      </c>
      <c r="M98" s="42">
        <f>L98/12</f>
        <v>0</v>
      </c>
    </row>
    <row r="99" spans="1:13" x14ac:dyDescent="0.2">
      <c r="A99" s="79" t="s">
        <v>301</v>
      </c>
      <c r="B99" s="44"/>
      <c r="C99" s="44"/>
      <c r="D99" s="44"/>
      <c r="E99" s="44"/>
      <c r="F99" s="44"/>
      <c r="G99" s="44"/>
      <c r="H99" s="44"/>
      <c r="I99" s="44"/>
      <c r="J99" s="44"/>
      <c r="K99" s="46">
        <f>SUM(K96:K98)</f>
        <v>0</v>
      </c>
      <c r="L99" s="46">
        <f>SUM(L96:L98)</f>
        <v>0</v>
      </c>
      <c r="M99" s="86">
        <f>L99/12</f>
        <v>0</v>
      </c>
    </row>
    <row r="101" spans="1:13" x14ac:dyDescent="0.2">
      <c r="A101" s="88" t="s">
        <v>302</v>
      </c>
      <c r="B101" s="44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87"/>
    </row>
    <row r="102" spans="1:13" x14ac:dyDescent="0.2">
      <c r="A102" s="15" t="s">
        <v>455</v>
      </c>
      <c r="B102" s="15" t="s">
        <v>28</v>
      </c>
      <c r="C102" s="16">
        <f>IF(ISBLANK(B102),0,IF(ISERROR(VALUE(B102)),VLOOKUP(B102,dagsoorttabel1,2,FALSE)*dagenperjaar1,VALUE(B102)))</f>
        <v>2</v>
      </c>
      <c r="D102" s="15" t="s">
        <v>171</v>
      </c>
      <c r="E102" s="15" t="s">
        <v>456</v>
      </c>
      <c r="F102" s="15" t="s">
        <v>329</v>
      </c>
      <c r="G102" s="80">
        <v>299</v>
      </c>
      <c r="H102" s="89">
        <f>Glas!G6</f>
        <v>0</v>
      </c>
      <c r="I102" s="81"/>
      <c r="J102" s="89">
        <f>Glas!I6</f>
        <v>0</v>
      </c>
      <c r="K102" s="34">
        <f>IF(ISBLANK(G102),0,G102)*J102</f>
        <v>0</v>
      </c>
      <c r="L102" s="34">
        <f>C102*K102</f>
        <v>0</v>
      </c>
      <c r="M102" s="34">
        <f>L102/12</f>
        <v>0</v>
      </c>
    </row>
    <row r="103" spans="1:13" x14ac:dyDescent="0.2">
      <c r="A103" s="20" t="s">
        <v>457</v>
      </c>
      <c r="B103" s="20" t="s">
        <v>28</v>
      </c>
      <c r="C103" s="21">
        <f>IF(ISBLANK(B103),0,IF(ISERROR(VALUE(B103)),VLOOKUP(B103,dagsoorttabel1,2,FALSE)*dagenperjaar1,VALUE(B103)))</f>
        <v>2</v>
      </c>
      <c r="D103" s="20" t="s">
        <v>171</v>
      </c>
      <c r="E103" s="20" t="s">
        <v>458</v>
      </c>
      <c r="F103" s="20" t="s">
        <v>329</v>
      </c>
      <c r="G103" s="82">
        <v>299</v>
      </c>
      <c r="H103" s="90">
        <f>Glas!G7</f>
        <v>0</v>
      </c>
      <c r="I103" s="83"/>
      <c r="J103" s="90">
        <f>Glas!I7</f>
        <v>0</v>
      </c>
      <c r="K103" s="39">
        <f>IF(ISBLANK(G103),0,G103)*J103</f>
        <v>0</v>
      </c>
      <c r="L103" s="39">
        <f>C103*K103</f>
        <v>0</v>
      </c>
      <c r="M103" s="39">
        <f>L103/12</f>
        <v>0</v>
      </c>
    </row>
    <row r="104" spans="1:13" x14ac:dyDescent="0.2">
      <c r="A104" s="25" t="s">
        <v>459</v>
      </c>
      <c r="B104" s="25" t="s">
        <v>28</v>
      </c>
      <c r="C104" s="26">
        <f>IF(ISBLANK(B104),0,IF(ISERROR(VALUE(B104)),VLOOKUP(B104,dagsoorttabel1,2,FALSE)*dagenperjaar1,VALUE(B104)))</f>
        <v>2</v>
      </c>
      <c r="D104" s="25" t="s">
        <v>171</v>
      </c>
      <c r="E104" s="25" t="s">
        <v>460</v>
      </c>
      <c r="F104" s="25" t="s">
        <v>329</v>
      </c>
      <c r="G104" s="84">
        <v>106</v>
      </c>
      <c r="H104" s="91">
        <f>Glas!G8</f>
        <v>0</v>
      </c>
      <c r="I104" s="85"/>
      <c r="J104" s="91">
        <f>Glas!I8</f>
        <v>0</v>
      </c>
      <c r="K104" s="42">
        <f>IF(ISBLANK(G104),0,G104)*J104</f>
        <v>0</v>
      </c>
      <c r="L104" s="42">
        <f>C104*K104</f>
        <v>0</v>
      </c>
      <c r="M104" s="42">
        <f>L104/12</f>
        <v>0</v>
      </c>
    </row>
    <row r="105" spans="1:13" x14ac:dyDescent="0.2">
      <c r="A105" s="79" t="s">
        <v>303</v>
      </c>
      <c r="B105" s="44"/>
      <c r="C105" s="44"/>
      <c r="D105" s="44"/>
      <c r="E105" s="44"/>
      <c r="F105" s="44"/>
      <c r="G105" s="44"/>
      <c r="H105" s="44"/>
      <c r="I105" s="44"/>
      <c r="J105" s="44"/>
      <c r="K105" s="46">
        <f>SUM(K102:K104)</f>
        <v>0</v>
      </c>
      <c r="L105" s="46">
        <f>SUM(L102:L104)</f>
        <v>0</v>
      </c>
      <c r="M105" s="86">
        <f>L105/12</f>
        <v>0</v>
      </c>
    </row>
    <row r="107" spans="1:13" x14ac:dyDescent="0.2">
      <c r="A107" s="88" t="s">
        <v>304</v>
      </c>
      <c r="B107" s="44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87"/>
    </row>
    <row r="108" spans="1:13" x14ac:dyDescent="0.2">
      <c r="A108" s="15" t="s">
        <v>455</v>
      </c>
      <c r="B108" s="15" t="s">
        <v>28</v>
      </c>
      <c r="C108" s="16">
        <f>IF(ISBLANK(B108),0,IF(ISERROR(VALUE(B108)),VLOOKUP(B108,dagsoorttabel1,2,FALSE)*dagenperjaar1,VALUE(B108)))</f>
        <v>2</v>
      </c>
      <c r="D108" s="15" t="s">
        <v>171</v>
      </c>
      <c r="E108" s="15" t="s">
        <v>456</v>
      </c>
      <c r="F108" s="15" t="s">
        <v>329</v>
      </c>
      <c r="G108" s="80">
        <v>90</v>
      </c>
      <c r="H108" s="89">
        <f>Glas!G6</f>
        <v>0</v>
      </c>
      <c r="I108" s="81"/>
      <c r="J108" s="89">
        <f>Glas!I6</f>
        <v>0</v>
      </c>
      <c r="K108" s="34">
        <f>IF(ISBLANK(G108),0,G108)*J108</f>
        <v>0</v>
      </c>
      <c r="L108" s="34">
        <f>C108*K108</f>
        <v>0</v>
      </c>
      <c r="M108" s="34">
        <f>L108/12</f>
        <v>0</v>
      </c>
    </row>
    <row r="109" spans="1:13" x14ac:dyDescent="0.2">
      <c r="A109" s="20" t="s">
        <v>457</v>
      </c>
      <c r="B109" s="20" t="s">
        <v>28</v>
      </c>
      <c r="C109" s="21">
        <f>IF(ISBLANK(B109),0,IF(ISERROR(VALUE(B109)),VLOOKUP(B109,dagsoorttabel1,2,FALSE)*dagenperjaar1,VALUE(B109)))</f>
        <v>2</v>
      </c>
      <c r="D109" s="20" t="s">
        <v>171</v>
      </c>
      <c r="E109" s="20" t="s">
        <v>458</v>
      </c>
      <c r="F109" s="20" t="s">
        <v>329</v>
      </c>
      <c r="G109" s="82">
        <v>90</v>
      </c>
      <c r="H109" s="90">
        <f>Glas!G7</f>
        <v>0</v>
      </c>
      <c r="I109" s="83"/>
      <c r="J109" s="90">
        <f>Glas!I7</f>
        <v>0</v>
      </c>
      <c r="K109" s="39">
        <f>IF(ISBLANK(G109),0,G109)*J109</f>
        <v>0</v>
      </c>
      <c r="L109" s="39">
        <f>C109*K109</f>
        <v>0</v>
      </c>
      <c r="M109" s="39">
        <f>L109/12</f>
        <v>0</v>
      </c>
    </row>
    <row r="110" spans="1:13" x14ac:dyDescent="0.2">
      <c r="A110" s="25" t="s">
        <v>459</v>
      </c>
      <c r="B110" s="25" t="s">
        <v>28</v>
      </c>
      <c r="C110" s="26">
        <f>IF(ISBLANK(B110),0,IF(ISERROR(VALUE(B110)),VLOOKUP(B110,dagsoorttabel1,2,FALSE)*dagenperjaar1,VALUE(B110)))</f>
        <v>2</v>
      </c>
      <c r="D110" s="25" t="s">
        <v>171</v>
      </c>
      <c r="E110" s="25" t="s">
        <v>460</v>
      </c>
      <c r="F110" s="25" t="s">
        <v>329</v>
      </c>
      <c r="G110" s="84">
        <v>110</v>
      </c>
      <c r="H110" s="91">
        <f>Glas!G8</f>
        <v>0</v>
      </c>
      <c r="I110" s="85"/>
      <c r="J110" s="91">
        <f>Glas!I8</f>
        <v>0</v>
      </c>
      <c r="K110" s="42">
        <f>IF(ISBLANK(G110),0,G110)*J110</f>
        <v>0</v>
      </c>
      <c r="L110" s="42">
        <f>C110*K110</f>
        <v>0</v>
      </c>
      <c r="M110" s="42">
        <f>L110/12</f>
        <v>0</v>
      </c>
    </row>
    <row r="111" spans="1:13" x14ac:dyDescent="0.2">
      <c r="A111" s="79" t="s">
        <v>305</v>
      </c>
      <c r="B111" s="44"/>
      <c r="C111" s="44"/>
      <c r="D111" s="44"/>
      <c r="E111" s="44"/>
      <c r="F111" s="44"/>
      <c r="G111" s="44"/>
      <c r="H111" s="44"/>
      <c r="I111" s="44"/>
      <c r="J111" s="44"/>
      <c r="K111" s="46">
        <f>SUM(K108:K110)</f>
        <v>0</v>
      </c>
      <c r="L111" s="46">
        <f>SUM(L108:L110)</f>
        <v>0</v>
      </c>
      <c r="M111" s="86">
        <f>L111/12</f>
        <v>0</v>
      </c>
    </row>
  </sheetData>
  <pageMargins left="0.7" right="0.7" top="0.75" bottom="0.75" header="0.3" footer="0.3"/>
  <pageSetup paperSize="9" scale="65" orientation="landscape" horizontalDpi="4294967295" verticalDpi="4294967295" r:id="rId1"/>
  <headerFooter>
    <oddFooter>&amp;LStichting Openbaar Onderwijs Oost Groningen EA              &amp;ROpmaakdatum: 17-08-2021
Intexso - De Start 5 - Leusden
+31 (33) 2778485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86E20-80BD-4DD4-A090-5BC254E5463B}">
  <dimension ref="A1:E11"/>
  <sheetViews>
    <sheetView workbookViewId="0"/>
  </sheetViews>
  <sheetFormatPr defaultRowHeight="12.75" x14ac:dyDescent="0.2"/>
  <cols>
    <col min="1" max="1" width="30.625" customWidth="1"/>
    <col min="2" max="5" width="20.625" customWidth="1"/>
  </cols>
  <sheetData>
    <row r="1" spans="1:5" x14ac:dyDescent="0.2">
      <c r="A1" s="1" t="str">
        <f>CONCATENATE("Bijlage H.10: ",tabeltype," totaalblad schoonmaakwerk")</f>
        <v>Bijlage H.10: Invultabel totaalblad schoonmaakwerk</v>
      </c>
    </row>
    <row r="3" spans="1:5" ht="25.5" x14ac:dyDescent="0.2">
      <c r="A3" s="8" t="s">
        <v>462</v>
      </c>
      <c r="B3" s="8" t="s">
        <v>463</v>
      </c>
      <c r="C3" s="8" t="s">
        <v>464</v>
      </c>
      <c r="D3" s="8" t="s">
        <v>465</v>
      </c>
      <c r="E3" s="8" t="s">
        <v>466</v>
      </c>
    </row>
    <row r="4" spans="1:5" x14ac:dyDescent="0.2">
      <c r="A4" s="92" t="s">
        <v>467</v>
      </c>
      <c r="B4" s="30">
        <f>urenjaartotaaloverzicht</f>
        <v>0</v>
      </c>
      <c r="C4" s="30">
        <f>urenjaartotaaloverzichthf</f>
        <v>0</v>
      </c>
      <c r="D4" s="69"/>
      <c r="E4" s="34">
        <f>prijsjaartotaaloverzicht</f>
        <v>0</v>
      </c>
    </row>
    <row r="5" spans="1:5" x14ac:dyDescent="0.2">
      <c r="A5" s="93" t="s">
        <v>468</v>
      </c>
      <c r="B5" s="73"/>
      <c r="C5" s="73"/>
      <c r="D5" s="35">
        <f>urenjaarnietmeewerkend</f>
        <v>0</v>
      </c>
      <c r="E5" s="39">
        <f>prijsjaarnietmeewerkend</f>
        <v>0</v>
      </c>
    </row>
    <row r="6" spans="1:5" ht="25.5" x14ac:dyDescent="0.2">
      <c r="A6" s="93" t="s">
        <v>469</v>
      </c>
      <c r="B6" s="73"/>
      <c r="C6" s="73"/>
      <c r="D6" s="73"/>
      <c r="E6" s="39">
        <f>prijsjaarafroep</f>
        <v>0</v>
      </c>
    </row>
    <row r="7" spans="1:5" x14ac:dyDescent="0.2">
      <c r="A7" s="94" t="s">
        <v>470</v>
      </c>
      <c r="B7" s="95"/>
      <c r="C7" s="95"/>
      <c r="D7" s="95"/>
      <c r="E7" s="42">
        <f>prijsjaarglas</f>
        <v>0</v>
      </c>
    </row>
    <row r="9" spans="1:5" x14ac:dyDescent="0.2">
      <c r="A9" s="8" t="s">
        <v>471</v>
      </c>
      <c r="B9" s="45">
        <f>SUM(B4:B7)</f>
        <v>0</v>
      </c>
      <c r="C9" s="45">
        <f>SUM(C4:C7)</f>
        <v>0</v>
      </c>
      <c r="D9" s="45">
        <f>SUM(D4:D7)</f>
        <v>0</v>
      </c>
      <c r="E9" s="46">
        <f>SUM(E4:E7)</f>
        <v>0</v>
      </c>
    </row>
    <row r="11" spans="1:5" x14ac:dyDescent="0.2">
      <c r="A11" s="8" t="s">
        <v>472</v>
      </c>
      <c r="B11" s="96">
        <f>IF(B9&gt;0,D9/B9,0)</f>
        <v>0</v>
      </c>
    </row>
  </sheetData>
  <pageMargins left="0.7" right="0.7" top="0.75" bottom="0.75" header="0.3" footer="0.3"/>
  <pageSetup paperSize="9" scale="70" orientation="landscape" horizontalDpi="4294967295" verticalDpi="4294967295" r:id="rId1"/>
  <headerFooter>
    <oddFooter>&amp;LStichting Openbaar Onderwijs Oost Groningen EA              &amp;ROpmaakdatum: 17-08-2021
Intexso - De Start 5 - Leusden
+31 (33) 2778485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AEC2E-8783-4DFD-A4B5-2D95C9AAF25A}">
  <dimension ref="A1:H38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4.625" customWidth="1"/>
    <col min="4" max="4" width="50.625" customWidth="1"/>
    <col min="5" max="6" width="11.625" customWidth="1"/>
    <col min="7" max="7" width="9.625" customWidth="1"/>
    <col min="8" max="8" width="11.625" customWidth="1"/>
  </cols>
  <sheetData>
    <row r="1" spans="1:8" x14ac:dyDescent="0.2">
      <c r="A1" s="1" t="str">
        <f>CONCATENATE("Bijlage H.1: ",tabeltype," categorienormen")</f>
        <v>Bijlage H.1: Invultabel categorienormen</v>
      </c>
    </row>
    <row r="3" spans="1:8" ht="38.25" x14ac:dyDescent="0.2">
      <c r="A3" s="8" t="s">
        <v>33</v>
      </c>
      <c r="B3" s="8" t="s">
        <v>34</v>
      </c>
      <c r="C3" s="8" t="s">
        <v>35</v>
      </c>
      <c r="D3" s="8" t="s">
        <v>36</v>
      </c>
      <c r="E3" s="8" t="s">
        <v>37</v>
      </c>
      <c r="F3" s="8" t="s">
        <v>38</v>
      </c>
      <c r="G3" s="8" t="s">
        <v>39</v>
      </c>
      <c r="H3" s="8" t="s">
        <v>40</v>
      </c>
    </row>
    <row r="4" spans="1:8" x14ac:dyDescent="0.2">
      <c r="A4" s="9"/>
      <c r="B4" s="10"/>
      <c r="C4" s="10"/>
      <c r="D4" s="10"/>
      <c r="E4" s="10"/>
      <c r="F4" s="10"/>
      <c r="G4" s="10"/>
      <c r="H4" s="11"/>
    </row>
    <row r="5" spans="1:8" x14ac:dyDescent="0.2">
      <c r="A5" s="12" t="s">
        <v>41</v>
      </c>
      <c r="B5" s="13"/>
      <c r="C5" s="13"/>
      <c r="D5" s="13"/>
      <c r="E5" s="13"/>
      <c r="F5" s="13"/>
      <c r="G5" s="13"/>
      <c r="H5" s="14"/>
    </row>
    <row r="6" spans="1:8" x14ac:dyDescent="0.2">
      <c r="A6" s="15" t="s">
        <v>42</v>
      </c>
      <c r="B6" s="16" t="s">
        <v>43</v>
      </c>
      <c r="C6" s="15">
        <v>1</v>
      </c>
      <c r="D6" s="15" t="s">
        <v>44</v>
      </c>
      <c r="E6" s="17"/>
      <c r="F6" s="18"/>
      <c r="G6" s="15" t="s">
        <v>45</v>
      </c>
      <c r="H6" s="19"/>
    </row>
    <row r="7" spans="1:8" x14ac:dyDescent="0.2">
      <c r="A7" s="20" t="s">
        <v>46</v>
      </c>
      <c r="B7" s="21" t="s">
        <v>43</v>
      </c>
      <c r="C7" s="20">
        <v>1</v>
      </c>
      <c r="D7" s="20" t="s">
        <v>47</v>
      </c>
      <c r="E7" s="22"/>
      <c r="F7" s="23"/>
      <c r="G7" s="20" t="s">
        <v>45</v>
      </c>
      <c r="H7" s="24"/>
    </row>
    <row r="8" spans="1:8" x14ac:dyDescent="0.2">
      <c r="A8" s="20" t="s">
        <v>48</v>
      </c>
      <c r="B8" s="21" t="s">
        <v>43</v>
      </c>
      <c r="C8" s="20">
        <v>40</v>
      </c>
      <c r="D8" s="20" t="s">
        <v>49</v>
      </c>
      <c r="E8" s="22"/>
      <c r="F8" s="23"/>
      <c r="G8" s="20" t="s">
        <v>45</v>
      </c>
      <c r="H8" s="24"/>
    </row>
    <row r="9" spans="1:8" x14ac:dyDescent="0.2">
      <c r="A9" s="20" t="s">
        <v>50</v>
      </c>
      <c r="B9" s="21" t="s">
        <v>43</v>
      </c>
      <c r="C9" s="20">
        <v>40</v>
      </c>
      <c r="D9" s="20" t="s">
        <v>51</v>
      </c>
      <c r="E9" s="22"/>
      <c r="F9" s="23"/>
      <c r="G9" s="20" t="s">
        <v>45</v>
      </c>
      <c r="H9" s="24"/>
    </row>
    <row r="10" spans="1:8" x14ac:dyDescent="0.2">
      <c r="A10" s="20" t="s">
        <v>52</v>
      </c>
      <c r="B10" s="21" t="s">
        <v>43</v>
      </c>
      <c r="C10" s="20">
        <v>1</v>
      </c>
      <c r="D10" s="20" t="s">
        <v>53</v>
      </c>
      <c r="E10" s="22"/>
      <c r="F10" s="23"/>
      <c r="G10" s="20" t="s">
        <v>45</v>
      </c>
      <c r="H10" s="24"/>
    </row>
    <row r="11" spans="1:8" x14ac:dyDescent="0.2">
      <c r="A11" s="20" t="s">
        <v>54</v>
      </c>
      <c r="B11" s="21" t="s">
        <v>43</v>
      </c>
      <c r="C11" s="20">
        <v>1</v>
      </c>
      <c r="D11" s="20" t="s">
        <v>55</v>
      </c>
      <c r="E11" s="22"/>
      <c r="F11" s="23"/>
      <c r="G11" s="20" t="s">
        <v>45</v>
      </c>
      <c r="H11" s="24"/>
    </row>
    <row r="12" spans="1:8" x14ac:dyDescent="0.2">
      <c r="A12" s="20" t="s">
        <v>56</v>
      </c>
      <c r="B12" s="21" t="s">
        <v>43</v>
      </c>
      <c r="C12" s="20">
        <v>40</v>
      </c>
      <c r="D12" s="20" t="s">
        <v>57</v>
      </c>
      <c r="E12" s="22"/>
      <c r="F12" s="23"/>
      <c r="G12" s="20" t="s">
        <v>45</v>
      </c>
      <c r="H12" s="24"/>
    </row>
    <row r="13" spans="1:8" x14ac:dyDescent="0.2">
      <c r="A13" s="20" t="s">
        <v>58</v>
      </c>
      <c r="B13" s="21" t="s">
        <v>43</v>
      </c>
      <c r="C13" s="20">
        <v>40</v>
      </c>
      <c r="D13" s="20" t="s">
        <v>59</v>
      </c>
      <c r="E13" s="22"/>
      <c r="F13" s="23"/>
      <c r="G13" s="20" t="s">
        <v>45</v>
      </c>
      <c r="H13" s="24"/>
    </row>
    <row r="14" spans="1:8" x14ac:dyDescent="0.2">
      <c r="A14" s="20" t="s">
        <v>60</v>
      </c>
      <c r="B14" s="21" t="s">
        <v>61</v>
      </c>
      <c r="C14" s="20">
        <v>1</v>
      </c>
      <c r="D14" s="20" t="s">
        <v>62</v>
      </c>
      <c r="E14" s="22"/>
      <c r="F14" s="23"/>
      <c r="G14" s="20" t="s">
        <v>45</v>
      </c>
      <c r="H14" s="24"/>
    </row>
    <row r="15" spans="1:8" x14ac:dyDescent="0.2">
      <c r="A15" s="20" t="s">
        <v>63</v>
      </c>
      <c r="B15" s="21" t="s">
        <v>61</v>
      </c>
      <c r="C15" s="20">
        <v>40</v>
      </c>
      <c r="D15" s="20" t="s">
        <v>64</v>
      </c>
      <c r="E15" s="22"/>
      <c r="F15" s="23"/>
      <c r="G15" s="20" t="s">
        <v>45</v>
      </c>
      <c r="H15" s="24"/>
    </row>
    <row r="16" spans="1:8" x14ac:dyDescent="0.2">
      <c r="A16" s="20" t="s">
        <v>63</v>
      </c>
      <c r="B16" s="21" t="s">
        <v>61</v>
      </c>
      <c r="C16" s="20">
        <v>52</v>
      </c>
      <c r="D16" s="20" t="s">
        <v>64</v>
      </c>
      <c r="E16" s="22"/>
      <c r="F16" s="23"/>
      <c r="G16" s="20" t="s">
        <v>45</v>
      </c>
      <c r="H16" s="24"/>
    </row>
    <row r="17" spans="1:8" x14ac:dyDescent="0.2">
      <c r="A17" s="20" t="s">
        <v>65</v>
      </c>
      <c r="B17" s="21" t="s">
        <v>66</v>
      </c>
      <c r="C17" s="20">
        <v>1</v>
      </c>
      <c r="D17" s="20" t="s">
        <v>67</v>
      </c>
      <c r="E17" s="22"/>
      <c r="F17" s="23"/>
      <c r="G17" s="20" t="s">
        <v>45</v>
      </c>
      <c r="H17" s="24"/>
    </row>
    <row r="18" spans="1:8" x14ac:dyDescent="0.2">
      <c r="A18" s="20" t="s">
        <v>68</v>
      </c>
      <c r="B18" s="21" t="s">
        <v>66</v>
      </c>
      <c r="C18" s="20">
        <v>1</v>
      </c>
      <c r="D18" s="20" t="s">
        <v>69</v>
      </c>
      <c r="E18" s="22"/>
      <c r="F18" s="23"/>
      <c r="G18" s="20" t="s">
        <v>45</v>
      </c>
      <c r="H18" s="24"/>
    </row>
    <row r="19" spans="1:8" x14ac:dyDescent="0.2">
      <c r="A19" s="20" t="s">
        <v>70</v>
      </c>
      <c r="B19" s="21" t="s">
        <v>66</v>
      </c>
      <c r="C19" s="20">
        <v>1</v>
      </c>
      <c r="D19" s="20" t="s">
        <v>71</v>
      </c>
      <c r="E19" s="22"/>
      <c r="F19" s="23"/>
      <c r="G19" s="20" t="s">
        <v>45</v>
      </c>
      <c r="H19" s="24"/>
    </row>
    <row r="20" spans="1:8" x14ac:dyDescent="0.2">
      <c r="A20" s="20" t="s">
        <v>72</v>
      </c>
      <c r="B20" s="21" t="s">
        <v>66</v>
      </c>
      <c r="C20" s="20">
        <v>1</v>
      </c>
      <c r="D20" s="20" t="s">
        <v>73</v>
      </c>
      <c r="E20" s="22"/>
      <c r="F20" s="23"/>
      <c r="G20" s="20" t="s">
        <v>45</v>
      </c>
      <c r="H20" s="24"/>
    </row>
    <row r="21" spans="1:8" x14ac:dyDescent="0.2">
      <c r="A21" s="20" t="s">
        <v>74</v>
      </c>
      <c r="B21" s="21" t="s">
        <v>66</v>
      </c>
      <c r="C21" s="20">
        <v>1</v>
      </c>
      <c r="D21" s="20" t="s">
        <v>75</v>
      </c>
      <c r="E21" s="22"/>
      <c r="F21" s="23"/>
      <c r="G21" s="20" t="s">
        <v>45</v>
      </c>
      <c r="H21" s="24"/>
    </row>
    <row r="22" spans="1:8" x14ac:dyDescent="0.2">
      <c r="A22" s="20" t="s">
        <v>76</v>
      </c>
      <c r="B22" s="21" t="s">
        <v>66</v>
      </c>
      <c r="C22" s="20">
        <v>1</v>
      </c>
      <c r="D22" s="20" t="s">
        <v>77</v>
      </c>
      <c r="E22" s="22"/>
      <c r="F22" s="23"/>
      <c r="G22" s="20" t="s">
        <v>45</v>
      </c>
      <c r="H22" s="24"/>
    </row>
    <row r="23" spans="1:8" x14ac:dyDescent="0.2">
      <c r="A23" s="20" t="s">
        <v>78</v>
      </c>
      <c r="B23" s="21" t="s">
        <v>66</v>
      </c>
      <c r="C23" s="20">
        <v>40</v>
      </c>
      <c r="D23" s="20" t="s">
        <v>79</v>
      </c>
      <c r="E23" s="22"/>
      <c r="F23" s="23"/>
      <c r="G23" s="20" t="s">
        <v>45</v>
      </c>
      <c r="H23" s="24"/>
    </row>
    <row r="24" spans="1:8" x14ac:dyDescent="0.2">
      <c r="A24" s="20" t="s">
        <v>80</v>
      </c>
      <c r="B24" s="21" t="s">
        <v>66</v>
      </c>
      <c r="C24" s="20">
        <v>40</v>
      </c>
      <c r="D24" s="20" t="s">
        <v>81</v>
      </c>
      <c r="E24" s="22"/>
      <c r="F24" s="23"/>
      <c r="G24" s="20" t="s">
        <v>45</v>
      </c>
      <c r="H24" s="24"/>
    </row>
    <row r="25" spans="1:8" x14ac:dyDescent="0.2">
      <c r="A25" s="20" t="s">
        <v>82</v>
      </c>
      <c r="B25" s="21" t="s">
        <v>66</v>
      </c>
      <c r="C25" s="20">
        <v>40</v>
      </c>
      <c r="D25" s="20" t="s">
        <v>83</v>
      </c>
      <c r="E25" s="22"/>
      <c r="F25" s="23"/>
      <c r="G25" s="20" t="s">
        <v>45</v>
      </c>
      <c r="H25" s="24"/>
    </row>
    <row r="26" spans="1:8" x14ac:dyDescent="0.2">
      <c r="A26" s="20" t="s">
        <v>84</v>
      </c>
      <c r="B26" s="21" t="s">
        <v>66</v>
      </c>
      <c r="C26" s="20">
        <v>40</v>
      </c>
      <c r="D26" s="20" t="s">
        <v>85</v>
      </c>
      <c r="E26" s="22"/>
      <c r="F26" s="23"/>
      <c r="G26" s="20" t="s">
        <v>45</v>
      </c>
      <c r="H26" s="24"/>
    </row>
    <row r="27" spans="1:8" x14ac:dyDescent="0.2">
      <c r="A27" s="20" t="s">
        <v>86</v>
      </c>
      <c r="B27" s="21" t="s">
        <v>66</v>
      </c>
      <c r="C27" s="20">
        <v>40</v>
      </c>
      <c r="D27" s="20" t="s">
        <v>87</v>
      </c>
      <c r="E27" s="22"/>
      <c r="F27" s="23"/>
      <c r="G27" s="20" t="s">
        <v>45</v>
      </c>
      <c r="H27" s="24"/>
    </row>
    <row r="28" spans="1:8" x14ac:dyDescent="0.2">
      <c r="A28" s="20" t="s">
        <v>88</v>
      </c>
      <c r="B28" s="21" t="s">
        <v>66</v>
      </c>
      <c r="C28" s="20">
        <v>40</v>
      </c>
      <c r="D28" s="20" t="s">
        <v>89</v>
      </c>
      <c r="E28" s="22"/>
      <c r="F28" s="23"/>
      <c r="G28" s="20" t="s">
        <v>45</v>
      </c>
      <c r="H28" s="24"/>
    </row>
    <row r="29" spans="1:8" x14ac:dyDescent="0.2">
      <c r="A29" s="20" t="s">
        <v>88</v>
      </c>
      <c r="B29" s="21" t="s">
        <v>66</v>
      </c>
      <c r="C29" s="20">
        <v>52</v>
      </c>
      <c r="D29" s="20" t="s">
        <v>89</v>
      </c>
      <c r="E29" s="22"/>
      <c r="F29" s="23"/>
      <c r="G29" s="20" t="s">
        <v>45</v>
      </c>
      <c r="H29" s="24"/>
    </row>
    <row r="30" spans="1:8" x14ac:dyDescent="0.2">
      <c r="A30" s="20" t="s">
        <v>90</v>
      </c>
      <c r="B30" s="21" t="s">
        <v>66</v>
      </c>
      <c r="C30" s="20">
        <v>1</v>
      </c>
      <c r="D30" s="20" t="s">
        <v>91</v>
      </c>
      <c r="E30" s="22"/>
      <c r="F30" s="23"/>
      <c r="G30" s="20" t="s">
        <v>45</v>
      </c>
      <c r="H30" s="24"/>
    </row>
    <row r="31" spans="1:8" x14ac:dyDescent="0.2">
      <c r="A31" s="20" t="s">
        <v>92</v>
      </c>
      <c r="B31" s="21" t="s">
        <v>66</v>
      </c>
      <c r="C31" s="20">
        <v>1</v>
      </c>
      <c r="D31" s="20" t="s">
        <v>93</v>
      </c>
      <c r="E31" s="22"/>
      <c r="F31" s="23"/>
      <c r="G31" s="20" t="s">
        <v>45</v>
      </c>
      <c r="H31" s="24"/>
    </row>
    <row r="32" spans="1:8" x14ac:dyDescent="0.2">
      <c r="A32" s="20" t="s">
        <v>94</v>
      </c>
      <c r="B32" s="21" t="s">
        <v>66</v>
      </c>
      <c r="C32" s="20">
        <v>1</v>
      </c>
      <c r="D32" s="20" t="s">
        <v>95</v>
      </c>
      <c r="E32" s="22"/>
      <c r="F32" s="23"/>
      <c r="G32" s="20" t="s">
        <v>45</v>
      </c>
      <c r="H32" s="24"/>
    </row>
    <row r="33" spans="1:8" x14ac:dyDescent="0.2">
      <c r="A33" s="20" t="s">
        <v>96</v>
      </c>
      <c r="B33" s="21" t="s">
        <v>66</v>
      </c>
      <c r="C33" s="20">
        <v>40</v>
      </c>
      <c r="D33" s="20" t="s">
        <v>97</v>
      </c>
      <c r="E33" s="22"/>
      <c r="F33" s="23"/>
      <c r="G33" s="20" t="s">
        <v>45</v>
      </c>
      <c r="H33" s="24"/>
    </row>
    <row r="34" spans="1:8" x14ac:dyDescent="0.2">
      <c r="A34" s="20" t="s">
        <v>98</v>
      </c>
      <c r="B34" s="21" t="s">
        <v>66</v>
      </c>
      <c r="C34" s="20">
        <v>52</v>
      </c>
      <c r="D34" s="20" t="s">
        <v>99</v>
      </c>
      <c r="E34" s="22"/>
      <c r="F34" s="23"/>
      <c r="G34" s="20" t="s">
        <v>45</v>
      </c>
      <c r="H34" s="24"/>
    </row>
    <row r="35" spans="1:8" x14ac:dyDescent="0.2">
      <c r="A35" s="20" t="s">
        <v>98</v>
      </c>
      <c r="B35" s="21" t="s">
        <v>66</v>
      </c>
      <c r="C35" s="20">
        <v>40</v>
      </c>
      <c r="D35" s="20" t="s">
        <v>99</v>
      </c>
      <c r="E35" s="22"/>
      <c r="F35" s="23"/>
      <c r="G35" s="20" t="s">
        <v>45</v>
      </c>
      <c r="H35" s="24"/>
    </row>
    <row r="36" spans="1:8" x14ac:dyDescent="0.2">
      <c r="A36" s="20" t="s">
        <v>100</v>
      </c>
      <c r="B36" s="21" t="s">
        <v>66</v>
      </c>
      <c r="C36" s="20">
        <v>40</v>
      </c>
      <c r="D36" s="20" t="s">
        <v>101</v>
      </c>
      <c r="E36" s="22"/>
      <c r="F36" s="23"/>
      <c r="G36" s="20" t="s">
        <v>45</v>
      </c>
      <c r="H36" s="24"/>
    </row>
    <row r="37" spans="1:8" x14ac:dyDescent="0.2">
      <c r="A37" s="20" t="s">
        <v>102</v>
      </c>
      <c r="B37" s="21" t="s">
        <v>66</v>
      </c>
      <c r="C37" s="20">
        <v>40</v>
      </c>
      <c r="D37" s="20" t="s">
        <v>103</v>
      </c>
      <c r="E37" s="22"/>
      <c r="F37" s="23"/>
      <c r="G37" s="20" t="s">
        <v>45</v>
      </c>
      <c r="H37" s="24"/>
    </row>
    <row r="38" spans="1:8" x14ac:dyDescent="0.2">
      <c r="A38" s="25" t="s">
        <v>104</v>
      </c>
      <c r="B38" s="26" t="s">
        <v>105</v>
      </c>
      <c r="C38" s="25">
        <v>1</v>
      </c>
      <c r="D38" s="25" t="s">
        <v>106</v>
      </c>
      <c r="E38" s="27"/>
      <c r="F38" s="28"/>
      <c r="G38" s="25" t="s">
        <v>45</v>
      </c>
      <c r="H38" s="29"/>
    </row>
  </sheetData>
  <pageMargins left="0.7" right="0.7" top="0.75" bottom="0.75" header="0.3" footer="0.3"/>
  <pageSetup paperSize="9" scale="70" orientation="landscape" horizontalDpi="4294967295" verticalDpi="4294967295" r:id="rId1"/>
  <headerFooter>
    <oddFooter>&amp;LStichting Openbaar Onderwijs Oost Groningen EA              &amp;ROpmaakdatum: 17-08-2021
Intexso - De Start 5 - Leusden
+31 (33) 2778485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2944E-BDC7-4FD7-A71A-BB7F9228D25A}">
  <dimension ref="A1:N44"/>
  <sheetViews>
    <sheetView tabSelected="1" workbookViewId="0"/>
  </sheetViews>
  <sheetFormatPr defaultRowHeight="12.75" x14ac:dyDescent="0.2"/>
  <cols>
    <col min="1" max="1" width="7.625" customWidth="1"/>
    <col min="2" max="2" width="6.625" customWidth="1"/>
    <col min="3" max="3" width="12.625" customWidth="1"/>
    <col min="4" max="4" width="35.625" customWidth="1"/>
    <col min="5" max="5" width="12.625" customWidth="1"/>
    <col min="6" max="8" width="11.625" customWidth="1"/>
    <col min="9" max="9" width="9.625" customWidth="1"/>
    <col min="10" max="12" width="11.625" customWidth="1"/>
    <col min="13" max="13" width="12.625" customWidth="1"/>
    <col min="14" max="14" width="14.625" customWidth="1"/>
  </cols>
  <sheetData>
    <row r="1" spans="1:14" x14ac:dyDescent="0.2">
      <c r="A1" s="1" t="str">
        <f>CONCATENATE("Bijlage H.2: ",tabeltype," regulier werk")</f>
        <v>Bijlage H.2: Invultabel regulier werk</v>
      </c>
    </row>
    <row r="3" spans="1:14" ht="38.25" x14ac:dyDescent="0.2">
      <c r="A3" s="8" t="s">
        <v>107</v>
      </c>
      <c r="B3" s="8" t="s">
        <v>7</v>
      </c>
      <c r="C3" s="8" t="s">
        <v>108</v>
      </c>
      <c r="D3" s="8" t="s">
        <v>36</v>
      </c>
      <c r="E3" s="8" t="s">
        <v>109</v>
      </c>
      <c r="F3" s="8" t="s">
        <v>110</v>
      </c>
      <c r="G3" s="8" t="s">
        <v>37</v>
      </c>
      <c r="H3" s="8" t="s">
        <v>38</v>
      </c>
      <c r="I3" s="8" t="s">
        <v>39</v>
      </c>
      <c r="J3" s="8" t="s">
        <v>40</v>
      </c>
      <c r="K3" s="8" t="s">
        <v>111</v>
      </c>
      <c r="L3" s="8" t="s">
        <v>112</v>
      </c>
      <c r="M3" s="8" t="s">
        <v>113</v>
      </c>
      <c r="N3" s="8" t="s">
        <v>114</v>
      </c>
    </row>
    <row r="4" spans="1:14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1"/>
    </row>
    <row r="5" spans="1:14" x14ac:dyDescent="0.2">
      <c r="A5" s="12" t="s">
        <v>41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4"/>
    </row>
    <row r="6" spans="1:14" x14ac:dyDescent="0.2">
      <c r="A6" s="15" t="s">
        <v>115</v>
      </c>
      <c r="B6" s="15" t="s">
        <v>11</v>
      </c>
      <c r="C6" s="15" t="s">
        <v>116</v>
      </c>
      <c r="D6" s="15" t="s">
        <v>117</v>
      </c>
      <c r="E6" s="30">
        <v>1080.8599999999999</v>
      </c>
      <c r="F6" s="30">
        <f>E6*VLOOKUP(B6,dagsoorttabel1,2,FALSE)</f>
        <v>1080.8599999999999</v>
      </c>
      <c r="G6" s="31">
        <f>IF(AND(catpn_1_AHB_1&gt;0,catpn_1_AHV_40&gt;0),(dagenperjaar1*VLOOKUP(B6,dagsoorttabel1,2,FALSE))/(((dagenperjaar1*VLOOKUP(B6,dagsoorttabel1,2,FALSE))-catfd_1_AHV_40)/catpn_1_AHB_1+catfd_1_AHV_40/catpn_1_AHV_40),0)</f>
        <v>0</v>
      </c>
      <c r="H6" s="32">
        <f>IF(AND(catpn_1_AHB_1&gt;0,catpn_1_AHV_40&gt;0),(catdw_1_AHB_1*((dagenperjaar1-VLOOKUP(B6,dagsoorttabel1,2,FALSE))-catfd_1_AHV_40)/catpn_1_AHB_1+catdw_1_AHV_40*catfd_1_AHV_40/catpn_1_AHV_40)/(((dagenperjaar1-VLOOKUP(B6,dagsoorttabel1,2,FALSE))-catfd_1_AHV_40)/catpn_1_AHB_1+catfd_1_AHV_40/catpn_1_AHV_40),0)</f>
        <v>0</v>
      </c>
      <c r="I6" s="15" t="s">
        <v>45</v>
      </c>
      <c r="J6" s="33">
        <f>IF(AND(catpn_1_AHB_1&gt;0,catpn_1_AHV_40&gt;0),(cattf_1_AHB_1*((dagenperjaar1*VLOOKUP(B6,dagsoorttabel1,2,FALSE))-catfd_1_AHV_40)/catpn_1_AHB_1+cattf_1_AHV_40*catfd_1_AHV_40/catpn_1_AHV_40)/(((dagenperjaar1*VLOOKUP(B6,dagsoorttabel1,2,FALSE))-catfd_1_AHV_40)/catpn_1_AHB_1+catfd_1_AHV_40/catpn_1_AHV_40),0)</f>
        <v>0</v>
      </c>
      <c r="K6" s="30">
        <f>IF(OR(ISBLANK(G6),G6=0),0,F6/ROUND(G6,4))</f>
        <v>0</v>
      </c>
      <c r="L6" s="34">
        <f>ROUND(J6,3)*K6</f>
        <v>0</v>
      </c>
      <c r="M6" s="30">
        <f>K6*dagenperjaar1</f>
        <v>0</v>
      </c>
      <c r="N6" s="34">
        <f>M6*ROUND(J6,3)</f>
        <v>0</v>
      </c>
    </row>
    <row r="7" spans="1:14" x14ac:dyDescent="0.2">
      <c r="A7" s="20" t="s">
        <v>115</v>
      </c>
      <c r="B7" s="20" t="s">
        <v>21</v>
      </c>
      <c r="C7" s="20" t="s">
        <v>116</v>
      </c>
      <c r="D7" s="20" t="s">
        <v>117</v>
      </c>
      <c r="E7" s="35">
        <v>51.2</v>
      </c>
      <c r="F7" s="35">
        <f>E7*VLOOKUP(B7,dagsoorttabel1,2,FALSE)</f>
        <v>10.240000000000002</v>
      </c>
      <c r="G7" s="36">
        <f>IF(AND(catpn_1_AHB_1&gt;0,catpn_1_AHV_40&gt;0),(dagenperjaar1*VLOOKUP(B7,dagsoorttabel1,2,FALSE))/(((dagenperjaar1*VLOOKUP(B7,dagsoorttabel1,2,FALSE))-catfd_1_AHV_40)/catpn_1_AHB_1+catfd_1_AHV_40/catpn_1_AHV_40),0)</f>
        <v>0</v>
      </c>
      <c r="H7" s="37">
        <f>IF(AND(catpn_1_AHB_1&gt;0,catpn_1_AHV_40&gt;0),(catdw_1_AHB_1*((dagenperjaar1-VLOOKUP(B7,dagsoorttabel1,2,FALSE))-catfd_1_AHV_40)/catpn_1_AHB_1+catdw_1_AHV_40*catfd_1_AHV_40/catpn_1_AHV_40)/(((dagenperjaar1-VLOOKUP(B7,dagsoorttabel1,2,FALSE))-catfd_1_AHV_40)/catpn_1_AHB_1+catfd_1_AHV_40/catpn_1_AHV_40),0)</f>
        <v>0</v>
      </c>
      <c r="I7" s="20" t="s">
        <v>45</v>
      </c>
      <c r="J7" s="38">
        <f>IF(AND(catpn_1_AHB_1&gt;0,catpn_1_AHV_40&gt;0),(cattf_1_AHB_1*((dagenperjaar1*VLOOKUP(B7,dagsoorttabel1,2,FALSE))-catfd_1_AHV_40)/catpn_1_AHB_1+cattf_1_AHV_40*catfd_1_AHV_40/catpn_1_AHV_40)/(((dagenperjaar1*VLOOKUP(B7,dagsoorttabel1,2,FALSE))-catfd_1_AHV_40)/catpn_1_AHB_1+catfd_1_AHV_40/catpn_1_AHV_40),0)</f>
        <v>0</v>
      </c>
      <c r="K7" s="35">
        <f>IF(OR(ISBLANK(G7),G7=0),0,F7/ROUND(G7,4))</f>
        <v>0</v>
      </c>
      <c r="L7" s="39">
        <f>ROUND(J7,3)*K7</f>
        <v>0</v>
      </c>
      <c r="M7" s="35">
        <f>K7*dagenperjaar1</f>
        <v>0</v>
      </c>
      <c r="N7" s="39">
        <f>M7*ROUND(J7,3)</f>
        <v>0</v>
      </c>
    </row>
    <row r="8" spans="1:14" x14ac:dyDescent="0.2">
      <c r="A8" s="20" t="s">
        <v>118</v>
      </c>
      <c r="B8" s="20" t="s">
        <v>21</v>
      </c>
      <c r="C8" s="20" t="s">
        <v>116</v>
      </c>
      <c r="D8" s="20" t="s">
        <v>117</v>
      </c>
      <c r="E8" s="35">
        <v>106.1</v>
      </c>
      <c r="F8" s="35">
        <f>E8*VLOOKUP(B8,dagsoorttabel1,2,FALSE)</f>
        <v>21.22</v>
      </c>
      <c r="G8" s="36">
        <f>IF(AND(catpn_1_AZB_1&gt;0,catpn_1_AZV_40&gt;0),(dagenperjaar1*VLOOKUP(B8,dagsoorttabel1,2,FALSE))/(((dagenperjaar1*VLOOKUP(B8,dagsoorttabel1,2,FALSE))-catfd_1_AZV_40)/catpn_1_AZB_1+catfd_1_AZV_40/catpn_1_AZV_40),0)</f>
        <v>0</v>
      </c>
      <c r="H8" s="37">
        <f>IF(AND(catpn_1_AZB_1&gt;0,catpn_1_AZV_40&gt;0),(catdw_1_AZB_1*((dagenperjaar1-VLOOKUP(B8,dagsoorttabel1,2,FALSE))-catfd_1_AZV_40)/catpn_1_AZB_1+catdw_1_AZV_40*catfd_1_AZV_40/catpn_1_AZV_40)/(((dagenperjaar1-VLOOKUP(B8,dagsoorttabel1,2,FALSE))-catfd_1_AZV_40)/catpn_1_AZB_1+catfd_1_AZV_40/catpn_1_AZV_40),0)</f>
        <v>0</v>
      </c>
      <c r="I8" s="20" t="s">
        <v>45</v>
      </c>
      <c r="J8" s="38">
        <f>IF(AND(catpn_1_AZB_1&gt;0,catpn_1_AZV_40&gt;0),(cattf_1_AZB_1*((dagenperjaar1*VLOOKUP(B8,dagsoorttabel1,2,FALSE))-catfd_1_AZV_40)/catpn_1_AZB_1+cattf_1_AZV_40*catfd_1_AZV_40/catpn_1_AZV_40)/(((dagenperjaar1*VLOOKUP(B8,dagsoorttabel1,2,FALSE))-catfd_1_AZV_40)/catpn_1_AZB_1+catfd_1_AZV_40/catpn_1_AZV_40),0)</f>
        <v>0</v>
      </c>
      <c r="K8" s="35">
        <f>IF(OR(ISBLANK(G8),G8=0),0,F8/ROUND(G8,4))</f>
        <v>0</v>
      </c>
      <c r="L8" s="39">
        <f>ROUND(J8,3)*K8</f>
        <v>0</v>
      </c>
      <c r="M8" s="35">
        <f>K8*dagenperjaar1</f>
        <v>0</v>
      </c>
      <c r="N8" s="39">
        <f>M8*ROUND(J8,3)</f>
        <v>0</v>
      </c>
    </row>
    <row r="9" spans="1:14" x14ac:dyDescent="0.2">
      <c r="A9" s="20" t="s">
        <v>119</v>
      </c>
      <c r="B9" s="20" t="s">
        <v>11</v>
      </c>
      <c r="C9" s="20" t="s">
        <v>116</v>
      </c>
      <c r="D9" s="20" t="s">
        <v>120</v>
      </c>
      <c r="E9" s="35">
        <v>305.59999999999997</v>
      </c>
      <c r="F9" s="35">
        <f>E9*VLOOKUP(B9,dagsoorttabel1,2,FALSE)</f>
        <v>305.59999999999997</v>
      </c>
      <c r="G9" s="36">
        <f>IF(AND(catpn_1_BHB_1&gt;0,catpn_1_BHV_40&gt;0),(dagenperjaar1*VLOOKUP(B9,dagsoorttabel1,2,FALSE))/(((dagenperjaar1*VLOOKUP(B9,dagsoorttabel1,2,FALSE))-catfd_1_BHV_40)/catpn_1_BHB_1+catfd_1_BHV_40/catpn_1_BHV_40),0)</f>
        <v>0</v>
      </c>
      <c r="H9" s="37">
        <f>IF(AND(catpn_1_BHB_1&gt;0,catpn_1_BHV_40&gt;0),(catdw_1_BHB_1*((dagenperjaar1-VLOOKUP(B9,dagsoorttabel1,2,FALSE))-catfd_1_BHV_40)/catpn_1_BHB_1+catdw_1_BHV_40*catfd_1_BHV_40/catpn_1_BHV_40)/(((dagenperjaar1-VLOOKUP(B9,dagsoorttabel1,2,FALSE))-catfd_1_BHV_40)/catpn_1_BHB_1+catfd_1_BHV_40/catpn_1_BHV_40),0)</f>
        <v>0</v>
      </c>
      <c r="I9" s="20" t="s">
        <v>45</v>
      </c>
      <c r="J9" s="38">
        <f>IF(AND(catpn_1_BHB_1&gt;0,catpn_1_BHV_40&gt;0),(cattf_1_BHB_1*((dagenperjaar1*VLOOKUP(B9,dagsoorttabel1,2,FALSE))-catfd_1_BHV_40)/catpn_1_BHB_1+cattf_1_BHV_40*catfd_1_BHV_40/catpn_1_BHV_40)/(((dagenperjaar1*VLOOKUP(B9,dagsoorttabel1,2,FALSE))-catfd_1_BHV_40)/catpn_1_BHB_1+catfd_1_BHV_40/catpn_1_BHV_40),0)</f>
        <v>0</v>
      </c>
      <c r="K9" s="35">
        <f>IF(OR(ISBLANK(G9),G9=0),0,F9/ROUND(G9,4))</f>
        <v>0</v>
      </c>
      <c r="L9" s="39">
        <f>ROUND(J9,3)*K9</f>
        <v>0</v>
      </c>
      <c r="M9" s="35">
        <f>K9*dagenperjaar1</f>
        <v>0</v>
      </c>
      <c r="N9" s="39">
        <f>M9*ROUND(J9,3)</f>
        <v>0</v>
      </c>
    </row>
    <row r="10" spans="1:14" x14ac:dyDescent="0.2">
      <c r="A10" s="20" t="s">
        <v>119</v>
      </c>
      <c r="B10" s="20" t="s">
        <v>21</v>
      </c>
      <c r="C10" s="20" t="s">
        <v>116</v>
      </c>
      <c r="D10" s="20" t="s">
        <v>120</v>
      </c>
      <c r="E10" s="35">
        <v>468.36000000000007</v>
      </c>
      <c r="F10" s="35">
        <f>E10*VLOOKUP(B10,dagsoorttabel1,2,FALSE)</f>
        <v>93.672000000000025</v>
      </c>
      <c r="G10" s="36">
        <f>IF(AND(catpn_1_BHB_1&gt;0,catpn_1_BHV_40&gt;0),(dagenperjaar1*VLOOKUP(B10,dagsoorttabel1,2,FALSE))/(((dagenperjaar1*VLOOKUP(B10,dagsoorttabel1,2,FALSE))-catfd_1_BHV_40)/catpn_1_BHB_1+catfd_1_BHV_40/catpn_1_BHV_40),0)</f>
        <v>0</v>
      </c>
      <c r="H10" s="37">
        <f>IF(AND(catpn_1_BHB_1&gt;0,catpn_1_BHV_40&gt;0),(catdw_1_BHB_1*((dagenperjaar1-VLOOKUP(B10,dagsoorttabel1,2,FALSE))-catfd_1_BHV_40)/catpn_1_BHB_1+catdw_1_BHV_40*catfd_1_BHV_40/catpn_1_BHV_40)/(((dagenperjaar1-VLOOKUP(B10,dagsoorttabel1,2,FALSE))-catfd_1_BHV_40)/catpn_1_BHB_1+catfd_1_BHV_40/catpn_1_BHV_40),0)</f>
        <v>0</v>
      </c>
      <c r="I10" s="20" t="s">
        <v>45</v>
      </c>
      <c r="J10" s="38">
        <f>IF(AND(catpn_1_BHB_1&gt;0,catpn_1_BHV_40&gt;0),(cattf_1_BHB_1*((dagenperjaar1*VLOOKUP(B10,dagsoorttabel1,2,FALSE))-catfd_1_BHV_40)/catpn_1_BHB_1+cattf_1_BHV_40*catfd_1_BHV_40/catpn_1_BHV_40)/(((dagenperjaar1*VLOOKUP(B10,dagsoorttabel1,2,FALSE))-catfd_1_BHV_40)/catpn_1_BHB_1+catfd_1_BHV_40/catpn_1_BHV_40),0)</f>
        <v>0</v>
      </c>
      <c r="K10" s="35">
        <f>IF(OR(ISBLANK(G10),G10=0),0,F10/ROUND(G10,4))</f>
        <v>0</v>
      </c>
      <c r="L10" s="39">
        <f>ROUND(J10,3)*K10</f>
        <v>0</v>
      </c>
      <c r="M10" s="35">
        <f>K10*dagenperjaar1</f>
        <v>0</v>
      </c>
      <c r="N10" s="39">
        <f>M10*ROUND(J10,3)</f>
        <v>0</v>
      </c>
    </row>
    <row r="11" spans="1:14" x14ac:dyDescent="0.2">
      <c r="A11" s="20" t="s">
        <v>121</v>
      </c>
      <c r="B11" s="20" t="s">
        <v>11</v>
      </c>
      <c r="C11" s="20" t="s">
        <v>116</v>
      </c>
      <c r="D11" s="20" t="s">
        <v>120</v>
      </c>
      <c r="E11" s="35">
        <v>231.64000000000001</v>
      </c>
      <c r="F11" s="35">
        <f>E11*VLOOKUP(B11,dagsoorttabel1,2,FALSE)</f>
        <v>231.64000000000001</v>
      </c>
      <c r="G11" s="36">
        <f>IF(AND(catpn_1_BZB_1&gt;0,catpn_1_BZV_40&gt;0),(dagenperjaar1*VLOOKUP(B11,dagsoorttabel1,2,FALSE))/(((dagenperjaar1*VLOOKUP(B11,dagsoorttabel1,2,FALSE))-catfd_1_BZV_40)/catpn_1_BZB_1+catfd_1_BZV_40/catpn_1_BZV_40),0)</f>
        <v>0</v>
      </c>
      <c r="H11" s="37">
        <f>IF(AND(catpn_1_BZB_1&gt;0,catpn_1_BZV_40&gt;0),(catdw_1_BZB_1*((dagenperjaar1-VLOOKUP(B11,dagsoorttabel1,2,FALSE))-catfd_1_BZV_40)/catpn_1_BZB_1+catdw_1_BZV_40*catfd_1_BZV_40/catpn_1_BZV_40)/(((dagenperjaar1-VLOOKUP(B11,dagsoorttabel1,2,FALSE))-catfd_1_BZV_40)/catpn_1_BZB_1+catfd_1_BZV_40/catpn_1_BZV_40),0)</f>
        <v>0</v>
      </c>
      <c r="I11" s="20" t="s">
        <v>45</v>
      </c>
      <c r="J11" s="38">
        <f>IF(AND(catpn_1_BZB_1&gt;0,catpn_1_BZV_40&gt;0),(cattf_1_BZB_1*((dagenperjaar1*VLOOKUP(B11,dagsoorttabel1,2,FALSE))-catfd_1_BZV_40)/catpn_1_BZB_1+cattf_1_BZV_40*catfd_1_BZV_40/catpn_1_BZV_40)/(((dagenperjaar1*VLOOKUP(B11,dagsoorttabel1,2,FALSE))-catfd_1_BZV_40)/catpn_1_BZB_1+catfd_1_BZV_40/catpn_1_BZV_40),0)</f>
        <v>0</v>
      </c>
      <c r="K11" s="35">
        <f>IF(OR(ISBLANK(G11),G11=0),0,F11/ROUND(G11,4))</f>
        <v>0</v>
      </c>
      <c r="L11" s="39">
        <f>ROUND(J11,3)*K11</f>
        <v>0</v>
      </c>
      <c r="M11" s="35">
        <f>K11*dagenperjaar1</f>
        <v>0</v>
      </c>
      <c r="N11" s="39">
        <f>M11*ROUND(J11,3)</f>
        <v>0</v>
      </c>
    </row>
    <row r="12" spans="1:14" x14ac:dyDescent="0.2">
      <c r="A12" s="20" t="s">
        <v>121</v>
      </c>
      <c r="B12" s="20" t="s">
        <v>21</v>
      </c>
      <c r="C12" s="20" t="s">
        <v>116</v>
      </c>
      <c r="D12" s="20" t="s">
        <v>120</v>
      </c>
      <c r="E12" s="35">
        <v>267.78000000000003</v>
      </c>
      <c r="F12" s="35">
        <f>E12*VLOOKUP(B12,dagsoorttabel1,2,FALSE)</f>
        <v>53.556000000000012</v>
      </c>
      <c r="G12" s="36">
        <f>IF(AND(catpn_1_BZB_1&gt;0,catpn_1_BZV_40&gt;0),(dagenperjaar1*VLOOKUP(B12,dagsoorttabel1,2,FALSE))/(((dagenperjaar1*VLOOKUP(B12,dagsoorttabel1,2,FALSE))-catfd_1_BZV_40)/catpn_1_BZB_1+catfd_1_BZV_40/catpn_1_BZV_40),0)</f>
        <v>0</v>
      </c>
      <c r="H12" s="37">
        <f>IF(AND(catpn_1_BZB_1&gt;0,catpn_1_BZV_40&gt;0),(catdw_1_BZB_1*((dagenperjaar1-VLOOKUP(B12,dagsoorttabel1,2,FALSE))-catfd_1_BZV_40)/catpn_1_BZB_1+catdw_1_BZV_40*catfd_1_BZV_40/catpn_1_BZV_40)/(((dagenperjaar1-VLOOKUP(B12,dagsoorttabel1,2,FALSE))-catfd_1_BZV_40)/catpn_1_BZB_1+catfd_1_BZV_40/catpn_1_BZV_40),0)</f>
        <v>0</v>
      </c>
      <c r="I12" s="20" t="s">
        <v>45</v>
      </c>
      <c r="J12" s="38">
        <f>IF(AND(catpn_1_BZB_1&gt;0,catpn_1_BZV_40&gt;0),(cattf_1_BZB_1*((dagenperjaar1*VLOOKUP(B12,dagsoorttabel1,2,FALSE))-catfd_1_BZV_40)/catpn_1_BZB_1+cattf_1_BZV_40*catfd_1_BZV_40/catpn_1_BZV_40)/(((dagenperjaar1*VLOOKUP(B12,dagsoorttabel1,2,FALSE))-catfd_1_BZV_40)/catpn_1_BZB_1+catfd_1_BZV_40/catpn_1_BZV_40),0)</f>
        <v>0</v>
      </c>
      <c r="K12" s="35">
        <f>IF(OR(ISBLANK(G12),G12=0),0,F12/ROUND(G12,4))</f>
        <v>0</v>
      </c>
      <c r="L12" s="39">
        <f>ROUND(J12,3)*K12</f>
        <v>0</v>
      </c>
      <c r="M12" s="35">
        <f>K12*dagenperjaar1</f>
        <v>0</v>
      </c>
      <c r="N12" s="39">
        <f>M12*ROUND(J12,3)</f>
        <v>0</v>
      </c>
    </row>
    <row r="13" spans="1:14" x14ac:dyDescent="0.2">
      <c r="A13" s="20" t="s">
        <v>122</v>
      </c>
      <c r="B13" s="20" t="s">
        <v>11</v>
      </c>
      <c r="C13" s="20" t="s">
        <v>116</v>
      </c>
      <c r="D13" s="20" t="s">
        <v>123</v>
      </c>
      <c r="E13" s="35">
        <v>128.57</v>
      </c>
      <c r="F13" s="35">
        <f>E13*VLOOKUP(B13,dagsoorttabel1,2,FALSE)</f>
        <v>128.57</v>
      </c>
      <c r="G13" s="36">
        <f>IF(AND(catpn_1_EHB_1&gt;0,catpn_1_EHV_40&gt;0),(dagenperjaar1*VLOOKUP(B13,dagsoorttabel1,2,FALSE))/(((dagenperjaar1*VLOOKUP(B13,dagsoorttabel1,2,FALSE))-catfd_1_EHV_40)/catpn_1_EHB_1+catfd_1_EHV_40/catpn_1_EHV_40),0)</f>
        <v>0</v>
      </c>
      <c r="H13" s="37">
        <f>IF(AND(catpn_1_EHB_1&gt;0,catpn_1_EHV_40&gt;0),(catdw_1_EHB_1*((dagenperjaar1-VLOOKUP(B13,dagsoorttabel1,2,FALSE))-catfd_1_EHV_40)/catpn_1_EHB_1+catdw_1_EHV_40*catfd_1_EHV_40/catpn_1_EHV_40)/(((dagenperjaar1-VLOOKUP(B13,dagsoorttabel1,2,FALSE))-catfd_1_EHV_40)/catpn_1_EHB_1+catfd_1_EHV_40/catpn_1_EHV_40),0)</f>
        <v>0</v>
      </c>
      <c r="I13" s="20" t="s">
        <v>45</v>
      </c>
      <c r="J13" s="38">
        <f>IF(AND(catpn_1_EHB_1&gt;0,catpn_1_EHV_40&gt;0),(cattf_1_EHB_1*((dagenperjaar1*VLOOKUP(B13,dagsoorttabel1,2,FALSE))-catfd_1_EHV_40)/catpn_1_EHB_1+cattf_1_EHV_40*catfd_1_EHV_40/catpn_1_EHV_40)/(((dagenperjaar1*VLOOKUP(B13,dagsoorttabel1,2,FALSE))-catfd_1_EHV_40)/catpn_1_EHB_1+catfd_1_EHV_40/catpn_1_EHV_40),0)</f>
        <v>0</v>
      </c>
      <c r="K13" s="35">
        <f>IF(OR(ISBLANK(G13),G13=0),0,F13/ROUND(G13,4))</f>
        <v>0</v>
      </c>
      <c r="L13" s="39">
        <f>ROUND(J13,3)*K13</f>
        <v>0</v>
      </c>
      <c r="M13" s="35">
        <f>K13*dagenperjaar1</f>
        <v>0</v>
      </c>
      <c r="N13" s="39">
        <f>M13*ROUND(J13,3)</f>
        <v>0</v>
      </c>
    </row>
    <row r="14" spans="1:14" x14ac:dyDescent="0.2">
      <c r="A14" s="20" t="s">
        <v>124</v>
      </c>
      <c r="B14" s="20" t="s">
        <v>11</v>
      </c>
      <c r="C14" s="20" t="s">
        <v>116</v>
      </c>
      <c r="D14" s="20" t="s">
        <v>123</v>
      </c>
      <c r="E14" s="35">
        <v>359.51000000000005</v>
      </c>
      <c r="F14" s="35">
        <f>E14*VLOOKUP(B14,dagsoorttabel1,2,FALSE)</f>
        <v>359.51000000000005</v>
      </c>
      <c r="G14" s="36">
        <f>IF(AND(catpn_1_EZB_1&gt;0,catpn_1_EZV_40&gt;0),(dagenperjaar1*VLOOKUP(B14,dagsoorttabel1,2,FALSE))/(((dagenperjaar1*VLOOKUP(B14,dagsoorttabel1,2,FALSE))-catfd_1_EZV_40)/catpn_1_EZB_1+catfd_1_EZV_40/catpn_1_EZV_40),0)</f>
        <v>0</v>
      </c>
      <c r="H14" s="37">
        <f>IF(AND(catpn_1_EZB_1&gt;0,catpn_1_EZV_40&gt;0),(catdw_1_EZB_1*((dagenperjaar1-VLOOKUP(B14,dagsoorttabel1,2,FALSE))-catfd_1_EZV_40)/catpn_1_EZB_1+catdw_1_EZV_40*catfd_1_EZV_40/catpn_1_EZV_40)/(((dagenperjaar1-VLOOKUP(B14,dagsoorttabel1,2,FALSE))-catfd_1_EZV_40)/catpn_1_EZB_1+catfd_1_EZV_40/catpn_1_EZV_40),0)</f>
        <v>0</v>
      </c>
      <c r="I14" s="20" t="s">
        <v>45</v>
      </c>
      <c r="J14" s="38">
        <f>IF(AND(catpn_1_EZB_1&gt;0,catpn_1_EZV_40&gt;0),(cattf_1_EZB_1*((dagenperjaar1*VLOOKUP(B14,dagsoorttabel1,2,FALSE))-catfd_1_EZV_40)/catpn_1_EZB_1+cattf_1_EZV_40*catfd_1_EZV_40/catpn_1_EZV_40)/(((dagenperjaar1*VLOOKUP(B14,dagsoorttabel1,2,FALSE))-catfd_1_EZV_40)/catpn_1_EZB_1+catfd_1_EZV_40/catpn_1_EZV_40),0)</f>
        <v>0</v>
      </c>
      <c r="K14" s="35">
        <f>IF(OR(ISBLANK(G14),G14=0),0,F14/ROUND(G14,4))</f>
        <v>0</v>
      </c>
      <c r="L14" s="39">
        <f>ROUND(J14,3)*K14</f>
        <v>0</v>
      </c>
      <c r="M14" s="35">
        <f>K14*dagenperjaar1</f>
        <v>0</v>
      </c>
      <c r="N14" s="39">
        <f>M14*ROUND(J14,3)</f>
        <v>0</v>
      </c>
    </row>
    <row r="15" spans="1:14" x14ac:dyDescent="0.2">
      <c r="A15" s="20" t="s">
        <v>124</v>
      </c>
      <c r="B15" s="20" t="s">
        <v>9</v>
      </c>
      <c r="C15" s="20" t="s">
        <v>116</v>
      </c>
      <c r="D15" s="20" t="s">
        <v>123</v>
      </c>
      <c r="E15" s="35">
        <v>10</v>
      </c>
      <c r="F15" s="35">
        <f>E15*VLOOKUP(B15,dagsoorttabel1,2,FALSE)</f>
        <v>11.200000000000001</v>
      </c>
      <c r="G15" s="36">
        <f>IF(AND(catpn_1_EZB_1&gt;0,catpn_1_EZV_52&gt;0),(dagenperjaar1*VLOOKUP(B15,dagsoorttabel1,2,FALSE))/(((dagenperjaar1*VLOOKUP(B15,dagsoorttabel1,2,FALSE))-catfd_1_EZV_52)/catpn_1_EZB_1+catfd_1_EZV_52/catpn_1_EZV_52),0)</f>
        <v>0</v>
      </c>
      <c r="H15" s="37">
        <f>IF(AND(catpn_1_EZB_1&gt;0,catpn_1_EZV_52&gt;0),(catdw_1_EZB_1*((dagenperjaar1-VLOOKUP(B15,dagsoorttabel1,2,FALSE))-catfd_1_EZV_52)/catpn_1_EZB_1+catdw_1_EZV_52*catfd_1_EZV_52/catpn_1_EZV_52)/(((dagenperjaar1-VLOOKUP(B15,dagsoorttabel1,2,FALSE))-catfd_1_EZV_52)/catpn_1_EZB_1+catfd_1_EZV_52/catpn_1_EZV_52),0)</f>
        <v>0</v>
      </c>
      <c r="I15" s="20" t="s">
        <v>45</v>
      </c>
      <c r="J15" s="38">
        <f>IF(AND(catpn_1_EZB_1&gt;0,catpn_1_EZV_52&gt;0),(cattf_1_EZB_1*((dagenperjaar1*VLOOKUP(B15,dagsoorttabel1,2,FALSE))-catfd_1_EZV_52)/catpn_1_EZB_1+cattf_1_EZV_52*catfd_1_EZV_52/catpn_1_EZV_52)/(((dagenperjaar1*VLOOKUP(B15,dagsoorttabel1,2,FALSE))-catfd_1_EZV_52)/catpn_1_EZB_1+catfd_1_EZV_52/catpn_1_EZV_52),0)</f>
        <v>0</v>
      </c>
      <c r="K15" s="35">
        <f>IF(OR(ISBLANK(G15),G15=0),0,F15/ROUND(G15,4))</f>
        <v>0</v>
      </c>
      <c r="L15" s="39">
        <f>ROUND(J15,3)*K15</f>
        <v>0</v>
      </c>
      <c r="M15" s="35">
        <f>K15*dagenperjaar1</f>
        <v>0</v>
      </c>
      <c r="N15" s="39">
        <f>M15*ROUND(J15,3)</f>
        <v>0</v>
      </c>
    </row>
    <row r="16" spans="1:14" x14ac:dyDescent="0.2">
      <c r="A16" s="20" t="s">
        <v>125</v>
      </c>
      <c r="B16" s="20" t="s">
        <v>17</v>
      </c>
      <c r="C16" s="20" t="s">
        <v>116</v>
      </c>
      <c r="D16" s="20" t="s">
        <v>126</v>
      </c>
      <c r="E16" s="35">
        <v>166.2</v>
      </c>
      <c r="F16" s="35">
        <f>E16*VLOOKUP(B16,dagsoorttabel1,2,FALSE)</f>
        <v>86.423999999999992</v>
      </c>
      <c r="G16" s="36">
        <f>IF(AND(catpn_1_GHB_1&gt;0,catpn_1_GZV_40&gt;0),(dagenperjaar1*VLOOKUP(B16,dagsoorttabel1,2,FALSE))/(((dagenperjaar1*VLOOKUP(B16,dagsoorttabel1,2,FALSE))-catfd_1_GZV_40)/catpn_1_GHB_1+catfd_1_GZV_40/catpn_1_GZV_40),0)</f>
        <v>0</v>
      </c>
      <c r="H16" s="37">
        <f>IF(AND(catpn_1_GHB_1&gt;0,catpn_1_GZV_40&gt;0),(catdw_1_GHB_1*((dagenperjaar1-VLOOKUP(B16,dagsoorttabel1,2,FALSE))-catfd_1_GZV_40)/catpn_1_GHB_1+catdw_1_GZV_40*catfd_1_GZV_40/catpn_1_GZV_40)/(((dagenperjaar1-VLOOKUP(B16,dagsoorttabel1,2,FALSE))-catfd_1_GZV_40)/catpn_1_GHB_1+catfd_1_GZV_40/catpn_1_GZV_40),0)</f>
        <v>0</v>
      </c>
      <c r="I16" s="20" t="s">
        <v>45</v>
      </c>
      <c r="J16" s="38">
        <f>IF(AND(catpn_1_GHB_1&gt;0,catpn_1_GZV_40&gt;0),(cattf_1_GHB_1*((dagenperjaar1*VLOOKUP(B16,dagsoorttabel1,2,FALSE))-catfd_1_GZV_40)/catpn_1_GHB_1+cattf_1_GZV_40*catfd_1_GZV_40/catpn_1_GZV_40)/(((dagenperjaar1*VLOOKUP(B16,dagsoorttabel1,2,FALSE))-catfd_1_GZV_40)/catpn_1_GHB_1+catfd_1_GZV_40/catpn_1_GZV_40),0)</f>
        <v>0</v>
      </c>
      <c r="K16" s="35">
        <f>IF(OR(ISBLANK(G16),G16=0),0,F16/ROUND(G16,4))</f>
        <v>0</v>
      </c>
      <c r="L16" s="39">
        <f>ROUND(J16,3)*K16</f>
        <v>0</v>
      </c>
      <c r="M16" s="35">
        <f>K16*dagenperjaar1</f>
        <v>0</v>
      </c>
      <c r="N16" s="39">
        <f>M16*ROUND(J16,3)</f>
        <v>0</v>
      </c>
    </row>
    <row r="17" spans="1:14" x14ac:dyDescent="0.2">
      <c r="A17" s="20" t="s">
        <v>125</v>
      </c>
      <c r="B17" s="20" t="s">
        <v>11</v>
      </c>
      <c r="C17" s="20" t="s">
        <v>116</v>
      </c>
      <c r="D17" s="20" t="s">
        <v>126</v>
      </c>
      <c r="E17" s="35">
        <v>957.92000000000007</v>
      </c>
      <c r="F17" s="35">
        <f>E17*VLOOKUP(B17,dagsoorttabel1,2,FALSE)</f>
        <v>957.92000000000007</v>
      </c>
      <c r="G17" s="36">
        <f>IF(AND(catpn_1_GHB_1&gt;0,catpn_1_GHV_40&gt;0),(dagenperjaar1*VLOOKUP(B17,dagsoorttabel1,2,FALSE))/(((dagenperjaar1*VLOOKUP(B17,dagsoorttabel1,2,FALSE))-catfd_1_GHV_40)/catpn_1_GHB_1+catfd_1_GHV_40/catpn_1_GHV_40),0)</f>
        <v>0</v>
      </c>
      <c r="H17" s="37">
        <f>IF(AND(catpn_1_GHB_1&gt;0,catpn_1_GHV_40&gt;0),(catdw_1_GHB_1*((dagenperjaar1-VLOOKUP(B17,dagsoorttabel1,2,FALSE))-catfd_1_GHV_40)/catpn_1_GHB_1+catdw_1_GHV_40*catfd_1_GHV_40/catpn_1_GHV_40)/(((dagenperjaar1-VLOOKUP(B17,dagsoorttabel1,2,FALSE))-catfd_1_GHV_40)/catpn_1_GHB_1+catfd_1_GHV_40/catpn_1_GHV_40),0)</f>
        <v>0</v>
      </c>
      <c r="I17" s="20" t="s">
        <v>45</v>
      </c>
      <c r="J17" s="38">
        <f>IF(AND(catpn_1_GHB_1&gt;0,catpn_1_GHV_40&gt;0),(cattf_1_GHB_1*((dagenperjaar1*VLOOKUP(B17,dagsoorttabel1,2,FALSE))-catfd_1_GHV_40)/catpn_1_GHB_1+cattf_1_GHV_40*catfd_1_GHV_40/catpn_1_GHV_40)/(((dagenperjaar1*VLOOKUP(B17,dagsoorttabel1,2,FALSE))-catfd_1_GHV_40)/catpn_1_GHB_1+catfd_1_GHV_40/catpn_1_GHV_40),0)</f>
        <v>0</v>
      </c>
      <c r="K17" s="35">
        <f>IF(OR(ISBLANK(G17),G17=0),0,F17/ROUND(G17,4))</f>
        <v>0</v>
      </c>
      <c r="L17" s="39">
        <f>ROUND(J17,3)*K17</f>
        <v>0</v>
      </c>
      <c r="M17" s="35">
        <f>K17*dagenperjaar1</f>
        <v>0</v>
      </c>
      <c r="N17" s="39">
        <f>M17*ROUND(J17,3)</f>
        <v>0</v>
      </c>
    </row>
    <row r="18" spans="1:14" x14ac:dyDescent="0.2">
      <c r="A18" s="20" t="s">
        <v>125</v>
      </c>
      <c r="B18" s="20" t="s">
        <v>21</v>
      </c>
      <c r="C18" s="20" t="s">
        <v>116</v>
      </c>
      <c r="D18" s="20" t="s">
        <v>126</v>
      </c>
      <c r="E18" s="35">
        <v>9.8000000000000007</v>
      </c>
      <c r="F18" s="35">
        <f>E18*VLOOKUP(B18,dagsoorttabel1,2,FALSE)</f>
        <v>1.9600000000000002</v>
      </c>
      <c r="G18" s="36">
        <f>catpn_1_GHV_40</f>
        <v>0</v>
      </c>
      <c r="H18" s="37">
        <f>catdw_1_GHV_40</f>
        <v>0</v>
      </c>
      <c r="I18" s="20" t="s">
        <v>45</v>
      </c>
      <c r="J18" s="38">
        <f>cattf_1_GHV_40</f>
        <v>0</v>
      </c>
      <c r="K18" s="35">
        <f>IF(OR(ISBLANK(G18),G18=0),0,F18/ROUND(G18,4))</f>
        <v>0</v>
      </c>
      <c r="L18" s="39">
        <f>ROUND(J18,3)*K18</f>
        <v>0</v>
      </c>
      <c r="M18" s="35">
        <f>K18*dagenperjaar1</f>
        <v>0</v>
      </c>
      <c r="N18" s="39">
        <f>M18*ROUND(J18,3)</f>
        <v>0</v>
      </c>
    </row>
    <row r="19" spans="1:14" x14ac:dyDescent="0.2">
      <c r="A19" s="20" t="s">
        <v>127</v>
      </c>
      <c r="B19" s="20" t="s">
        <v>16</v>
      </c>
      <c r="C19" s="20" t="s">
        <v>116</v>
      </c>
      <c r="D19" s="20" t="s">
        <v>128</v>
      </c>
      <c r="E19" s="35">
        <v>133.36000000000001</v>
      </c>
      <c r="F19" s="35">
        <f>E19*VLOOKUP(B19,dagsoorttabel1,2,FALSE)</f>
        <v>80.016000000000005</v>
      </c>
      <c r="G19" s="36">
        <f>IF(AND(catpn_1_LHB_1&gt;0,catpn_1_LHV_40&gt;0),(dagenperjaar1*VLOOKUP(B19,dagsoorttabel1,2,FALSE))/(((dagenperjaar1*VLOOKUP(B19,dagsoorttabel1,2,FALSE))-catfd_1_LHV_40)/catpn_1_LHB_1+catfd_1_LHV_40/catpn_1_LHV_40),0)</f>
        <v>0</v>
      </c>
      <c r="H19" s="37">
        <f>IF(AND(catpn_1_LHB_1&gt;0,catpn_1_LHV_40&gt;0),(catdw_1_LHB_1*((dagenperjaar1-VLOOKUP(B19,dagsoorttabel1,2,FALSE))-catfd_1_LHV_40)/catpn_1_LHB_1+catdw_1_LHV_40*catfd_1_LHV_40/catpn_1_LHV_40)/(((dagenperjaar1-VLOOKUP(B19,dagsoorttabel1,2,FALSE))-catfd_1_LHV_40)/catpn_1_LHB_1+catfd_1_LHV_40/catpn_1_LHV_40),0)</f>
        <v>0</v>
      </c>
      <c r="I19" s="20" t="s">
        <v>45</v>
      </c>
      <c r="J19" s="38">
        <f>IF(AND(catpn_1_LHB_1&gt;0,catpn_1_LHV_40&gt;0),(cattf_1_LHB_1*((dagenperjaar1*VLOOKUP(B19,dagsoorttabel1,2,FALSE))-catfd_1_LHV_40)/catpn_1_LHB_1+cattf_1_LHV_40*catfd_1_LHV_40/catpn_1_LHV_40)/(((dagenperjaar1*VLOOKUP(B19,dagsoorttabel1,2,FALSE))-catfd_1_LHV_40)/catpn_1_LHB_1+catfd_1_LHV_40/catpn_1_LHV_40),0)</f>
        <v>0</v>
      </c>
      <c r="K19" s="35">
        <f>IF(OR(ISBLANK(G19),G19=0),0,F19/ROUND(G19,4))</f>
        <v>0</v>
      </c>
      <c r="L19" s="39">
        <f>ROUND(J19,3)*K19</f>
        <v>0</v>
      </c>
      <c r="M19" s="35">
        <f>K19*dagenperjaar1</f>
        <v>0</v>
      </c>
      <c r="N19" s="39">
        <f>M19*ROUND(J19,3)</f>
        <v>0</v>
      </c>
    </row>
    <row r="20" spans="1:14" x14ac:dyDescent="0.2">
      <c r="A20" s="20" t="s">
        <v>127</v>
      </c>
      <c r="B20" s="20" t="s">
        <v>13</v>
      </c>
      <c r="C20" s="20" t="s">
        <v>116</v>
      </c>
      <c r="D20" s="20" t="s">
        <v>128</v>
      </c>
      <c r="E20" s="35">
        <v>272.8</v>
      </c>
      <c r="F20" s="35">
        <f>E20*VLOOKUP(B20,dagsoorttabel1,2,FALSE)</f>
        <v>218.24</v>
      </c>
      <c r="G20" s="36">
        <f>IF(AND(catpn_1_LHB_1&gt;0,catpn_1_LHV_40&gt;0),(dagenperjaar1*VLOOKUP(B20,dagsoorttabel1,2,FALSE))/(((dagenperjaar1*VLOOKUP(B20,dagsoorttabel1,2,FALSE))-catfd_1_LHV_40)/catpn_1_LHB_1+catfd_1_LHV_40/catpn_1_LHV_40),0)</f>
        <v>0</v>
      </c>
      <c r="H20" s="37">
        <f>IF(AND(catpn_1_LHB_1&gt;0,catpn_1_LHV_40&gt;0),(catdw_1_LHB_1*((dagenperjaar1-VLOOKUP(B20,dagsoorttabel1,2,FALSE))-catfd_1_LHV_40)/catpn_1_LHB_1+catdw_1_LHV_40*catfd_1_LHV_40/catpn_1_LHV_40)/(((dagenperjaar1-VLOOKUP(B20,dagsoorttabel1,2,FALSE))-catfd_1_LHV_40)/catpn_1_LHB_1+catfd_1_LHV_40/catpn_1_LHV_40),0)</f>
        <v>0</v>
      </c>
      <c r="I20" s="20" t="s">
        <v>45</v>
      </c>
      <c r="J20" s="38">
        <f>IF(AND(catpn_1_LHB_1&gt;0,catpn_1_LHV_40&gt;0),(cattf_1_LHB_1*((dagenperjaar1*VLOOKUP(B20,dagsoorttabel1,2,FALSE))-catfd_1_LHV_40)/catpn_1_LHB_1+cattf_1_LHV_40*catfd_1_LHV_40/catpn_1_LHV_40)/(((dagenperjaar1*VLOOKUP(B20,dagsoorttabel1,2,FALSE))-catfd_1_LHV_40)/catpn_1_LHB_1+catfd_1_LHV_40/catpn_1_LHV_40),0)</f>
        <v>0</v>
      </c>
      <c r="K20" s="35">
        <f>IF(OR(ISBLANK(G20),G20=0),0,F20/ROUND(G20,4))</f>
        <v>0</v>
      </c>
      <c r="L20" s="39">
        <f>ROUND(J20,3)*K20</f>
        <v>0</v>
      </c>
      <c r="M20" s="35">
        <f>K20*dagenperjaar1</f>
        <v>0</v>
      </c>
      <c r="N20" s="39">
        <f>M20*ROUND(J20,3)</f>
        <v>0</v>
      </c>
    </row>
    <row r="21" spans="1:14" x14ac:dyDescent="0.2">
      <c r="A21" s="20" t="s">
        <v>127</v>
      </c>
      <c r="B21" s="20" t="s">
        <v>11</v>
      </c>
      <c r="C21" s="20" t="s">
        <v>116</v>
      </c>
      <c r="D21" s="20" t="s">
        <v>128</v>
      </c>
      <c r="E21" s="35">
        <v>7215.1599999999989</v>
      </c>
      <c r="F21" s="35">
        <f>E21*VLOOKUP(B21,dagsoorttabel1,2,FALSE)</f>
        <v>7215.1599999999989</v>
      </c>
      <c r="G21" s="36">
        <f>IF(AND(catpn_1_LHB_1&gt;0,catpn_1_LHV_40&gt;0),(dagenperjaar1*VLOOKUP(B21,dagsoorttabel1,2,FALSE))/(((dagenperjaar1*VLOOKUP(B21,dagsoorttabel1,2,FALSE))-catfd_1_LHV_40)/catpn_1_LHB_1+catfd_1_LHV_40/catpn_1_LHV_40),0)</f>
        <v>0</v>
      </c>
      <c r="H21" s="37">
        <f>IF(AND(catpn_1_LHB_1&gt;0,catpn_1_LHV_40&gt;0),(catdw_1_LHB_1*((dagenperjaar1-VLOOKUP(B21,dagsoorttabel1,2,FALSE))-catfd_1_LHV_40)/catpn_1_LHB_1+catdw_1_LHV_40*catfd_1_LHV_40/catpn_1_LHV_40)/(((dagenperjaar1-VLOOKUP(B21,dagsoorttabel1,2,FALSE))-catfd_1_LHV_40)/catpn_1_LHB_1+catfd_1_LHV_40/catpn_1_LHV_40),0)</f>
        <v>0</v>
      </c>
      <c r="I21" s="20" t="s">
        <v>45</v>
      </c>
      <c r="J21" s="38">
        <f>IF(AND(catpn_1_LHB_1&gt;0,catpn_1_LHV_40&gt;0),(cattf_1_LHB_1*((dagenperjaar1*VLOOKUP(B21,dagsoorttabel1,2,FALSE))-catfd_1_LHV_40)/catpn_1_LHB_1+cattf_1_LHV_40*catfd_1_LHV_40/catpn_1_LHV_40)/(((dagenperjaar1*VLOOKUP(B21,dagsoorttabel1,2,FALSE))-catfd_1_LHV_40)/catpn_1_LHB_1+catfd_1_LHV_40/catpn_1_LHV_40),0)</f>
        <v>0</v>
      </c>
      <c r="K21" s="35">
        <f>IF(OR(ISBLANK(G21),G21=0),0,F21/ROUND(G21,4))</f>
        <v>0</v>
      </c>
      <c r="L21" s="39">
        <f>ROUND(J21,3)*K21</f>
        <v>0</v>
      </c>
      <c r="M21" s="35">
        <f>K21*dagenperjaar1</f>
        <v>0</v>
      </c>
      <c r="N21" s="39">
        <f>M21*ROUND(J21,3)</f>
        <v>0</v>
      </c>
    </row>
    <row r="22" spans="1:14" x14ac:dyDescent="0.2">
      <c r="A22" s="20" t="s">
        <v>127</v>
      </c>
      <c r="B22" s="20" t="s">
        <v>21</v>
      </c>
      <c r="C22" s="20" t="s">
        <v>116</v>
      </c>
      <c r="D22" s="20" t="s">
        <v>128</v>
      </c>
      <c r="E22" s="35">
        <v>286.27</v>
      </c>
      <c r="F22" s="35">
        <f>E22*VLOOKUP(B22,dagsoorttabel1,2,FALSE)</f>
        <v>57.253999999999998</v>
      </c>
      <c r="G22" s="36">
        <f>catpn_1_LHV_40</f>
        <v>0</v>
      </c>
      <c r="H22" s="37">
        <f>catdw_1_LHV_40</f>
        <v>0</v>
      </c>
      <c r="I22" s="20" t="s">
        <v>45</v>
      </c>
      <c r="J22" s="38">
        <f>cattf_1_LHV_40</f>
        <v>0</v>
      </c>
      <c r="K22" s="35">
        <f>IF(OR(ISBLANK(G22),G22=0),0,F22/ROUND(G22,4))</f>
        <v>0</v>
      </c>
      <c r="L22" s="39">
        <f>ROUND(J22,3)*K22</f>
        <v>0</v>
      </c>
      <c r="M22" s="35">
        <f>K22*dagenperjaar1</f>
        <v>0</v>
      </c>
      <c r="N22" s="39">
        <f>M22*ROUND(J22,3)</f>
        <v>0</v>
      </c>
    </row>
    <row r="23" spans="1:14" x14ac:dyDescent="0.2">
      <c r="A23" s="20" t="s">
        <v>127</v>
      </c>
      <c r="B23" s="20" t="s">
        <v>19</v>
      </c>
      <c r="C23" s="20" t="s">
        <v>116</v>
      </c>
      <c r="D23" s="20" t="s">
        <v>128</v>
      </c>
      <c r="E23" s="35">
        <v>97.2</v>
      </c>
      <c r="F23" s="35">
        <f>E23*VLOOKUP(B23,dagsoorttabel1,2,FALSE)</f>
        <v>38.880000000000003</v>
      </c>
      <c r="G23" s="36">
        <f>IF(AND(catpn_1_LHB_1&gt;0,catpn_1_LHV_40&gt;0),(dagenperjaar1*VLOOKUP(B23,dagsoorttabel1,2,FALSE))/(((dagenperjaar1*VLOOKUP(B23,dagsoorttabel1,2,FALSE))-catfd_1_LHV_40)/catpn_1_LHB_1+catfd_1_LHV_40/catpn_1_LHV_40),0)</f>
        <v>0</v>
      </c>
      <c r="H23" s="37">
        <f>IF(AND(catpn_1_LHB_1&gt;0,catpn_1_LHV_40&gt;0),(catdw_1_LHB_1*((dagenperjaar1-VLOOKUP(B23,dagsoorttabel1,2,FALSE))-catfd_1_LHV_40)/catpn_1_LHB_1+catdw_1_LHV_40*catfd_1_LHV_40/catpn_1_LHV_40)/(((dagenperjaar1-VLOOKUP(B23,dagsoorttabel1,2,FALSE))-catfd_1_LHV_40)/catpn_1_LHB_1+catfd_1_LHV_40/catpn_1_LHV_40),0)</f>
        <v>0</v>
      </c>
      <c r="I23" s="20" t="s">
        <v>45</v>
      </c>
      <c r="J23" s="38">
        <f>IF(AND(catpn_1_LHB_1&gt;0,catpn_1_LHV_40&gt;0),(cattf_1_LHB_1*((dagenperjaar1*VLOOKUP(B23,dagsoorttabel1,2,FALSE))-catfd_1_LHV_40)/catpn_1_LHB_1+cattf_1_LHV_40*catfd_1_LHV_40/catpn_1_LHV_40)/(((dagenperjaar1*VLOOKUP(B23,dagsoorttabel1,2,FALSE))-catfd_1_LHV_40)/catpn_1_LHB_1+catfd_1_LHV_40/catpn_1_LHV_40),0)</f>
        <v>0</v>
      </c>
      <c r="K23" s="35">
        <f>IF(OR(ISBLANK(G23),G23=0),0,F23/ROUND(G23,4))</f>
        <v>0</v>
      </c>
      <c r="L23" s="39">
        <f>ROUND(J23,3)*K23</f>
        <v>0</v>
      </c>
      <c r="M23" s="35">
        <f>K23*dagenperjaar1</f>
        <v>0</v>
      </c>
      <c r="N23" s="39">
        <f>M23*ROUND(J23,3)</f>
        <v>0</v>
      </c>
    </row>
    <row r="24" spans="1:14" x14ac:dyDescent="0.2">
      <c r="A24" s="20" t="s">
        <v>129</v>
      </c>
      <c r="B24" s="20" t="s">
        <v>16</v>
      </c>
      <c r="C24" s="20" t="s">
        <v>116</v>
      </c>
      <c r="D24" s="20" t="s">
        <v>128</v>
      </c>
      <c r="E24" s="35">
        <v>28.2</v>
      </c>
      <c r="F24" s="35">
        <f>E24*VLOOKUP(B24,dagsoorttabel1,2,FALSE)</f>
        <v>16.919999999999998</v>
      </c>
      <c r="G24" s="36">
        <f>IF(AND(catpn_1_LZB_1&gt;0,catpn_1_LZV_40&gt;0),(dagenperjaar1*VLOOKUP(B24,dagsoorttabel1,2,FALSE))/(((dagenperjaar1*VLOOKUP(B24,dagsoorttabel1,2,FALSE))-catfd_1_LZV_40)/catpn_1_LZB_1+catfd_1_LZV_40/catpn_1_LZV_40),0)</f>
        <v>0</v>
      </c>
      <c r="H24" s="37">
        <f>IF(AND(catpn_1_LZB_1&gt;0,catpn_1_LZV_40&gt;0),(catdw_1_LZB_1*((dagenperjaar1-VLOOKUP(B24,dagsoorttabel1,2,FALSE))-catfd_1_LZV_40)/catpn_1_LZB_1+catdw_1_LZV_40*catfd_1_LZV_40/catpn_1_LZV_40)/(((dagenperjaar1-VLOOKUP(B24,dagsoorttabel1,2,FALSE))-catfd_1_LZV_40)/catpn_1_LZB_1+catfd_1_LZV_40/catpn_1_LZV_40),0)</f>
        <v>0</v>
      </c>
      <c r="I24" s="20" t="s">
        <v>45</v>
      </c>
      <c r="J24" s="38">
        <f>IF(AND(catpn_1_LZB_1&gt;0,catpn_1_LZV_40&gt;0),(cattf_1_LZB_1*((dagenperjaar1*VLOOKUP(B24,dagsoorttabel1,2,FALSE))-catfd_1_LZV_40)/catpn_1_LZB_1+cattf_1_LZV_40*catfd_1_LZV_40/catpn_1_LZV_40)/(((dagenperjaar1*VLOOKUP(B24,dagsoorttabel1,2,FALSE))-catfd_1_LZV_40)/catpn_1_LZB_1+catfd_1_LZV_40/catpn_1_LZV_40),0)</f>
        <v>0</v>
      </c>
      <c r="K24" s="35">
        <f>IF(OR(ISBLANK(G24),G24=0),0,F24/ROUND(G24,4))</f>
        <v>0</v>
      </c>
      <c r="L24" s="39">
        <f>ROUND(J24,3)*K24</f>
        <v>0</v>
      </c>
      <c r="M24" s="35">
        <f>K24*dagenperjaar1</f>
        <v>0</v>
      </c>
      <c r="N24" s="39">
        <f>M24*ROUND(J24,3)</f>
        <v>0</v>
      </c>
    </row>
    <row r="25" spans="1:14" x14ac:dyDescent="0.2">
      <c r="A25" s="20" t="s">
        <v>129</v>
      </c>
      <c r="B25" s="20" t="s">
        <v>11</v>
      </c>
      <c r="C25" s="20" t="s">
        <v>116</v>
      </c>
      <c r="D25" s="20" t="s">
        <v>128</v>
      </c>
      <c r="E25" s="35">
        <v>818.32</v>
      </c>
      <c r="F25" s="35">
        <f>E25*VLOOKUP(B25,dagsoorttabel1,2,FALSE)</f>
        <v>818.32</v>
      </c>
      <c r="G25" s="36">
        <f>IF(AND(catpn_1_LZB_1&gt;0,catpn_1_LZV_40&gt;0),(dagenperjaar1*VLOOKUP(B25,dagsoorttabel1,2,FALSE))/(((dagenperjaar1*VLOOKUP(B25,dagsoorttabel1,2,FALSE))-catfd_1_LZV_40)/catpn_1_LZB_1+catfd_1_LZV_40/catpn_1_LZV_40),0)</f>
        <v>0</v>
      </c>
      <c r="H25" s="37">
        <f>IF(AND(catpn_1_LZB_1&gt;0,catpn_1_LZV_40&gt;0),(catdw_1_LZB_1*((dagenperjaar1-VLOOKUP(B25,dagsoorttabel1,2,FALSE))-catfd_1_LZV_40)/catpn_1_LZB_1+catdw_1_LZV_40*catfd_1_LZV_40/catpn_1_LZV_40)/(((dagenperjaar1-VLOOKUP(B25,dagsoorttabel1,2,FALSE))-catfd_1_LZV_40)/catpn_1_LZB_1+catfd_1_LZV_40/catpn_1_LZV_40),0)</f>
        <v>0</v>
      </c>
      <c r="I25" s="20" t="s">
        <v>45</v>
      </c>
      <c r="J25" s="38">
        <f>IF(AND(catpn_1_LZB_1&gt;0,catpn_1_LZV_40&gt;0),(cattf_1_LZB_1*((dagenperjaar1*VLOOKUP(B25,dagsoorttabel1,2,FALSE))-catfd_1_LZV_40)/catpn_1_LZB_1+cattf_1_LZV_40*catfd_1_LZV_40/catpn_1_LZV_40)/(((dagenperjaar1*VLOOKUP(B25,dagsoorttabel1,2,FALSE))-catfd_1_LZV_40)/catpn_1_LZB_1+catfd_1_LZV_40/catpn_1_LZV_40),0)</f>
        <v>0</v>
      </c>
      <c r="K25" s="35">
        <f>IF(OR(ISBLANK(G25),G25=0),0,F25/ROUND(G25,4))</f>
        <v>0</v>
      </c>
      <c r="L25" s="39">
        <f>ROUND(J25,3)*K25</f>
        <v>0</v>
      </c>
      <c r="M25" s="35">
        <f>K25*dagenperjaar1</f>
        <v>0</v>
      </c>
      <c r="N25" s="39">
        <f>M25*ROUND(J25,3)</f>
        <v>0</v>
      </c>
    </row>
    <row r="26" spans="1:14" x14ac:dyDescent="0.2">
      <c r="A26" s="20" t="s">
        <v>130</v>
      </c>
      <c r="B26" s="20" t="s">
        <v>11</v>
      </c>
      <c r="C26" s="20" t="s">
        <v>116</v>
      </c>
      <c r="D26" s="20" t="s">
        <v>131</v>
      </c>
      <c r="E26" s="35">
        <v>80.56</v>
      </c>
      <c r="F26" s="35">
        <f>E26*VLOOKUP(B26,dagsoorttabel1,2,FALSE)</f>
        <v>80.56</v>
      </c>
      <c r="G26" s="36">
        <f>IF(AND(catpn_1_PHB_1&gt;0,catpn_1_PHV_40&gt;0),(dagenperjaar1*VLOOKUP(B26,dagsoorttabel1,2,FALSE))/(((dagenperjaar1*VLOOKUP(B26,dagsoorttabel1,2,FALSE))-catfd_1_PHV_40)/catpn_1_PHB_1+catfd_1_PHV_40/catpn_1_PHV_40),0)</f>
        <v>0</v>
      </c>
      <c r="H26" s="37">
        <f>IF(AND(catpn_1_PHB_1&gt;0,catpn_1_PHV_40&gt;0),(catdw_1_PHB_1*((dagenperjaar1-VLOOKUP(B26,dagsoorttabel1,2,FALSE))-catfd_1_PHV_40)/catpn_1_PHB_1+catdw_1_PHV_40*catfd_1_PHV_40/catpn_1_PHV_40)/(((dagenperjaar1-VLOOKUP(B26,dagsoorttabel1,2,FALSE))-catfd_1_PHV_40)/catpn_1_PHB_1+catfd_1_PHV_40/catpn_1_PHV_40),0)</f>
        <v>0</v>
      </c>
      <c r="I26" s="20" t="s">
        <v>45</v>
      </c>
      <c r="J26" s="38">
        <f>IF(AND(catpn_1_PHB_1&gt;0,catpn_1_PHV_40&gt;0),(cattf_1_PHB_1*((dagenperjaar1*VLOOKUP(B26,dagsoorttabel1,2,FALSE))-catfd_1_PHV_40)/catpn_1_PHB_1+cattf_1_PHV_40*catfd_1_PHV_40/catpn_1_PHV_40)/(((dagenperjaar1*VLOOKUP(B26,dagsoorttabel1,2,FALSE))-catfd_1_PHV_40)/catpn_1_PHB_1+catfd_1_PHV_40/catpn_1_PHV_40),0)</f>
        <v>0</v>
      </c>
      <c r="K26" s="35">
        <f>IF(OR(ISBLANK(G26),G26=0),0,F26/ROUND(G26,4))</f>
        <v>0</v>
      </c>
      <c r="L26" s="39">
        <f>ROUND(J26,3)*K26</f>
        <v>0</v>
      </c>
      <c r="M26" s="35">
        <f>K26*dagenperjaar1</f>
        <v>0</v>
      </c>
      <c r="N26" s="39">
        <f>M26*ROUND(J26,3)</f>
        <v>0</v>
      </c>
    </row>
    <row r="27" spans="1:14" x14ac:dyDescent="0.2">
      <c r="A27" s="20" t="s">
        <v>132</v>
      </c>
      <c r="B27" s="20" t="s">
        <v>14</v>
      </c>
      <c r="C27" s="20" t="s">
        <v>116</v>
      </c>
      <c r="D27" s="20" t="s">
        <v>133</v>
      </c>
      <c r="E27" s="35">
        <v>10.6</v>
      </c>
      <c r="F27" s="35">
        <f>E27*VLOOKUP(B27,dagsoorttabel1,2,FALSE)</f>
        <v>8.2680000000000007</v>
      </c>
      <c r="G27" s="36">
        <f>IF(AND(catpn_1_SHB_1&gt;0,catpn_1_SHV_52&gt;0),(dagenperjaar1*VLOOKUP(B27,dagsoorttabel1,2,FALSE))/(((dagenperjaar1*VLOOKUP(B27,dagsoorttabel1,2,FALSE))-catfd_1_SHV_52)/catpn_1_SHB_1+catfd_1_SHV_52/catpn_1_SHV_52),0)</f>
        <v>0</v>
      </c>
      <c r="H27" s="37">
        <f>IF(AND(catpn_1_SHB_1&gt;0,catpn_1_SHV_52&gt;0),(catdw_1_SHB_1*((dagenperjaar1-VLOOKUP(B27,dagsoorttabel1,2,FALSE))-catfd_1_SHV_52)/catpn_1_SHB_1+catdw_1_SHV_52*catfd_1_SHV_52/catpn_1_SHV_52)/(((dagenperjaar1-VLOOKUP(B27,dagsoorttabel1,2,FALSE))-catfd_1_SHV_52)/catpn_1_SHB_1+catfd_1_SHV_52/catpn_1_SHV_52),0)</f>
        <v>0</v>
      </c>
      <c r="I27" s="20" t="s">
        <v>45</v>
      </c>
      <c r="J27" s="38">
        <f>IF(AND(catpn_1_SHB_1&gt;0,catpn_1_SHV_52&gt;0),(cattf_1_SHB_1*((dagenperjaar1*VLOOKUP(B27,dagsoorttabel1,2,FALSE))-catfd_1_SHV_52)/catpn_1_SHB_1+cattf_1_SHV_52*catfd_1_SHV_52/catpn_1_SHV_52)/(((dagenperjaar1*VLOOKUP(B27,dagsoorttabel1,2,FALSE))-catfd_1_SHV_52)/catpn_1_SHB_1+catfd_1_SHV_52/catpn_1_SHV_52),0)</f>
        <v>0</v>
      </c>
      <c r="K27" s="35">
        <f>IF(OR(ISBLANK(G27),G27=0),0,F27/ROUND(G27,4))</f>
        <v>0</v>
      </c>
      <c r="L27" s="39">
        <f>ROUND(J27,3)*K27</f>
        <v>0</v>
      </c>
      <c r="M27" s="35">
        <f>K27*dagenperjaar1</f>
        <v>0</v>
      </c>
      <c r="N27" s="39">
        <f>M27*ROUND(J27,3)</f>
        <v>0</v>
      </c>
    </row>
    <row r="28" spans="1:14" x14ac:dyDescent="0.2">
      <c r="A28" s="20" t="s">
        <v>132</v>
      </c>
      <c r="B28" s="20" t="s">
        <v>13</v>
      </c>
      <c r="C28" s="20" t="s">
        <v>116</v>
      </c>
      <c r="D28" s="20" t="s">
        <v>133</v>
      </c>
      <c r="E28" s="35">
        <v>5.3</v>
      </c>
      <c r="F28" s="35">
        <f>E28*VLOOKUP(B28,dagsoorttabel1,2,FALSE)</f>
        <v>4.24</v>
      </c>
      <c r="G28" s="36">
        <f>IF(AND(catpn_1_SHB_1&gt;0,catpn_1_SHV_40&gt;0),(dagenperjaar1*VLOOKUP(B28,dagsoorttabel1,2,FALSE))/(((dagenperjaar1*VLOOKUP(B28,dagsoorttabel1,2,FALSE))-catfd_1_SHV_40)/catpn_1_SHB_1+catfd_1_SHV_40/catpn_1_SHV_40),0)</f>
        <v>0</v>
      </c>
      <c r="H28" s="37">
        <f>IF(AND(catpn_1_SHB_1&gt;0,catpn_1_SHV_40&gt;0),(catdw_1_SHB_1*((dagenperjaar1-VLOOKUP(B28,dagsoorttabel1,2,FALSE))-catfd_1_SHV_40)/catpn_1_SHB_1+catdw_1_SHV_40*catfd_1_SHV_40/catpn_1_SHV_40)/(((dagenperjaar1-VLOOKUP(B28,dagsoorttabel1,2,FALSE))-catfd_1_SHV_40)/catpn_1_SHB_1+catfd_1_SHV_40/catpn_1_SHV_40),0)</f>
        <v>0</v>
      </c>
      <c r="I28" s="20" t="s">
        <v>45</v>
      </c>
      <c r="J28" s="38">
        <f>IF(AND(catpn_1_SHB_1&gt;0,catpn_1_SHV_40&gt;0),(cattf_1_SHB_1*((dagenperjaar1*VLOOKUP(B28,dagsoorttabel1,2,FALSE))-catfd_1_SHV_40)/catpn_1_SHB_1+cattf_1_SHV_40*catfd_1_SHV_40/catpn_1_SHV_40)/(((dagenperjaar1*VLOOKUP(B28,dagsoorttabel1,2,FALSE))-catfd_1_SHV_40)/catpn_1_SHB_1+catfd_1_SHV_40/catpn_1_SHV_40),0)</f>
        <v>0</v>
      </c>
      <c r="K28" s="35">
        <f>IF(OR(ISBLANK(G28),G28=0),0,F28/ROUND(G28,4))</f>
        <v>0</v>
      </c>
      <c r="L28" s="39">
        <f>ROUND(J28,3)*K28</f>
        <v>0</v>
      </c>
      <c r="M28" s="35">
        <f>K28*dagenperjaar1</f>
        <v>0</v>
      </c>
      <c r="N28" s="39">
        <f>M28*ROUND(J28,3)</f>
        <v>0</v>
      </c>
    </row>
    <row r="29" spans="1:14" x14ac:dyDescent="0.2">
      <c r="A29" s="20" t="s">
        <v>132</v>
      </c>
      <c r="B29" s="20" t="s">
        <v>11</v>
      </c>
      <c r="C29" s="20" t="s">
        <v>116</v>
      </c>
      <c r="D29" s="20" t="s">
        <v>133</v>
      </c>
      <c r="E29" s="35">
        <v>720.96</v>
      </c>
      <c r="F29" s="35">
        <f>E29*VLOOKUP(B29,dagsoorttabel1,2,FALSE)</f>
        <v>720.96</v>
      </c>
      <c r="G29" s="36">
        <f>IF(AND(catpn_1_SHB_1&gt;0,catpn_1_SHV_40&gt;0),(dagenperjaar1*VLOOKUP(B29,dagsoorttabel1,2,FALSE))/(((dagenperjaar1*VLOOKUP(B29,dagsoorttabel1,2,FALSE))-catfd_1_SHV_40)/catpn_1_SHB_1+catfd_1_SHV_40/catpn_1_SHV_40),0)</f>
        <v>0</v>
      </c>
      <c r="H29" s="37">
        <f>IF(AND(catpn_1_SHB_1&gt;0,catpn_1_SHV_40&gt;0),(catdw_1_SHB_1*((dagenperjaar1-VLOOKUP(B29,dagsoorttabel1,2,FALSE))-catfd_1_SHV_40)/catpn_1_SHB_1+catdw_1_SHV_40*catfd_1_SHV_40/catpn_1_SHV_40)/(((dagenperjaar1-VLOOKUP(B29,dagsoorttabel1,2,FALSE))-catfd_1_SHV_40)/catpn_1_SHB_1+catfd_1_SHV_40/catpn_1_SHV_40),0)</f>
        <v>0</v>
      </c>
      <c r="I29" s="20" t="s">
        <v>45</v>
      </c>
      <c r="J29" s="38">
        <f>IF(AND(catpn_1_SHB_1&gt;0,catpn_1_SHV_40&gt;0),(cattf_1_SHB_1*((dagenperjaar1*VLOOKUP(B29,dagsoorttabel1,2,FALSE))-catfd_1_SHV_40)/catpn_1_SHB_1+cattf_1_SHV_40*catfd_1_SHV_40/catpn_1_SHV_40)/(((dagenperjaar1*VLOOKUP(B29,dagsoorttabel1,2,FALSE))-catfd_1_SHV_40)/catpn_1_SHB_1+catfd_1_SHV_40/catpn_1_SHV_40),0)</f>
        <v>0</v>
      </c>
      <c r="K29" s="35">
        <f>IF(OR(ISBLANK(G29),G29=0),0,F29/ROUND(G29,4))</f>
        <v>0</v>
      </c>
      <c r="L29" s="39">
        <f>ROUND(J29,3)*K29</f>
        <v>0</v>
      </c>
      <c r="M29" s="35">
        <f>K29*dagenperjaar1</f>
        <v>0</v>
      </c>
      <c r="N29" s="39">
        <f>M29*ROUND(J29,3)</f>
        <v>0</v>
      </c>
    </row>
    <row r="30" spans="1:14" x14ac:dyDescent="0.2">
      <c r="A30" s="20" t="s">
        <v>132</v>
      </c>
      <c r="B30" s="20" t="s">
        <v>21</v>
      </c>
      <c r="C30" s="20" t="s">
        <v>116</v>
      </c>
      <c r="D30" s="20" t="s">
        <v>133</v>
      </c>
      <c r="E30" s="35">
        <v>6.7</v>
      </c>
      <c r="F30" s="35">
        <f>E30*VLOOKUP(B30,dagsoorttabel1,2,FALSE)</f>
        <v>1.34</v>
      </c>
      <c r="G30" s="36">
        <f>IF(AND(catpn_1_SHB_1&gt;0,catpn_1_SHV_40&gt;0),(dagenperjaar1*VLOOKUP(B30,dagsoorttabel1,2,FALSE))/(((dagenperjaar1*VLOOKUP(B30,dagsoorttabel1,2,FALSE))-catfd_1_SHV_40)/catpn_1_SHB_1+catfd_1_SHV_40/catpn_1_SHV_40),0)</f>
        <v>0</v>
      </c>
      <c r="H30" s="37">
        <f>IF(AND(catpn_1_SHB_1&gt;0,catpn_1_SHV_40&gt;0),(catdw_1_SHB_1*((dagenperjaar1-VLOOKUP(B30,dagsoorttabel1,2,FALSE))-catfd_1_SHV_40)/catpn_1_SHB_1+catdw_1_SHV_40*catfd_1_SHV_40/catpn_1_SHV_40)/(((dagenperjaar1-VLOOKUP(B30,dagsoorttabel1,2,FALSE))-catfd_1_SHV_40)/catpn_1_SHB_1+catfd_1_SHV_40/catpn_1_SHV_40),0)</f>
        <v>0</v>
      </c>
      <c r="I30" s="20" t="s">
        <v>45</v>
      </c>
      <c r="J30" s="38">
        <f>IF(AND(catpn_1_SHB_1&gt;0,catpn_1_SHV_40&gt;0),(cattf_1_SHB_1*((dagenperjaar1*VLOOKUP(B30,dagsoorttabel1,2,FALSE))-catfd_1_SHV_40)/catpn_1_SHB_1+cattf_1_SHV_40*catfd_1_SHV_40/catpn_1_SHV_40)/(((dagenperjaar1*VLOOKUP(B30,dagsoorttabel1,2,FALSE))-catfd_1_SHV_40)/catpn_1_SHB_1+catfd_1_SHV_40/catpn_1_SHV_40),0)</f>
        <v>0</v>
      </c>
      <c r="K30" s="35">
        <f>IF(OR(ISBLANK(G30),G30=0),0,F30/ROUND(G30,4))</f>
        <v>0</v>
      </c>
      <c r="L30" s="39">
        <f>ROUND(J30,3)*K30</f>
        <v>0</v>
      </c>
      <c r="M30" s="35">
        <f>K30*dagenperjaar1</f>
        <v>0</v>
      </c>
      <c r="N30" s="39">
        <f>M30*ROUND(J30,3)</f>
        <v>0</v>
      </c>
    </row>
    <row r="31" spans="1:14" x14ac:dyDescent="0.2">
      <c r="A31" s="20" t="s">
        <v>134</v>
      </c>
      <c r="B31" s="20" t="s">
        <v>11</v>
      </c>
      <c r="C31" s="20" t="s">
        <v>116</v>
      </c>
      <c r="D31" s="20" t="s">
        <v>135</v>
      </c>
      <c r="E31" s="35">
        <v>7.85</v>
      </c>
      <c r="F31" s="35">
        <f>E31*VLOOKUP(B31,dagsoorttabel1,2,FALSE)</f>
        <v>7.85</v>
      </c>
      <c r="G31" s="36">
        <f>IF(AND(catpn_1_THB_1&gt;0,catpn_1_THV_40&gt;0),(dagenperjaar1*VLOOKUP(B31,dagsoorttabel1,2,FALSE))/(((dagenperjaar1*VLOOKUP(B31,dagsoorttabel1,2,FALSE))-catfd_1_THV_40)/catpn_1_THB_1+catfd_1_THV_40/catpn_1_THV_40),0)</f>
        <v>0</v>
      </c>
      <c r="H31" s="37">
        <f>IF(AND(catpn_1_THB_1&gt;0,catpn_1_THV_40&gt;0),(catdw_1_THB_1*((dagenperjaar1-VLOOKUP(B31,dagsoorttabel1,2,FALSE))-catfd_1_THV_40)/catpn_1_THB_1+catdw_1_THV_40*catfd_1_THV_40/catpn_1_THV_40)/(((dagenperjaar1-VLOOKUP(B31,dagsoorttabel1,2,FALSE))-catfd_1_THV_40)/catpn_1_THB_1+catfd_1_THV_40/catpn_1_THV_40),0)</f>
        <v>0</v>
      </c>
      <c r="I31" s="20" t="s">
        <v>45</v>
      </c>
      <c r="J31" s="38">
        <f>IF(AND(catpn_1_THB_1&gt;0,catpn_1_THV_40&gt;0),(cattf_1_THB_1*((dagenperjaar1*VLOOKUP(B31,dagsoorttabel1,2,FALSE))-catfd_1_THV_40)/catpn_1_THB_1+cattf_1_THV_40*catfd_1_THV_40/catpn_1_THV_40)/(((dagenperjaar1*VLOOKUP(B31,dagsoorttabel1,2,FALSE))-catfd_1_THV_40)/catpn_1_THB_1+catfd_1_THV_40/catpn_1_THV_40),0)</f>
        <v>0</v>
      </c>
      <c r="K31" s="35">
        <f>IF(OR(ISBLANK(G31),G31=0),0,F31/ROUND(G31,4))</f>
        <v>0</v>
      </c>
      <c r="L31" s="39">
        <f>ROUND(J31,3)*K31</f>
        <v>0</v>
      </c>
      <c r="M31" s="35">
        <f>K31*dagenperjaar1</f>
        <v>0</v>
      </c>
      <c r="N31" s="39">
        <f>M31*ROUND(J31,3)</f>
        <v>0</v>
      </c>
    </row>
    <row r="32" spans="1:14" x14ac:dyDescent="0.2">
      <c r="A32" s="20" t="s">
        <v>136</v>
      </c>
      <c r="B32" s="20" t="s">
        <v>11</v>
      </c>
      <c r="C32" s="20" t="s">
        <v>116</v>
      </c>
      <c r="D32" s="20" t="s">
        <v>137</v>
      </c>
      <c r="E32" s="35">
        <v>2814.07</v>
      </c>
      <c r="F32" s="35">
        <f>E32*VLOOKUP(B32,dagsoorttabel1,2,FALSE)</f>
        <v>2814.07</v>
      </c>
      <c r="G32" s="36">
        <f>IF(AND(catpn_1_VHB_1&gt;0,catpn_1_VHV_40&gt;0),(dagenperjaar1*VLOOKUP(B32,dagsoorttabel1,2,FALSE))/(((dagenperjaar1*VLOOKUP(B32,dagsoorttabel1,2,FALSE))-catfd_1_VHV_40)/catpn_1_VHB_1+catfd_1_VHV_40/catpn_1_VHV_40),0)</f>
        <v>0</v>
      </c>
      <c r="H32" s="37">
        <f>IF(AND(catpn_1_VHB_1&gt;0,catpn_1_VHV_40&gt;0),(catdw_1_VHB_1*((dagenperjaar1-VLOOKUP(B32,dagsoorttabel1,2,FALSE))-catfd_1_VHV_40)/catpn_1_VHB_1+catdw_1_VHV_40*catfd_1_VHV_40/catpn_1_VHV_40)/(((dagenperjaar1-VLOOKUP(B32,dagsoorttabel1,2,FALSE))-catfd_1_VHV_40)/catpn_1_VHB_1+catfd_1_VHV_40/catpn_1_VHV_40),0)</f>
        <v>0</v>
      </c>
      <c r="I32" s="20" t="s">
        <v>45</v>
      </c>
      <c r="J32" s="38">
        <f>IF(AND(catpn_1_VHB_1&gt;0,catpn_1_VHV_40&gt;0),(cattf_1_VHB_1*((dagenperjaar1*VLOOKUP(B32,dagsoorttabel1,2,FALSE))-catfd_1_VHV_40)/catpn_1_VHB_1+cattf_1_VHV_40*catfd_1_VHV_40/catpn_1_VHV_40)/(((dagenperjaar1*VLOOKUP(B32,dagsoorttabel1,2,FALSE))-catfd_1_VHV_40)/catpn_1_VHB_1+catfd_1_VHV_40/catpn_1_VHV_40),0)</f>
        <v>0</v>
      </c>
      <c r="K32" s="35">
        <f>IF(OR(ISBLANK(G32),G32=0),0,F32/ROUND(G32,4))</f>
        <v>0</v>
      </c>
      <c r="L32" s="39">
        <f>ROUND(J32,3)*K32</f>
        <v>0</v>
      </c>
      <c r="M32" s="35">
        <f>K32*dagenperjaar1</f>
        <v>0</v>
      </c>
      <c r="N32" s="39">
        <f>M32*ROUND(J32,3)</f>
        <v>0</v>
      </c>
    </row>
    <row r="33" spans="1:14" x14ac:dyDescent="0.2">
      <c r="A33" s="20" t="s">
        <v>136</v>
      </c>
      <c r="B33" s="20" t="s">
        <v>9</v>
      </c>
      <c r="C33" s="20" t="s">
        <v>116</v>
      </c>
      <c r="D33" s="20" t="s">
        <v>137</v>
      </c>
      <c r="E33" s="35">
        <v>32</v>
      </c>
      <c r="F33" s="35">
        <f>E33*VLOOKUP(B33,dagsoorttabel1,2,FALSE)</f>
        <v>35.840000000000003</v>
      </c>
      <c r="G33" s="36">
        <f>IF(AND(catpn_1_VHB_1&gt;0,catpn_1_VHV_52&gt;0),(dagenperjaar1*VLOOKUP(B33,dagsoorttabel1,2,FALSE))/(((dagenperjaar1*VLOOKUP(B33,dagsoorttabel1,2,FALSE))-catfd_1_VHV_52)/catpn_1_VHB_1+catfd_1_VHV_52/catpn_1_VHV_52),0)</f>
        <v>0</v>
      </c>
      <c r="H33" s="37">
        <f>IF(AND(catpn_1_VHB_1&gt;0,catpn_1_VHV_52&gt;0),(catdw_1_VHB_1*((dagenperjaar1-VLOOKUP(B33,dagsoorttabel1,2,FALSE))-catfd_1_VHV_52)/catpn_1_VHB_1+catdw_1_VHV_52*catfd_1_VHV_52/catpn_1_VHV_52)/(((dagenperjaar1-VLOOKUP(B33,dagsoorttabel1,2,FALSE))-catfd_1_VHV_52)/catpn_1_VHB_1+catfd_1_VHV_52/catpn_1_VHV_52),0)</f>
        <v>0</v>
      </c>
      <c r="I33" s="20" t="s">
        <v>45</v>
      </c>
      <c r="J33" s="38">
        <f>IF(AND(catpn_1_VHB_1&gt;0,catpn_1_VHV_52&gt;0),(cattf_1_VHB_1*((dagenperjaar1*VLOOKUP(B33,dagsoorttabel1,2,FALSE))-catfd_1_VHV_52)/catpn_1_VHB_1+cattf_1_VHV_52*catfd_1_VHV_52/catpn_1_VHV_52)/(((dagenperjaar1*VLOOKUP(B33,dagsoorttabel1,2,FALSE))-catfd_1_VHV_52)/catpn_1_VHB_1+catfd_1_VHV_52/catpn_1_VHV_52),0)</f>
        <v>0</v>
      </c>
      <c r="K33" s="35">
        <f>IF(OR(ISBLANK(G33),G33=0),0,F33/ROUND(G33,4))</f>
        <v>0</v>
      </c>
      <c r="L33" s="39">
        <f>ROUND(J33,3)*K33</f>
        <v>0</v>
      </c>
      <c r="M33" s="35">
        <f>K33*dagenperjaar1</f>
        <v>0</v>
      </c>
      <c r="N33" s="39">
        <f>M33*ROUND(J33,3)</f>
        <v>0</v>
      </c>
    </row>
    <row r="34" spans="1:14" x14ac:dyDescent="0.2">
      <c r="A34" s="20" t="s">
        <v>136</v>
      </c>
      <c r="B34" s="20" t="s">
        <v>21</v>
      </c>
      <c r="C34" s="20" t="s">
        <v>116</v>
      </c>
      <c r="D34" s="20" t="s">
        <v>137</v>
      </c>
      <c r="E34" s="35">
        <v>24.63</v>
      </c>
      <c r="F34" s="35">
        <f>E34*VLOOKUP(B34,dagsoorttabel1,2,FALSE)</f>
        <v>4.9260000000000002</v>
      </c>
      <c r="G34" s="36">
        <f>catpn_1_VHV_40</f>
        <v>0</v>
      </c>
      <c r="H34" s="37">
        <f>catdw_1_VHV_40</f>
        <v>0</v>
      </c>
      <c r="I34" s="20" t="s">
        <v>45</v>
      </c>
      <c r="J34" s="38">
        <f>cattf_1_VHV_40</f>
        <v>0</v>
      </c>
      <c r="K34" s="35">
        <f>IF(OR(ISBLANK(G34),G34=0),0,F34/ROUND(G34,4))</f>
        <v>0</v>
      </c>
      <c r="L34" s="39">
        <f>ROUND(J34,3)*K34</f>
        <v>0</v>
      </c>
      <c r="M34" s="35">
        <f>K34*dagenperjaar1</f>
        <v>0</v>
      </c>
      <c r="N34" s="39">
        <f>M34*ROUND(J34,3)</f>
        <v>0</v>
      </c>
    </row>
    <row r="35" spans="1:14" x14ac:dyDescent="0.2">
      <c r="A35" s="20" t="s">
        <v>136</v>
      </c>
      <c r="B35" s="20" t="s">
        <v>19</v>
      </c>
      <c r="C35" s="20" t="s">
        <v>116</v>
      </c>
      <c r="D35" s="20" t="s">
        <v>137</v>
      </c>
      <c r="E35" s="35">
        <v>55.5</v>
      </c>
      <c r="F35" s="35">
        <f>E35*VLOOKUP(B35,dagsoorttabel1,2,FALSE)</f>
        <v>22.200000000000003</v>
      </c>
      <c r="G35" s="36">
        <f>IF(AND(catpn_1_VHB_1&gt;0,catpn_1_VHV_40&gt;0),(dagenperjaar1*VLOOKUP(B35,dagsoorttabel1,2,FALSE))/(((dagenperjaar1*VLOOKUP(B35,dagsoorttabel1,2,FALSE))-catfd_1_VHV_40)/catpn_1_VHB_1+catfd_1_VHV_40/catpn_1_VHV_40),0)</f>
        <v>0</v>
      </c>
      <c r="H35" s="37">
        <f>IF(AND(catpn_1_VHB_1&gt;0,catpn_1_VHV_40&gt;0),(catdw_1_VHB_1*((dagenperjaar1-VLOOKUP(B35,dagsoorttabel1,2,FALSE))-catfd_1_VHV_40)/catpn_1_VHB_1+catdw_1_VHV_40*catfd_1_VHV_40/catpn_1_VHV_40)/(((dagenperjaar1-VLOOKUP(B35,dagsoorttabel1,2,FALSE))-catfd_1_VHV_40)/catpn_1_VHB_1+catfd_1_VHV_40/catpn_1_VHV_40),0)</f>
        <v>0</v>
      </c>
      <c r="I35" s="20" t="s">
        <v>45</v>
      </c>
      <c r="J35" s="38">
        <f>IF(AND(catpn_1_VHB_1&gt;0,catpn_1_VHV_40&gt;0),(cattf_1_VHB_1*((dagenperjaar1*VLOOKUP(B35,dagsoorttabel1,2,FALSE))-catfd_1_VHV_40)/catpn_1_VHB_1+cattf_1_VHV_40*catfd_1_VHV_40/catpn_1_VHV_40)/(((dagenperjaar1*VLOOKUP(B35,dagsoorttabel1,2,FALSE))-catfd_1_VHV_40)/catpn_1_VHB_1+catfd_1_VHV_40/catpn_1_VHV_40),0)</f>
        <v>0</v>
      </c>
      <c r="K35" s="35">
        <f>IF(OR(ISBLANK(G35),G35=0),0,F35/ROUND(G35,4))</f>
        <v>0</v>
      </c>
      <c r="L35" s="39">
        <f>ROUND(J35,3)*K35</f>
        <v>0</v>
      </c>
      <c r="M35" s="35">
        <f>K35*dagenperjaar1</f>
        <v>0</v>
      </c>
      <c r="N35" s="39">
        <f>M35*ROUND(J35,3)</f>
        <v>0</v>
      </c>
    </row>
    <row r="36" spans="1:14" x14ac:dyDescent="0.2">
      <c r="A36" s="20" t="s">
        <v>138</v>
      </c>
      <c r="B36" s="20" t="s">
        <v>11</v>
      </c>
      <c r="C36" s="20" t="s">
        <v>116</v>
      </c>
      <c r="D36" s="20" t="s">
        <v>137</v>
      </c>
      <c r="E36" s="35">
        <v>516.55999999999995</v>
      </c>
      <c r="F36" s="35">
        <f>E36*VLOOKUP(B36,dagsoorttabel1,2,FALSE)</f>
        <v>516.55999999999995</v>
      </c>
      <c r="G36" s="36">
        <f>IF(AND(catpn_1_VZB_1&gt;0,catpn_1_VZV_40&gt;0),(dagenperjaar1*VLOOKUP(B36,dagsoorttabel1,2,FALSE))/(((dagenperjaar1*VLOOKUP(B36,dagsoorttabel1,2,FALSE))-catfd_1_VZV_40)/catpn_1_VZB_1+catfd_1_VZV_40/catpn_1_VZV_40),0)</f>
        <v>0</v>
      </c>
      <c r="H36" s="37">
        <f>IF(AND(catpn_1_VZB_1&gt;0,catpn_1_VZV_40&gt;0),(catdw_1_VZB_1*((dagenperjaar1-VLOOKUP(B36,dagsoorttabel1,2,FALSE))-catfd_1_VZV_40)/catpn_1_VZB_1+catdw_1_VZV_40*catfd_1_VZV_40/catpn_1_VZV_40)/(((dagenperjaar1-VLOOKUP(B36,dagsoorttabel1,2,FALSE))-catfd_1_VZV_40)/catpn_1_VZB_1+catfd_1_VZV_40/catpn_1_VZV_40),0)</f>
        <v>0</v>
      </c>
      <c r="I36" s="20" t="s">
        <v>45</v>
      </c>
      <c r="J36" s="38">
        <f>IF(AND(catpn_1_VZB_1&gt;0,catpn_1_VZV_40&gt;0),(cattf_1_VZB_1*((dagenperjaar1*VLOOKUP(B36,dagsoorttabel1,2,FALSE))-catfd_1_VZV_40)/catpn_1_VZB_1+cattf_1_VZV_40*catfd_1_VZV_40/catpn_1_VZV_40)/(((dagenperjaar1*VLOOKUP(B36,dagsoorttabel1,2,FALSE))-catfd_1_VZV_40)/catpn_1_VZB_1+catfd_1_VZV_40/catpn_1_VZV_40),0)</f>
        <v>0</v>
      </c>
      <c r="K36" s="35">
        <f>IF(OR(ISBLANK(G36),G36=0),0,F36/ROUND(G36,4))</f>
        <v>0</v>
      </c>
      <c r="L36" s="39">
        <f>ROUND(J36,3)*K36</f>
        <v>0</v>
      </c>
      <c r="M36" s="35">
        <f>K36*dagenperjaar1</f>
        <v>0</v>
      </c>
      <c r="N36" s="39">
        <f>M36*ROUND(J36,3)</f>
        <v>0</v>
      </c>
    </row>
    <row r="37" spans="1:14" x14ac:dyDescent="0.2">
      <c r="A37" s="20" t="s">
        <v>139</v>
      </c>
      <c r="B37" s="20" t="s">
        <v>29</v>
      </c>
      <c r="C37" s="20" t="s">
        <v>116</v>
      </c>
      <c r="D37" s="20" t="s">
        <v>140</v>
      </c>
      <c r="E37" s="35">
        <v>11257.99</v>
      </c>
      <c r="F37" s="35">
        <f>E37*VLOOKUP(B37,dagsoorttabel1,2,FALSE)</f>
        <v>56.289949999999997</v>
      </c>
      <c r="G37" s="36">
        <f>catpn_1_XBB_1</f>
        <v>0</v>
      </c>
      <c r="H37" s="37">
        <f>catdw_1_XBB_1</f>
        <v>0</v>
      </c>
      <c r="I37" s="20" t="s">
        <v>45</v>
      </c>
      <c r="J37" s="38">
        <f>cattf_1_XBB_1</f>
        <v>0</v>
      </c>
      <c r="K37" s="35">
        <f>IF(OR(ISBLANK(G37),G37=0),0,F37/ROUND(G37,4))</f>
        <v>0</v>
      </c>
      <c r="L37" s="39">
        <f>ROUND(J37,3)*K37</f>
        <v>0</v>
      </c>
      <c r="M37" s="35">
        <f>K37*dagenperjaar1</f>
        <v>0</v>
      </c>
      <c r="N37" s="39">
        <f>M37*ROUND(J37,3)</f>
        <v>0</v>
      </c>
    </row>
    <row r="38" spans="1:14" x14ac:dyDescent="0.2">
      <c r="A38" s="25" t="s">
        <v>141</v>
      </c>
      <c r="B38" s="25" t="s">
        <v>21</v>
      </c>
      <c r="C38" s="25" t="s">
        <v>116</v>
      </c>
      <c r="D38" s="25" t="s">
        <v>142</v>
      </c>
      <c r="E38" s="40">
        <v>55.5</v>
      </c>
      <c r="F38" s="40">
        <f>E38*VLOOKUP(B38,dagsoorttabel1,2,FALSE)</f>
        <v>11.100000000000001</v>
      </c>
      <c r="G38" s="41"/>
      <c r="H38" s="28"/>
      <c r="I38" s="25" t="s">
        <v>45</v>
      </c>
      <c r="J38" s="29"/>
      <c r="K38" s="40">
        <f>IF(OR(ISBLANK(G38),G38=0),0,F38/ROUND(G38,4))</f>
        <v>0</v>
      </c>
      <c r="L38" s="42">
        <f>ROUND(J38,3)*K38</f>
        <v>0</v>
      </c>
      <c r="M38" s="40">
        <f>K38*dagenperjaar1</f>
        <v>0</v>
      </c>
      <c r="N38" s="42">
        <f>M38*ROUND(J38,3)</f>
        <v>0</v>
      </c>
    </row>
    <row r="39" spans="1:14" x14ac:dyDescent="0.2">
      <c r="A39" s="43" t="s">
        <v>143</v>
      </c>
      <c r="B39" s="44"/>
      <c r="C39" s="44"/>
      <c r="D39" s="44"/>
      <c r="E39" s="44"/>
      <c r="F39" s="44"/>
      <c r="G39" s="44"/>
      <c r="H39" s="44"/>
      <c r="I39" s="44"/>
      <c r="J39" s="44"/>
      <c r="K39" s="45">
        <f>SUM(K6:K38)</f>
        <v>0</v>
      </c>
      <c r="L39" s="46">
        <f>SUM(L6:L38)</f>
        <v>0</v>
      </c>
      <c r="M39" s="45">
        <f>SUM(M6:M38)</f>
        <v>0</v>
      </c>
      <c r="N39" s="47">
        <f>SUM(N6:N38)</f>
        <v>0</v>
      </c>
    </row>
    <row r="40" spans="1:14" x14ac:dyDescent="0.2">
      <c r="A40" s="48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9"/>
    </row>
    <row r="41" spans="1:14" x14ac:dyDescent="0.2">
      <c r="A41" s="43" t="s">
        <v>144</v>
      </c>
      <c r="B41" s="44"/>
      <c r="C41" s="44"/>
      <c r="D41" s="44"/>
      <c r="E41" s="44"/>
      <c r="F41" s="44"/>
      <c r="G41" s="44"/>
      <c r="H41" s="44"/>
      <c r="I41" s="44"/>
      <c r="J41" s="46">
        <f>IF(urenjaar1&gt;0,SUMIF(M6:M38,"&gt;0",N6:N38)/urenjaar1,0)</f>
        <v>0</v>
      </c>
      <c r="K41" s="44"/>
      <c r="L41" s="44"/>
      <c r="M41" s="44"/>
      <c r="N41" s="49"/>
    </row>
    <row r="42" spans="1:14" x14ac:dyDescent="0.2">
      <c r="A42" s="48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9"/>
    </row>
    <row r="44" spans="1:14" x14ac:dyDescent="0.2">
      <c r="A44" s="43" t="s">
        <v>145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5">
        <f>urenjaar1</f>
        <v>0</v>
      </c>
      <c r="N44" s="46">
        <f>prijsjaar1</f>
        <v>0</v>
      </c>
    </row>
  </sheetData>
  <pageMargins left="0.7" right="0.7" top="0.75" bottom="0.75" header="0.3" footer="0.3"/>
  <pageSetup paperSize="9" scale="70" orientation="landscape" horizontalDpi="4294967295" verticalDpi="4294967295" r:id="rId1"/>
  <headerFooter>
    <oddFooter>&amp;LStichting Openbaar Onderwijs Oost Groningen EA              &amp;ROpmaakdatum: 17-08-2021
Intexso - De Start 5 - Leusden
+31 (33) 2778485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B54A5-4EFD-4E46-A8FB-F93CCD9FB295}">
  <dimension ref="A1:AA38"/>
  <sheetViews>
    <sheetView workbookViewId="0"/>
  </sheetViews>
  <sheetFormatPr defaultRowHeight="12.75" x14ac:dyDescent="0.2"/>
  <cols>
    <col min="1" max="1" width="5.625" customWidth="1"/>
    <col min="2" max="2" width="6.125" customWidth="1"/>
    <col min="3" max="3" width="11.625" customWidth="1"/>
    <col min="4" max="27" width="12.625" customWidth="1"/>
  </cols>
  <sheetData>
    <row r="1" spans="1:27" x14ac:dyDescent="0.2">
      <c r="A1" s="1" t="s">
        <v>146</v>
      </c>
    </row>
    <row r="3" spans="1:27" x14ac:dyDescent="0.2">
      <c r="A3" s="50" t="s">
        <v>107</v>
      </c>
      <c r="B3" s="50" t="s">
        <v>7</v>
      </c>
      <c r="C3" s="50" t="s">
        <v>147</v>
      </c>
      <c r="D3" s="50" t="s">
        <v>148</v>
      </c>
      <c r="E3" s="50" t="s">
        <v>149</v>
      </c>
      <c r="F3" s="50" t="s">
        <v>150</v>
      </c>
      <c r="G3" s="50" t="s">
        <v>151</v>
      </c>
      <c r="H3" s="50" t="s">
        <v>38</v>
      </c>
      <c r="I3" s="50" t="s">
        <v>152</v>
      </c>
      <c r="J3" s="50" t="s">
        <v>153</v>
      </c>
      <c r="K3" s="50" t="s">
        <v>154</v>
      </c>
      <c r="L3" s="50" t="s">
        <v>155</v>
      </c>
      <c r="M3" s="50" t="s">
        <v>156</v>
      </c>
      <c r="N3" s="50" t="s">
        <v>157</v>
      </c>
      <c r="O3" s="50" t="s">
        <v>158</v>
      </c>
      <c r="P3" s="50" t="s">
        <v>159</v>
      </c>
      <c r="Q3" s="50" t="s">
        <v>160</v>
      </c>
      <c r="R3" s="50" t="s">
        <v>161</v>
      </c>
      <c r="S3" s="50" t="s">
        <v>162</v>
      </c>
      <c r="T3" s="50" t="s">
        <v>163</v>
      </c>
      <c r="U3" s="50" t="s">
        <v>164</v>
      </c>
      <c r="V3" s="50" t="s">
        <v>165</v>
      </c>
      <c r="W3" s="50" t="s">
        <v>166</v>
      </c>
      <c r="X3" s="50" t="s">
        <v>167</v>
      </c>
      <c r="Y3" s="50" t="s">
        <v>168</v>
      </c>
      <c r="Z3" s="50" t="s">
        <v>169</v>
      </c>
      <c r="AA3" s="50" t="s">
        <v>170</v>
      </c>
    </row>
    <row r="4" spans="1:27" x14ac:dyDescent="0.2">
      <c r="A4" s="51"/>
      <c r="B4" s="51"/>
      <c r="C4" s="51"/>
      <c r="D4" s="51"/>
      <c r="E4" s="51"/>
      <c r="F4" s="51"/>
      <c r="G4" s="51"/>
      <c r="H4" s="51"/>
      <c r="I4" s="51"/>
      <c r="J4" s="52" t="s">
        <v>109</v>
      </c>
      <c r="K4" s="52" t="s">
        <v>109</v>
      </c>
      <c r="L4" s="52" t="s">
        <v>109</v>
      </c>
      <c r="M4" s="52" t="s">
        <v>109</v>
      </c>
      <c r="N4" s="52" t="s">
        <v>109</v>
      </c>
      <c r="O4" s="52" t="s">
        <v>109</v>
      </c>
      <c r="P4" s="52" t="s">
        <v>109</v>
      </c>
      <c r="Q4" s="52" t="s">
        <v>109</v>
      </c>
      <c r="R4" s="52" t="s">
        <v>109</v>
      </c>
      <c r="S4" s="52" t="s">
        <v>109</v>
      </c>
      <c r="T4" s="52" t="s">
        <v>109</v>
      </c>
      <c r="U4" s="52" t="s">
        <v>109</v>
      </c>
      <c r="V4" s="52" t="s">
        <v>109</v>
      </c>
      <c r="W4" s="52" t="s">
        <v>109</v>
      </c>
      <c r="X4" s="52" t="s">
        <v>109</v>
      </c>
      <c r="Y4" s="52" t="s">
        <v>109</v>
      </c>
      <c r="Z4" s="52" t="s">
        <v>109</v>
      </c>
      <c r="AA4" s="52" t="s">
        <v>109</v>
      </c>
    </row>
    <row r="5" spans="1:27" x14ac:dyDescent="0.2">
      <c r="A5" s="15" t="s">
        <v>115</v>
      </c>
      <c r="B5" s="15" t="s">
        <v>11</v>
      </c>
      <c r="C5" s="15" t="s">
        <v>171</v>
      </c>
      <c r="D5" s="15" t="s">
        <v>116</v>
      </c>
      <c r="E5" s="30">
        <f>IF(B5="","",VLOOKUP(B5,dagsoorttabel1,2,FALSE))</f>
        <v>1</v>
      </c>
      <c r="F5" s="30">
        <v>1</v>
      </c>
      <c r="G5" s="30">
        <f>IF(prodnorm6&gt;0,1/ROUND(prodnorm6,4),0)</f>
        <v>0</v>
      </c>
      <c r="H5" s="32">
        <f>ROUND(dagwerk6,4+2)</f>
        <v>0</v>
      </c>
      <c r="I5" s="34">
        <f>ROUND(uurtarief6,3)</f>
        <v>0</v>
      </c>
      <c r="J5" s="30">
        <v>149.6</v>
      </c>
      <c r="K5" s="30">
        <v>0</v>
      </c>
      <c r="L5" s="30">
        <v>31.6</v>
      </c>
      <c r="M5" s="30">
        <v>54.75</v>
      </c>
      <c r="N5" s="30">
        <v>67.8</v>
      </c>
      <c r="O5" s="30">
        <v>75</v>
      </c>
      <c r="P5" s="30">
        <v>230.21</v>
      </c>
      <c r="Q5" s="30">
        <v>90.3</v>
      </c>
      <c r="R5" s="30">
        <v>46</v>
      </c>
      <c r="S5" s="30">
        <v>0</v>
      </c>
      <c r="T5" s="30">
        <v>96.4</v>
      </c>
      <c r="U5" s="30">
        <v>0</v>
      </c>
      <c r="V5" s="30">
        <v>0</v>
      </c>
      <c r="W5" s="30">
        <v>0</v>
      </c>
      <c r="X5" s="30">
        <v>0</v>
      </c>
      <c r="Y5" s="30">
        <v>122.4</v>
      </c>
      <c r="Z5" s="30">
        <v>61.2</v>
      </c>
      <c r="AA5" s="30">
        <v>55.6</v>
      </c>
    </row>
    <row r="6" spans="1:27" x14ac:dyDescent="0.2">
      <c r="A6" s="20" t="s">
        <v>115</v>
      </c>
      <c r="B6" s="20" t="s">
        <v>21</v>
      </c>
      <c r="C6" s="20" t="s">
        <v>171</v>
      </c>
      <c r="D6" s="20" t="s">
        <v>116</v>
      </c>
      <c r="E6" s="35">
        <f>IF(B6="","",VLOOKUP(B6,dagsoorttabel1,2,FALSE))</f>
        <v>0.2</v>
      </c>
      <c r="F6" s="35">
        <v>1</v>
      </c>
      <c r="G6" s="35">
        <f>IF(prodnorm7&gt;0,1/ROUND(prodnorm7,4),0)</f>
        <v>0</v>
      </c>
      <c r="H6" s="37">
        <f>ROUND(dagwerk7,4+2)</f>
        <v>0</v>
      </c>
      <c r="I6" s="39">
        <f>ROUND(uurtarief7,3)</f>
        <v>0</v>
      </c>
      <c r="J6" s="35">
        <v>0</v>
      </c>
      <c r="K6" s="35">
        <v>0</v>
      </c>
      <c r="L6" s="35">
        <v>0</v>
      </c>
      <c r="M6" s="35">
        <v>0</v>
      </c>
      <c r="N6" s="35">
        <v>0</v>
      </c>
      <c r="O6" s="35">
        <v>0</v>
      </c>
      <c r="P6" s="35">
        <v>0</v>
      </c>
      <c r="Q6" s="35">
        <v>0</v>
      </c>
      <c r="R6" s="35">
        <v>0</v>
      </c>
      <c r="S6" s="35">
        <v>51.2</v>
      </c>
      <c r="T6" s="35">
        <v>0</v>
      </c>
      <c r="U6" s="35">
        <v>0</v>
      </c>
      <c r="V6" s="35">
        <v>0</v>
      </c>
      <c r="W6" s="35">
        <v>0</v>
      </c>
      <c r="X6" s="35">
        <v>0</v>
      </c>
      <c r="Y6" s="35">
        <v>0</v>
      </c>
      <c r="Z6" s="35">
        <v>0</v>
      </c>
      <c r="AA6" s="35">
        <v>0</v>
      </c>
    </row>
    <row r="7" spans="1:27" x14ac:dyDescent="0.2">
      <c r="A7" s="20" t="s">
        <v>118</v>
      </c>
      <c r="B7" s="20" t="s">
        <v>21</v>
      </c>
      <c r="C7" s="20" t="s">
        <v>171</v>
      </c>
      <c r="D7" s="20" t="s">
        <v>116</v>
      </c>
      <c r="E7" s="35">
        <f>IF(B7="","",VLOOKUP(B7,dagsoorttabel1,2,FALSE))</f>
        <v>0.2</v>
      </c>
      <c r="F7" s="35">
        <v>1</v>
      </c>
      <c r="G7" s="35">
        <f>IF(prodnorm8&gt;0,1/ROUND(prodnorm8,4),0)</f>
        <v>0</v>
      </c>
      <c r="H7" s="37">
        <f>ROUND(dagwerk8,4+2)</f>
        <v>0</v>
      </c>
      <c r="I7" s="39">
        <f>ROUND(uurtarief8,3)</f>
        <v>0</v>
      </c>
      <c r="J7" s="35">
        <v>0</v>
      </c>
      <c r="K7" s="35">
        <v>0</v>
      </c>
      <c r="L7" s="35">
        <v>0</v>
      </c>
      <c r="M7" s="35">
        <v>0</v>
      </c>
      <c r="N7" s="35">
        <v>0</v>
      </c>
      <c r="O7" s="35">
        <v>0</v>
      </c>
      <c r="P7" s="35">
        <v>0</v>
      </c>
      <c r="Q7" s="35">
        <v>0</v>
      </c>
      <c r="R7" s="35">
        <v>0</v>
      </c>
      <c r="S7" s="35">
        <v>0</v>
      </c>
      <c r="T7" s="35">
        <v>0</v>
      </c>
      <c r="U7" s="35">
        <v>0</v>
      </c>
      <c r="V7" s="35">
        <v>106.1</v>
      </c>
      <c r="W7" s="35">
        <v>0</v>
      </c>
      <c r="X7" s="35">
        <v>0</v>
      </c>
      <c r="Y7" s="35">
        <v>0</v>
      </c>
      <c r="Z7" s="35">
        <v>0</v>
      </c>
      <c r="AA7" s="35">
        <v>0</v>
      </c>
    </row>
    <row r="8" spans="1:27" x14ac:dyDescent="0.2">
      <c r="A8" s="20" t="s">
        <v>119</v>
      </c>
      <c r="B8" s="20" t="s">
        <v>11</v>
      </c>
      <c r="C8" s="20" t="s">
        <v>171</v>
      </c>
      <c r="D8" s="20" t="s">
        <v>116</v>
      </c>
      <c r="E8" s="35">
        <f>IF(B8="","",VLOOKUP(B8,dagsoorttabel1,2,FALSE))</f>
        <v>1</v>
      </c>
      <c r="F8" s="35">
        <v>1</v>
      </c>
      <c r="G8" s="35">
        <f>IF(prodnorm9&gt;0,1/ROUND(prodnorm9,4),0)</f>
        <v>0</v>
      </c>
      <c r="H8" s="37">
        <f>ROUND(dagwerk9,4+2)</f>
        <v>0</v>
      </c>
      <c r="I8" s="39">
        <f>ROUND(uurtarief9,3)</f>
        <v>0</v>
      </c>
      <c r="J8" s="35">
        <v>0</v>
      </c>
      <c r="K8" s="35">
        <v>21.9</v>
      </c>
      <c r="L8" s="35">
        <v>17.8</v>
      </c>
      <c r="M8" s="35">
        <v>52.49</v>
      </c>
      <c r="N8" s="35">
        <v>9.6</v>
      </c>
      <c r="O8" s="35">
        <v>23.7</v>
      </c>
      <c r="P8" s="35">
        <v>0</v>
      </c>
      <c r="Q8" s="35">
        <v>4.3</v>
      </c>
      <c r="R8" s="35">
        <v>0</v>
      </c>
      <c r="S8" s="35">
        <v>26.3</v>
      </c>
      <c r="T8" s="35">
        <v>44.8</v>
      </c>
      <c r="U8" s="35">
        <v>4</v>
      </c>
      <c r="V8" s="35">
        <v>2.3099999999999996</v>
      </c>
      <c r="W8" s="35">
        <v>0</v>
      </c>
      <c r="X8" s="35">
        <v>37.1</v>
      </c>
      <c r="Y8" s="35">
        <v>61.3</v>
      </c>
      <c r="Z8" s="35">
        <v>0</v>
      </c>
      <c r="AA8" s="35">
        <v>0</v>
      </c>
    </row>
    <row r="9" spans="1:27" x14ac:dyDescent="0.2">
      <c r="A9" s="20" t="s">
        <v>119</v>
      </c>
      <c r="B9" s="20" t="s">
        <v>21</v>
      </c>
      <c r="C9" s="20" t="s">
        <v>171</v>
      </c>
      <c r="D9" s="20" t="s">
        <v>116</v>
      </c>
      <c r="E9" s="35">
        <f>IF(B9="","",VLOOKUP(B9,dagsoorttabel1,2,FALSE))</f>
        <v>0.2</v>
      </c>
      <c r="F9" s="35">
        <v>1</v>
      </c>
      <c r="G9" s="35">
        <f>IF(prodnorm10&gt;0,1/ROUND(prodnorm10,4),0)</f>
        <v>0</v>
      </c>
      <c r="H9" s="37">
        <f>ROUND(dagwerk10,4+2)</f>
        <v>0</v>
      </c>
      <c r="I9" s="39">
        <f>ROUND(uurtarief10,3)</f>
        <v>0</v>
      </c>
      <c r="J9" s="35">
        <v>10.56</v>
      </c>
      <c r="K9" s="35">
        <v>0</v>
      </c>
      <c r="L9" s="35">
        <v>14.8</v>
      </c>
      <c r="M9" s="35">
        <v>88.26</v>
      </c>
      <c r="N9" s="35">
        <v>0</v>
      </c>
      <c r="O9" s="35">
        <v>37.299999999999997</v>
      </c>
      <c r="P9" s="35">
        <v>0</v>
      </c>
      <c r="Q9" s="35">
        <v>31.61</v>
      </c>
      <c r="R9" s="35">
        <v>32</v>
      </c>
      <c r="S9" s="35">
        <v>22.7</v>
      </c>
      <c r="T9" s="35">
        <v>84.58</v>
      </c>
      <c r="U9" s="35">
        <v>23.85</v>
      </c>
      <c r="V9" s="35">
        <v>0</v>
      </c>
      <c r="W9" s="35">
        <v>0</v>
      </c>
      <c r="X9" s="35">
        <v>17.600000000000001</v>
      </c>
      <c r="Y9" s="35">
        <v>60.5</v>
      </c>
      <c r="Z9" s="35">
        <v>23.6</v>
      </c>
      <c r="AA9" s="35">
        <v>21</v>
      </c>
    </row>
    <row r="10" spans="1:27" x14ac:dyDescent="0.2">
      <c r="A10" s="20" t="s">
        <v>121</v>
      </c>
      <c r="B10" s="20" t="s">
        <v>11</v>
      </c>
      <c r="C10" s="20" t="s">
        <v>171</v>
      </c>
      <c r="D10" s="20" t="s">
        <v>116</v>
      </c>
      <c r="E10" s="35">
        <f>IF(B10="","",VLOOKUP(B10,dagsoorttabel1,2,FALSE))</f>
        <v>1</v>
      </c>
      <c r="F10" s="35">
        <v>1</v>
      </c>
      <c r="G10" s="35">
        <f>IF(prodnorm11&gt;0,1/ROUND(prodnorm11,4),0)</f>
        <v>0</v>
      </c>
      <c r="H10" s="37">
        <f>ROUND(dagwerk11,4+2)</f>
        <v>0</v>
      </c>
      <c r="I10" s="39">
        <f>ROUND(uurtarief11,3)</f>
        <v>0</v>
      </c>
      <c r="J10" s="35">
        <v>26.8</v>
      </c>
      <c r="K10" s="35">
        <v>0</v>
      </c>
      <c r="L10" s="35">
        <v>0</v>
      </c>
      <c r="M10" s="35">
        <v>0</v>
      </c>
      <c r="N10" s="35">
        <v>68.2</v>
      </c>
      <c r="O10" s="35">
        <v>0</v>
      </c>
      <c r="P10" s="35">
        <v>31.5</v>
      </c>
      <c r="Q10" s="35">
        <v>32.1</v>
      </c>
      <c r="R10" s="35">
        <v>0</v>
      </c>
      <c r="S10" s="35">
        <v>0</v>
      </c>
      <c r="T10" s="35">
        <v>0</v>
      </c>
      <c r="U10" s="35">
        <v>36.14</v>
      </c>
      <c r="V10" s="35">
        <v>19.5</v>
      </c>
      <c r="W10" s="35">
        <v>17.399999999999999</v>
      </c>
      <c r="X10" s="35">
        <v>0</v>
      </c>
      <c r="Y10" s="35">
        <v>0</v>
      </c>
      <c r="Z10" s="35">
        <v>0</v>
      </c>
      <c r="AA10" s="35">
        <v>0</v>
      </c>
    </row>
    <row r="11" spans="1:27" x14ac:dyDescent="0.2">
      <c r="A11" s="20" t="s">
        <v>121</v>
      </c>
      <c r="B11" s="20" t="s">
        <v>21</v>
      </c>
      <c r="C11" s="20" t="s">
        <v>171</v>
      </c>
      <c r="D11" s="20" t="s">
        <v>116</v>
      </c>
      <c r="E11" s="35">
        <f>IF(B11="","",VLOOKUP(B11,dagsoorttabel1,2,FALSE))</f>
        <v>0.2</v>
      </c>
      <c r="F11" s="35">
        <v>1</v>
      </c>
      <c r="G11" s="35">
        <f>IF(prodnorm12&gt;0,1/ROUND(prodnorm12,4),0)</f>
        <v>0</v>
      </c>
      <c r="H11" s="37">
        <f>ROUND(dagwerk12,4+2)</f>
        <v>0</v>
      </c>
      <c r="I11" s="39">
        <f>ROUND(uurtarief12,3)</f>
        <v>0</v>
      </c>
      <c r="J11" s="35">
        <v>0</v>
      </c>
      <c r="K11" s="35">
        <v>33.700000000000003</v>
      </c>
      <c r="L11" s="35">
        <v>0</v>
      </c>
      <c r="M11" s="35">
        <v>0</v>
      </c>
      <c r="N11" s="35">
        <v>0</v>
      </c>
      <c r="O11" s="35">
        <v>10</v>
      </c>
      <c r="P11" s="35">
        <v>45.38</v>
      </c>
      <c r="Q11" s="35">
        <v>22.5</v>
      </c>
      <c r="R11" s="35">
        <v>49.5</v>
      </c>
      <c r="S11" s="35">
        <v>14.5</v>
      </c>
      <c r="T11" s="35">
        <v>0</v>
      </c>
      <c r="U11" s="35">
        <v>27.8</v>
      </c>
      <c r="V11" s="35">
        <v>0</v>
      </c>
      <c r="W11" s="35">
        <v>15.3</v>
      </c>
      <c r="X11" s="35">
        <v>26.1</v>
      </c>
      <c r="Y11" s="35">
        <v>23</v>
      </c>
      <c r="Z11" s="35">
        <v>0</v>
      </c>
      <c r="AA11" s="35">
        <v>0</v>
      </c>
    </row>
    <row r="12" spans="1:27" x14ac:dyDescent="0.2">
      <c r="A12" s="20" t="s">
        <v>122</v>
      </c>
      <c r="B12" s="20" t="s">
        <v>11</v>
      </c>
      <c r="C12" s="20" t="s">
        <v>171</v>
      </c>
      <c r="D12" s="20" t="s">
        <v>116</v>
      </c>
      <c r="E12" s="35">
        <f>IF(B12="","",VLOOKUP(B12,dagsoorttabel1,2,FALSE))</f>
        <v>1</v>
      </c>
      <c r="F12" s="35">
        <v>1</v>
      </c>
      <c r="G12" s="35">
        <f>IF(prodnorm13&gt;0,1/ROUND(prodnorm13,4),0)</f>
        <v>0</v>
      </c>
      <c r="H12" s="37">
        <f>ROUND(dagwerk13,4+2)</f>
        <v>0</v>
      </c>
      <c r="I12" s="39">
        <f>ROUND(uurtarief13,3)</f>
        <v>0</v>
      </c>
      <c r="J12" s="35">
        <v>0</v>
      </c>
      <c r="K12" s="35">
        <v>30.9</v>
      </c>
      <c r="L12" s="35">
        <v>0</v>
      </c>
      <c r="M12" s="35">
        <v>0</v>
      </c>
      <c r="N12" s="35">
        <v>37.5</v>
      </c>
      <c r="O12" s="35">
        <v>0</v>
      </c>
      <c r="P12" s="35">
        <v>26.17</v>
      </c>
      <c r="Q12" s="35">
        <v>15.6</v>
      </c>
      <c r="R12" s="35">
        <v>0</v>
      </c>
      <c r="S12" s="35">
        <v>0</v>
      </c>
      <c r="T12" s="35">
        <v>18.399999999999999</v>
      </c>
      <c r="U12" s="35">
        <v>0</v>
      </c>
      <c r="V12" s="35">
        <v>0</v>
      </c>
      <c r="W12" s="35">
        <v>0</v>
      </c>
      <c r="X12" s="35">
        <v>0</v>
      </c>
      <c r="Y12" s="35">
        <v>0</v>
      </c>
      <c r="Z12" s="35">
        <v>0</v>
      </c>
      <c r="AA12" s="35">
        <v>0</v>
      </c>
    </row>
    <row r="13" spans="1:27" x14ac:dyDescent="0.2">
      <c r="A13" s="20" t="s">
        <v>124</v>
      </c>
      <c r="B13" s="20" t="s">
        <v>11</v>
      </c>
      <c r="C13" s="20" t="s">
        <v>171</v>
      </c>
      <c r="D13" s="20" t="s">
        <v>116</v>
      </c>
      <c r="E13" s="35">
        <f>IF(B13="","",VLOOKUP(B13,dagsoorttabel1,2,FALSE))</f>
        <v>1</v>
      </c>
      <c r="F13" s="35">
        <v>1</v>
      </c>
      <c r="G13" s="35">
        <f>IF(prodnorm14&gt;0,1/ROUND(prodnorm14,4),0)</f>
        <v>0</v>
      </c>
      <c r="H13" s="37">
        <f>ROUND(dagwerk14,4+2)</f>
        <v>0</v>
      </c>
      <c r="I13" s="39">
        <f>ROUND(uurtarief14,3)</f>
        <v>0</v>
      </c>
      <c r="J13" s="35">
        <v>44.900000000000006</v>
      </c>
      <c r="K13" s="35">
        <v>15.7</v>
      </c>
      <c r="L13" s="35">
        <v>6.3</v>
      </c>
      <c r="M13" s="35">
        <v>17.399999999999999</v>
      </c>
      <c r="N13" s="35">
        <v>0</v>
      </c>
      <c r="O13" s="35">
        <v>20.3</v>
      </c>
      <c r="P13" s="35">
        <v>13.700000000000001</v>
      </c>
      <c r="Q13" s="35">
        <v>50.7</v>
      </c>
      <c r="R13" s="35">
        <v>10.9</v>
      </c>
      <c r="S13" s="35">
        <v>5.1099999999999994</v>
      </c>
      <c r="T13" s="35">
        <v>29.7</v>
      </c>
      <c r="U13" s="35">
        <v>0</v>
      </c>
      <c r="V13" s="35">
        <v>47.400000000000006</v>
      </c>
      <c r="W13" s="35">
        <v>40.1</v>
      </c>
      <c r="X13" s="35">
        <v>19.600000000000001</v>
      </c>
      <c r="Y13" s="35">
        <v>18.7</v>
      </c>
      <c r="Z13" s="35">
        <v>10.1</v>
      </c>
      <c r="AA13" s="35">
        <v>8.8999999999999986</v>
      </c>
    </row>
    <row r="14" spans="1:27" x14ac:dyDescent="0.2">
      <c r="A14" s="20" t="s">
        <v>124</v>
      </c>
      <c r="B14" s="20" t="s">
        <v>9</v>
      </c>
      <c r="C14" s="20" t="s">
        <v>171</v>
      </c>
      <c r="D14" s="20" t="s">
        <v>116</v>
      </c>
      <c r="E14" s="35">
        <f>IF(B14="","",VLOOKUP(B14,dagsoorttabel1,2,FALSE))</f>
        <v>1.1200000000000001</v>
      </c>
      <c r="F14" s="35">
        <v>1</v>
      </c>
      <c r="G14" s="35">
        <f>IF(prodnorm15&gt;0,1/ROUND(prodnorm15,4),0)</f>
        <v>0</v>
      </c>
      <c r="H14" s="37">
        <f>ROUND(dagwerk15,4+2)</f>
        <v>0</v>
      </c>
      <c r="I14" s="39">
        <f>ROUND(uurtarief15,3)</f>
        <v>0</v>
      </c>
      <c r="J14" s="35">
        <v>0</v>
      </c>
      <c r="K14" s="35">
        <v>0</v>
      </c>
      <c r="L14" s="35">
        <v>0</v>
      </c>
      <c r="M14" s="35">
        <v>0</v>
      </c>
      <c r="N14" s="35">
        <v>0</v>
      </c>
      <c r="O14" s="35">
        <v>10</v>
      </c>
      <c r="P14" s="35">
        <v>0</v>
      </c>
      <c r="Q14" s="35">
        <v>0</v>
      </c>
      <c r="R14" s="35">
        <v>0</v>
      </c>
      <c r="S14" s="35">
        <v>0</v>
      </c>
      <c r="T14" s="35">
        <v>0</v>
      </c>
      <c r="U14" s="35">
        <v>0</v>
      </c>
      <c r="V14" s="35">
        <v>0</v>
      </c>
      <c r="W14" s="35">
        <v>0</v>
      </c>
      <c r="X14" s="35">
        <v>0</v>
      </c>
      <c r="Y14" s="35">
        <v>0</v>
      </c>
      <c r="Z14" s="35">
        <v>0</v>
      </c>
      <c r="AA14" s="35">
        <v>0</v>
      </c>
    </row>
    <row r="15" spans="1:27" x14ac:dyDescent="0.2">
      <c r="A15" s="20" t="s">
        <v>125</v>
      </c>
      <c r="B15" s="20" t="s">
        <v>17</v>
      </c>
      <c r="C15" s="20" t="s">
        <v>171</v>
      </c>
      <c r="D15" s="20" t="s">
        <v>116</v>
      </c>
      <c r="E15" s="35">
        <f>IF(B15="","",VLOOKUP(B15,dagsoorttabel1,2,FALSE))</f>
        <v>0.52</v>
      </c>
      <c r="F15" s="35">
        <v>1</v>
      </c>
      <c r="G15" s="35">
        <f>IF(prodnorm16&gt;0,1/ROUND(prodnorm16,4),0)</f>
        <v>0</v>
      </c>
      <c r="H15" s="37">
        <f>ROUND(dagwerk16,4+2)</f>
        <v>0</v>
      </c>
      <c r="I15" s="39">
        <f>ROUND(uurtarief16,3)</f>
        <v>0</v>
      </c>
      <c r="J15" s="35">
        <v>0</v>
      </c>
      <c r="K15" s="35">
        <v>0</v>
      </c>
      <c r="L15" s="35">
        <v>0</v>
      </c>
      <c r="M15" s="35">
        <v>0</v>
      </c>
      <c r="N15" s="35">
        <v>0</v>
      </c>
      <c r="O15" s="35">
        <v>166.2</v>
      </c>
      <c r="P15" s="35">
        <v>0</v>
      </c>
      <c r="Q15" s="35">
        <v>0</v>
      </c>
      <c r="R15" s="35">
        <v>0</v>
      </c>
      <c r="S15" s="35">
        <v>0</v>
      </c>
      <c r="T15" s="35">
        <v>0</v>
      </c>
      <c r="U15" s="35">
        <v>0</v>
      </c>
      <c r="V15" s="35">
        <v>0</v>
      </c>
      <c r="W15" s="35">
        <v>0</v>
      </c>
      <c r="X15" s="35">
        <v>0</v>
      </c>
      <c r="Y15" s="35">
        <v>0</v>
      </c>
      <c r="Z15" s="35">
        <v>0</v>
      </c>
      <c r="AA15" s="35">
        <v>0</v>
      </c>
    </row>
    <row r="16" spans="1:27" x14ac:dyDescent="0.2">
      <c r="A16" s="20" t="s">
        <v>125</v>
      </c>
      <c r="B16" s="20" t="s">
        <v>11</v>
      </c>
      <c r="C16" s="20" t="s">
        <v>171</v>
      </c>
      <c r="D16" s="20" t="s">
        <v>116</v>
      </c>
      <c r="E16" s="35">
        <f>IF(B16="","",VLOOKUP(B16,dagsoorttabel1,2,FALSE))</f>
        <v>1</v>
      </c>
      <c r="F16" s="35">
        <v>1</v>
      </c>
      <c r="G16" s="35">
        <f>IF(prodnorm17&gt;0,1/ROUND(prodnorm17,4),0)</f>
        <v>0</v>
      </c>
      <c r="H16" s="37">
        <f>ROUND(dagwerk17,4+2)</f>
        <v>0</v>
      </c>
      <c r="I16" s="39">
        <f>ROUND(uurtarief17,3)</f>
        <v>0</v>
      </c>
      <c r="J16" s="35">
        <v>109</v>
      </c>
      <c r="K16" s="35">
        <v>90.36999999999999</v>
      </c>
      <c r="L16" s="35">
        <v>0</v>
      </c>
      <c r="M16" s="35">
        <v>93.350000000000009</v>
      </c>
      <c r="N16" s="35">
        <v>90.5</v>
      </c>
      <c r="O16" s="35">
        <v>91.9</v>
      </c>
      <c r="P16" s="35">
        <v>102.6</v>
      </c>
      <c r="Q16" s="35">
        <v>92</v>
      </c>
      <c r="R16" s="35">
        <v>0</v>
      </c>
      <c r="S16" s="35">
        <v>0</v>
      </c>
      <c r="T16" s="35">
        <v>67.599999999999994</v>
      </c>
      <c r="U16" s="35">
        <v>0</v>
      </c>
      <c r="V16" s="35">
        <v>135</v>
      </c>
      <c r="W16" s="35">
        <v>0</v>
      </c>
      <c r="X16" s="35">
        <v>0</v>
      </c>
      <c r="Y16" s="35">
        <v>85.6</v>
      </c>
      <c r="Z16" s="35">
        <v>0</v>
      </c>
      <c r="AA16" s="35">
        <v>0</v>
      </c>
    </row>
    <row r="17" spans="1:27" x14ac:dyDescent="0.2">
      <c r="A17" s="20" t="s">
        <v>125</v>
      </c>
      <c r="B17" s="20" t="s">
        <v>21</v>
      </c>
      <c r="C17" s="20" t="s">
        <v>171</v>
      </c>
      <c r="D17" s="20" t="s">
        <v>116</v>
      </c>
      <c r="E17" s="35">
        <f>IF(B17="","",VLOOKUP(B17,dagsoorttabel1,2,FALSE))</f>
        <v>0.2</v>
      </c>
      <c r="F17" s="35">
        <v>1</v>
      </c>
      <c r="G17" s="35">
        <f>IF(prodnorm18&gt;0,1/ROUND(prodnorm18,4),0)</f>
        <v>0</v>
      </c>
      <c r="H17" s="37">
        <f>ROUND(dagwerk18,4+2)</f>
        <v>0</v>
      </c>
      <c r="I17" s="39">
        <f>ROUND(uurtarief18,3)</f>
        <v>0</v>
      </c>
      <c r="J17" s="35">
        <v>0</v>
      </c>
      <c r="K17" s="35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35">
        <v>9.8000000000000007</v>
      </c>
      <c r="W17" s="35">
        <v>0</v>
      </c>
      <c r="X17" s="35">
        <v>0</v>
      </c>
      <c r="Y17" s="35">
        <v>0</v>
      </c>
      <c r="Z17" s="35">
        <v>0</v>
      </c>
      <c r="AA17" s="35">
        <v>0</v>
      </c>
    </row>
    <row r="18" spans="1:27" x14ac:dyDescent="0.2">
      <c r="A18" s="20" t="s">
        <v>127</v>
      </c>
      <c r="B18" s="20" t="s">
        <v>16</v>
      </c>
      <c r="C18" s="20" t="s">
        <v>171</v>
      </c>
      <c r="D18" s="20" t="s">
        <v>116</v>
      </c>
      <c r="E18" s="35">
        <f>IF(B18="","",VLOOKUP(B18,dagsoorttabel1,2,FALSE))</f>
        <v>0.6</v>
      </c>
      <c r="F18" s="35">
        <v>1</v>
      </c>
      <c r="G18" s="35">
        <f>IF(prodnorm19&gt;0,1/ROUND(prodnorm19,4),0)</f>
        <v>0</v>
      </c>
      <c r="H18" s="37">
        <f>ROUND(dagwerk19,4+2)</f>
        <v>0</v>
      </c>
      <c r="I18" s="39">
        <f>ROUND(uurtarief19,3)</f>
        <v>0</v>
      </c>
      <c r="J18" s="35">
        <v>0</v>
      </c>
      <c r="K18" s="35">
        <v>0</v>
      </c>
      <c r="L18" s="35">
        <v>0</v>
      </c>
      <c r="M18" s="35">
        <v>0</v>
      </c>
      <c r="N18" s="35">
        <v>0</v>
      </c>
      <c r="O18" s="35">
        <v>0</v>
      </c>
      <c r="P18" s="35">
        <v>0</v>
      </c>
      <c r="Q18" s="35">
        <v>0</v>
      </c>
      <c r="R18" s="35">
        <v>0</v>
      </c>
      <c r="S18" s="35">
        <v>59.36</v>
      </c>
      <c r="T18" s="35">
        <v>0</v>
      </c>
      <c r="U18" s="35">
        <v>0</v>
      </c>
      <c r="V18" s="35">
        <v>0</v>
      </c>
      <c r="W18" s="35">
        <v>0</v>
      </c>
      <c r="X18" s="35">
        <v>74</v>
      </c>
      <c r="Y18" s="35">
        <v>0</v>
      </c>
      <c r="Z18" s="35">
        <v>0</v>
      </c>
      <c r="AA18" s="35">
        <v>0</v>
      </c>
    </row>
    <row r="19" spans="1:27" x14ac:dyDescent="0.2">
      <c r="A19" s="20" t="s">
        <v>127</v>
      </c>
      <c r="B19" s="20" t="s">
        <v>13</v>
      </c>
      <c r="C19" s="20" t="s">
        <v>171</v>
      </c>
      <c r="D19" s="20" t="s">
        <v>116</v>
      </c>
      <c r="E19" s="35">
        <f>IF(B19="","",VLOOKUP(B19,dagsoorttabel1,2,FALSE))</f>
        <v>0.8</v>
      </c>
      <c r="F19" s="35">
        <v>1</v>
      </c>
      <c r="G19" s="35">
        <f>IF(prodnorm20&gt;0,1/ROUND(prodnorm20,4),0)</f>
        <v>0</v>
      </c>
      <c r="H19" s="37">
        <f>ROUND(dagwerk20,4+2)</f>
        <v>0</v>
      </c>
      <c r="I19" s="39">
        <f>ROUND(uurtarief20,3)</f>
        <v>0</v>
      </c>
      <c r="J19" s="35">
        <v>58.4</v>
      </c>
      <c r="K19" s="35">
        <v>0</v>
      </c>
      <c r="L19" s="35">
        <v>0</v>
      </c>
      <c r="M19" s="35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35">
        <v>0</v>
      </c>
      <c r="W19" s="35">
        <v>0</v>
      </c>
      <c r="X19" s="35">
        <v>0</v>
      </c>
      <c r="Y19" s="35">
        <v>0</v>
      </c>
      <c r="Z19" s="35">
        <v>101.60000000000001</v>
      </c>
      <c r="AA19" s="35">
        <v>112.8</v>
      </c>
    </row>
    <row r="20" spans="1:27" x14ac:dyDescent="0.2">
      <c r="A20" s="20" t="s">
        <v>127</v>
      </c>
      <c r="B20" s="20" t="s">
        <v>11</v>
      </c>
      <c r="C20" s="20" t="s">
        <v>171</v>
      </c>
      <c r="D20" s="20" t="s">
        <v>116</v>
      </c>
      <c r="E20" s="35">
        <f>IF(B20="","",VLOOKUP(B20,dagsoorttabel1,2,FALSE))</f>
        <v>1</v>
      </c>
      <c r="F20" s="35">
        <v>1</v>
      </c>
      <c r="G20" s="35">
        <f>IF(prodnorm21&gt;0,1/ROUND(prodnorm21,4),0)</f>
        <v>0</v>
      </c>
      <c r="H20" s="37">
        <f>ROUND(dagwerk21,4+2)</f>
        <v>0</v>
      </c>
      <c r="I20" s="39">
        <f>ROUND(uurtarief21,3)</f>
        <v>0</v>
      </c>
      <c r="J20" s="35">
        <v>911.21</v>
      </c>
      <c r="K20" s="35">
        <v>394.9</v>
      </c>
      <c r="L20" s="35">
        <v>330.4</v>
      </c>
      <c r="M20" s="35">
        <v>387.39000000000004</v>
      </c>
      <c r="N20" s="35">
        <v>109.1</v>
      </c>
      <c r="O20" s="35">
        <v>662.5</v>
      </c>
      <c r="P20" s="35">
        <v>588.03</v>
      </c>
      <c r="Q20" s="35">
        <v>730.7</v>
      </c>
      <c r="R20" s="35">
        <v>376</v>
      </c>
      <c r="S20" s="35">
        <v>376.40999999999997</v>
      </c>
      <c r="T20" s="35">
        <v>561.77</v>
      </c>
      <c r="U20" s="35">
        <v>412.66999999999996</v>
      </c>
      <c r="V20" s="35">
        <v>301.53000000000003</v>
      </c>
      <c r="W20" s="35">
        <v>55.4</v>
      </c>
      <c r="X20" s="35">
        <v>172.45</v>
      </c>
      <c r="Y20" s="35">
        <v>488</v>
      </c>
      <c r="Z20" s="35">
        <v>187.3</v>
      </c>
      <c r="AA20" s="35">
        <v>169.4</v>
      </c>
    </row>
    <row r="21" spans="1:27" x14ac:dyDescent="0.2">
      <c r="A21" s="20" t="s">
        <v>127</v>
      </c>
      <c r="B21" s="20" t="s">
        <v>21</v>
      </c>
      <c r="C21" s="20" t="s">
        <v>171</v>
      </c>
      <c r="D21" s="20" t="s">
        <v>116</v>
      </c>
      <c r="E21" s="35">
        <f>IF(B21="","",VLOOKUP(B21,dagsoorttabel1,2,FALSE))</f>
        <v>0.2</v>
      </c>
      <c r="F21" s="35">
        <v>1</v>
      </c>
      <c r="G21" s="35">
        <f>IF(prodnorm22&gt;0,1/ROUND(prodnorm22,4),0)</f>
        <v>0</v>
      </c>
      <c r="H21" s="37">
        <f>ROUND(dagwerk22,4+2)</f>
        <v>0</v>
      </c>
      <c r="I21" s="39">
        <f>ROUND(uurtarief22,3)</f>
        <v>0</v>
      </c>
      <c r="J21" s="35">
        <v>217.47</v>
      </c>
      <c r="K21" s="35">
        <v>68.8</v>
      </c>
      <c r="L21" s="35">
        <v>0</v>
      </c>
      <c r="M21" s="35">
        <v>0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35">
        <v>0</v>
      </c>
      <c r="W21" s="35">
        <v>0</v>
      </c>
      <c r="X21" s="35">
        <v>0</v>
      </c>
      <c r="Y21" s="35">
        <v>0</v>
      </c>
      <c r="Z21" s="35">
        <v>0</v>
      </c>
      <c r="AA21" s="35">
        <v>0</v>
      </c>
    </row>
    <row r="22" spans="1:27" x14ac:dyDescent="0.2">
      <c r="A22" s="20" t="s">
        <v>127</v>
      </c>
      <c r="B22" s="20" t="s">
        <v>19</v>
      </c>
      <c r="C22" s="20" t="s">
        <v>171</v>
      </c>
      <c r="D22" s="20" t="s">
        <v>116</v>
      </c>
      <c r="E22" s="35">
        <f>IF(B22="","",VLOOKUP(B22,dagsoorttabel1,2,FALSE))</f>
        <v>0.4</v>
      </c>
      <c r="F22" s="35">
        <v>1</v>
      </c>
      <c r="G22" s="35">
        <f>IF(prodnorm23&gt;0,1/ROUND(prodnorm23,4),0)</f>
        <v>0</v>
      </c>
      <c r="H22" s="37">
        <f>ROUND(dagwerk23,4+2)</f>
        <v>0</v>
      </c>
      <c r="I22" s="39">
        <f>ROUND(uurtarief23,3)</f>
        <v>0</v>
      </c>
      <c r="J22" s="35">
        <v>0</v>
      </c>
      <c r="K22" s="35">
        <v>0</v>
      </c>
      <c r="L22" s="35">
        <v>0</v>
      </c>
      <c r="M22" s="35">
        <v>0</v>
      </c>
      <c r="N22" s="35">
        <v>0</v>
      </c>
      <c r="O22" s="35">
        <v>0</v>
      </c>
      <c r="P22" s="35">
        <v>0</v>
      </c>
      <c r="Q22" s="35">
        <v>41.7</v>
      </c>
      <c r="R22" s="35">
        <v>55.5</v>
      </c>
      <c r="S22" s="35">
        <v>0</v>
      </c>
      <c r="T22" s="35">
        <v>0</v>
      </c>
      <c r="U22" s="35">
        <v>0</v>
      </c>
      <c r="V22" s="35">
        <v>0</v>
      </c>
      <c r="W22" s="35">
        <v>0</v>
      </c>
      <c r="X22" s="35">
        <v>0</v>
      </c>
      <c r="Y22" s="35">
        <v>0</v>
      </c>
      <c r="Z22" s="35">
        <v>0</v>
      </c>
      <c r="AA22" s="35">
        <v>0</v>
      </c>
    </row>
    <row r="23" spans="1:27" x14ac:dyDescent="0.2">
      <c r="A23" s="20" t="s">
        <v>129</v>
      </c>
      <c r="B23" s="20" t="s">
        <v>16</v>
      </c>
      <c r="C23" s="20" t="s">
        <v>171</v>
      </c>
      <c r="D23" s="20" t="s">
        <v>116</v>
      </c>
      <c r="E23" s="35">
        <f>IF(B23="","",VLOOKUP(B23,dagsoorttabel1,2,FALSE))</f>
        <v>0.6</v>
      </c>
      <c r="F23" s="35">
        <v>1</v>
      </c>
      <c r="G23" s="35">
        <f>IF(prodnorm24&gt;0,1/ROUND(prodnorm24,4),0)</f>
        <v>0</v>
      </c>
      <c r="H23" s="37">
        <f>ROUND(dagwerk24,4+2)</f>
        <v>0</v>
      </c>
      <c r="I23" s="39">
        <f>ROUND(uurtarief24,3)</f>
        <v>0</v>
      </c>
      <c r="J23" s="35">
        <v>0</v>
      </c>
      <c r="K23" s="35">
        <v>0</v>
      </c>
      <c r="L23" s="35">
        <v>0</v>
      </c>
      <c r="M23" s="35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35">
        <v>0</v>
      </c>
      <c r="W23" s="35">
        <v>0</v>
      </c>
      <c r="X23" s="35">
        <v>28.2</v>
      </c>
      <c r="Y23" s="35">
        <v>0</v>
      </c>
      <c r="Z23" s="35">
        <v>0</v>
      </c>
      <c r="AA23" s="35">
        <v>0</v>
      </c>
    </row>
    <row r="24" spans="1:27" x14ac:dyDescent="0.2">
      <c r="A24" s="20" t="s">
        <v>129</v>
      </c>
      <c r="B24" s="20" t="s">
        <v>11</v>
      </c>
      <c r="C24" s="20" t="s">
        <v>171</v>
      </c>
      <c r="D24" s="20" t="s">
        <v>116</v>
      </c>
      <c r="E24" s="35">
        <f>IF(B24="","",VLOOKUP(B24,dagsoorttabel1,2,FALSE))</f>
        <v>1</v>
      </c>
      <c r="F24" s="35">
        <v>1</v>
      </c>
      <c r="G24" s="35">
        <f>IF(prodnorm25&gt;0,1/ROUND(prodnorm25,4),0)</f>
        <v>0</v>
      </c>
      <c r="H24" s="37">
        <f>ROUND(dagwerk25,4+2)</f>
        <v>0</v>
      </c>
      <c r="I24" s="39">
        <f>ROUND(uurtarief25,3)</f>
        <v>0</v>
      </c>
      <c r="J24" s="35">
        <v>0</v>
      </c>
      <c r="K24" s="35">
        <v>0</v>
      </c>
      <c r="L24" s="35">
        <v>0</v>
      </c>
      <c r="M24" s="35">
        <v>0</v>
      </c>
      <c r="N24" s="35">
        <v>223.60000000000002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35">
        <v>225.62000000000003</v>
      </c>
      <c r="W24" s="35">
        <v>166.7</v>
      </c>
      <c r="X24" s="35">
        <v>111</v>
      </c>
      <c r="Y24" s="35">
        <v>91.4</v>
      </c>
      <c r="Z24" s="35">
        <v>0</v>
      </c>
      <c r="AA24" s="35">
        <v>0</v>
      </c>
    </row>
    <row r="25" spans="1:27" x14ac:dyDescent="0.2">
      <c r="A25" s="20" t="s">
        <v>130</v>
      </c>
      <c r="B25" s="20" t="s">
        <v>11</v>
      </c>
      <c r="C25" s="20" t="s">
        <v>171</v>
      </c>
      <c r="D25" s="20" t="s">
        <v>116</v>
      </c>
      <c r="E25" s="35">
        <f>IF(B25="","",VLOOKUP(B25,dagsoorttabel1,2,FALSE))</f>
        <v>1</v>
      </c>
      <c r="F25" s="35">
        <v>1</v>
      </c>
      <c r="G25" s="35">
        <f>IF(prodnorm26&gt;0,1/ROUND(prodnorm26,4),0)</f>
        <v>0</v>
      </c>
      <c r="H25" s="37">
        <f>ROUND(dagwerk26,4+2)</f>
        <v>0</v>
      </c>
      <c r="I25" s="39">
        <f>ROUND(uurtarief26,3)</f>
        <v>0</v>
      </c>
      <c r="J25" s="35">
        <v>6.5</v>
      </c>
      <c r="K25" s="35">
        <v>0</v>
      </c>
      <c r="L25" s="35">
        <v>0</v>
      </c>
      <c r="M25" s="35">
        <v>8</v>
      </c>
      <c r="N25" s="35">
        <v>14.2</v>
      </c>
      <c r="O25" s="35">
        <v>3.3</v>
      </c>
      <c r="P25" s="35">
        <v>6.2</v>
      </c>
      <c r="Q25" s="35">
        <v>0</v>
      </c>
      <c r="R25" s="35">
        <v>0</v>
      </c>
      <c r="S25" s="35">
        <v>3.7600000000000002</v>
      </c>
      <c r="T25" s="35">
        <v>8.6</v>
      </c>
      <c r="U25" s="35">
        <v>0</v>
      </c>
      <c r="V25" s="35">
        <v>0</v>
      </c>
      <c r="W25" s="35">
        <v>0</v>
      </c>
      <c r="X25" s="35">
        <v>7</v>
      </c>
      <c r="Y25" s="35">
        <v>11.5</v>
      </c>
      <c r="Z25" s="35">
        <v>8.6</v>
      </c>
      <c r="AA25" s="35">
        <v>2.9</v>
      </c>
    </row>
    <row r="26" spans="1:27" x14ac:dyDescent="0.2">
      <c r="A26" s="20" t="s">
        <v>132</v>
      </c>
      <c r="B26" s="20" t="s">
        <v>14</v>
      </c>
      <c r="C26" s="20" t="s">
        <v>171</v>
      </c>
      <c r="D26" s="20" t="s">
        <v>116</v>
      </c>
      <c r="E26" s="35">
        <f>IF(B26="","",VLOOKUP(B26,dagsoorttabel1,2,FALSE))</f>
        <v>0.78</v>
      </c>
      <c r="F26" s="35">
        <v>1</v>
      </c>
      <c r="G26" s="35">
        <f>IF(prodnorm27&gt;0,1/ROUND(prodnorm27,4),0)</f>
        <v>0</v>
      </c>
      <c r="H26" s="37">
        <f>ROUND(dagwerk27,4+2)</f>
        <v>0</v>
      </c>
      <c r="I26" s="39">
        <f>ROUND(uurtarief27,3)</f>
        <v>0</v>
      </c>
      <c r="J26" s="35">
        <v>0</v>
      </c>
      <c r="K26" s="35">
        <v>0</v>
      </c>
      <c r="L26" s="35">
        <v>0</v>
      </c>
      <c r="M26" s="35">
        <v>0</v>
      </c>
      <c r="N26" s="35">
        <v>0</v>
      </c>
      <c r="O26" s="35">
        <v>10.6</v>
      </c>
      <c r="P26" s="35">
        <v>0</v>
      </c>
      <c r="Q26" s="35">
        <v>0</v>
      </c>
      <c r="R26" s="35">
        <v>0</v>
      </c>
      <c r="S26" s="35">
        <v>0</v>
      </c>
      <c r="T26" s="35">
        <v>0</v>
      </c>
      <c r="U26" s="35">
        <v>0</v>
      </c>
      <c r="V26" s="35">
        <v>0</v>
      </c>
      <c r="W26" s="35">
        <v>0</v>
      </c>
      <c r="X26" s="35">
        <v>0</v>
      </c>
      <c r="Y26" s="35">
        <v>0</v>
      </c>
      <c r="Z26" s="35">
        <v>0</v>
      </c>
      <c r="AA26" s="35">
        <v>0</v>
      </c>
    </row>
    <row r="27" spans="1:27" x14ac:dyDescent="0.2">
      <c r="A27" s="20" t="s">
        <v>132</v>
      </c>
      <c r="B27" s="20" t="s">
        <v>13</v>
      </c>
      <c r="C27" s="20" t="s">
        <v>171</v>
      </c>
      <c r="D27" s="20" t="s">
        <v>116</v>
      </c>
      <c r="E27" s="35">
        <f>IF(B27="","",VLOOKUP(B27,dagsoorttabel1,2,FALSE))</f>
        <v>0.8</v>
      </c>
      <c r="F27" s="35">
        <v>1</v>
      </c>
      <c r="G27" s="35">
        <f>IF(prodnorm28&gt;0,1/ROUND(prodnorm28,4),0)</f>
        <v>0</v>
      </c>
      <c r="H27" s="37">
        <f>ROUND(dagwerk28,4+2)</f>
        <v>0</v>
      </c>
      <c r="I27" s="39">
        <f>ROUND(uurtarief28,3)</f>
        <v>0</v>
      </c>
      <c r="J27" s="35">
        <v>5.3</v>
      </c>
      <c r="K27" s="35">
        <v>0</v>
      </c>
      <c r="L27" s="35">
        <v>0</v>
      </c>
      <c r="M27" s="35">
        <v>0</v>
      </c>
      <c r="N27" s="35">
        <v>0</v>
      </c>
      <c r="O27" s="35">
        <v>0</v>
      </c>
      <c r="P27" s="35">
        <v>0</v>
      </c>
      <c r="Q27" s="35">
        <v>0</v>
      </c>
      <c r="R27" s="35">
        <v>0</v>
      </c>
      <c r="S27" s="35">
        <v>0</v>
      </c>
      <c r="T27" s="35">
        <v>0</v>
      </c>
      <c r="U27" s="35">
        <v>0</v>
      </c>
      <c r="V27" s="35">
        <v>0</v>
      </c>
      <c r="W27" s="35">
        <v>0</v>
      </c>
      <c r="X27" s="35">
        <v>0</v>
      </c>
      <c r="Y27" s="35">
        <v>0</v>
      </c>
      <c r="Z27" s="35">
        <v>0</v>
      </c>
      <c r="AA27" s="35">
        <v>0</v>
      </c>
    </row>
    <row r="28" spans="1:27" x14ac:dyDescent="0.2">
      <c r="A28" s="20" t="s">
        <v>132</v>
      </c>
      <c r="B28" s="20" t="s">
        <v>11</v>
      </c>
      <c r="C28" s="20" t="s">
        <v>171</v>
      </c>
      <c r="D28" s="20" t="s">
        <v>116</v>
      </c>
      <c r="E28" s="35">
        <f>IF(B28="","",VLOOKUP(B28,dagsoorttabel1,2,FALSE))</f>
        <v>1</v>
      </c>
      <c r="F28" s="35">
        <v>1</v>
      </c>
      <c r="G28" s="35">
        <f>IF(prodnorm29&gt;0,1/ROUND(prodnorm29,4),0)</f>
        <v>0</v>
      </c>
      <c r="H28" s="37">
        <f>ROUND(dagwerk29,4+2)</f>
        <v>0</v>
      </c>
      <c r="I28" s="39">
        <f>ROUND(uurtarief29,3)</f>
        <v>0</v>
      </c>
      <c r="J28" s="35">
        <v>52.300000000000004</v>
      </c>
      <c r="K28" s="35">
        <v>36.1</v>
      </c>
      <c r="L28" s="35">
        <v>30.299999999999997</v>
      </c>
      <c r="M28" s="35">
        <v>51.43</v>
      </c>
      <c r="N28" s="35">
        <v>36.4</v>
      </c>
      <c r="O28" s="35">
        <v>53.900000000000013</v>
      </c>
      <c r="P28" s="35">
        <v>49.8</v>
      </c>
      <c r="Q28" s="35">
        <v>82.3</v>
      </c>
      <c r="R28" s="35">
        <v>27.2</v>
      </c>
      <c r="S28" s="35">
        <v>34.74</v>
      </c>
      <c r="T28" s="35">
        <v>47.780000000000008</v>
      </c>
      <c r="U28" s="35">
        <v>29.08</v>
      </c>
      <c r="V28" s="35">
        <v>39.5</v>
      </c>
      <c r="W28" s="35">
        <v>19.150000000000002</v>
      </c>
      <c r="X28" s="35">
        <v>24.68</v>
      </c>
      <c r="Y28" s="35">
        <v>62</v>
      </c>
      <c r="Z28" s="35">
        <v>18.7</v>
      </c>
      <c r="AA28" s="35">
        <v>25.599999999999998</v>
      </c>
    </row>
    <row r="29" spans="1:27" x14ac:dyDescent="0.2">
      <c r="A29" s="20" t="s">
        <v>132</v>
      </c>
      <c r="B29" s="20" t="s">
        <v>21</v>
      </c>
      <c r="C29" s="20" t="s">
        <v>171</v>
      </c>
      <c r="D29" s="20" t="s">
        <v>116</v>
      </c>
      <c r="E29" s="35">
        <f>IF(B29="","",VLOOKUP(B29,dagsoorttabel1,2,FALSE))</f>
        <v>0.2</v>
      </c>
      <c r="F29" s="35">
        <v>1</v>
      </c>
      <c r="G29" s="35">
        <f>IF(prodnorm30&gt;0,1/ROUND(prodnorm30,4),0)</f>
        <v>0</v>
      </c>
      <c r="H29" s="37">
        <f>ROUND(dagwerk30,4+2)</f>
        <v>0</v>
      </c>
      <c r="I29" s="39">
        <f>ROUND(uurtarief30,3)</f>
        <v>0</v>
      </c>
      <c r="J29" s="35">
        <v>0</v>
      </c>
      <c r="K29" s="35">
        <v>0</v>
      </c>
      <c r="L29" s="35">
        <v>0</v>
      </c>
      <c r="M29" s="35">
        <v>0</v>
      </c>
      <c r="N29" s="35">
        <v>0</v>
      </c>
      <c r="O29" s="35">
        <v>0</v>
      </c>
      <c r="P29" s="35">
        <v>0</v>
      </c>
      <c r="Q29" s="35">
        <v>6.7</v>
      </c>
      <c r="R29" s="35">
        <v>0</v>
      </c>
      <c r="S29" s="35">
        <v>0</v>
      </c>
      <c r="T29" s="35">
        <v>0</v>
      </c>
      <c r="U29" s="35">
        <v>0</v>
      </c>
      <c r="V29" s="35">
        <v>0</v>
      </c>
      <c r="W29" s="35">
        <v>0</v>
      </c>
      <c r="X29" s="35">
        <v>0</v>
      </c>
      <c r="Y29" s="35">
        <v>0</v>
      </c>
      <c r="Z29" s="35">
        <v>0</v>
      </c>
      <c r="AA29" s="35">
        <v>0</v>
      </c>
    </row>
    <row r="30" spans="1:27" x14ac:dyDescent="0.2">
      <c r="A30" s="20" t="s">
        <v>134</v>
      </c>
      <c r="B30" s="20" t="s">
        <v>11</v>
      </c>
      <c r="C30" s="20" t="s">
        <v>171</v>
      </c>
      <c r="D30" s="20" t="s">
        <v>116</v>
      </c>
      <c r="E30" s="35">
        <f>IF(B30="","",VLOOKUP(B30,dagsoorttabel1,2,FALSE))</f>
        <v>1</v>
      </c>
      <c r="F30" s="35">
        <v>1</v>
      </c>
      <c r="G30" s="35">
        <f>IF(prodnorm31&gt;0,1/ROUND(prodnorm31,4),0)</f>
        <v>0</v>
      </c>
      <c r="H30" s="37">
        <f>ROUND(dagwerk31,4+2)</f>
        <v>0</v>
      </c>
      <c r="I30" s="39">
        <f>ROUND(uurtarief31,3)</f>
        <v>0</v>
      </c>
      <c r="J30" s="35">
        <v>0</v>
      </c>
      <c r="K30" s="35">
        <v>0</v>
      </c>
      <c r="L30" s="35">
        <v>0</v>
      </c>
      <c r="M30" s="35">
        <v>0</v>
      </c>
      <c r="N30" s="35">
        <v>0</v>
      </c>
      <c r="O30" s="35">
        <v>0</v>
      </c>
      <c r="P30" s="35">
        <v>0</v>
      </c>
      <c r="Q30" s="35">
        <v>0</v>
      </c>
      <c r="R30" s="35">
        <v>0</v>
      </c>
      <c r="S30" s="35">
        <v>0</v>
      </c>
      <c r="T30" s="35">
        <v>0</v>
      </c>
      <c r="U30" s="35">
        <v>7.85</v>
      </c>
      <c r="V30" s="35">
        <v>0</v>
      </c>
      <c r="W30" s="35">
        <v>0</v>
      </c>
      <c r="X30" s="35">
        <v>0</v>
      </c>
      <c r="Y30" s="35">
        <v>0</v>
      </c>
      <c r="Z30" s="35">
        <v>0</v>
      </c>
      <c r="AA30" s="35">
        <v>0</v>
      </c>
    </row>
    <row r="31" spans="1:27" x14ac:dyDescent="0.2">
      <c r="A31" s="20" t="s">
        <v>136</v>
      </c>
      <c r="B31" s="20" t="s">
        <v>11</v>
      </c>
      <c r="C31" s="20" t="s">
        <v>171</v>
      </c>
      <c r="D31" s="20" t="s">
        <v>116</v>
      </c>
      <c r="E31" s="35">
        <f>IF(B31="","",VLOOKUP(B31,dagsoorttabel1,2,FALSE))</f>
        <v>1</v>
      </c>
      <c r="F31" s="35">
        <v>1</v>
      </c>
      <c r="G31" s="35">
        <f>IF(prodnorm32&gt;0,1/ROUND(prodnorm32,4),0)</f>
        <v>0</v>
      </c>
      <c r="H31" s="37">
        <f>ROUND(dagwerk32,4+2)</f>
        <v>0</v>
      </c>
      <c r="I31" s="39">
        <f>ROUND(uurtarief32,3)</f>
        <v>0</v>
      </c>
      <c r="J31" s="35">
        <v>112.92</v>
      </c>
      <c r="K31" s="35">
        <v>142.6</v>
      </c>
      <c r="L31" s="35">
        <v>102.5</v>
      </c>
      <c r="M31" s="35">
        <v>244.87</v>
      </c>
      <c r="N31" s="35">
        <v>41.7</v>
      </c>
      <c r="O31" s="35">
        <v>283.10000000000002</v>
      </c>
      <c r="P31" s="35">
        <v>342.81</v>
      </c>
      <c r="Q31" s="35">
        <v>211.72</v>
      </c>
      <c r="R31" s="35">
        <v>127.5</v>
      </c>
      <c r="S31" s="35">
        <v>177.45000000000002</v>
      </c>
      <c r="T31" s="35">
        <v>392</v>
      </c>
      <c r="U31" s="35">
        <v>161.84</v>
      </c>
      <c r="V31" s="35">
        <v>24.5</v>
      </c>
      <c r="W31" s="35">
        <v>59.7</v>
      </c>
      <c r="X31" s="35">
        <v>120.49999999999999</v>
      </c>
      <c r="Y31" s="35">
        <v>133.4</v>
      </c>
      <c r="Z31" s="35">
        <v>53.4</v>
      </c>
      <c r="AA31" s="35">
        <v>81.56</v>
      </c>
    </row>
    <row r="32" spans="1:27" x14ac:dyDescent="0.2">
      <c r="A32" s="20" t="s">
        <v>136</v>
      </c>
      <c r="B32" s="20" t="s">
        <v>9</v>
      </c>
      <c r="C32" s="20" t="s">
        <v>171</v>
      </c>
      <c r="D32" s="20" t="s">
        <v>116</v>
      </c>
      <c r="E32" s="35">
        <f>IF(B32="","",VLOOKUP(B32,dagsoorttabel1,2,FALSE))</f>
        <v>1.1200000000000001</v>
      </c>
      <c r="F32" s="35">
        <v>1</v>
      </c>
      <c r="G32" s="35">
        <f>IF(prodnorm33&gt;0,1/ROUND(prodnorm33,4),0)</f>
        <v>0</v>
      </c>
      <c r="H32" s="37">
        <f>ROUND(dagwerk33,4+2)</f>
        <v>0</v>
      </c>
      <c r="I32" s="39">
        <f>ROUND(uurtarief33,3)</f>
        <v>0</v>
      </c>
      <c r="J32" s="35">
        <v>0</v>
      </c>
      <c r="K32" s="35">
        <v>0</v>
      </c>
      <c r="L32" s="35">
        <v>0</v>
      </c>
      <c r="M32" s="35">
        <v>0</v>
      </c>
      <c r="N32" s="35">
        <v>0</v>
      </c>
      <c r="O32" s="35">
        <v>32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35">
        <v>0</v>
      </c>
      <c r="W32" s="35">
        <v>0</v>
      </c>
      <c r="X32" s="35">
        <v>0</v>
      </c>
      <c r="Y32" s="35">
        <v>0</v>
      </c>
      <c r="Z32" s="35">
        <v>0</v>
      </c>
      <c r="AA32" s="35">
        <v>0</v>
      </c>
    </row>
    <row r="33" spans="1:27" x14ac:dyDescent="0.2">
      <c r="A33" s="20" t="s">
        <v>136</v>
      </c>
      <c r="B33" s="20" t="s">
        <v>21</v>
      </c>
      <c r="C33" s="20" t="s">
        <v>171</v>
      </c>
      <c r="D33" s="20" t="s">
        <v>116</v>
      </c>
      <c r="E33" s="35">
        <f>IF(B33="","",VLOOKUP(B33,dagsoorttabel1,2,FALSE))</f>
        <v>0.2</v>
      </c>
      <c r="F33" s="35">
        <v>1</v>
      </c>
      <c r="G33" s="35">
        <f>IF(prodnorm34&gt;0,1/ROUND(prodnorm34,4),0)</f>
        <v>0</v>
      </c>
      <c r="H33" s="37">
        <f>ROUND(dagwerk34,4+2)</f>
        <v>0</v>
      </c>
      <c r="I33" s="39">
        <f>ROUND(uurtarief34,3)</f>
        <v>0</v>
      </c>
      <c r="J33" s="35">
        <v>0</v>
      </c>
      <c r="K33" s="35">
        <v>0</v>
      </c>
      <c r="L33" s="35">
        <v>0</v>
      </c>
      <c r="M33" s="35">
        <v>0</v>
      </c>
      <c r="N33" s="35">
        <v>0</v>
      </c>
      <c r="O33" s="35">
        <v>0</v>
      </c>
      <c r="P33" s="35">
        <v>0</v>
      </c>
      <c r="Q33" s="35">
        <v>0</v>
      </c>
      <c r="R33" s="35">
        <v>0</v>
      </c>
      <c r="S33" s="35">
        <v>24.63</v>
      </c>
      <c r="T33" s="35">
        <v>0</v>
      </c>
      <c r="U33" s="35">
        <v>0</v>
      </c>
      <c r="V33" s="35">
        <v>0</v>
      </c>
      <c r="W33" s="35">
        <v>0</v>
      </c>
      <c r="X33" s="35">
        <v>0</v>
      </c>
      <c r="Y33" s="35">
        <v>0</v>
      </c>
      <c r="Z33" s="35">
        <v>0</v>
      </c>
      <c r="AA33" s="35">
        <v>0</v>
      </c>
    </row>
    <row r="34" spans="1:27" x14ac:dyDescent="0.2">
      <c r="A34" s="20" t="s">
        <v>136</v>
      </c>
      <c r="B34" s="20" t="s">
        <v>19</v>
      </c>
      <c r="C34" s="20" t="s">
        <v>171</v>
      </c>
      <c r="D34" s="20" t="s">
        <v>116</v>
      </c>
      <c r="E34" s="35">
        <f>IF(B34="","",VLOOKUP(B34,dagsoorttabel1,2,FALSE))</f>
        <v>0.4</v>
      </c>
      <c r="F34" s="35">
        <v>1</v>
      </c>
      <c r="G34" s="35">
        <f>IF(prodnorm35&gt;0,1/ROUND(prodnorm35,4),0)</f>
        <v>0</v>
      </c>
      <c r="H34" s="37">
        <f>ROUND(dagwerk35,4+2)</f>
        <v>0</v>
      </c>
      <c r="I34" s="39">
        <f>ROUND(uurtarief35,3)</f>
        <v>0</v>
      </c>
      <c r="J34" s="35">
        <v>0</v>
      </c>
      <c r="K34" s="35">
        <v>0</v>
      </c>
      <c r="L34" s="35">
        <v>0</v>
      </c>
      <c r="M34" s="35">
        <v>0</v>
      </c>
      <c r="N34" s="35">
        <v>0</v>
      </c>
      <c r="O34" s="35">
        <v>0</v>
      </c>
      <c r="P34" s="35">
        <v>0</v>
      </c>
      <c r="Q34" s="35">
        <v>0</v>
      </c>
      <c r="R34" s="35">
        <v>0</v>
      </c>
      <c r="S34" s="35">
        <v>0</v>
      </c>
      <c r="T34" s="35">
        <v>0</v>
      </c>
      <c r="U34" s="35">
        <v>0</v>
      </c>
      <c r="V34" s="35">
        <v>0</v>
      </c>
      <c r="W34" s="35">
        <v>55.5</v>
      </c>
      <c r="X34" s="35">
        <v>0</v>
      </c>
      <c r="Y34" s="35">
        <v>0</v>
      </c>
      <c r="Z34" s="35">
        <v>0</v>
      </c>
      <c r="AA34" s="35">
        <v>0</v>
      </c>
    </row>
    <row r="35" spans="1:27" x14ac:dyDescent="0.2">
      <c r="A35" s="20" t="s">
        <v>138</v>
      </c>
      <c r="B35" s="20" t="s">
        <v>11</v>
      </c>
      <c r="C35" s="20" t="s">
        <v>171</v>
      </c>
      <c r="D35" s="20" t="s">
        <v>116</v>
      </c>
      <c r="E35" s="35">
        <f>IF(B35="","",VLOOKUP(B35,dagsoorttabel1,2,FALSE))</f>
        <v>1</v>
      </c>
      <c r="F35" s="35">
        <v>1</v>
      </c>
      <c r="G35" s="35">
        <f>IF(prodnorm36&gt;0,1/ROUND(prodnorm36,4),0)</f>
        <v>0</v>
      </c>
      <c r="H35" s="37">
        <f>ROUND(dagwerk36,4+2)</f>
        <v>0</v>
      </c>
      <c r="I35" s="39">
        <f>ROUND(uurtarief36,3)</f>
        <v>0</v>
      </c>
      <c r="J35" s="35">
        <v>215.39999999999998</v>
      </c>
      <c r="K35" s="35">
        <v>5.4</v>
      </c>
      <c r="L35" s="35">
        <v>0</v>
      </c>
      <c r="M35" s="35">
        <v>0</v>
      </c>
      <c r="N35" s="35">
        <v>0</v>
      </c>
      <c r="O35" s="35">
        <v>0</v>
      </c>
      <c r="P35" s="35">
        <v>13.96</v>
      </c>
      <c r="Q35" s="35">
        <v>70.8</v>
      </c>
      <c r="R35" s="35">
        <v>0</v>
      </c>
      <c r="S35" s="35">
        <v>0</v>
      </c>
      <c r="T35" s="35">
        <v>1.9500000000000002</v>
      </c>
      <c r="U35" s="35">
        <v>3.6</v>
      </c>
      <c r="V35" s="35">
        <v>110.7</v>
      </c>
      <c r="W35" s="35">
        <v>47.25</v>
      </c>
      <c r="X35" s="35">
        <v>0</v>
      </c>
      <c r="Y35" s="35">
        <v>47.5</v>
      </c>
      <c r="Z35" s="35">
        <v>0</v>
      </c>
      <c r="AA35" s="35">
        <v>0</v>
      </c>
    </row>
    <row r="36" spans="1:27" x14ac:dyDescent="0.2">
      <c r="A36" s="20" t="s">
        <v>139</v>
      </c>
      <c r="B36" s="20" t="s">
        <v>29</v>
      </c>
      <c r="C36" s="20" t="s">
        <v>171</v>
      </c>
      <c r="D36" s="20" t="s">
        <v>116</v>
      </c>
      <c r="E36" s="35">
        <f>IF(B36="","",VLOOKUP(B36,dagsoorttabel1,2,FALSE))</f>
        <v>5.0000000000000001E-3</v>
      </c>
      <c r="F36" s="35">
        <v>1</v>
      </c>
      <c r="G36" s="35">
        <f>IF(prodnorm37&gt;0,1/ROUND(prodnorm37,4),0)</f>
        <v>0</v>
      </c>
      <c r="H36" s="37">
        <f>ROUND(dagwerk37,4+2)</f>
        <v>0</v>
      </c>
      <c r="I36" s="39">
        <f>ROUND(uurtarief37,3)</f>
        <v>0</v>
      </c>
      <c r="J36" s="35">
        <v>1575.6600000000003</v>
      </c>
      <c r="K36" s="35">
        <v>574.79999999999984</v>
      </c>
      <c r="L36" s="35">
        <v>500.5</v>
      </c>
      <c r="M36" s="35">
        <v>761.65999999999985</v>
      </c>
      <c r="N36" s="35">
        <v>442.7</v>
      </c>
      <c r="O36" s="35">
        <v>826</v>
      </c>
      <c r="P36" s="35">
        <v>1253.0999999999999</v>
      </c>
      <c r="Q36" s="35">
        <v>1131.0299999999997</v>
      </c>
      <c r="R36" s="35">
        <v>491.5</v>
      </c>
      <c r="S36" s="35">
        <v>619.52</v>
      </c>
      <c r="T36" s="35">
        <v>402.85</v>
      </c>
      <c r="U36" s="35">
        <v>336.16999999999996</v>
      </c>
      <c r="V36" s="35">
        <v>473.14000000000004</v>
      </c>
      <c r="W36" s="35">
        <v>170.6</v>
      </c>
      <c r="X36" s="35">
        <v>266.89999999999998</v>
      </c>
      <c r="Y36" s="35">
        <v>554.20000000000005</v>
      </c>
      <c r="Z36" s="35">
        <v>408.8</v>
      </c>
      <c r="AA36" s="35">
        <v>468.86</v>
      </c>
    </row>
    <row r="37" spans="1:27" x14ac:dyDescent="0.2">
      <c r="A37" s="25" t="s">
        <v>141</v>
      </c>
      <c r="B37" s="25" t="s">
        <v>21</v>
      </c>
      <c r="C37" s="25" t="s">
        <v>171</v>
      </c>
      <c r="D37" s="25" t="s">
        <v>116</v>
      </c>
      <c r="E37" s="40">
        <f>IF(B37="","",VLOOKUP(B37,dagsoorttabel1,2,FALSE))</f>
        <v>0.2</v>
      </c>
      <c r="F37" s="40">
        <v>1</v>
      </c>
      <c r="G37" s="40">
        <f>IF(prodnorm38&gt;0,1/ROUND(prodnorm38,4),0)</f>
        <v>0</v>
      </c>
      <c r="H37" s="53">
        <f>ROUND(dagwerk38,4+2)</f>
        <v>0</v>
      </c>
      <c r="I37" s="42">
        <f>ROUND(uurtarief38,3)</f>
        <v>0</v>
      </c>
      <c r="J37" s="40">
        <v>0</v>
      </c>
      <c r="K37" s="40">
        <v>0</v>
      </c>
      <c r="L37" s="40">
        <v>0</v>
      </c>
      <c r="M37" s="40">
        <v>0</v>
      </c>
      <c r="N37" s="40">
        <v>0</v>
      </c>
      <c r="O37" s="40">
        <v>0</v>
      </c>
      <c r="P37" s="40">
        <v>0</v>
      </c>
      <c r="Q37" s="40">
        <v>0</v>
      </c>
      <c r="R37" s="40">
        <v>0</v>
      </c>
      <c r="S37" s="40">
        <v>0</v>
      </c>
      <c r="T37" s="40">
        <v>0</v>
      </c>
      <c r="U37" s="40">
        <v>0</v>
      </c>
      <c r="V37" s="40">
        <v>0</v>
      </c>
      <c r="W37" s="40">
        <v>55.5</v>
      </c>
      <c r="X37" s="40">
        <v>0</v>
      </c>
      <c r="Y37" s="40">
        <v>0</v>
      </c>
      <c r="Z37" s="40">
        <v>0</v>
      </c>
      <c r="AA37" s="40">
        <v>0</v>
      </c>
    </row>
    <row r="38" spans="1:27" x14ac:dyDescent="0.2">
      <c r="A38" s="43" t="s">
        <v>143</v>
      </c>
      <c r="B38" s="44"/>
      <c r="C38" s="44"/>
      <c r="D38" s="44"/>
      <c r="E38" s="44"/>
      <c r="F38" s="44"/>
      <c r="G38" s="44"/>
      <c r="H38" s="44"/>
      <c r="I38" s="4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</row>
  </sheetData>
  <pageMargins left="0.7" right="0.7" top="0.75" bottom="0.75" header="0.3" footer="0.3"/>
  <pageSetup paperSize="9" scale="70" orientation="landscape" horizontalDpi="4294967295" verticalDpi="4294967295" r:id="rId1"/>
  <headerFooter>
    <oddFooter>&amp;LStichting Openbaar Onderwijs Oost Groningen EA              &amp;ROpmaakdatum: 17-08-2021
Intexso - De Start 5 - Leusden
+31 (33) 2778485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BD03E-1F8F-4A6D-9ECA-72C3ECD57B15}">
  <dimension ref="A1:R27"/>
  <sheetViews>
    <sheetView workbookViewId="0"/>
  </sheetViews>
  <sheetFormatPr defaultRowHeight="12.75" x14ac:dyDescent="0.2"/>
  <cols>
    <col min="1" max="1" width="8.625" customWidth="1"/>
    <col min="2" max="2" width="28.625" customWidth="1"/>
    <col min="3" max="4" width="15.625" customWidth="1"/>
    <col min="5" max="5" width="6.125" customWidth="1"/>
    <col min="6" max="6" width="10.625" customWidth="1"/>
    <col min="7" max="14" width="12.125" customWidth="1"/>
    <col min="15" max="16" width="12.625" customWidth="1"/>
    <col min="17" max="18" width="13.625" customWidth="1"/>
  </cols>
  <sheetData>
    <row r="1" spans="1:18" x14ac:dyDescent="0.2">
      <c r="A1" s="1" t="str">
        <f>CONCATENATE("Bijlage H.3: ",tabeltype," objecten")</f>
        <v>Bijlage H.3: Invultabel objecten</v>
      </c>
    </row>
    <row r="3" spans="1:18" ht="51" x14ac:dyDescent="0.2">
      <c r="A3" s="8" t="s">
        <v>172</v>
      </c>
      <c r="B3" s="8" t="s">
        <v>173</v>
      </c>
      <c r="C3" s="8" t="s">
        <v>174</v>
      </c>
      <c r="D3" s="8" t="s">
        <v>175</v>
      </c>
      <c r="E3" s="8" t="s">
        <v>7</v>
      </c>
      <c r="F3" s="8" t="s">
        <v>176</v>
      </c>
      <c r="G3" s="8" t="s">
        <v>177</v>
      </c>
      <c r="H3" s="8" t="s">
        <v>178</v>
      </c>
      <c r="I3" s="8" t="s">
        <v>179</v>
      </c>
      <c r="J3" s="8" t="s">
        <v>180</v>
      </c>
      <c r="K3" s="8" t="s">
        <v>181</v>
      </c>
      <c r="L3" s="8" t="s">
        <v>182</v>
      </c>
      <c r="M3" s="8" t="s">
        <v>183</v>
      </c>
      <c r="N3" s="8" t="s">
        <v>184</v>
      </c>
      <c r="O3" s="8" t="s">
        <v>185</v>
      </c>
      <c r="P3" s="8" t="s">
        <v>113</v>
      </c>
      <c r="Q3" s="8" t="s">
        <v>186</v>
      </c>
      <c r="R3" s="8" t="s">
        <v>187</v>
      </c>
    </row>
    <row r="4" spans="1:18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1"/>
    </row>
    <row r="5" spans="1:18" x14ac:dyDescent="0.2">
      <c r="A5" s="12" t="s">
        <v>41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4"/>
    </row>
    <row r="6" spans="1:18" x14ac:dyDescent="0.2">
      <c r="A6" s="15" t="s">
        <v>188</v>
      </c>
      <c r="B6" s="15" t="s">
        <v>189</v>
      </c>
      <c r="C6" s="15" t="s">
        <v>190</v>
      </c>
      <c r="D6" s="15" t="s">
        <v>191</v>
      </c>
      <c r="E6" s="55" t="s">
        <v>11</v>
      </c>
      <c r="F6" s="56">
        <f>gemuurtarief1</f>
        <v>0</v>
      </c>
      <c r="G6" s="30">
        <f>SUMPRODUCT(taakfreqtabel1,uurfactortabel1,kengetaltabel1,object1_opptabel1)*(1/VLOOKUP(E6,dagsoorttabel1,2,FALSE))</f>
        <v>0</v>
      </c>
      <c r="H6" s="30">
        <f>SUMPRODUCT(dagwerktabel1,taakfreqtabel1,uurfactortabel1,kengetaltabel1,object1_opptabel1)*(1/VLOOKUP(E6,dagsoorttabel1,2,FALSE))</f>
        <v>0</v>
      </c>
      <c r="I6" s="57"/>
      <c r="J6" s="30">
        <f>H6+I6</f>
        <v>0</v>
      </c>
      <c r="K6" s="30">
        <f>G6+I6</f>
        <v>0</v>
      </c>
      <c r="L6" s="34">
        <f>SUMPRODUCT(taakfreqtabel1,kengetaltabel1,tarieftabel1,object1_opptabel1)*(1/VLOOKUP(E6,dagsoorttabel1,2,FALSE))</f>
        <v>0</v>
      </c>
      <c r="M6" s="34">
        <f>F6*I6</f>
        <v>0</v>
      </c>
      <c r="N6" s="34">
        <f>SUM(L6:M6)</f>
        <v>0</v>
      </c>
      <c r="O6" s="30">
        <f>J6*dagenperjaar1*VLOOKUP(E6,dagsoorttabel1,2,FALSE)</f>
        <v>0</v>
      </c>
      <c r="P6" s="30">
        <f>K6*dagenperjaar1*VLOOKUP(E6,dagsoorttabel1,2,FALSE)</f>
        <v>0</v>
      </c>
      <c r="Q6" s="34">
        <f>N6*dagenperjaar1*VLOOKUP(E6,dagsoorttabel1,2,FALSE)</f>
        <v>0</v>
      </c>
      <c r="R6" s="34">
        <f>Q6/12</f>
        <v>0</v>
      </c>
    </row>
    <row r="7" spans="1:18" x14ac:dyDescent="0.2">
      <c r="A7" s="20" t="s">
        <v>192</v>
      </c>
      <c r="B7" s="20" t="s">
        <v>193</v>
      </c>
      <c r="C7" s="20" t="s">
        <v>194</v>
      </c>
      <c r="D7" s="20" t="s">
        <v>195</v>
      </c>
      <c r="E7" s="58" t="s">
        <v>11</v>
      </c>
      <c r="F7" s="59">
        <f>gemuurtarief1</f>
        <v>0</v>
      </c>
      <c r="G7" s="35">
        <f>SUMPRODUCT(taakfreqtabel1,uurfactortabel1,kengetaltabel1,object2_opptabel1)*(1/VLOOKUP(E7,dagsoorttabel1,2,FALSE))</f>
        <v>0</v>
      </c>
      <c r="H7" s="35">
        <f>SUMPRODUCT(dagwerktabel1,taakfreqtabel1,uurfactortabel1,kengetaltabel1,object2_opptabel1)*(1/VLOOKUP(E7,dagsoorttabel1,2,FALSE))</f>
        <v>0</v>
      </c>
      <c r="I7" s="60"/>
      <c r="J7" s="35">
        <f>H7+I7</f>
        <v>0</v>
      </c>
      <c r="K7" s="35">
        <f>G7+I7</f>
        <v>0</v>
      </c>
      <c r="L7" s="39">
        <f>SUMPRODUCT(taakfreqtabel1,kengetaltabel1,tarieftabel1,object2_opptabel1)*(1/VLOOKUP(E7,dagsoorttabel1,2,FALSE))</f>
        <v>0</v>
      </c>
      <c r="M7" s="39">
        <f>F7*I7</f>
        <v>0</v>
      </c>
      <c r="N7" s="39">
        <f>SUM(L7:M7)</f>
        <v>0</v>
      </c>
      <c r="O7" s="35">
        <f>J7*dagenperjaar1*VLOOKUP(E7,dagsoorttabel1,2,FALSE)</f>
        <v>0</v>
      </c>
      <c r="P7" s="35">
        <f>K7*dagenperjaar1*VLOOKUP(E7,dagsoorttabel1,2,FALSE)</f>
        <v>0</v>
      </c>
      <c r="Q7" s="39">
        <f>N7*dagenperjaar1*VLOOKUP(E7,dagsoorttabel1,2,FALSE)</f>
        <v>0</v>
      </c>
      <c r="R7" s="39">
        <f>Q7/12</f>
        <v>0</v>
      </c>
    </row>
    <row r="8" spans="1:18" x14ac:dyDescent="0.2">
      <c r="A8" s="20" t="s">
        <v>196</v>
      </c>
      <c r="B8" s="20" t="s">
        <v>197</v>
      </c>
      <c r="C8" s="20" t="s">
        <v>198</v>
      </c>
      <c r="D8" s="20" t="s">
        <v>195</v>
      </c>
      <c r="E8" s="58" t="s">
        <v>11</v>
      </c>
      <c r="F8" s="59">
        <f>gemuurtarief1</f>
        <v>0</v>
      </c>
      <c r="G8" s="35">
        <f>SUMPRODUCT(taakfreqtabel1,uurfactortabel1,kengetaltabel1,object3_opptabel1)*(1/VLOOKUP(E8,dagsoorttabel1,2,FALSE))</f>
        <v>0</v>
      </c>
      <c r="H8" s="35">
        <f>SUMPRODUCT(dagwerktabel1,taakfreqtabel1,uurfactortabel1,kengetaltabel1,object3_opptabel1)*(1/VLOOKUP(E8,dagsoorttabel1,2,FALSE))</f>
        <v>0</v>
      </c>
      <c r="I8" s="60"/>
      <c r="J8" s="35">
        <f>H8+I8</f>
        <v>0</v>
      </c>
      <c r="K8" s="35">
        <f>G8+I8</f>
        <v>0</v>
      </c>
      <c r="L8" s="39">
        <f>SUMPRODUCT(taakfreqtabel1,kengetaltabel1,tarieftabel1,object3_opptabel1)*(1/VLOOKUP(E8,dagsoorttabel1,2,FALSE))</f>
        <v>0</v>
      </c>
      <c r="M8" s="39">
        <f>F8*I8</f>
        <v>0</v>
      </c>
      <c r="N8" s="39">
        <f>SUM(L8:M8)</f>
        <v>0</v>
      </c>
      <c r="O8" s="35">
        <f>J8*dagenperjaar1*VLOOKUP(E8,dagsoorttabel1,2,FALSE)</f>
        <v>0</v>
      </c>
      <c r="P8" s="35">
        <f>K8*dagenperjaar1*VLOOKUP(E8,dagsoorttabel1,2,FALSE)</f>
        <v>0</v>
      </c>
      <c r="Q8" s="39">
        <f>N8*dagenperjaar1*VLOOKUP(E8,dagsoorttabel1,2,FALSE)</f>
        <v>0</v>
      </c>
      <c r="R8" s="39">
        <f>Q8/12</f>
        <v>0</v>
      </c>
    </row>
    <row r="9" spans="1:18" x14ac:dyDescent="0.2">
      <c r="A9" s="20" t="s">
        <v>199</v>
      </c>
      <c r="B9" s="20" t="s">
        <v>200</v>
      </c>
      <c r="C9" s="20" t="s">
        <v>201</v>
      </c>
      <c r="D9" s="20" t="s">
        <v>202</v>
      </c>
      <c r="E9" s="58" t="s">
        <v>11</v>
      </c>
      <c r="F9" s="59">
        <f>gemuurtarief1</f>
        <v>0</v>
      </c>
      <c r="G9" s="35">
        <f>SUMPRODUCT(taakfreqtabel1,uurfactortabel1,kengetaltabel1,object4_opptabel1)*(1/VLOOKUP(E9,dagsoorttabel1,2,FALSE))</f>
        <v>0</v>
      </c>
      <c r="H9" s="35">
        <f>SUMPRODUCT(dagwerktabel1,taakfreqtabel1,uurfactortabel1,kengetaltabel1,object4_opptabel1)*(1/VLOOKUP(E9,dagsoorttabel1,2,FALSE))</f>
        <v>0</v>
      </c>
      <c r="I9" s="60"/>
      <c r="J9" s="35">
        <f>H9+I9</f>
        <v>0</v>
      </c>
      <c r="K9" s="35">
        <f>G9+I9</f>
        <v>0</v>
      </c>
      <c r="L9" s="39">
        <f>SUMPRODUCT(taakfreqtabel1,kengetaltabel1,tarieftabel1,object4_opptabel1)*(1/VLOOKUP(E9,dagsoorttabel1,2,FALSE))</f>
        <v>0</v>
      </c>
      <c r="M9" s="39">
        <f>F9*I9</f>
        <v>0</v>
      </c>
      <c r="N9" s="39">
        <f>SUM(L9:M9)</f>
        <v>0</v>
      </c>
      <c r="O9" s="35">
        <f>J9*dagenperjaar1*VLOOKUP(E9,dagsoorttabel1,2,FALSE)</f>
        <v>0</v>
      </c>
      <c r="P9" s="35">
        <f>K9*dagenperjaar1*VLOOKUP(E9,dagsoorttabel1,2,FALSE)</f>
        <v>0</v>
      </c>
      <c r="Q9" s="39">
        <f>N9*dagenperjaar1*VLOOKUP(E9,dagsoorttabel1,2,FALSE)</f>
        <v>0</v>
      </c>
      <c r="R9" s="39">
        <f>Q9/12</f>
        <v>0</v>
      </c>
    </row>
    <row r="10" spans="1:18" x14ac:dyDescent="0.2">
      <c r="A10" s="20" t="s">
        <v>203</v>
      </c>
      <c r="B10" s="20" t="s">
        <v>204</v>
      </c>
      <c r="C10" s="20" t="s">
        <v>205</v>
      </c>
      <c r="D10" s="20" t="s">
        <v>206</v>
      </c>
      <c r="E10" s="58" t="s">
        <v>11</v>
      </c>
      <c r="F10" s="59">
        <f>gemuurtarief1</f>
        <v>0</v>
      </c>
      <c r="G10" s="35">
        <f>SUMPRODUCT(taakfreqtabel1,uurfactortabel1,kengetaltabel1,object5_opptabel1)*(1/VLOOKUP(E10,dagsoorttabel1,2,FALSE))</f>
        <v>0</v>
      </c>
      <c r="H10" s="35">
        <f>SUMPRODUCT(dagwerktabel1,taakfreqtabel1,uurfactortabel1,kengetaltabel1,object5_opptabel1)*(1/VLOOKUP(E10,dagsoorttabel1,2,FALSE))</f>
        <v>0</v>
      </c>
      <c r="I10" s="60"/>
      <c r="J10" s="35">
        <f>H10+I10</f>
        <v>0</v>
      </c>
      <c r="K10" s="35">
        <f>G10+I10</f>
        <v>0</v>
      </c>
      <c r="L10" s="39">
        <f>SUMPRODUCT(taakfreqtabel1,kengetaltabel1,tarieftabel1,object5_opptabel1)*(1/VLOOKUP(E10,dagsoorttabel1,2,FALSE))</f>
        <v>0</v>
      </c>
      <c r="M10" s="39">
        <f>F10*I10</f>
        <v>0</v>
      </c>
      <c r="N10" s="39">
        <f>SUM(L10:M10)</f>
        <v>0</v>
      </c>
      <c r="O10" s="35">
        <f>J10*dagenperjaar1*VLOOKUP(E10,dagsoorttabel1,2,FALSE)</f>
        <v>0</v>
      </c>
      <c r="P10" s="35">
        <f>K10*dagenperjaar1*VLOOKUP(E10,dagsoorttabel1,2,FALSE)</f>
        <v>0</v>
      </c>
      <c r="Q10" s="39">
        <f>N10*dagenperjaar1*VLOOKUP(E10,dagsoorttabel1,2,FALSE)</f>
        <v>0</v>
      </c>
      <c r="R10" s="39">
        <f>Q10/12</f>
        <v>0</v>
      </c>
    </row>
    <row r="11" spans="1:18" x14ac:dyDescent="0.2">
      <c r="A11" s="20" t="s">
        <v>207</v>
      </c>
      <c r="B11" s="20" t="s">
        <v>208</v>
      </c>
      <c r="C11" s="20" t="s">
        <v>209</v>
      </c>
      <c r="D11" s="20" t="s">
        <v>210</v>
      </c>
      <c r="E11" s="58" t="s">
        <v>9</v>
      </c>
      <c r="F11" s="59">
        <f>gemuurtarief1</f>
        <v>0</v>
      </c>
      <c r="G11" s="35">
        <f>SUMPRODUCT(taakfreqtabel1,uurfactortabel1,kengetaltabel1,object6_opptabel1)*(1/VLOOKUP(E11,dagsoorttabel1,2,FALSE))</f>
        <v>0</v>
      </c>
      <c r="H11" s="35">
        <f>SUMPRODUCT(dagwerktabel1,taakfreqtabel1,uurfactortabel1,kengetaltabel1,object6_opptabel1)*(1/VLOOKUP(E11,dagsoorttabel1,2,FALSE))</f>
        <v>0</v>
      </c>
      <c r="I11" s="60"/>
      <c r="J11" s="35">
        <f>H11+I11</f>
        <v>0</v>
      </c>
      <c r="K11" s="35">
        <f>G11+I11</f>
        <v>0</v>
      </c>
      <c r="L11" s="39">
        <f>SUMPRODUCT(taakfreqtabel1,kengetaltabel1,tarieftabel1,object6_opptabel1)*(1/VLOOKUP(E11,dagsoorttabel1,2,FALSE))</f>
        <v>0</v>
      </c>
      <c r="M11" s="39">
        <f>F11*I11</f>
        <v>0</v>
      </c>
      <c r="N11" s="39">
        <f>SUM(L11:M11)</f>
        <v>0</v>
      </c>
      <c r="O11" s="35">
        <f>J11*dagenperjaar1*VLOOKUP(E11,dagsoorttabel1,2,FALSE)</f>
        <v>0</v>
      </c>
      <c r="P11" s="35">
        <f>K11*dagenperjaar1*VLOOKUP(E11,dagsoorttabel1,2,FALSE)</f>
        <v>0</v>
      </c>
      <c r="Q11" s="39">
        <f>N11*dagenperjaar1*VLOOKUP(E11,dagsoorttabel1,2,FALSE)</f>
        <v>0</v>
      </c>
      <c r="R11" s="39">
        <f>Q11/12</f>
        <v>0</v>
      </c>
    </row>
    <row r="12" spans="1:18" x14ac:dyDescent="0.2">
      <c r="A12" s="20" t="s">
        <v>211</v>
      </c>
      <c r="B12" s="20" t="s">
        <v>212</v>
      </c>
      <c r="C12" s="20" t="s">
        <v>213</v>
      </c>
      <c r="D12" s="20" t="s">
        <v>214</v>
      </c>
      <c r="E12" s="58" t="s">
        <v>11</v>
      </c>
      <c r="F12" s="59">
        <f>gemuurtarief1</f>
        <v>0</v>
      </c>
      <c r="G12" s="35">
        <f>SUMPRODUCT(taakfreqtabel1,uurfactortabel1,kengetaltabel1,object7_opptabel1)*(1/VLOOKUP(E12,dagsoorttabel1,2,FALSE))</f>
        <v>0</v>
      </c>
      <c r="H12" s="35">
        <f>SUMPRODUCT(dagwerktabel1,taakfreqtabel1,uurfactortabel1,kengetaltabel1,object7_opptabel1)*(1/VLOOKUP(E12,dagsoorttabel1,2,FALSE))</f>
        <v>0</v>
      </c>
      <c r="I12" s="60"/>
      <c r="J12" s="35">
        <f>H12+I12</f>
        <v>0</v>
      </c>
      <c r="K12" s="35">
        <f>G12+I12</f>
        <v>0</v>
      </c>
      <c r="L12" s="39">
        <f>SUMPRODUCT(taakfreqtabel1,kengetaltabel1,tarieftabel1,object7_opptabel1)*(1/VLOOKUP(E12,dagsoorttabel1,2,FALSE))</f>
        <v>0</v>
      </c>
      <c r="M12" s="39">
        <f>F12*I12</f>
        <v>0</v>
      </c>
      <c r="N12" s="39">
        <f>SUM(L12:M12)</f>
        <v>0</v>
      </c>
      <c r="O12" s="35">
        <f>J12*dagenperjaar1*VLOOKUP(E12,dagsoorttabel1,2,FALSE)</f>
        <v>0</v>
      </c>
      <c r="P12" s="35">
        <f>K12*dagenperjaar1*VLOOKUP(E12,dagsoorttabel1,2,FALSE)</f>
        <v>0</v>
      </c>
      <c r="Q12" s="39">
        <f>N12*dagenperjaar1*VLOOKUP(E12,dagsoorttabel1,2,FALSE)</f>
        <v>0</v>
      </c>
      <c r="R12" s="39">
        <f>Q12/12</f>
        <v>0</v>
      </c>
    </row>
    <row r="13" spans="1:18" x14ac:dyDescent="0.2">
      <c r="A13" s="20" t="s">
        <v>215</v>
      </c>
      <c r="B13" s="20" t="s">
        <v>216</v>
      </c>
      <c r="C13" s="20" t="s">
        <v>217</v>
      </c>
      <c r="D13" s="20" t="s">
        <v>210</v>
      </c>
      <c r="E13" s="58" t="s">
        <v>11</v>
      </c>
      <c r="F13" s="59">
        <f>gemuurtarief1</f>
        <v>0</v>
      </c>
      <c r="G13" s="35">
        <f>SUMPRODUCT(taakfreqtabel1,uurfactortabel1,kengetaltabel1,object8_opptabel1)*(1/VLOOKUP(E13,dagsoorttabel1,2,FALSE))</f>
        <v>0</v>
      </c>
      <c r="H13" s="35">
        <f>SUMPRODUCT(dagwerktabel1,taakfreqtabel1,uurfactortabel1,kengetaltabel1,object8_opptabel1)*(1/VLOOKUP(E13,dagsoorttabel1,2,FALSE))</f>
        <v>0</v>
      </c>
      <c r="I13" s="60"/>
      <c r="J13" s="35">
        <f>H13+I13</f>
        <v>0</v>
      </c>
      <c r="K13" s="35">
        <f>G13+I13</f>
        <v>0</v>
      </c>
      <c r="L13" s="39">
        <f>SUMPRODUCT(taakfreqtabel1,kengetaltabel1,tarieftabel1,object8_opptabel1)*(1/VLOOKUP(E13,dagsoorttabel1,2,FALSE))</f>
        <v>0</v>
      </c>
      <c r="M13" s="39">
        <f>F13*I13</f>
        <v>0</v>
      </c>
      <c r="N13" s="39">
        <f>SUM(L13:M13)</f>
        <v>0</v>
      </c>
      <c r="O13" s="35">
        <f>J13*dagenperjaar1*VLOOKUP(E13,dagsoorttabel1,2,FALSE)</f>
        <v>0</v>
      </c>
      <c r="P13" s="35">
        <f>K13*dagenperjaar1*VLOOKUP(E13,dagsoorttabel1,2,FALSE)</f>
        <v>0</v>
      </c>
      <c r="Q13" s="39">
        <f>N13*dagenperjaar1*VLOOKUP(E13,dagsoorttabel1,2,FALSE)</f>
        <v>0</v>
      </c>
      <c r="R13" s="39">
        <f>Q13/12</f>
        <v>0</v>
      </c>
    </row>
    <row r="14" spans="1:18" x14ac:dyDescent="0.2">
      <c r="A14" s="20" t="s">
        <v>218</v>
      </c>
      <c r="B14" s="20" t="s">
        <v>219</v>
      </c>
      <c r="C14" s="20" t="s">
        <v>220</v>
      </c>
      <c r="D14" s="20" t="s">
        <v>221</v>
      </c>
      <c r="E14" s="58" t="s">
        <v>11</v>
      </c>
      <c r="F14" s="59">
        <f>gemuurtarief1</f>
        <v>0</v>
      </c>
      <c r="G14" s="35">
        <f>SUMPRODUCT(taakfreqtabel1,uurfactortabel1,kengetaltabel1,object9_opptabel1)*(1/VLOOKUP(E14,dagsoorttabel1,2,FALSE))</f>
        <v>0</v>
      </c>
      <c r="H14" s="35">
        <f>SUMPRODUCT(dagwerktabel1,taakfreqtabel1,uurfactortabel1,kengetaltabel1,object9_opptabel1)*(1/VLOOKUP(E14,dagsoorttabel1,2,FALSE))</f>
        <v>0</v>
      </c>
      <c r="I14" s="60"/>
      <c r="J14" s="35">
        <f>H14+I14</f>
        <v>0</v>
      </c>
      <c r="K14" s="35">
        <f>G14+I14</f>
        <v>0</v>
      </c>
      <c r="L14" s="39">
        <f>SUMPRODUCT(taakfreqtabel1,kengetaltabel1,tarieftabel1,object9_opptabel1)*(1/VLOOKUP(E14,dagsoorttabel1,2,FALSE))</f>
        <v>0</v>
      </c>
      <c r="M14" s="39">
        <f>F14*I14</f>
        <v>0</v>
      </c>
      <c r="N14" s="39">
        <f>SUM(L14:M14)</f>
        <v>0</v>
      </c>
      <c r="O14" s="35">
        <f>J14*dagenperjaar1*VLOOKUP(E14,dagsoorttabel1,2,FALSE)</f>
        <v>0</v>
      </c>
      <c r="P14" s="35">
        <f>K14*dagenperjaar1*VLOOKUP(E14,dagsoorttabel1,2,FALSE)</f>
        <v>0</v>
      </c>
      <c r="Q14" s="39">
        <f>N14*dagenperjaar1*VLOOKUP(E14,dagsoorttabel1,2,FALSE)</f>
        <v>0</v>
      </c>
      <c r="R14" s="39">
        <f>Q14/12</f>
        <v>0</v>
      </c>
    </row>
    <row r="15" spans="1:18" x14ac:dyDescent="0.2">
      <c r="A15" s="20" t="s">
        <v>222</v>
      </c>
      <c r="B15" s="20" t="s">
        <v>223</v>
      </c>
      <c r="C15" s="20" t="s">
        <v>224</v>
      </c>
      <c r="D15" s="20" t="s">
        <v>225</v>
      </c>
      <c r="E15" s="58" t="s">
        <v>11</v>
      </c>
      <c r="F15" s="59">
        <f>gemuurtarief1</f>
        <v>0</v>
      </c>
      <c r="G15" s="35">
        <f>SUMPRODUCT(taakfreqtabel1,uurfactortabel1,kengetaltabel1,object10_opptabel1)*(1/VLOOKUP(E15,dagsoorttabel1,2,FALSE))</f>
        <v>0</v>
      </c>
      <c r="H15" s="35">
        <f>SUMPRODUCT(dagwerktabel1,taakfreqtabel1,uurfactortabel1,kengetaltabel1,object10_opptabel1)*(1/VLOOKUP(E15,dagsoorttabel1,2,FALSE))</f>
        <v>0</v>
      </c>
      <c r="I15" s="60"/>
      <c r="J15" s="35">
        <f>H15+I15</f>
        <v>0</v>
      </c>
      <c r="K15" s="35">
        <f>G15+I15</f>
        <v>0</v>
      </c>
      <c r="L15" s="39">
        <f>SUMPRODUCT(taakfreqtabel1,kengetaltabel1,tarieftabel1,object10_opptabel1)*(1/VLOOKUP(E15,dagsoorttabel1,2,FALSE))</f>
        <v>0</v>
      </c>
      <c r="M15" s="39">
        <f>F15*I15</f>
        <v>0</v>
      </c>
      <c r="N15" s="39">
        <f>SUM(L15:M15)</f>
        <v>0</v>
      </c>
      <c r="O15" s="35">
        <f>J15*dagenperjaar1*VLOOKUP(E15,dagsoorttabel1,2,FALSE)</f>
        <v>0</v>
      </c>
      <c r="P15" s="35">
        <f>K15*dagenperjaar1*VLOOKUP(E15,dagsoorttabel1,2,FALSE)</f>
        <v>0</v>
      </c>
      <c r="Q15" s="39">
        <f>N15*dagenperjaar1*VLOOKUP(E15,dagsoorttabel1,2,FALSE)</f>
        <v>0</v>
      </c>
      <c r="R15" s="39">
        <f>Q15/12</f>
        <v>0</v>
      </c>
    </row>
    <row r="16" spans="1:18" x14ac:dyDescent="0.2">
      <c r="A16" s="20" t="s">
        <v>226</v>
      </c>
      <c r="B16" s="20" t="s">
        <v>227</v>
      </c>
      <c r="C16" s="20" t="s">
        <v>228</v>
      </c>
      <c r="D16" s="20" t="s">
        <v>210</v>
      </c>
      <c r="E16" s="58" t="s">
        <v>11</v>
      </c>
      <c r="F16" s="59">
        <f>gemuurtarief1</f>
        <v>0</v>
      </c>
      <c r="G16" s="35">
        <f>SUMPRODUCT(taakfreqtabel1,uurfactortabel1,kengetaltabel1,object11_opptabel1)*(1/VLOOKUP(E16,dagsoorttabel1,2,FALSE))</f>
        <v>0</v>
      </c>
      <c r="H16" s="35">
        <f>SUMPRODUCT(dagwerktabel1,taakfreqtabel1,uurfactortabel1,kengetaltabel1,object11_opptabel1)*(1/VLOOKUP(E16,dagsoorttabel1,2,FALSE))</f>
        <v>0</v>
      </c>
      <c r="I16" s="60"/>
      <c r="J16" s="35">
        <f>H16+I16</f>
        <v>0</v>
      </c>
      <c r="K16" s="35">
        <f>G16+I16</f>
        <v>0</v>
      </c>
      <c r="L16" s="39">
        <f>SUMPRODUCT(taakfreqtabel1,kengetaltabel1,tarieftabel1,object11_opptabel1)*(1/VLOOKUP(E16,dagsoorttabel1,2,FALSE))</f>
        <v>0</v>
      </c>
      <c r="M16" s="39">
        <f>F16*I16</f>
        <v>0</v>
      </c>
      <c r="N16" s="39">
        <f>SUM(L16:M16)</f>
        <v>0</v>
      </c>
      <c r="O16" s="35">
        <f>J16*dagenperjaar1*VLOOKUP(E16,dagsoorttabel1,2,FALSE)</f>
        <v>0</v>
      </c>
      <c r="P16" s="35">
        <f>K16*dagenperjaar1*VLOOKUP(E16,dagsoorttabel1,2,FALSE)</f>
        <v>0</v>
      </c>
      <c r="Q16" s="39">
        <f>N16*dagenperjaar1*VLOOKUP(E16,dagsoorttabel1,2,FALSE)</f>
        <v>0</v>
      </c>
      <c r="R16" s="39">
        <f>Q16/12</f>
        <v>0</v>
      </c>
    </row>
    <row r="17" spans="1:18" x14ac:dyDescent="0.2">
      <c r="A17" s="20" t="s">
        <v>229</v>
      </c>
      <c r="B17" s="20" t="s">
        <v>230</v>
      </c>
      <c r="C17" s="20" t="s">
        <v>231</v>
      </c>
      <c r="D17" s="20" t="s">
        <v>232</v>
      </c>
      <c r="E17" s="58" t="s">
        <v>11</v>
      </c>
      <c r="F17" s="59">
        <f>gemuurtarief1</f>
        <v>0</v>
      </c>
      <c r="G17" s="35">
        <f>SUMPRODUCT(taakfreqtabel1,uurfactortabel1,kengetaltabel1,object12_opptabel1)*(1/VLOOKUP(E17,dagsoorttabel1,2,FALSE))</f>
        <v>0</v>
      </c>
      <c r="H17" s="35">
        <f>SUMPRODUCT(dagwerktabel1,taakfreqtabel1,uurfactortabel1,kengetaltabel1,object12_opptabel1)*(1/VLOOKUP(E17,dagsoorttabel1,2,FALSE))</f>
        <v>0</v>
      </c>
      <c r="I17" s="60"/>
      <c r="J17" s="35">
        <f>H17+I17</f>
        <v>0</v>
      </c>
      <c r="K17" s="35">
        <f>G17+I17</f>
        <v>0</v>
      </c>
      <c r="L17" s="39">
        <f>SUMPRODUCT(taakfreqtabel1,kengetaltabel1,tarieftabel1,object12_opptabel1)*(1/VLOOKUP(E17,dagsoorttabel1,2,FALSE))</f>
        <v>0</v>
      </c>
      <c r="M17" s="39">
        <f>F17*I17</f>
        <v>0</v>
      </c>
      <c r="N17" s="39">
        <f>SUM(L17:M17)</f>
        <v>0</v>
      </c>
      <c r="O17" s="35">
        <f>J17*dagenperjaar1*VLOOKUP(E17,dagsoorttabel1,2,FALSE)</f>
        <v>0</v>
      </c>
      <c r="P17" s="35">
        <f>K17*dagenperjaar1*VLOOKUP(E17,dagsoorttabel1,2,FALSE)</f>
        <v>0</v>
      </c>
      <c r="Q17" s="39">
        <f>N17*dagenperjaar1*VLOOKUP(E17,dagsoorttabel1,2,FALSE)</f>
        <v>0</v>
      </c>
      <c r="R17" s="39">
        <f>Q17/12</f>
        <v>0</v>
      </c>
    </row>
    <row r="18" spans="1:18" x14ac:dyDescent="0.2">
      <c r="A18" s="20" t="s">
        <v>233</v>
      </c>
      <c r="B18" s="20" t="s">
        <v>234</v>
      </c>
      <c r="C18" s="20" t="s">
        <v>235</v>
      </c>
      <c r="D18" s="20" t="s">
        <v>236</v>
      </c>
      <c r="E18" s="58" t="s">
        <v>11</v>
      </c>
      <c r="F18" s="59">
        <f>gemuurtarief1</f>
        <v>0</v>
      </c>
      <c r="G18" s="35">
        <f>SUMPRODUCT(taakfreqtabel1,uurfactortabel1,kengetaltabel1,object13_opptabel1)*(1/VLOOKUP(E18,dagsoorttabel1,2,FALSE))</f>
        <v>0</v>
      </c>
      <c r="H18" s="35">
        <f>SUMPRODUCT(dagwerktabel1,taakfreqtabel1,uurfactortabel1,kengetaltabel1,object13_opptabel1)*(1/VLOOKUP(E18,dagsoorttabel1,2,FALSE))</f>
        <v>0</v>
      </c>
      <c r="I18" s="60"/>
      <c r="J18" s="35">
        <f>H18+I18</f>
        <v>0</v>
      </c>
      <c r="K18" s="35">
        <f>G18+I18</f>
        <v>0</v>
      </c>
      <c r="L18" s="39">
        <f>SUMPRODUCT(taakfreqtabel1,kengetaltabel1,tarieftabel1,object13_opptabel1)*(1/VLOOKUP(E18,dagsoorttabel1,2,FALSE))</f>
        <v>0</v>
      </c>
      <c r="M18" s="39">
        <f>F18*I18</f>
        <v>0</v>
      </c>
      <c r="N18" s="39">
        <f>SUM(L18:M18)</f>
        <v>0</v>
      </c>
      <c r="O18" s="35">
        <f>J18*dagenperjaar1*VLOOKUP(E18,dagsoorttabel1,2,FALSE)</f>
        <v>0</v>
      </c>
      <c r="P18" s="35">
        <f>K18*dagenperjaar1*VLOOKUP(E18,dagsoorttabel1,2,FALSE)</f>
        <v>0</v>
      </c>
      <c r="Q18" s="39">
        <f>N18*dagenperjaar1*VLOOKUP(E18,dagsoorttabel1,2,FALSE)</f>
        <v>0</v>
      </c>
      <c r="R18" s="39">
        <f>Q18/12</f>
        <v>0</v>
      </c>
    </row>
    <row r="19" spans="1:18" x14ac:dyDescent="0.2">
      <c r="A19" s="20" t="s">
        <v>237</v>
      </c>
      <c r="B19" s="20" t="s">
        <v>238</v>
      </c>
      <c r="C19" s="20" t="s">
        <v>239</v>
      </c>
      <c r="D19" s="20" t="s">
        <v>240</v>
      </c>
      <c r="E19" s="58" t="s">
        <v>11</v>
      </c>
      <c r="F19" s="59">
        <f>gemuurtarief1</f>
        <v>0</v>
      </c>
      <c r="G19" s="35">
        <f>SUMPRODUCT(taakfreqtabel1,uurfactortabel1,kengetaltabel1,object14_opptabel1)*(1/VLOOKUP(E19,dagsoorttabel1,2,FALSE))</f>
        <v>0</v>
      </c>
      <c r="H19" s="35">
        <f>SUMPRODUCT(dagwerktabel1,taakfreqtabel1,uurfactortabel1,kengetaltabel1,object14_opptabel1)*(1/VLOOKUP(E19,dagsoorttabel1,2,FALSE))</f>
        <v>0</v>
      </c>
      <c r="I19" s="60"/>
      <c r="J19" s="35">
        <f>H19+I19</f>
        <v>0</v>
      </c>
      <c r="K19" s="35">
        <f>G19+I19</f>
        <v>0</v>
      </c>
      <c r="L19" s="39">
        <f>SUMPRODUCT(taakfreqtabel1,kengetaltabel1,tarieftabel1,object14_opptabel1)*(1/VLOOKUP(E19,dagsoorttabel1,2,FALSE))</f>
        <v>0</v>
      </c>
      <c r="M19" s="39">
        <f>F19*I19</f>
        <v>0</v>
      </c>
      <c r="N19" s="39">
        <f>SUM(L19:M19)</f>
        <v>0</v>
      </c>
      <c r="O19" s="35">
        <f>J19*dagenperjaar1*VLOOKUP(E19,dagsoorttabel1,2,FALSE)</f>
        <v>0</v>
      </c>
      <c r="P19" s="35">
        <f>K19*dagenperjaar1*VLOOKUP(E19,dagsoorttabel1,2,FALSE)</f>
        <v>0</v>
      </c>
      <c r="Q19" s="39">
        <f>N19*dagenperjaar1*VLOOKUP(E19,dagsoorttabel1,2,FALSE)</f>
        <v>0</v>
      </c>
      <c r="R19" s="39">
        <f>Q19/12</f>
        <v>0</v>
      </c>
    </row>
    <row r="20" spans="1:18" x14ac:dyDescent="0.2">
      <c r="A20" s="20" t="s">
        <v>241</v>
      </c>
      <c r="B20" s="20" t="s">
        <v>242</v>
      </c>
      <c r="C20" s="20" t="s">
        <v>243</v>
      </c>
      <c r="D20" s="20" t="s">
        <v>244</v>
      </c>
      <c r="E20" s="58" t="s">
        <v>11</v>
      </c>
      <c r="F20" s="59">
        <f>gemuurtarief1</f>
        <v>0</v>
      </c>
      <c r="G20" s="35">
        <f>SUMPRODUCT(taakfreqtabel1,uurfactortabel1,kengetaltabel1,object15_opptabel1)*(1/VLOOKUP(E20,dagsoorttabel1,2,FALSE))</f>
        <v>0</v>
      </c>
      <c r="H20" s="35">
        <f>SUMPRODUCT(dagwerktabel1,taakfreqtabel1,uurfactortabel1,kengetaltabel1,object15_opptabel1)*(1/VLOOKUP(E20,dagsoorttabel1,2,FALSE))</f>
        <v>0</v>
      </c>
      <c r="I20" s="60"/>
      <c r="J20" s="35">
        <f>H20+I20</f>
        <v>0</v>
      </c>
      <c r="K20" s="35">
        <f>G20+I20</f>
        <v>0</v>
      </c>
      <c r="L20" s="39">
        <f>SUMPRODUCT(taakfreqtabel1,kengetaltabel1,tarieftabel1,object15_opptabel1)*(1/VLOOKUP(E20,dagsoorttabel1,2,FALSE))</f>
        <v>0</v>
      </c>
      <c r="M20" s="39">
        <f>F20*I20</f>
        <v>0</v>
      </c>
      <c r="N20" s="39">
        <f>SUM(L20:M20)</f>
        <v>0</v>
      </c>
      <c r="O20" s="35">
        <f>J20*dagenperjaar1*VLOOKUP(E20,dagsoorttabel1,2,FALSE)</f>
        <v>0</v>
      </c>
      <c r="P20" s="35">
        <f>K20*dagenperjaar1*VLOOKUP(E20,dagsoorttabel1,2,FALSE)</f>
        <v>0</v>
      </c>
      <c r="Q20" s="39">
        <f>N20*dagenperjaar1*VLOOKUP(E20,dagsoorttabel1,2,FALSE)</f>
        <v>0</v>
      </c>
      <c r="R20" s="39">
        <f>Q20/12</f>
        <v>0</v>
      </c>
    </row>
    <row r="21" spans="1:18" x14ac:dyDescent="0.2">
      <c r="A21" s="20" t="s">
        <v>245</v>
      </c>
      <c r="B21" s="20" t="s">
        <v>246</v>
      </c>
      <c r="C21" s="20" t="s">
        <v>247</v>
      </c>
      <c r="D21" s="20" t="s">
        <v>210</v>
      </c>
      <c r="E21" s="58" t="s">
        <v>11</v>
      </c>
      <c r="F21" s="59">
        <f>gemuurtarief1</f>
        <v>0</v>
      </c>
      <c r="G21" s="35">
        <f>SUMPRODUCT(taakfreqtabel1,uurfactortabel1,kengetaltabel1,object16_opptabel1)*(1/VLOOKUP(E21,dagsoorttabel1,2,FALSE))</f>
        <v>0</v>
      </c>
      <c r="H21" s="35">
        <f>SUMPRODUCT(dagwerktabel1,taakfreqtabel1,uurfactortabel1,kengetaltabel1,object16_opptabel1)*(1/VLOOKUP(E21,dagsoorttabel1,2,FALSE))</f>
        <v>0</v>
      </c>
      <c r="I21" s="60"/>
      <c r="J21" s="35">
        <f>H21+I21</f>
        <v>0</v>
      </c>
      <c r="K21" s="35">
        <f>G21+I21</f>
        <v>0</v>
      </c>
      <c r="L21" s="39">
        <f>SUMPRODUCT(taakfreqtabel1,kengetaltabel1,tarieftabel1,object16_opptabel1)*(1/VLOOKUP(E21,dagsoorttabel1,2,FALSE))</f>
        <v>0</v>
      </c>
      <c r="M21" s="39">
        <f>F21*I21</f>
        <v>0</v>
      </c>
      <c r="N21" s="39">
        <f>SUM(L21:M21)</f>
        <v>0</v>
      </c>
      <c r="O21" s="35">
        <f>J21*dagenperjaar1*VLOOKUP(E21,dagsoorttabel1,2,FALSE)</f>
        <v>0</v>
      </c>
      <c r="P21" s="35">
        <f>K21*dagenperjaar1*VLOOKUP(E21,dagsoorttabel1,2,FALSE)</f>
        <v>0</v>
      </c>
      <c r="Q21" s="39">
        <f>N21*dagenperjaar1*VLOOKUP(E21,dagsoorttabel1,2,FALSE)</f>
        <v>0</v>
      </c>
      <c r="R21" s="39">
        <f>Q21/12</f>
        <v>0</v>
      </c>
    </row>
    <row r="22" spans="1:18" x14ac:dyDescent="0.2">
      <c r="A22" s="20" t="s">
        <v>248</v>
      </c>
      <c r="B22" s="20" t="s">
        <v>249</v>
      </c>
      <c r="C22" s="20" t="s">
        <v>250</v>
      </c>
      <c r="D22" s="20" t="s">
        <v>251</v>
      </c>
      <c r="E22" s="58" t="s">
        <v>11</v>
      </c>
      <c r="F22" s="59">
        <f>gemuurtarief1</f>
        <v>0</v>
      </c>
      <c r="G22" s="35">
        <f>SUMPRODUCT(taakfreqtabel1,uurfactortabel1,kengetaltabel1,object17_opptabel1)*(1/VLOOKUP(E22,dagsoorttabel1,2,FALSE))</f>
        <v>0</v>
      </c>
      <c r="H22" s="35">
        <f>SUMPRODUCT(dagwerktabel1,taakfreqtabel1,uurfactortabel1,kengetaltabel1,object17_opptabel1)*(1/VLOOKUP(E22,dagsoorttabel1,2,FALSE))</f>
        <v>0</v>
      </c>
      <c r="I22" s="60"/>
      <c r="J22" s="35">
        <f>H22+I22</f>
        <v>0</v>
      </c>
      <c r="K22" s="35">
        <f>G22+I22</f>
        <v>0</v>
      </c>
      <c r="L22" s="39">
        <f>SUMPRODUCT(taakfreqtabel1,kengetaltabel1,tarieftabel1,object17_opptabel1)*(1/VLOOKUP(E22,dagsoorttabel1,2,FALSE))</f>
        <v>0</v>
      </c>
      <c r="M22" s="39">
        <f>F22*I22</f>
        <v>0</v>
      </c>
      <c r="N22" s="39">
        <f>SUM(L22:M22)</f>
        <v>0</v>
      </c>
      <c r="O22" s="35">
        <f>J22*dagenperjaar1*VLOOKUP(E22,dagsoorttabel1,2,FALSE)</f>
        <v>0</v>
      </c>
      <c r="P22" s="35">
        <f>K22*dagenperjaar1*VLOOKUP(E22,dagsoorttabel1,2,FALSE)</f>
        <v>0</v>
      </c>
      <c r="Q22" s="39">
        <f>N22*dagenperjaar1*VLOOKUP(E22,dagsoorttabel1,2,FALSE)</f>
        <v>0</v>
      </c>
      <c r="R22" s="39">
        <f>Q22/12</f>
        <v>0</v>
      </c>
    </row>
    <row r="23" spans="1:18" x14ac:dyDescent="0.2">
      <c r="A23" s="25" t="s">
        <v>252</v>
      </c>
      <c r="B23" s="25" t="s">
        <v>253</v>
      </c>
      <c r="C23" s="25" t="s">
        <v>254</v>
      </c>
      <c r="D23" s="25" t="s">
        <v>255</v>
      </c>
      <c r="E23" s="61" t="s">
        <v>11</v>
      </c>
      <c r="F23" s="62">
        <f>gemuurtarief1</f>
        <v>0</v>
      </c>
      <c r="G23" s="40">
        <f>SUMPRODUCT(taakfreqtabel1,uurfactortabel1,kengetaltabel1,object18_opptabel1)*(1/VLOOKUP(E23,dagsoorttabel1,2,FALSE))</f>
        <v>0</v>
      </c>
      <c r="H23" s="40">
        <f>SUMPRODUCT(dagwerktabel1,taakfreqtabel1,uurfactortabel1,kengetaltabel1,object18_opptabel1)*(1/VLOOKUP(E23,dagsoorttabel1,2,FALSE))</f>
        <v>0</v>
      </c>
      <c r="I23" s="63"/>
      <c r="J23" s="40">
        <f>H23+I23</f>
        <v>0</v>
      </c>
      <c r="K23" s="40">
        <f>G23+I23</f>
        <v>0</v>
      </c>
      <c r="L23" s="42">
        <f>SUMPRODUCT(taakfreqtabel1,kengetaltabel1,tarieftabel1,object18_opptabel1)*(1/VLOOKUP(E23,dagsoorttabel1,2,FALSE))</f>
        <v>0</v>
      </c>
      <c r="M23" s="42">
        <f>F23*I23</f>
        <v>0</v>
      </c>
      <c r="N23" s="42">
        <f>SUM(L23:M23)</f>
        <v>0</v>
      </c>
      <c r="O23" s="40">
        <f>J23*dagenperjaar1*VLOOKUP(E23,dagsoorttabel1,2,FALSE)</f>
        <v>0</v>
      </c>
      <c r="P23" s="40">
        <f>K23*dagenperjaar1*VLOOKUP(E23,dagsoorttabel1,2,FALSE)</f>
        <v>0</v>
      </c>
      <c r="Q23" s="42">
        <f>N23*dagenperjaar1*VLOOKUP(E23,dagsoorttabel1,2,FALSE)</f>
        <v>0</v>
      </c>
      <c r="R23" s="42">
        <f>Q23/12</f>
        <v>0</v>
      </c>
    </row>
    <row r="24" spans="1:18" x14ac:dyDescent="0.2">
      <c r="A24" s="43" t="s">
        <v>143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5">
        <f>SUM(O6:O23)</f>
        <v>0</v>
      </c>
      <c r="P24" s="45">
        <f>SUM(P6:P23)</f>
        <v>0</v>
      </c>
      <c r="Q24" s="46">
        <f>SUM(Q6:Q23)</f>
        <v>0</v>
      </c>
      <c r="R24" s="47">
        <f>SUM(R6:R23)</f>
        <v>0</v>
      </c>
    </row>
    <row r="25" spans="1:18" x14ac:dyDescent="0.2">
      <c r="A25" s="48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9"/>
    </row>
    <row r="27" spans="1:18" x14ac:dyDescent="0.2">
      <c r="A27" s="43" t="s">
        <v>256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5">
        <f>urenjaartotaalhf1</f>
        <v>0</v>
      </c>
      <c r="P27" s="45">
        <f>urenjaartotaal1</f>
        <v>0</v>
      </c>
      <c r="Q27" s="46">
        <f>prijsjaartotaal1</f>
        <v>0</v>
      </c>
      <c r="R27" s="46">
        <f>prijsmaandtotaal1</f>
        <v>0</v>
      </c>
    </row>
  </sheetData>
  <pageMargins left="0.7" right="0.7" top="0.75" bottom="0.75" header="0.3" footer="0.3"/>
  <pageSetup paperSize="9" scale="65" orientation="landscape" horizontalDpi="4294967295" verticalDpi="4294967295" r:id="rId1"/>
  <headerFooter>
    <oddFooter>&amp;LStichting Openbaar Onderwijs Oost Groningen EA              &amp;ROpmaakdatum: 17-08-2021
Intexso - De Start 5 - Leusden
+31 (33) 2778485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322FE-6E24-4E78-B527-5AA6CA3E5983}">
  <dimension ref="A1:K171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40.625" customWidth="1"/>
    <col min="5" max="5" width="11.625" customWidth="1"/>
    <col min="6" max="7" width="14.625" customWidth="1"/>
    <col min="8" max="8" width="12.625" customWidth="1"/>
    <col min="9" max="10" width="14.625" customWidth="1"/>
    <col min="11" max="11" width="13.625" customWidth="1"/>
  </cols>
  <sheetData>
    <row r="1" spans="1:11" x14ac:dyDescent="0.2">
      <c r="A1" s="1" t="str">
        <f>CONCATENATE("Bijlage H.4: ",tabeltype," niet-meewerkende objectleiding")</f>
        <v>Bijlage H.4: Invultabel niet-meewerkende objectleiding</v>
      </c>
    </row>
    <row r="3" spans="1:11" ht="38.25" x14ac:dyDescent="0.2">
      <c r="A3" s="8" t="s">
        <v>257</v>
      </c>
      <c r="B3" s="8" t="s">
        <v>7</v>
      </c>
      <c r="C3" s="8" t="s">
        <v>258</v>
      </c>
      <c r="D3" s="8" t="s">
        <v>259</v>
      </c>
      <c r="E3" s="8" t="s">
        <v>260</v>
      </c>
      <c r="F3" s="8" t="s">
        <v>261</v>
      </c>
      <c r="G3" s="8" t="s">
        <v>262</v>
      </c>
      <c r="H3" s="8" t="s">
        <v>113</v>
      </c>
      <c r="I3" s="8" t="s">
        <v>263</v>
      </c>
      <c r="J3" s="8" t="s">
        <v>264</v>
      </c>
      <c r="K3" s="8" t="s">
        <v>265</v>
      </c>
    </row>
    <row r="4" spans="1:11" x14ac:dyDescent="0.2">
      <c r="A4" s="64"/>
      <c r="B4" s="65"/>
      <c r="C4" s="65"/>
      <c r="D4" s="65"/>
      <c r="E4" s="65"/>
      <c r="F4" s="65"/>
      <c r="G4" s="65"/>
      <c r="H4" s="65"/>
      <c r="I4" s="65"/>
      <c r="J4" s="65"/>
      <c r="K4" s="66"/>
    </row>
    <row r="5" spans="1:11" x14ac:dyDescent="0.2">
      <c r="A5" s="12" t="s">
        <v>41</v>
      </c>
      <c r="B5" s="13"/>
      <c r="C5" s="13"/>
      <c r="D5" s="13"/>
      <c r="E5" s="13"/>
      <c r="F5" s="13"/>
      <c r="G5" s="13"/>
      <c r="H5" s="13"/>
      <c r="I5" s="13"/>
      <c r="J5" s="13"/>
      <c r="K5" s="14"/>
    </row>
    <row r="6" spans="1:11" x14ac:dyDescent="0.2">
      <c r="A6" s="9"/>
      <c r="B6" s="10"/>
      <c r="C6" s="10"/>
      <c r="D6" s="10"/>
      <c r="E6" s="10"/>
      <c r="F6" s="10"/>
      <c r="G6" s="10"/>
      <c r="H6" s="10"/>
      <c r="I6" s="10"/>
      <c r="J6" s="10"/>
      <c r="K6" s="11"/>
    </row>
    <row r="7" spans="1:11" x14ac:dyDescent="0.2">
      <c r="A7" s="67" t="s">
        <v>266</v>
      </c>
      <c r="B7" s="13"/>
      <c r="C7" s="13"/>
      <c r="D7" s="13"/>
      <c r="E7" s="13"/>
      <c r="F7" s="13"/>
      <c r="G7" s="13"/>
      <c r="H7" s="13"/>
      <c r="I7" s="13"/>
      <c r="J7" s="13"/>
      <c r="K7" s="14"/>
    </row>
    <row r="8" spans="1:11" x14ac:dyDescent="0.2">
      <c r="A8" s="15" t="s">
        <v>267</v>
      </c>
      <c r="B8" s="15" t="s">
        <v>11</v>
      </c>
      <c r="C8" s="16">
        <f>IF(ISBLANK(B8),0,IF(ISERROR(VALUE(B8)),VLOOKUP(B8,dagsoorttabel1,2,FALSE)*dagenperjaar1,VALUE(B8)))</f>
        <v>200</v>
      </c>
      <c r="D8" s="15" t="s">
        <v>268</v>
      </c>
      <c r="E8" s="68"/>
      <c r="F8" s="18"/>
      <c r="G8" s="69"/>
      <c r="H8" s="30">
        <f>IF(ISBLANK(G8),0,G8*C8)+IF(ISBLANK(F8),0,F8*objecturen1_1)</f>
        <v>0</v>
      </c>
      <c r="I8" s="30">
        <f>IF(C8=0,0,H8/C8)</f>
        <v>0</v>
      </c>
      <c r="J8" s="34">
        <f>IF(ISBLANK(E8),0,ROUND(E8,3)*H8)</f>
        <v>0</v>
      </c>
      <c r="K8" s="34">
        <f>J8/12</f>
        <v>0</v>
      </c>
    </row>
    <row r="9" spans="1:11" x14ac:dyDescent="0.2">
      <c r="A9" s="20"/>
      <c r="B9" s="20"/>
      <c r="C9" s="70">
        <f>dagenperjaar1</f>
        <v>200</v>
      </c>
      <c r="D9" s="71" t="s">
        <v>269</v>
      </c>
      <c r="E9" s="72"/>
      <c r="F9" s="23"/>
      <c r="G9" s="73"/>
      <c r="H9" s="35">
        <f>IF(ISBLANK(G9),0,G9*C9)+IF(ISBLANK(F9),0,F9*objecturen1_1)</f>
        <v>0</v>
      </c>
      <c r="I9" s="35">
        <f>IF(C9=0,0,H9/C9)</f>
        <v>0</v>
      </c>
      <c r="J9" s="39">
        <f>IF(ISBLANK(E9),0,ROUND(E9,3)*H9)</f>
        <v>0</v>
      </c>
      <c r="K9" s="39">
        <f>J9/12</f>
        <v>0</v>
      </c>
    </row>
    <row r="10" spans="1:11" x14ac:dyDescent="0.2">
      <c r="A10" s="20"/>
      <c r="B10" s="20"/>
      <c r="C10" s="70">
        <f>dagenperjaar1</f>
        <v>200</v>
      </c>
      <c r="D10" s="71" t="s">
        <v>269</v>
      </c>
      <c r="E10" s="72"/>
      <c r="F10" s="23"/>
      <c r="G10" s="73"/>
      <c r="H10" s="35">
        <f>IF(ISBLANK(G10),0,G10*C10)+IF(ISBLANK(F10),0,F10*objecturen1_1)</f>
        <v>0</v>
      </c>
      <c r="I10" s="35">
        <f>IF(C10=0,0,H10/C10)</f>
        <v>0</v>
      </c>
      <c r="J10" s="39">
        <f>IF(ISBLANK(E10),0,ROUND(E10,3)*H10)</f>
        <v>0</v>
      </c>
      <c r="K10" s="39">
        <f>J10/12</f>
        <v>0</v>
      </c>
    </row>
    <row r="11" spans="1:11" x14ac:dyDescent="0.2">
      <c r="A11" s="20"/>
      <c r="B11" s="20"/>
      <c r="C11" s="70">
        <f>dagenperjaar1</f>
        <v>200</v>
      </c>
      <c r="D11" s="71" t="s">
        <v>270</v>
      </c>
      <c r="E11" s="72"/>
      <c r="F11" s="74"/>
      <c r="G11" s="22"/>
      <c r="H11" s="35">
        <f>IF(ISBLANK(G11),0,G11*C11)+IF(ISBLANK(F11),0,F11*objecturen1_1)</f>
        <v>0</v>
      </c>
      <c r="I11" s="35">
        <f>IF(C11=0,0,H11/C11)</f>
        <v>0</v>
      </c>
      <c r="J11" s="39">
        <f>IF(ISBLANK(E11),0,ROUND(E11,3)*H11)</f>
        <v>0</v>
      </c>
      <c r="K11" s="39">
        <f>J11/12</f>
        <v>0</v>
      </c>
    </row>
    <row r="12" spans="1:11" x14ac:dyDescent="0.2">
      <c r="A12" s="25"/>
      <c r="B12" s="25"/>
      <c r="C12" s="75">
        <f>dagenperjaar1</f>
        <v>200</v>
      </c>
      <c r="D12" s="76" t="s">
        <v>270</v>
      </c>
      <c r="E12" s="77"/>
      <c r="F12" s="78"/>
      <c r="G12" s="27"/>
      <c r="H12" s="40">
        <f>IF(ISBLANK(G12),0,G12*C12)+IF(ISBLANK(F12),0,F12*objecturen1_1)</f>
        <v>0</v>
      </c>
      <c r="I12" s="40">
        <f>IF(C12=0,0,H12/C12)</f>
        <v>0</v>
      </c>
      <c r="J12" s="42">
        <f>IF(ISBLANK(E12),0,ROUND(E12,3)*H12)</f>
        <v>0</v>
      </c>
      <c r="K12" s="42">
        <f>J12/12</f>
        <v>0</v>
      </c>
    </row>
    <row r="13" spans="1:11" x14ac:dyDescent="0.2">
      <c r="A13" s="79" t="s">
        <v>271</v>
      </c>
      <c r="B13" s="44"/>
      <c r="C13" s="44"/>
      <c r="D13" s="44"/>
      <c r="E13" s="44"/>
      <c r="F13" s="44"/>
      <c r="G13" s="44"/>
      <c r="H13" s="45">
        <f>SUM(H8:H12)</f>
        <v>0</v>
      </c>
      <c r="I13" s="44"/>
      <c r="J13" s="46">
        <f>SUM(J8:J12)</f>
        <v>0</v>
      </c>
      <c r="K13" s="47">
        <f>SUM(K8:K12)</f>
        <v>0</v>
      </c>
    </row>
    <row r="14" spans="1:11" x14ac:dyDescent="0.2">
      <c r="A14" s="48"/>
      <c r="B14" s="44"/>
      <c r="C14" s="44"/>
      <c r="D14" s="44"/>
      <c r="E14" s="44"/>
      <c r="F14" s="44"/>
      <c r="G14" s="44"/>
      <c r="H14" s="44"/>
      <c r="I14" s="44"/>
      <c r="J14" s="44"/>
      <c r="K14" s="49"/>
    </row>
    <row r="15" spans="1:11" x14ac:dyDescent="0.2">
      <c r="A15" s="9"/>
      <c r="B15" s="10"/>
      <c r="C15" s="10"/>
      <c r="D15" s="10"/>
      <c r="E15" s="10"/>
      <c r="F15" s="10"/>
      <c r="G15" s="10"/>
      <c r="H15" s="10"/>
      <c r="I15" s="10"/>
      <c r="J15" s="10"/>
      <c r="K15" s="11"/>
    </row>
    <row r="16" spans="1:11" x14ac:dyDescent="0.2">
      <c r="A16" s="67" t="s">
        <v>272</v>
      </c>
      <c r="B16" s="13"/>
      <c r="C16" s="13"/>
      <c r="D16" s="13"/>
      <c r="E16" s="13"/>
      <c r="F16" s="13"/>
      <c r="G16" s="13"/>
      <c r="H16" s="13"/>
      <c r="I16" s="13"/>
      <c r="J16" s="13"/>
      <c r="K16" s="14"/>
    </row>
    <row r="17" spans="1:11" x14ac:dyDescent="0.2">
      <c r="A17" s="15" t="s">
        <v>267</v>
      </c>
      <c r="B17" s="15" t="s">
        <v>11</v>
      </c>
      <c r="C17" s="16">
        <f>IF(ISBLANK(B17),0,IF(ISERROR(VALUE(B17)),VLOOKUP(B17,dagsoorttabel1,2,FALSE)*dagenperjaar1,VALUE(B17)))</f>
        <v>200</v>
      </c>
      <c r="D17" s="15" t="s">
        <v>268</v>
      </c>
      <c r="E17" s="68"/>
      <c r="F17" s="18"/>
      <c r="G17" s="69"/>
      <c r="H17" s="30">
        <f>IF(ISBLANK(G17),0,G17*C17)+IF(ISBLANK(F17),0,F17*objecturen2_1)</f>
        <v>0</v>
      </c>
      <c r="I17" s="30">
        <f>IF(C17=0,0,H17/C17)</f>
        <v>0</v>
      </c>
      <c r="J17" s="34">
        <f>IF(ISBLANK(E17),0,ROUND(E17,3)*H17)</f>
        <v>0</v>
      </c>
      <c r="K17" s="34">
        <f>J17/12</f>
        <v>0</v>
      </c>
    </row>
    <row r="18" spans="1:11" x14ac:dyDescent="0.2">
      <c r="A18" s="20"/>
      <c r="B18" s="20"/>
      <c r="C18" s="70">
        <f>dagenperjaar1</f>
        <v>200</v>
      </c>
      <c r="D18" s="71" t="s">
        <v>269</v>
      </c>
      <c r="E18" s="72"/>
      <c r="F18" s="23"/>
      <c r="G18" s="73"/>
      <c r="H18" s="35">
        <f>IF(ISBLANK(G18),0,G18*C18)+IF(ISBLANK(F18),0,F18*objecturen2_1)</f>
        <v>0</v>
      </c>
      <c r="I18" s="35">
        <f>IF(C18=0,0,H18/C18)</f>
        <v>0</v>
      </c>
      <c r="J18" s="39">
        <f>IF(ISBLANK(E18),0,ROUND(E18,3)*H18)</f>
        <v>0</v>
      </c>
      <c r="K18" s="39">
        <f>J18/12</f>
        <v>0</v>
      </c>
    </row>
    <row r="19" spans="1:11" x14ac:dyDescent="0.2">
      <c r="A19" s="20"/>
      <c r="B19" s="20"/>
      <c r="C19" s="70">
        <f>dagenperjaar1</f>
        <v>200</v>
      </c>
      <c r="D19" s="71" t="s">
        <v>269</v>
      </c>
      <c r="E19" s="72"/>
      <c r="F19" s="23"/>
      <c r="G19" s="73"/>
      <c r="H19" s="35">
        <f>IF(ISBLANK(G19),0,G19*C19)+IF(ISBLANK(F19),0,F19*objecturen2_1)</f>
        <v>0</v>
      </c>
      <c r="I19" s="35">
        <f>IF(C19=0,0,H19/C19)</f>
        <v>0</v>
      </c>
      <c r="J19" s="39">
        <f>IF(ISBLANK(E19),0,ROUND(E19,3)*H19)</f>
        <v>0</v>
      </c>
      <c r="K19" s="39">
        <f>J19/12</f>
        <v>0</v>
      </c>
    </row>
    <row r="20" spans="1:11" x14ac:dyDescent="0.2">
      <c r="A20" s="20"/>
      <c r="B20" s="20"/>
      <c r="C20" s="70">
        <f>dagenperjaar1</f>
        <v>200</v>
      </c>
      <c r="D20" s="71" t="s">
        <v>270</v>
      </c>
      <c r="E20" s="72"/>
      <c r="F20" s="74"/>
      <c r="G20" s="22"/>
      <c r="H20" s="35">
        <f>IF(ISBLANK(G20),0,G20*C20)+IF(ISBLANK(F20),0,F20*objecturen2_1)</f>
        <v>0</v>
      </c>
      <c r="I20" s="35">
        <f>IF(C20=0,0,H20/C20)</f>
        <v>0</v>
      </c>
      <c r="J20" s="39">
        <f>IF(ISBLANK(E20),0,ROUND(E20,3)*H20)</f>
        <v>0</v>
      </c>
      <c r="K20" s="39">
        <f>J20/12</f>
        <v>0</v>
      </c>
    </row>
    <row r="21" spans="1:11" x14ac:dyDescent="0.2">
      <c r="A21" s="25"/>
      <c r="B21" s="25"/>
      <c r="C21" s="75">
        <f>dagenperjaar1</f>
        <v>200</v>
      </c>
      <c r="D21" s="76" t="s">
        <v>270</v>
      </c>
      <c r="E21" s="77"/>
      <c r="F21" s="78"/>
      <c r="G21" s="27"/>
      <c r="H21" s="40">
        <f>IF(ISBLANK(G21),0,G21*C21)+IF(ISBLANK(F21),0,F21*objecturen2_1)</f>
        <v>0</v>
      </c>
      <c r="I21" s="40">
        <f>IF(C21=0,0,H21/C21)</f>
        <v>0</v>
      </c>
      <c r="J21" s="42">
        <f>IF(ISBLANK(E21),0,ROUND(E21,3)*H21)</f>
        <v>0</v>
      </c>
      <c r="K21" s="42">
        <f>J21/12</f>
        <v>0</v>
      </c>
    </row>
    <row r="22" spans="1:11" x14ac:dyDescent="0.2">
      <c r="A22" s="79" t="s">
        <v>273</v>
      </c>
      <c r="B22" s="44"/>
      <c r="C22" s="44"/>
      <c r="D22" s="44"/>
      <c r="E22" s="44"/>
      <c r="F22" s="44"/>
      <c r="G22" s="44"/>
      <c r="H22" s="45">
        <f>SUM(H17:H21)</f>
        <v>0</v>
      </c>
      <c r="I22" s="44"/>
      <c r="J22" s="46">
        <f>SUM(J17:J21)</f>
        <v>0</v>
      </c>
      <c r="K22" s="47">
        <f>SUM(K17:K21)</f>
        <v>0</v>
      </c>
    </row>
    <row r="23" spans="1:11" x14ac:dyDescent="0.2">
      <c r="A23" s="48"/>
      <c r="B23" s="44"/>
      <c r="C23" s="44"/>
      <c r="D23" s="44"/>
      <c r="E23" s="44"/>
      <c r="F23" s="44"/>
      <c r="G23" s="44"/>
      <c r="H23" s="44"/>
      <c r="I23" s="44"/>
      <c r="J23" s="44"/>
      <c r="K23" s="49"/>
    </row>
    <row r="24" spans="1:11" x14ac:dyDescent="0.2">
      <c r="A24" s="9"/>
      <c r="B24" s="10"/>
      <c r="C24" s="10"/>
      <c r="D24" s="10"/>
      <c r="E24" s="10"/>
      <c r="F24" s="10"/>
      <c r="G24" s="10"/>
      <c r="H24" s="10"/>
      <c r="I24" s="10"/>
      <c r="J24" s="10"/>
      <c r="K24" s="11"/>
    </row>
    <row r="25" spans="1:11" x14ac:dyDescent="0.2">
      <c r="A25" s="67" t="s">
        <v>274</v>
      </c>
      <c r="B25" s="13"/>
      <c r="C25" s="13"/>
      <c r="D25" s="13"/>
      <c r="E25" s="13"/>
      <c r="F25" s="13"/>
      <c r="G25" s="13"/>
      <c r="H25" s="13"/>
      <c r="I25" s="13"/>
      <c r="J25" s="13"/>
      <c r="K25" s="14"/>
    </row>
    <row r="26" spans="1:11" x14ac:dyDescent="0.2">
      <c r="A26" s="15" t="s">
        <v>267</v>
      </c>
      <c r="B26" s="15" t="s">
        <v>11</v>
      </c>
      <c r="C26" s="16">
        <f>IF(ISBLANK(B26),0,IF(ISERROR(VALUE(B26)),VLOOKUP(B26,dagsoorttabel1,2,FALSE)*dagenperjaar1,VALUE(B26)))</f>
        <v>200</v>
      </c>
      <c r="D26" s="15" t="s">
        <v>268</v>
      </c>
      <c r="E26" s="68"/>
      <c r="F26" s="18"/>
      <c r="G26" s="69"/>
      <c r="H26" s="30">
        <f>IF(ISBLANK(G26),0,G26*C26)+IF(ISBLANK(F26),0,F26*objecturen3_1)</f>
        <v>0</v>
      </c>
      <c r="I26" s="30">
        <f>IF(C26=0,0,H26/C26)</f>
        <v>0</v>
      </c>
      <c r="J26" s="34">
        <f>IF(ISBLANK(E26),0,ROUND(E26,3)*H26)</f>
        <v>0</v>
      </c>
      <c r="K26" s="34">
        <f>J26/12</f>
        <v>0</v>
      </c>
    </row>
    <row r="27" spans="1:11" x14ac:dyDescent="0.2">
      <c r="A27" s="20"/>
      <c r="B27" s="20"/>
      <c r="C27" s="70">
        <f>dagenperjaar1</f>
        <v>200</v>
      </c>
      <c r="D27" s="71" t="s">
        <v>269</v>
      </c>
      <c r="E27" s="72"/>
      <c r="F27" s="23"/>
      <c r="G27" s="73"/>
      <c r="H27" s="35">
        <f>IF(ISBLANK(G27),0,G27*C27)+IF(ISBLANK(F27),0,F27*objecturen3_1)</f>
        <v>0</v>
      </c>
      <c r="I27" s="35">
        <f>IF(C27=0,0,H27/C27)</f>
        <v>0</v>
      </c>
      <c r="J27" s="39">
        <f>IF(ISBLANK(E27),0,ROUND(E27,3)*H27)</f>
        <v>0</v>
      </c>
      <c r="K27" s="39">
        <f>J27/12</f>
        <v>0</v>
      </c>
    </row>
    <row r="28" spans="1:11" x14ac:dyDescent="0.2">
      <c r="A28" s="20"/>
      <c r="B28" s="20"/>
      <c r="C28" s="70">
        <f>dagenperjaar1</f>
        <v>200</v>
      </c>
      <c r="D28" s="71" t="s">
        <v>269</v>
      </c>
      <c r="E28" s="72"/>
      <c r="F28" s="23"/>
      <c r="G28" s="73"/>
      <c r="H28" s="35">
        <f>IF(ISBLANK(G28),0,G28*C28)+IF(ISBLANK(F28),0,F28*objecturen3_1)</f>
        <v>0</v>
      </c>
      <c r="I28" s="35">
        <f>IF(C28=0,0,H28/C28)</f>
        <v>0</v>
      </c>
      <c r="J28" s="39">
        <f>IF(ISBLANK(E28),0,ROUND(E28,3)*H28)</f>
        <v>0</v>
      </c>
      <c r="K28" s="39">
        <f>J28/12</f>
        <v>0</v>
      </c>
    </row>
    <row r="29" spans="1:11" x14ac:dyDescent="0.2">
      <c r="A29" s="20"/>
      <c r="B29" s="20"/>
      <c r="C29" s="70">
        <f>dagenperjaar1</f>
        <v>200</v>
      </c>
      <c r="D29" s="71" t="s">
        <v>270</v>
      </c>
      <c r="E29" s="72"/>
      <c r="F29" s="74"/>
      <c r="G29" s="22"/>
      <c r="H29" s="35">
        <f>IF(ISBLANK(G29),0,G29*C29)+IF(ISBLANK(F29),0,F29*objecturen3_1)</f>
        <v>0</v>
      </c>
      <c r="I29" s="35">
        <f>IF(C29=0,0,H29/C29)</f>
        <v>0</v>
      </c>
      <c r="J29" s="39">
        <f>IF(ISBLANK(E29),0,ROUND(E29,3)*H29)</f>
        <v>0</v>
      </c>
      <c r="K29" s="39">
        <f>J29/12</f>
        <v>0</v>
      </c>
    </row>
    <row r="30" spans="1:11" x14ac:dyDescent="0.2">
      <c r="A30" s="25"/>
      <c r="B30" s="25"/>
      <c r="C30" s="75">
        <f>dagenperjaar1</f>
        <v>200</v>
      </c>
      <c r="D30" s="76" t="s">
        <v>270</v>
      </c>
      <c r="E30" s="77"/>
      <c r="F30" s="78"/>
      <c r="G30" s="27"/>
      <c r="H30" s="40">
        <f>IF(ISBLANK(G30),0,G30*C30)+IF(ISBLANK(F30),0,F30*objecturen3_1)</f>
        <v>0</v>
      </c>
      <c r="I30" s="40">
        <f>IF(C30=0,0,H30/C30)</f>
        <v>0</v>
      </c>
      <c r="J30" s="42">
        <f>IF(ISBLANK(E30),0,ROUND(E30,3)*H30)</f>
        <v>0</v>
      </c>
      <c r="K30" s="42">
        <f>J30/12</f>
        <v>0</v>
      </c>
    </row>
    <row r="31" spans="1:11" x14ac:dyDescent="0.2">
      <c r="A31" s="79" t="s">
        <v>275</v>
      </c>
      <c r="B31" s="44"/>
      <c r="C31" s="44"/>
      <c r="D31" s="44"/>
      <c r="E31" s="44"/>
      <c r="F31" s="44"/>
      <c r="G31" s="44"/>
      <c r="H31" s="45">
        <f>SUM(H26:H30)</f>
        <v>0</v>
      </c>
      <c r="I31" s="44"/>
      <c r="J31" s="46">
        <f>SUM(J26:J30)</f>
        <v>0</v>
      </c>
      <c r="K31" s="47">
        <f>SUM(K26:K30)</f>
        <v>0</v>
      </c>
    </row>
    <row r="32" spans="1:11" x14ac:dyDescent="0.2">
      <c r="A32" s="48"/>
      <c r="B32" s="44"/>
      <c r="C32" s="44"/>
      <c r="D32" s="44"/>
      <c r="E32" s="44"/>
      <c r="F32" s="44"/>
      <c r="G32" s="44"/>
      <c r="H32" s="44"/>
      <c r="I32" s="44"/>
      <c r="J32" s="44"/>
      <c r="K32" s="49"/>
    </row>
    <row r="33" spans="1:11" x14ac:dyDescent="0.2">
      <c r="A33" s="9"/>
      <c r="B33" s="10"/>
      <c r="C33" s="10"/>
      <c r="D33" s="10"/>
      <c r="E33" s="10"/>
      <c r="F33" s="10"/>
      <c r="G33" s="10"/>
      <c r="H33" s="10"/>
      <c r="I33" s="10"/>
      <c r="J33" s="10"/>
      <c r="K33" s="11"/>
    </row>
    <row r="34" spans="1:11" x14ac:dyDescent="0.2">
      <c r="A34" s="67" t="s">
        <v>276</v>
      </c>
      <c r="B34" s="13"/>
      <c r="C34" s="13"/>
      <c r="D34" s="13"/>
      <c r="E34" s="13"/>
      <c r="F34" s="13"/>
      <c r="G34" s="13"/>
      <c r="H34" s="13"/>
      <c r="I34" s="13"/>
      <c r="J34" s="13"/>
      <c r="K34" s="14"/>
    </row>
    <row r="35" spans="1:11" x14ac:dyDescent="0.2">
      <c r="A35" s="15" t="s">
        <v>267</v>
      </c>
      <c r="B35" s="15" t="s">
        <v>11</v>
      </c>
      <c r="C35" s="16">
        <f>IF(ISBLANK(B35),0,IF(ISERROR(VALUE(B35)),VLOOKUP(B35,dagsoorttabel1,2,FALSE)*dagenperjaar1,VALUE(B35)))</f>
        <v>200</v>
      </c>
      <c r="D35" s="15" t="s">
        <v>268</v>
      </c>
      <c r="E35" s="68"/>
      <c r="F35" s="18"/>
      <c r="G35" s="69"/>
      <c r="H35" s="30">
        <f>IF(ISBLANK(G35),0,G35*C35)+IF(ISBLANK(F35),0,F35*objecturen4_1)</f>
        <v>0</v>
      </c>
      <c r="I35" s="30">
        <f>IF(C35=0,0,H35/C35)</f>
        <v>0</v>
      </c>
      <c r="J35" s="34">
        <f>IF(ISBLANK(E35),0,ROUND(E35,3)*H35)</f>
        <v>0</v>
      </c>
      <c r="K35" s="34">
        <f>J35/12</f>
        <v>0</v>
      </c>
    </row>
    <row r="36" spans="1:11" x14ac:dyDescent="0.2">
      <c r="A36" s="20"/>
      <c r="B36" s="20"/>
      <c r="C36" s="70">
        <f>dagenperjaar1</f>
        <v>200</v>
      </c>
      <c r="D36" s="71" t="s">
        <v>269</v>
      </c>
      <c r="E36" s="72"/>
      <c r="F36" s="23"/>
      <c r="G36" s="73"/>
      <c r="H36" s="35">
        <f>IF(ISBLANK(G36),0,G36*C36)+IF(ISBLANK(F36),0,F36*objecturen4_1)</f>
        <v>0</v>
      </c>
      <c r="I36" s="35">
        <f>IF(C36=0,0,H36/C36)</f>
        <v>0</v>
      </c>
      <c r="J36" s="39">
        <f>IF(ISBLANK(E36),0,ROUND(E36,3)*H36)</f>
        <v>0</v>
      </c>
      <c r="K36" s="39">
        <f>J36/12</f>
        <v>0</v>
      </c>
    </row>
    <row r="37" spans="1:11" x14ac:dyDescent="0.2">
      <c r="A37" s="20"/>
      <c r="B37" s="20"/>
      <c r="C37" s="70">
        <f>dagenperjaar1</f>
        <v>200</v>
      </c>
      <c r="D37" s="71" t="s">
        <v>269</v>
      </c>
      <c r="E37" s="72"/>
      <c r="F37" s="23"/>
      <c r="G37" s="73"/>
      <c r="H37" s="35">
        <f>IF(ISBLANK(G37),0,G37*C37)+IF(ISBLANK(F37),0,F37*objecturen4_1)</f>
        <v>0</v>
      </c>
      <c r="I37" s="35">
        <f>IF(C37=0,0,H37/C37)</f>
        <v>0</v>
      </c>
      <c r="J37" s="39">
        <f>IF(ISBLANK(E37),0,ROUND(E37,3)*H37)</f>
        <v>0</v>
      </c>
      <c r="K37" s="39">
        <f>J37/12</f>
        <v>0</v>
      </c>
    </row>
    <row r="38" spans="1:11" x14ac:dyDescent="0.2">
      <c r="A38" s="20"/>
      <c r="B38" s="20"/>
      <c r="C38" s="70">
        <f>dagenperjaar1</f>
        <v>200</v>
      </c>
      <c r="D38" s="71" t="s">
        <v>270</v>
      </c>
      <c r="E38" s="72"/>
      <c r="F38" s="74"/>
      <c r="G38" s="22"/>
      <c r="H38" s="35">
        <f>IF(ISBLANK(G38),0,G38*C38)+IF(ISBLANK(F38),0,F38*objecturen4_1)</f>
        <v>0</v>
      </c>
      <c r="I38" s="35">
        <f>IF(C38=0,0,H38/C38)</f>
        <v>0</v>
      </c>
      <c r="J38" s="39">
        <f>IF(ISBLANK(E38),0,ROUND(E38,3)*H38)</f>
        <v>0</v>
      </c>
      <c r="K38" s="39">
        <f>J38/12</f>
        <v>0</v>
      </c>
    </row>
    <row r="39" spans="1:11" x14ac:dyDescent="0.2">
      <c r="A39" s="25"/>
      <c r="B39" s="25"/>
      <c r="C39" s="75">
        <f>dagenperjaar1</f>
        <v>200</v>
      </c>
      <c r="D39" s="76" t="s">
        <v>270</v>
      </c>
      <c r="E39" s="77"/>
      <c r="F39" s="78"/>
      <c r="G39" s="27"/>
      <c r="H39" s="40">
        <f>IF(ISBLANK(G39),0,G39*C39)+IF(ISBLANK(F39),0,F39*objecturen4_1)</f>
        <v>0</v>
      </c>
      <c r="I39" s="40">
        <f>IF(C39=0,0,H39/C39)</f>
        <v>0</v>
      </c>
      <c r="J39" s="42">
        <f>IF(ISBLANK(E39),0,ROUND(E39,3)*H39)</f>
        <v>0</v>
      </c>
      <c r="K39" s="42">
        <f>J39/12</f>
        <v>0</v>
      </c>
    </row>
    <row r="40" spans="1:11" x14ac:dyDescent="0.2">
      <c r="A40" s="79" t="s">
        <v>277</v>
      </c>
      <c r="B40" s="44"/>
      <c r="C40" s="44"/>
      <c r="D40" s="44"/>
      <c r="E40" s="44"/>
      <c r="F40" s="44"/>
      <c r="G40" s="44"/>
      <c r="H40" s="45">
        <f>SUM(H35:H39)</f>
        <v>0</v>
      </c>
      <c r="I40" s="44"/>
      <c r="J40" s="46">
        <f>SUM(J35:J39)</f>
        <v>0</v>
      </c>
      <c r="K40" s="47">
        <f>SUM(K35:K39)</f>
        <v>0</v>
      </c>
    </row>
    <row r="41" spans="1:11" x14ac:dyDescent="0.2">
      <c r="A41" s="48"/>
      <c r="B41" s="44"/>
      <c r="C41" s="44"/>
      <c r="D41" s="44"/>
      <c r="E41" s="44"/>
      <c r="F41" s="44"/>
      <c r="G41" s="44"/>
      <c r="H41" s="44"/>
      <c r="I41" s="44"/>
      <c r="J41" s="44"/>
      <c r="K41" s="49"/>
    </row>
    <row r="42" spans="1:11" x14ac:dyDescent="0.2">
      <c r="A42" s="9"/>
      <c r="B42" s="10"/>
      <c r="C42" s="10"/>
      <c r="D42" s="10"/>
      <c r="E42" s="10"/>
      <c r="F42" s="10"/>
      <c r="G42" s="10"/>
      <c r="H42" s="10"/>
      <c r="I42" s="10"/>
      <c r="J42" s="10"/>
      <c r="K42" s="11"/>
    </row>
    <row r="43" spans="1:11" x14ac:dyDescent="0.2">
      <c r="A43" s="67" t="s">
        <v>278</v>
      </c>
      <c r="B43" s="13"/>
      <c r="C43" s="13"/>
      <c r="D43" s="13"/>
      <c r="E43" s="13"/>
      <c r="F43" s="13"/>
      <c r="G43" s="13"/>
      <c r="H43" s="13"/>
      <c r="I43" s="13"/>
      <c r="J43" s="13"/>
      <c r="K43" s="14"/>
    </row>
    <row r="44" spans="1:11" x14ac:dyDescent="0.2">
      <c r="A44" s="15" t="s">
        <v>267</v>
      </c>
      <c r="B44" s="15" t="s">
        <v>11</v>
      </c>
      <c r="C44" s="16">
        <f>IF(ISBLANK(B44),0,IF(ISERROR(VALUE(B44)),VLOOKUP(B44,dagsoorttabel1,2,FALSE)*dagenperjaar1,VALUE(B44)))</f>
        <v>200</v>
      </c>
      <c r="D44" s="15" t="s">
        <v>268</v>
      </c>
      <c r="E44" s="68"/>
      <c r="F44" s="18"/>
      <c r="G44" s="69"/>
      <c r="H44" s="30">
        <f>IF(ISBLANK(G44),0,G44*C44)+IF(ISBLANK(F44),0,F44*objecturen5_1)</f>
        <v>0</v>
      </c>
      <c r="I44" s="30">
        <f>IF(C44=0,0,H44/C44)</f>
        <v>0</v>
      </c>
      <c r="J44" s="34">
        <f>IF(ISBLANK(E44),0,ROUND(E44,3)*H44)</f>
        <v>0</v>
      </c>
      <c r="K44" s="34">
        <f>J44/12</f>
        <v>0</v>
      </c>
    </row>
    <row r="45" spans="1:11" x14ac:dyDescent="0.2">
      <c r="A45" s="20"/>
      <c r="B45" s="20"/>
      <c r="C45" s="70">
        <f>dagenperjaar1</f>
        <v>200</v>
      </c>
      <c r="D45" s="71" t="s">
        <v>269</v>
      </c>
      <c r="E45" s="72"/>
      <c r="F45" s="23"/>
      <c r="G45" s="73"/>
      <c r="H45" s="35">
        <f>IF(ISBLANK(G45),0,G45*C45)+IF(ISBLANK(F45),0,F45*objecturen5_1)</f>
        <v>0</v>
      </c>
      <c r="I45" s="35">
        <f>IF(C45=0,0,H45/C45)</f>
        <v>0</v>
      </c>
      <c r="J45" s="39">
        <f>IF(ISBLANK(E45),0,ROUND(E45,3)*H45)</f>
        <v>0</v>
      </c>
      <c r="K45" s="39">
        <f>J45/12</f>
        <v>0</v>
      </c>
    </row>
    <row r="46" spans="1:11" x14ac:dyDescent="0.2">
      <c r="A46" s="20"/>
      <c r="B46" s="20"/>
      <c r="C46" s="70">
        <f>dagenperjaar1</f>
        <v>200</v>
      </c>
      <c r="D46" s="71" t="s">
        <v>269</v>
      </c>
      <c r="E46" s="72"/>
      <c r="F46" s="23"/>
      <c r="G46" s="73"/>
      <c r="H46" s="35">
        <f>IF(ISBLANK(G46),0,G46*C46)+IF(ISBLANK(F46),0,F46*objecturen5_1)</f>
        <v>0</v>
      </c>
      <c r="I46" s="35">
        <f>IF(C46=0,0,H46/C46)</f>
        <v>0</v>
      </c>
      <c r="J46" s="39">
        <f>IF(ISBLANK(E46),0,ROUND(E46,3)*H46)</f>
        <v>0</v>
      </c>
      <c r="K46" s="39">
        <f>J46/12</f>
        <v>0</v>
      </c>
    </row>
    <row r="47" spans="1:11" x14ac:dyDescent="0.2">
      <c r="A47" s="20"/>
      <c r="B47" s="20"/>
      <c r="C47" s="70">
        <f>dagenperjaar1</f>
        <v>200</v>
      </c>
      <c r="D47" s="71" t="s">
        <v>270</v>
      </c>
      <c r="E47" s="72"/>
      <c r="F47" s="74"/>
      <c r="G47" s="22"/>
      <c r="H47" s="35">
        <f>IF(ISBLANK(G47),0,G47*C47)+IF(ISBLANK(F47),0,F47*objecturen5_1)</f>
        <v>0</v>
      </c>
      <c r="I47" s="35">
        <f>IF(C47=0,0,H47/C47)</f>
        <v>0</v>
      </c>
      <c r="J47" s="39">
        <f>IF(ISBLANK(E47),0,ROUND(E47,3)*H47)</f>
        <v>0</v>
      </c>
      <c r="K47" s="39">
        <f>J47/12</f>
        <v>0</v>
      </c>
    </row>
    <row r="48" spans="1:11" x14ac:dyDescent="0.2">
      <c r="A48" s="25"/>
      <c r="B48" s="25"/>
      <c r="C48" s="75">
        <f>dagenperjaar1</f>
        <v>200</v>
      </c>
      <c r="D48" s="76" t="s">
        <v>270</v>
      </c>
      <c r="E48" s="77"/>
      <c r="F48" s="78"/>
      <c r="G48" s="27"/>
      <c r="H48" s="40">
        <f>IF(ISBLANK(G48),0,G48*C48)+IF(ISBLANK(F48),0,F48*objecturen5_1)</f>
        <v>0</v>
      </c>
      <c r="I48" s="40">
        <f>IF(C48=0,0,H48/C48)</f>
        <v>0</v>
      </c>
      <c r="J48" s="42">
        <f>IF(ISBLANK(E48),0,ROUND(E48,3)*H48)</f>
        <v>0</v>
      </c>
      <c r="K48" s="42">
        <f>J48/12</f>
        <v>0</v>
      </c>
    </row>
    <row r="49" spans="1:11" x14ac:dyDescent="0.2">
      <c r="A49" s="79" t="s">
        <v>279</v>
      </c>
      <c r="B49" s="44"/>
      <c r="C49" s="44"/>
      <c r="D49" s="44"/>
      <c r="E49" s="44"/>
      <c r="F49" s="44"/>
      <c r="G49" s="44"/>
      <c r="H49" s="45">
        <f>SUM(H44:H48)</f>
        <v>0</v>
      </c>
      <c r="I49" s="44"/>
      <c r="J49" s="46">
        <f>SUM(J44:J48)</f>
        <v>0</v>
      </c>
      <c r="K49" s="47">
        <f>SUM(K44:K48)</f>
        <v>0</v>
      </c>
    </row>
    <row r="50" spans="1:11" x14ac:dyDescent="0.2">
      <c r="A50" s="48"/>
      <c r="B50" s="44"/>
      <c r="C50" s="44"/>
      <c r="D50" s="44"/>
      <c r="E50" s="44"/>
      <c r="F50" s="44"/>
      <c r="G50" s="44"/>
      <c r="H50" s="44"/>
      <c r="I50" s="44"/>
      <c r="J50" s="44"/>
      <c r="K50" s="49"/>
    </row>
    <row r="51" spans="1:11" x14ac:dyDescent="0.2">
      <c r="A51" s="9"/>
      <c r="B51" s="10"/>
      <c r="C51" s="10"/>
      <c r="D51" s="10"/>
      <c r="E51" s="10"/>
      <c r="F51" s="10"/>
      <c r="G51" s="10"/>
      <c r="H51" s="10"/>
      <c r="I51" s="10"/>
      <c r="J51" s="10"/>
      <c r="K51" s="11"/>
    </row>
    <row r="52" spans="1:11" x14ac:dyDescent="0.2">
      <c r="A52" s="67" t="s">
        <v>280</v>
      </c>
      <c r="B52" s="13"/>
      <c r="C52" s="13"/>
      <c r="D52" s="13"/>
      <c r="E52" s="13"/>
      <c r="F52" s="13"/>
      <c r="G52" s="13"/>
      <c r="H52" s="13"/>
      <c r="I52" s="13"/>
      <c r="J52" s="13"/>
      <c r="K52" s="14"/>
    </row>
    <row r="53" spans="1:11" x14ac:dyDescent="0.2">
      <c r="A53" s="15" t="s">
        <v>267</v>
      </c>
      <c r="B53" s="15" t="s">
        <v>11</v>
      </c>
      <c r="C53" s="16">
        <f>IF(ISBLANK(B53),0,IF(ISERROR(VALUE(B53)),VLOOKUP(B53,dagsoorttabel1,2,FALSE)*dagenperjaar1,VALUE(B53)))</f>
        <v>200</v>
      </c>
      <c r="D53" s="15" t="s">
        <v>268</v>
      </c>
      <c r="E53" s="68"/>
      <c r="F53" s="18"/>
      <c r="G53" s="69"/>
      <c r="H53" s="30">
        <f>IF(ISBLANK(G53),0,G53*C53)+IF(ISBLANK(F53),0,F53*objecturen6_1)</f>
        <v>0</v>
      </c>
      <c r="I53" s="30">
        <f>IF(C53=0,0,H53/C53)</f>
        <v>0</v>
      </c>
      <c r="J53" s="34">
        <f>IF(ISBLANK(E53),0,ROUND(E53,3)*H53)</f>
        <v>0</v>
      </c>
      <c r="K53" s="34">
        <f>J53/12</f>
        <v>0</v>
      </c>
    </row>
    <row r="54" spans="1:11" x14ac:dyDescent="0.2">
      <c r="A54" s="20"/>
      <c r="B54" s="20"/>
      <c r="C54" s="70">
        <f>dagenperjaar1</f>
        <v>200</v>
      </c>
      <c r="D54" s="71" t="s">
        <v>269</v>
      </c>
      <c r="E54" s="72"/>
      <c r="F54" s="23"/>
      <c r="G54" s="73"/>
      <c r="H54" s="35">
        <f>IF(ISBLANK(G54),0,G54*C54)+IF(ISBLANK(F54),0,F54*objecturen6_1)</f>
        <v>0</v>
      </c>
      <c r="I54" s="35">
        <f>IF(C54=0,0,H54/C54)</f>
        <v>0</v>
      </c>
      <c r="J54" s="39">
        <f>IF(ISBLANK(E54),0,ROUND(E54,3)*H54)</f>
        <v>0</v>
      </c>
      <c r="K54" s="39">
        <f>J54/12</f>
        <v>0</v>
      </c>
    </row>
    <row r="55" spans="1:11" x14ac:dyDescent="0.2">
      <c r="A55" s="20"/>
      <c r="B55" s="20"/>
      <c r="C55" s="70">
        <f>dagenperjaar1</f>
        <v>200</v>
      </c>
      <c r="D55" s="71" t="s">
        <v>269</v>
      </c>
      <c r="E55" s="72"/>
      <c r="F55" s="23"/>
      <c r="G55" s="73"/>
      <c r="H55" s="35">
        <f>IF(ISBLANK(G55),0,G55*C55)+IF(ISBLANK(F55),0,F55*objecturen6_1)</f>
        <v>0</v>
      </c>
      <c r="I55" s="35">
        <f>IF(C55=0,0,H55/C55)</f>
        <v>0</v>
      </c>
      <c r="J55" s="39">
        <f>IF(ISBLANK(E55),0,ROUND(E55,3)*H55)</f>
        <v>0</v>
      </c>
      <c r="K55" s="39">
        <f>J55/12</f>
        <v>0</v>
      </c>
    </row>
    <row r="56" spans="1:11" x14ac:dyDescent="0.2">
      <c r="A56" s="20"/>
      <c r="B56" s="20"/>
      <c r="C56" s="70">
        <f>dagenperjaar1</f>
        <v>200</v>
      </c>
      <c r="D56" s="71" t="s">
        <v>270</v>
      </c>
      <c r="E56" s="72"/>
      <c r="F56" s="74"/>
      <c r="G56" s="22"/>
      <c r="H56" s="35">
        <f>IF(ISBLANK(G56),0,G56*C56)+IF(ISBLANK(F56),0,F56*objecturen6_1)</f>
        <v>0</v>
      </c>
      <c r="I56" s="35">
        <f>IF(C56=0,0,H56/C56)</f>
        <v>0</v>
      </c>
      <c r="J56" s="39">
        <f>IF(ISBLANK(E56),0,ROUND(E56,3)*H56)</f>
        <v>0</v>
      </c>
      <c r="K56" s="39">
        <f>J56/12</f>
        <v>0</v>
      </c>
    </row>
    <row r="57" spans="1:11" x14ac:dyDescent="0.2">
      <c r="A57" s="25"/>
      <c r="B57" s="25"/>
      <c r="C57" s="75">
        <f>dagenperjaar1</f>
        <v>200</v>
      </c>
      <c r="D57" s="76" t="s">
        <v>270</v>
      </c>
      <c r="E57" s="77"/>
      <c r="F57" s="78"/>
      <c r="G57" s="27"/>
      <c r="H57" s="40">
        <f>IF(ISBLANK(G57),0,G57*C57)+IF(ISBLANK(F57),0,F57*objecturen6_1)</f>
        <v>0</v>
      </c>
      <c r="I57" s="40">
        <f>IF(C57=0,0,H57/C57)</f>
        <v>0</v>
      </c>
      <c r="J57" s="42">
        <f>IF(ISBLANK(E57),0,ROUND(E57,3)*H57)</f>
        <v>0</v>
      </c>
      <c r="K57" s="42">
        <f>J57/12</f>
        <v>0</v>
      </c>
    </row>
    <row r="58" spans="1:11" x14ac:dyDescent="0.2">
      <c r="A58" s="79" t="s">
        <v>281</v>
      </c>
      <c r="B58" s="44"/>
      <c r="C58" s="44"/>
      <c r="D58" s="44"/>
      <c r="E58" s="44"/>
      <c r="F58" s="44"/>
      <c r="G58" s="44"/>
      <c r="H58" s="45">
        <f>SUM(H53:H57)</f>
        <v>0</v>
      </c>
      <c r="I58" s="44"/>
      <c r="J58" s="46">
        <f>SUM(J53:J57)</f>
        <v>0</v>
      </c>
      <c r="K58" s="47">
        <f>SUM(K53:K57)</f>
        <v>0</v>
      </c>
    </row>
    <row r="59" spans="1:11" x14ac:dyDescent="0.2">
      <c r="A59" s="48"/>
      <c r="B59" s="44"/>
      <c r="C59" s="44"/>
      <c r="D59" s="44"/>
      <c r="E59" s="44"/>
      <c r="F59" s="44"/>
      <c r="G59" s="44"/>
      <c r="H59" s="44"/>
      <c r="I59" s="44"/>
      <c r="J59" s="44"/>
      <c r="K59" s="49"/>
    </row>
    <row r="60" spans="1:11" x14ac:dyDescent="0.2">
      <c r="A60" s="9"/>
      <c r="B60" s="10"/>
      <c r="C60" s="10"/>
      <c r="D60" s="10"/>
      <c r="E60" s="10"/>
      <c r="F60" s="10"/>
      <c r="G60" s="10"/>
      <c r="H60" s="10"/>
      <c r="I60" s="10"/>
      <c r="J60" s="10"/>
      <c r="K60" s="11"/>
    </row>
    <row r="61" spans="1:11" x14ac:dyDescent="0.2">
      <c r="A61" s="67" t="s">
        <v>282</v>
      </c>
      <c r="B61" s="13"/>
      <c r="C61" s="13"/>
      <c r="D61" s="13"/>
      <c r="E61" s="13"/>
      <c r="F61" s="13"/>
      <c r="G61" s="13"/>
      <c r="H61" s="13"/>
      <c r="I61" s="13"/>
      <c r="J61" s="13"/>
      <c r="K61" s="14"/>
    </row>
    <row r="62" spans="1:11" x14ac:dyDescent="0.2">
      <c r="A62" s="15" t="s">
        <v>267</v>
      </c>
      <c r="B62" s="15" t="s">
        <v>11</v>
      </c>
      <c r="C62" s="16">
        <f>IF(ISBLANK(B62),0,IF(ISERROR(VALUE(B62)),VLOOKUP(B62,dagsoorttabel1,2,FALSE)*dagenperjaar1,VALUE(B62)))</f>
        <v>200</v>
      </c>
      <c r="D62" s="15" t="s">
        <v>268</v>
      </c>
      <c r="E62" s="68"/>
      <c r="F62" s="18"/>
      <c r="G62" s="69"/>
      <c r="H62" s="30">
        <f>IF(ISBLANK(G62),0,G62*C62)+IF(ISBLANK(F62),0,F62*objecturen7_1)</f>
        <v>0</v>
      </c>
      <c r="I62" s="30">
        <f>IF(C62=0,0,H62/C62)</f>
        <v>0</v>
      </c>
      <c r="J62" s="34">
        <f>IF(ISBLANK(E62),0,ROUND(E62,3)*H62)</f>
        <v>0</v>
      </c>
      <c r="K62" s="34">
        <f>J62/12</f>
        <v>0</v>
      </c>
    </row>
    <row r="63" spans="1:11" x14ac:dyDescent="0.2">
      <c r="A63" s="20"/>
      <c r="B63" s="20"/>
      <c r="C63" s="70">
        <f>dagenperjaar1</f>
        <v>200</v>
      </c>
      <c r="D63" s="71" t="s">
        <v>269</v>
      </c>
      <c r="E63" s="72"/>
      <c r="F63" s="23"/>
      <c r="G63" s="73"/>
      <c r="H63" s="35">
        <f>IF(ISBLANK(G63),0,G63*C63)+IF(ISBLANK(F63),0,F63*objecturen7_1)</f>
        <v>0</v>
      </c>
      <c r="I63" s="35">
        <f>IF(C63=0,0,H63/C63)</f>
        <v>0</v>
      </c>
      <c r="J63" s="39">
        <f>IF(ISBLANK(E63),0,ROUND(E63,3)*H63)</f>
        <v>0</v>
      </c>
      <c r="K63" s="39">
        <f>J63/12</f>
        <v>0</v>
      </c>
    </row>
    <row r="64" spans="1:11" x14ac:dyDescent="0.2">
      <c r="A64" s="20"/>
      <c r="B64" s="20"/>
      <c r="C64" s="70">
        <f>dagenperjaar1</f>
        <v>200</v>
      </c>
      <c r="D64" s="71" t="s">
        <v>269</v>
      </c>
      <c r="E64" s="72"/>
      <c r="F64" s="23"/>
      <c r="G64" s="73"/>
      <c r="H64" s="35">
        <f>IF(ISBLANK(G64),0,G64*C64)+IF(ISBLANK(F64),0,F64*objecturen7_1)</f>
        <v>0</v>
      </c>
      <c r="I64" s="35">
        <f>IF(C64=0,0,H64/C64)</f>
        <v>0</v>
      </c>
      <c r="J64" s="39">
        <f>IF(ISBLANK(E64),0,ROUND(E64,3)*H64)</f>
        <v>0</v>
      </c>
      <c r="K64" s="39">
        <f>J64/12</f>
        <v>0</v>
      </c>
    </row>
    <row r="65" spans="1:11" x14ac:dyDescent="0.2">
      <c r="A65" s="20"/>
      <c r="B65" s="20"/>
      <c r="C65" s="70">
        <f>dagenperjaar1</f>
        <v>200</v>
      </c>
      <c r="D65" s="71" t="s">
        <v>270</v>
      </c>
      <c r="E65" s="72"/>
      <c r="F65" s="74"/>
      <c r="G65" s="22"/>
      <c r="H65" s="35">
        <f>IF(ISBLANK(G65),0,G65*C65)+IF(ISBLANK(F65),0,F65*objecturen7_1)</f>
        <v>0</v>
      </c>
      <c r="I65" s="35">
        <f>IF(C65=0,0,H65/C65)</f>
        <v>0</v>
      </c>
      <c r="J65" s="39">
        <f>IF(ISBLANK(E65),0,ROUND(E65,3)*H65)</f>
        <v>0</v>
      </c>
      <c r="K65" s="39">
        <f>J65/12</f>
        <v>0</v>
      </c>
    </row>
    <row r="66" spans="1:11" x14ac:dyDescent="0.2">
      <c r="A66" s="25"/>
      <c r="B66" s="25"/>
      <c r="C66" s="75">
        <f>dagenperjaar1</f>
        <v>200</v>
      </c>
      <c r="D66" s="76" t="s">
        <v>270</v>
      </c>
      <c r="E66" s="77"/>
      <c r="F66" s="78"/>
      <c r="G66" s="27"/>
      <c r="H66" s="40">
        <f>IF(ISBLANK(G66),0,G66*C66)+IF(ISBLANK(F66),0,F66*objecturen7_1)</f>
        <v>0</v>
      </c>
      <c r="I66" s="40">
        <f>IF(C66=0,0,H66/C66)</f>
        <v>0</v>
      </c>
      <c r="J66" s="42">
        <f>IF(ISBLANK(E66),0,ROUND(E66,3)*H66)</f>
        <v>0</v>
      </c>
      <c r="K66" s="42">
        <f>J66/12</f>
        <v>0</v>
      </c>
    </row>
    <row r="67" spans="1:11" x14ac:dyDescent="0.2">
      <c r="A67" s="79" t="s">
        <v>283</v>
      </c>
      <c r="B67" s="44"/>
      <c r="C67" s="44"/>
      <c r="D67" s="44"/>
      <c r="E67" s="44"/>
      <c r="F67" s="44"/>
      <c r="G67" s="44"/>
      <c r="H67" s="45">
        <f>SUM(H62:H66)</f>
        <v>0</v>
      </c>
      <c r="I67" s="44"/>
      <c r="J67" s="46">
        <f>SUM(J62:J66)</f>
        <v>0</v>
      </c>
      <c r="K67" s="47">
        <f>SUM(K62:K66)</f>
        <v>0</v>
      </c>
    </row>
    <row r="68" spans="1:11" x14ac:dyDescent="0.2">
      <c r="A68" s="48"/>
      <c r="B68" s="44"/>
      <c r="C68" s="44"/>
      <c r="D68" s="44"/>
      <c r="E68" s="44"/>
      <c r="F68" s="44"/>
      <c r="G68" s="44"/>
      <c r="H68" s="44"/>
      <c r="I68" s="44"/>
      <c r="J68" s="44"/>
      <c r="K68" s="49"/>
    </row>
    <row r="69" spans="1:11" x14ac:dyDescent="0.2">
      <c r="A69" s="9"/>
      <c r="B69" s="10"/>
      <c r="C69" s="10"/>
      <c r="D69" s="10"/>
      <c r="E69" s="10"/>
      <c r="F69" s="10"/>
      <c r="G69" s="10"/>
      <c r="H69" s="10"/>
      <c r="I69" s="10"/>
      <c r="J69" s="10"/>
      <c r="K69" s="11"/>
    </row>
    <row r="70" spans="1:11" x14ac:dyDescent="0.2">
      <c r="A70" s="67" t="s">
        <v>284</v>
      </c>
      <c r="B70" s="13"/>
      <c r="C70" s="13"/>
      <c r="D70" s="13"/>
      <c r="E70" s="13"/>
      <c r="F70" s="13"/>
      <c r="G70" s="13"/>
      <c r="H70" s="13"/>
      <c r="I70" s="13"/>
      <c r="J70" s="13"/>
      <c r="K70" s="14"/>
    </row>
    <row r="71" spans="1:11" x14ac:dyDescent="0.2">
      <c r="A71" s="15" t="s">
        <v>267</v>
      </c>
      <c r="B71" s="15" t="s">
        <v>11</v>
      </c>
      <c r="C71" s="16">
        <f>IF(ISBLANK(B71),0,IF(ISERROR(VALUE(B71)),VLOOKUP(B71,dagsoorttabel1,2,FALSE)*dagenperjaar1,VALUE(B71)))</f>
        <v>200</v>
      </c>
      <c r="D71" s="15" t="s">
        <v>268</v>
      </c>
      <c r="E71" s="68"/>
      <c r="F71" s="18"/>
      <c r="G71" s="69"/>
      <c r="H71" s="30">
        <f>IF(ISBLANK(G71),0,G71*C71)+IF(ISBLANK(F71),0,F71*objecturen8_1)</f>
        <v>0</v>
      </c>
      <c r="I71" s="30">
        <f>IF(C71=0,0,H71/C71)</f>
        <v>0</v>
      </c>
      <c r="J71" s="34">
        <f>IF(ISBLANK(E71),0,ROUND(E71,3)*H71)</f>
        <v>0</v>
      </c>
      <c r="K71" s="34">
        <f>J71/12</f>
        <v>0</v>
      </c>
    </row>
    <row r="72" spans="1:11" x14ac:dyDescent="0.2">
      <c r="A72" s="20"/>
      <c r="B72" s="20"/>
      <c r="C72" s="70">
        <f>dagenperjaar1</f>
        <v>200</v>
      </c>
      <c r="D72" s="71" t="s">
        <v>269</v>
      </c>
      <c r="E72" s="72"/>
      <c r="F72" s="23"/>
      <c r="G72" s="73"/>
      <c r="H72" s="35">
        <f>IF(ISBLANK(G72),0,G72*C72)+IF(ISBLANK(F72),0,F72*objecturen8_1)</f>
        <v>0</v>
      </c>
      <c r="I72" s="35">
        <f>IF(C72=0,0,H72/C72)</f>
        <v>0</v>
      </c>
      <c r="J72" s="39">
        <f>IF(ISBLANK(E72),0,ROUND(E72,3)*H72)</f>
        <v>0</v>
      </c>
      <c r="K72" s="39">
        <f>J72/12</f>
        <v>0</v>
      </c>
    </row>
    <row r="73" spans="1:11" x14ac:dyDescent="0.2">
      <c r="A73" s="20"/>
      <c r="B73" s="20"/>
      <c r="C73" s="70">
        <f>dagenperjaar1</f>
        <v>200</v>
      </c>
      <c r="D73" s="71" t="s">
        <v>269</v>
      </c>
      <c r="E73" s="72"/>
      <c r="F73" s="23"/>
      <c r="G73" s="73"/>
      <c r="H73" s="35">
        <f>IF(ISBLANK(G73),0,G73*C73)+IF(ISBLANK(F73),0,F73*objecturen8_1)</f>
        <v>0</v>
      </c>
      <c r="I73" s="35">
        <f>IF(C73=0,0,H73/C73)</f>
        <v>0</v>
      </c>
      <c r="J73" s="39">
        <f>IF(ISBLANK(E73),0,ROUND(E73,3)*H73)</f>
        <v>0</v>
      </c>
      <c r="K73" s="39">
        <f>J73/12</f>
        <v>0</v>
      </c>
    </row>
    <row r="74" spans="1:11" x14ac:dyDescent="0.2">
      <c r="A74" s="20"/>
      <c r="B74" s="20"/>
      <c r="C74" s="70">
        <f>dagenperjaar1</f>
        <v>200</v>
      </c>
      <c r="D74" s="71" t="s">
        <v>270</v>
      </c>
      <c r="E74" s="72"/>
      <c r="F74" s="74"/>
      <c r="G74" s="22"/>
      <c r="H74" s="35">
        <f>IF(ISBLANK(G74),0,G74*C74)+IF(ISBLANK(F74),0,F74*objecturen8_1)</f>
        <v>0</v>
      </c>
      <c r="I74" s="35">
        <f>IF(C74=0,0,H74/C74)</f>
        <v>0</v>
      </c>
      <c r="J74" s="39">
        <f>IF(ISBLANK(E74),0,ROUND(E74,3)*H74)</f>
        <v>0</v>
      </c>
      <c r="K74" s="39">
        <f>J74/12</f>
        <v>0</v>
      </c>
    </row>
    <row r="75" spans="1:11" x14ac:dyDescent="0.2">
      <c r="A75" s="25"/>
      <c r="B75" s="25"/>
      <c r="C75" s="75">
        <f>dagenperjaar1</f>
        <v>200</v>
      </c>
      <c r="D75" s="76" t="s">
        <v>270</v>
      </c>
      <c r="E75" s="77"/>
      <c r="F75" s="78"/>
      <c r="G75" s="27"/>
      <c r="H75" s="40">
        <f>IF(ISBLANK(G75),0,G75*C75)+IF(ISBLANK(F75),0,F75*objecturen8_1)</f>
        <v>0</v>
      </c>
      <c r="I75" s="40">
        <f>IF(C75=0,0,H75/C75)</f>
        <v>0</v>
      </c>
      <c r="J75" s="42">
        <f>IF(ISBLANK(E75),0,ROUND(E75,3)*H75)</f>
        <v>0</v>
      </c>
      <c r="K75" s="42">
        <f>J75/12</f>
        <v>0</v>
      </c>
    </row>
    <row r="76" spans="1:11" x14ac:dyDescent="0.2">
      <c r="A76" s="79" t="s">
        <v>285</v>
      </c>
      <c r="B76" s="44"/>
      <c r="C76" s="44"/>
      <c r="D76" s="44"/>
      <c r="E76" s="44"/>
      <c r="F76" s="44"/>
      <c r="G76" s="44"/>
      <c r="H76" s="45">
        <f>SUM(H71:H75)</f>
        <v>0</v>
      </c>
      <c r="I76" s="44"/>
      <c r="J76" s="46">
        <f>SUM(J71:J75)</f>
        <v>0</v>
      </c>
      <c r="K76" s="47">
        <f>SUM(K71:K75)</f>
        <v>0</v>
      </c>
    </row>
    <row r="77" spans="1:11" x14ac:dyDescent="0.2">
      <c r="A77" s="48"/>
      <c r="B77" s="44"/>
      <c r="C77" s="44"/>
      <c r="D77" s="44"/>
      <c r="E77" s="44"/>
      <c r="F77" s="44"/>
      <c r="G77" s="44"/>
      <c r="H77" s="44"/>
      <c r="I77" s="44"/>
      <c r="J77" s="44"/>
      <c r="K77" s="49"/>
    </row>
    <row r="78" spans="1:11" x14ac:dyDescent="0.2">
      <c r="A78" s="9"/>
      <c r="B78" s="10"/>
      <c r="C78" s="10"/>
      <c r="D78" s="10"/>
      <c r="E78" s="10"/>
      <c r="F78" s="10"/>
      <c r="G78" s="10"/>
      <c r="H78" s="10"/>
      <c r="I78" s="10"/>
      <c r="J78" s="10"/>
      <c r="K78" s="11"/>
    </row>
    <row r="79" spans="1:11" x14ac:dyDescent="0.2">
      <c r="A79" s="67" t="s">
        <v>286</v>
      </c>
      <c r="B79" s="13"/>
      <c r="C79" s="13"/>
      <c r="D79" s="13"/>
      <c r="E79" s="13"/>
      <c r="F79" s="13"/>
      <c r="G79" s="13"/>
      <c r="H79" s="13"/>
      <c r="I79" s="13"/>
      <c r="J79" s="13"/>
      <c r="K79" s="14"/>
    </row>
    <row r="80" spans="1:11" x14ac:dyDescent="0.2">
      <c r="A80" s="15" t="s">
        <v>267</v>
      </c>
      <c r="B80" s="15" t="s">
        <v>11</v>
      </c>
      <c r="C80" s="16">
        <f>IF(ISBLANK(B80),0,IF(ISERROR(VALUE(B80)),VLOOKUP(B80,dagsoorttabel1,2,FALSE)*dagenperjaar1,VALUE(B80)))</f>
        <v>200</v>
      </c>
      <c r="D80" s="15" t="s">
        <v>268</v>
      </c>
      <c r="E80" s="68"/>
      <c r="F80" s="18"/>
      <c r="G80" s="69"/>
      <c r="H80" s="30">
        <f>IF(ISBLANK(G80),0,G80*C80)+IF(ISBLANK(F80),0,F80*objecturen9_1)</f>
        <v>0</v>
      </c>
      <c r="I80" s="30">
        <f>IF(C80=0,0,H80/C80)</f>
        <v>0</v>
      </c>
      <c r="J80" s="34">
        <f>IF(ISBLANK(E80),0,ROUND(E80,3)*H80)</f>
        <v>0</v>
      </c>
      <c r="K80" s="34">
        <f>J80/12</f>
        <v>0</v>
      </c>
    </row>
    <row r="81" spans="1:11" x14ac:dyDescent="0.2">
      <c r="A81" s="20"/>
      <c r="B81" s="20"/>
      <c r="C81" s="70">
        <f>dagenperjaar1</f>
        <v>200</v>
      </c>
      <c r="D81" s="71" t="s">
        <v>269</v>
      </c>
      <c r="E81" s="72"/>
      <c r="F81" s="23"/>
      <c r="G81" s="73"/>
      <c r="H81" s="35">
        <f>IF(ISBLANK(G81),0,G81*C81)+IF(ISBLANK(F81),0,F81*objecturen9_1)</f>
        <v>0</v>
      </c>
      <c r="I81" s="35">
        <f>IF(C81=0,0,H81/C81)</f>
        <v>0</v>
      </c>
      <c r="J81" s="39">
        <f>IF(ISBLANK(E81),0,ROUND(E81,3)*H81)</f>
        <v>0</v>
      </c>
      <c r="K81" s="39">
        <f>J81/12</f>
        <v>0</v>
      </c>
    </row>
    <row r="82" spans="1:11" x14ac:dyDescent="0.2">
      <c r="A82" s="20"/>
      <c r="B82" s="20"/>
      <c r="C82" s="70">
        <f>dagenperjaar1</f>
        <v>200</v>
      </c>
      <c r="D82" s="71" t="s">
        <v>269</v>
      </c>
      <c r="E82" s="72"/>
      <c r="F82" s="23"/>
      <c r="G82" s="73"/>
      <c r="H82" s="35">
        <f>IF(ISBLANK(G82),0,G82*C82)+IF(ISBLANK(F82),0,F82*objecturen9_1)</f>
        <v>0</v>
      </c>
      <c r="I82" s="35">
        <f>IF(C82=0,0,H82/C82)</f>
        <v>0</v>
      </c>
      <c r="J82" s="39">
        <f>IF(ISBLANK(E82),0,ROUND(E82,3)*H82)</f>
        <v>0</v>
      </c>
      <c r="K82" s="39">
        <f>J82/12</f>
        <v>0</v>
      </c>
    </row>
    <row r="83" spans="1:11" x14ac:dyDescent="0.2">
      <c r="A83" s="20"/>
      <c r="B83" s="20"/>
      <c r="C83" s="70">
        <f>dagenperjaar1</f>
        <v>200</v>
      </c>
      <c r="D83" s="71" t="s">
        <v>270</v>
      </c>
      <c r="E83" s="72"/>
      <c r="F83" s="74"/>
      <c r="G83" s="22"/>
      <c r="H83" s="35">
        <f>IF(ISBLANK(G83),0,G83*C83)+IF(ISBLANK(F83),0,F83*objecturen9_1)</f>
        <v>0</v>
      </c>
      <c r="I83" s="35">
        <f>IF(C83=0,0,H83/C83)</f>
        <v>0</v>
      </c>
      <c r="J83" s="39">
        <f>IF(ISBLANK(E83),0,ROUND(E83,3)*H83)</f>
        <v>0</v>
      </c>
      <c r="K83" s="39">
        <f>J83/12</f>
        <v>0</v>
      </c>
    </row>
    <row r="84" spans="1:11" x14ac:dyDescent="0.2">
      <c r="A84" s="25"/>
      <c r="B84" s="25"/>
      <c r="C84" s="75">
        <f>dagenperjaar1</f>
        <v>200</v>
      </c>
      <c r="D84" s="76" t="s">
        <v>270</v>
      </c>
      <c r="E84" s="77"/>
      <c r="F84" s="78"/>
      <c r="G84" s="27"/>
      <c r="H84" s="40">
        <f>IF(ISBLANK(G84),0,G84*C84)+IF(ISBLANK(F84),0,F84*objecturen9_1)</f>
        <v>0</v>
      </c>
      <c r="I84" s="40">
        <f>IF(C84=0,0,H84/C84)</f>
        <v>0</v>
      </c>
      <c r="J84" s="42">
        <f>IF(ISBLANK(E84),0,ROUND(E84,3)*H84)</f>
        <v>0</v>
      </c>
      <c r="K84" s="42">
        <f>J84/12</f>
        <v>0</v>
      </c>
    </row>
    <row r="85" spans="1:11" x14ac:dyDescent="0.2">
      <c r="A85" s="79" t="s">
        <v>287</v>
      </c>
      <c r="B85" s="44"/>
      <c r="C85" s="44"/>
      <c r="D85" s="44"/>
      <c r="E85" s="44"/>
      <c r="F85" s="44"/>
      <c r="G85" s="44"/>
      <c r="H85" s="45">
        <f>SUM(H80:H84)</f>
        <v>0</v>
      </c>
      <c r="I85" s="44"/>
      <c r="J85" s="46">
        <f>SUM(J80:J84)</f>
        <v>0</v>
      </c>
      <c r="K85" s="47">
        <f>SUM(K80:K84)</f>
        <v>0</v>
      </c>
    </row>
    <row r="86" spans="1:11" x14ac:dyDescent="0.2">
      <c r="A86" s="48"/>
      <c r="B86" s="44"/>
      <c r="C86" s="44"/>
      <c r="D86" s="44"/>
      <c r="E86" s="44"/>
      <c r="F86" s="44"/>
      <c r="G86" s="44"/>
      <c r="H86" s="44"/>
      <c r="I86" s="44"/>
      <c r="J86" s="44"/>
      <c r="K86" s="49"/>
    </row>
    <row r="87" spans="1:11" x14ac:dyDescent="0.2">
      <c r="A87" s="9"/>
      <c r="B87" s="10"/>
      <c r="C87" s="10"/>
      <c r="D87" s="10"/>
      <c r="E87" s="10"/>
      <c r="F87" s="10"/>
      <c r="G87" s="10"/>
      <c r="H87" s="10"/>
      <c r="I87" s="10"/>
      <c r="J87" s="10"/>
      <c r="K87" s="11"/>
    </row>
    <row r="88" spans="1:11" x14ac:dyDescent="0.2">
      <c r="A88" s="67" t="s">
        <v>288</v>
      </c>
      <c r="B88" s="13"/>
      <c r="C88" s="13"/>
      <c r="D88" s="13"/>
      <c r="E88" s="13"/>
      <c r="F88" s="13"/>
      <c r="G88" s="13"/>
      <c r="H88" s="13"/>
      <c r="I88" s="13"/>
      <c r="J88" s="13"/>
      <c r="K88" s="14"/>
    </row>
    <row r="89" spans="1:11" x14ac:dyDescent="0.2">
      <c r="A89" s="15" t="s">
        <v>267</v>
      </c>
      <c r="B89" s="15" t="s">
        <v>11</v>
      </c>
      <c r="C89" s="16">
        <f>IF(ISBLANK(B89),0,IF(ISERROR(VALUE(B89)),VLOOKUP(B89,dagsoorttabel1,2,FALSE)*dagenperjaar1,VALUE(B89)))</f>
        <v>200</v>
      </c>
      <c r="D89" s="15" t="s">
        <v>268</v>
      </c>
      <c r="E89" s="68"/>
      <c r="F89" s="18"/>
      <c r="G89" s="69"/>
      <c r="H89" s="30">
        <f>IF(ISBLANK(G89),0,G89*C89)+IF(ISBLANK(F89),0,F89*objecturen10_1)</f>
        <v>0</v>
      </c>
      <c r="I89" s="30">
        <f>IF(C89=0,0,H89/C89)</f>
        <v>0</v>
      </c>
      <c r="J89" s="34">
        <f>IF(ISBLANK(E89),0,ROUND(E89,3)*H89)</f>
        <v>0</v>
      </c>
      <c r="K89" s="34">
        <f>J89/12</f>
        <v>0</v>
      </c>
    </row>
    <row r="90" spans="1:11" x14ac:dyDescent="0.2">
      <c r="A90" s="20"/>
      <c r="B90" s="20"/>
      <c r="C90" s="70">
        <f>dagenperjaar1</f>
        <v>200</v>
      </c>
      <c r="D90" s="71" t="s">
        <v>269</v>
      </c>
      <c r="E90" s="72"/>
      <c r="F90" s="23"/>
      <c r="G90" s="73"/>
      <c r="H90" s="35">
        <f>IF(ISBLANK(G90),0,G90*C90)+IF(ISBLANK(F90),0,F90*objecturen10_1)</f>
        <v>0</v>
      </c>
      <c r="I90" s="35">
        <f>IF(C90=0,0,H90/C90)</f>
        <v>0</v>
      </c>
      <c r="J90" s="39">
        <f>IF(ISBLANK(E90),0,ROUND(E90,3)*H90)</f>
        <v>0</v>
      </c>
      <c r="K90" s="39">
        <f>J90/12</f>
        <v>0</v>
      </c>
    </row>
    <row r="91" spans="1:11" x14ac:dyDescent="0.2">
      <c r="A91" s="20"/>
      <c r="B91" s="20"/>
      <c r="C91" s="70">
        <f>dagenperjaar1</f>
        <v>200</v>
      </c>
      <c r="D91" s="71" t="s">
        <v>269</v>
      </c>
      <c r="E91" s="72"/>
      <c r="F91" s="23"/>
      <c r="G91" s="73"/>
      <c r="H91" s="35">
        <f>IF(ISBLANK(G91),0,G91*C91)+IF(ISBLANK(F91),0,F91*objecturen10_1)</f>
        <v>0</v>
      </c>
      <c r="I91" s="35">
        <f>IF(C91=0,0,H91/C91)</f>
        <v>0</v>
      </c>
      <c r="J91" s="39">
        <f>IF(ISBLANK(E91),0,ROUND(E91,3)*H91)</f>
        <v>0</v>
      </c>
      <c r="K91" s="39">
        <f>J91/12</f>
        <v>0</v>
      </c>
    </row>
    <row r="92" spans="1:11" x14ac:dyDescent="0.2">
      <c r="A92" s="20"/>
      <c r="B92" s="20"/>
      <c r="C92" s="70">
        <f>dagenperjaar1</f>
        <v>200</v>
      </c>
      <c r="D92" s="71" t="s">
        <v>270</v>
      </c>
      <c r="E92" s="72"/>
      <c r="F92" s="74"/>
      <c r="G92" s="22"/>
      <c r="H92" s="35">
        <f>IF(ISBLANK(G92),0,G92*C92)+IF(ISBLANK(F92),0,F92*objecturen10_1)</f>
        <v>0</v>
      </c>
      <c r="I92" s="35">
        <f>IF(C92=0,0,H92/C92)</f>
        <v>0</v>
      </c>
      <c r="J92" s="39">
        <f>IF(ISBLANK(E92),0,ROUND(E92,3)*H92)</f>
        <v>0</v>
      </c>
      <c r="K92" s="39">
        <f>J92/12</f>
        <v>0</v>
      </c>
    </row>
    <row r="93" spans="1:11" x14ac:dyDescent="0.2">
      <c r="A93" s="25"/>
      <c r="B93" s="25"/>
      <c r="C93" s="75">
        <f>dagenperjaar1</f>
        <v>200</v>
      </c>
      <c r="D93" s="76" t="s">
        <v>270</v>
      </c>
      <c r="E93" s="77"/>
      <c r="F93" s="78"/>
      <c r="G93" s="27"/>
      <c r="H93" s="40">
        <f>IF(ISBLANK(G93),0,G93*C93)+IF(ISBLANK(F93),0,F93*objecturen10_1)</f>
        <v>0</v>
      </c>
      <c r="I93" s="40">
        <f>IF(C93=0,0,H93/C93)</f>
        <v>0</v>
      </c>
      <c r="J93" s="42">
        <f>IF(ISBLANK(E93),0,ROUND(E93,3)*H93)</f>
        <v>0</v>
      </c>
      <c r="K93" s="42">
        <f>J93/12</f>
        <v>0</v>
      </c>
    </row>
    <row r="94" spans="1:11" x14ac:dyDescent="0.2">
      <c r="A94" s="79" t="s">
        <v>289</v>
      </c>
      <c r="B94" s="44"/>
      <c r="C94" s="44"/>
      <c r="D94" s="44"/>
      <c r="E94" s="44"/>
      <c r="F94" s="44"/>
      <c r="G94" s="44"/>
      <c r="H94" s="45">
        <f>SUM(H89:H93)</f>
        <v>0</v>
      </c>
      <c r="I94" s="44"/>
      <c r="J94" s="46">
        <f>SUM(J89:J93)</f>
        <v>0</v>
      </c>
      <c r="K94" s="47">
        <f>SUM(K89:K93)</f>
        <v>0</v>
      </c>
    </row>
    <row r="95" spans="1:11" x14ac:dyDescent="0.2">
      <c r="A95" s="48"/>
      <c r="B95" s="44"/>
      <c r="C95" s="44"/>
      <c r="D95" s="44"/>
      <c r="E95" s="44"/>
      <c r="F95" s="44"/>
      <c r="G95" s="44"/>
      <c r="H95" s="44"/>
      <c r="I95" s="44"/>
      <c r="J95" s="44"/>
      <c r="K95" s="49"/>
    </row>
    <row r="96" spans="1:11" x14ac:dyDescent="0.2">
      <c r="A96" s="9"/>
      <c r="B96" s="10"/>
      <c r="C96" s="10"/>
      <c r="D96" s="10"/>
      <c r="E96" s="10"/>
      <c r="F96" s="10"/>
      <c r="G96" s="10"/>
      <c r="H96" s="10"/>
      <c r="I96" s="10"/>
      <c r="J96" s="10"/>
      <c r="K96" s="11"/>
    </row>
    <row r="97" spans="1:11" x14ac:dyDescent="0.2">
      <c r="A97" s="67" t="s">
        <v>290</v>
      </c>
      <c r="B97" s="13"/>
      <c r="C97" s="13"/>
      <c r="D97" s="13"/>
      <c r="E97" s="13"/>
      <c r="F97" s="13"/>
      <c r="G97" s="13"/>
      <c r="H97" s="13"/>
      <c r="I97" s="13"/>
      <c r="J97" s="13"/>
      <c r="K97" s="14"/>
    </row>
    <row r="98" spans="1:11" x14ac:dyDescent="0.2">
      <c r="A98" s="15" t="s">
        <v>267</v>
      </c>
      <c r="B98" s="15" t="s">
        <v>11</v>
      </c>
      <c r="C98" s="16">
        <f>IF(ISBLANK(B98),0,IF(ISERROR(VALUE(B98)),VLOOKUP(B98,dagsoorttabel1,2,FALSE)*dagenperjaar1,VALUE(B98)))</f>
        <v>200</v>
      </c>
      <c r="D98" s="15" t="s">
        <v>268</v>
      </c>
      <c r="E98" s="68"/>
      <c r="F98" s="18"/>
      <c r="G98" s="69"/>
      <c r="H98" s="30">
        <f>IF(ISBLANK(G98),0,G98*C98)+IF(ISBLANK(F98),0,F98*objecturen11_1)</f>
        <v>0</v>
      </c>
      <c r="I98" s="30">
        <f>IF(C98=0,0,H98/C98)</f>
        <v>0</v>
      </c>
      <c r="J98" s="34">
        <f>IF(ISBLANK(E98),0,ROUND(E98,3)*H98)</f>
        <v>0</v>
      </c>
      <c r="K98" s="34">
        <f>J98/12</f>
        <v>0</v>
      </c>
    </row>
    <row r="99" spans="1:11" x14ac:dyDescent="0.2">
      <c r="A99" s="20"/>
      <c r="B99" s="20"/>
      <c r="C99" s="70">
        <f>dagenperjaar1</f>
        <v>200</v>
      </c>
      <c r="D99" s="71" t="s">
        <v>269</v>
      </c>
      <c r="E99" s="72"/>
      <c r="F99" s="23"/>
      <c r="G99" s="73"/>
      <c r="H99" s="35">
        <f>IF(ISBLANK(G99),0,G99*C99)+IF(ISBLANK(F99),0,F99*objecturen11_1)</f>
        <v>0</v>
      </c>
      <c r="I99" s="35">
        <f>IF(C99=0,0,H99/C99)</f>
        <v>0</v>
      </c>
      <c r="J99" s="39">
        <f>IF(ISBLANK(E99),0,ROUND(E99,3)*H99)</f>
        <v>0</v>
      </c>
      <c r="K99" s="39">
        <f>J99/12</f>
        <v>0</v>
      </c>
    </row>
    <row r="100" spans="1:11" x14ac:dyDescent="0.2">
      <c r="A100" s="20"/>
      <c r="B100" s="20"/>
      <c r="C100" s="70">
        <f>dagenperjaar1</f>
        <v>200</v>
      </c>
      <c r="D100" s="71" t="s">
        <v>269</v>
      </c>
      <c r="E100" s="72"/>
      <c r="F100" s="23"/>
      <c r="G100" s="73"/>
      <c r="H100" s="35">
        <f>IF(ISBLANK(G100),0,G100*C100)+IF(ISBLANK(F100),0,F100*objecturen11_1)</f>
        <v>0</v>
      </c>
      <c r="I100" s="35">
        <f>IF(C100=0,0,H100/C100)</f>
        <v>0</v>
      </c>
      <c r="J100" s="39">
        <f>IF(ISBLANK(E100),0,ROUND(E100,3)*H100)</f>
        <v>0</v>
      </c>
      <c r="K100" s="39">
        <f>J100/12</f>
        <v>0</v>
      </c>
    </row>
    <row r="101" spans="1:11" x14ac:dyDescent="0.2">
      <c r="A101" s="20"/>
      <c r="B101" s="20"/>
      <c r="C101" s="70">
        <f>dagenperjaar1</f>
        <v>200</v>
      </c>
      <c r="D101" s="71" t="s">
        <v>270</v>
      </c>
      <c r="E101" s="72"/>
      <c r="F101" s="74"/>
      <c r="G101" s="22"/>
      <c r="H101" s="35">
        <f>IF(ISBLANK(G101),0,G101*C101)+IF(ISBLANK(F101),0,F101*objecturen11_1)</f>
        <v>0</v>
      </c>
      <c r="I101" s="35">
        <f>IF(C101=0,0,H101/C101)</f>
        <v>0</v>
      </c>
      <c r="J101" s="39">
        <f>IF(ISBLANK(E101),0,ROUND(E101,3)*H101)</f>
        <v>0</v>
      </c>
      <c r="K101" s="39">
        <f>J101/12</f>
        <v>0</v>
      </c>
    </row>
    <row r="102" spans="1:11" x14ac:dyDescent="0.2">
      <c r="A102" s="25"/>
      <c r="B102" s="25"/>
      <c r="C102" s="75">
        <f>dagenperjaar1</f>
        <v>200</v>
      </c>
      <c r="D102" s="76" t="s">
        <v>270</v>
      </c>
      <c r="E102" s="77"/>
      <c r="F102" s="78"/>
      <c r="G102" s="27"/>
      <c r="H102" s="40">
        <f>IF(ISBLANK(G102),0,G102*C102)+IF(ISBLANK(F102),0,F102*objecturen11_1)</f>
        <v>0</v>
      </c>
      <c r="I102" s="40">
        <f>IF(C102=0,0,H102/C102)</f>
        <v>0</v>
      </c>
      <c r="J102" s="42">
        <f>IF(ISBLANK(E102),0,ROUND(E102,3)*H102)</f>
        <v>0</v>
      </c>
      <c r="K102" s="42">
        <f>J102/12</f>
        <v>0</v>
      </c>
    </row>
    <row r="103" spans="1:11" x14ac:dyDescent="0.2">
      <c r="A103" s="79" t="s">
        <v>291</v>
      </c>
      <c r="B103" s="44"/>
      <c r="C103" s="44"/>
      <c r="D103" s="44"/>
      <c r="E103" s="44"/>
      <c r="F103" s="44"/>
      <c r="G103" s="44"/>
      <c r="H103" s="45">
        <f>SUM(H98:H102)</f>
        <v>0</v>
      </c>
      <c r="I103" s="44"/>
      <c r="J103" s="46">
        <f>SUM(J98:J102)</f>
        <v>0</v>
      </c>
      <c r="K103" s="47">
        <f>SUM(K98:K102)</f>
        <v>0</v>
      </c>
    </row>
    <row r="104" spans="1:11" x14ac:dyDescent="0.2">
      <c r="A104" s="48"/>
      <c r="B104" s="44"/>
      <c r="C104" s="44"/>
      <c r="D104" s="44"/>
      <c r="E104" s="44"/>
      <c r="F104" s="44"/>
      <c r="G104" s="44"/>
      <c r="H104" s="44"/>
      <c r="I104" s="44"/>
      <c r="J104" s="44"/>
      <c r="K104" s="49"/>
    </row>
    <row r="105" spans="1:11" x14ac:dyDescent="0.2">
      <c r="A105" s="9"/>
      <c r="B105" s="10"/>
      <c r="C105" s="10"/>
      <c r="D105" s="10"/>
      <c r="E105" s="10"/>
      <c r="F105" s="10"/>
      <c r="G105" s="10"/>
      <c r="H105" s="10"/>
      <c r="I105" s="10"/>
      <c r="J105" s="10"/>
      <c r="K105" s="11"/>
    </row>
    <row r="106" spans="1:11" x14ac:dyDescent="0.2">
      <c r="A106" s="67" t="s">
        <v>292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4"/>
    </row>
    <row r="107" spans="1:11" x14ac:dyDescent="0.2">
      <c r="A107" s="15" t="s">
        <v>267</v>
      </c>
      <c r="B107" s="15" t="s">
        <v>11</v>
      </c>
      <c r="C107" s="16">
        <f>IF(ISBLANK(B107),0,IF(ISERROR(VALUE(B107)),VLOOKUP(B107,dagsoorttabel1,2,FALSE)*dagenperjaar1,VALUE(B107)))</f>
        <v>200</v>
      </c>
      <c r="D107" s="15" t="s">
        <v>268</v>
      </c>
      <c r="E107" s="68"/>
      <c r="F107" s="18"/>
      <c r="G107" s="69"/>
      <c r="H107" s="30">
        <f>IF(ISBLANK(G107),0,G107*C107)+IF(ISBLANK(F107),0,F107*objecturen12_1)</f>
        <v>0</v>
      </c>
      <c r="I107" s="30">
        <f>IF(C107=0,0,H107/C107)</f>
        <v>0</v>
      </c>
      <c r="J107" s="34">
        <f>IF(ISBLANK(E107),0,ROUND(E107,3)*H107)</f>
        <v>0</v>
      </c>
      <c r="K107" s="34">
        <f>J107/12</f>
        <v>0</v>
      </c>
    </row>
    <row r="108" spans="1:11" x14ac:dyDescent="0.2">
      <c r="A108" s="20"/>
      <c r="B108" s="20"/>
      <c r="C108" s="70">
        <f>dagenperjaar1</f>
        <v>200</v>
      </c>
      <c r="D108" s="71" t="s">
        <v>269</v>
      </c>
      <c r="E108" s="72"/>
      <c r="F108" s="23"/>
      <c r="G108" s="73"/>
      <c r="H108" s="35">
        <f>IF(ISBLANK(G108),0,G108*C108)+IF(ISBLANK(F108),0,F108*objecturen12_1)</f>
        <v>0</v>
      </c>
      <c r="I108" s="35">
        <f>IF(C108=0,0,H108/C108)</f>
        <v>0</v>
      </c>
      <c r="J108" s="39">
        <f>IF(ISBLANK(E108),0,ROUND(E108,3)*H108)</f>
        <v>0</v>
      </c>
      <c r="K108" s="39">
        <f>J108/12</f>
        <v>0</v>
      </c>
    </row>
    <row r="109" spans="1:11" x14ac:dyDescent="0.2">
      <c r="A109" s="20"/>
      <c r="B109" s="20"/>
      <c r="C109" s="70">
        <f>dagenperjaar1</f>
        <v>200</v>
      </c>
      <c r="D109" s="71" t="s">
        <v>269</v>
      </c>
      <c r="E109" s="72"/>
      <c r="F109" s="23"/>
      <c r="G109" s="73"/>
      <c r="H109" s="35">
        <f>IF(ISBLANK(G109),0,G109*C109)+IF(ISBLANK(F109),0,F109*objecturen12_1)</f>
        <v>0</v>
      </c>
      <c r="I109" s="35">
        <f>IF(C109=0,0,H109/C109)</f>
        <v>0</v>
      </c>
      <c r="J109" s="39">
        <f>IF(ISBLANK(E109),0,ROUND(E109,3)*H109)</f>
        <v>0</v>
      </c>
      <c r="K109" s="39">
        <f>J109/12</f>
        <v>0</v>
      </c>
    </row>
    <row r="110" spans="1:11" x14ac:dyDescent="0.2">
      <c r="A110" s="20"/>
      <c r="B110" s="20"/>
      <c r="C110" s="70">
        <f>dagenperjaar1</f>
        <v>200</v>
      </c>
      <c r="D110" s="71" t="s">
        <v>270</v>
      </c>
      <c r="E110" s="72"/>
      <c r="F110" s="74"/>
      <c r="G110" s="22"/>
      <c r="H110" s="35">
        <f>IF(ISBLANK(G110),0,G110*C110)+IF(ISBLANK(F110),0,F110*objecturen12_1)</f>
        <v>0</v>
      </c>
      <c r="I110" s="35">
        <f>IF(C110=0,0,H110/C110)</f>
        <v>0</v>
      </c>
      <c r="J110" s="39">
        <f>IF(ISBLANK(E110),0,ROUND(E110,3)*H110)</f>
        <v>0</v>
      </c>
      <c r="K110" s="39">
        <f>J110/12</f>
        <v>0</v>
      </c>
    </row>
    <row r="111" spans="1:11" x14ac:dyDescent="0.2">
      <c r="A111" s="25"/>
      <c r="B111" s="25"/>
      <c r="C111" s="75">
        <f>dagenperjaar1</f>
        <v>200</v>
      </c>
      <c r="D111" s="76" t="s">
        <v>270</v>
      </c>
      <c r="E111" s="77"/>
      <c r="F111" s="78"/>
      <c r="G111" s="27"/>
      <c r="H111" s="40">
        <f>IF(ISBLANK(G111),0,G111*C111)+IF(ISBLANK(F111),0,F111*objecturen12_1)</f>
        <v>0</v>
      </c>
      <c r="I111" s="40">
        <f>IF(C111=0,0,H111/C111)</f>
        <v>0</v>
      </c>
      <c r="J111" s="42">
        <f>IF(ISBLANK(E111),0,ROUND(E111,3)*H111)</f>
        <v>0</v>
      </c>
      <c r="K111" s="42">
        <f>J111/12</f>
        <v>0</v>
      </c>
    </row>
    <row r="112" spans="1:11" x14ac:dyDescent="0.2">
      <c r="A112" s="79" t="s">
        <v>293</v>
      </c>
      <c r="B112" s="44"/>
      <c r="C112" s="44"/>
      <c r="D112" s="44"/>
      <c r="E112" s="44"/>
      <c r="F112" s="44"/>
      <c r="G112" s="44"/>
      <c r="H112" s="45">
        <f>SUM(H107:H111)</f>
        <v>0</v>
      </c>
      <c r="I112" s="44"/>
      <c r="J112" s="46">
        <f>SUM(J107:J111)</f>
        <v>0</v>
      </c>
      <c r="K112" s="47">
        <f>SUM(K107:K111)</f>
        <v>0</v>
      </c>
    </row>
    <row r="113" spans="1:11" x14ac:dyDescent="0.2">
      <c r="A113" s="48"/>
      <c r="B113" s="44"/>
      <c r="C113" s="44"/>
      <c r="D113" s="44"/>
      <c r="E113" s="44"/>
      <c r="F113" s="44"/>
      <c r="G113" s="44"/>
      <c r="H113" s="44"/>
      <c r="I113" s="44"/>
      <c r="J113" s="44"/>
      <c r="K113" s="49"/>
    </row>
    <row r="114" spans="1:11" x14ac:dyDescent="0.2">
      <c r="A114" s="9"/>
      <c r="B114" s="10"/>
      <c r="C114" s="10"/>
      <c r="D114" s="10"/>
      <c r="E114" s="10"/>
      <c r="F114" s="10"/>
      <c r="G114" s="10"/>
      <c r="H114" s="10"/>
      <c r="I114" s="10"/>
      <c r="J114" s="10"/>
      <c r="K114" s="11"/>
    </row>
    <row r="115" spans="1:11" x14ac:dyDescent="0.2">
      <c r="A115" s="67" t="s">
        <v>294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4"/>
    </row>
    <row r="116" spans="1:11" x14ac:dyDescent="0.2">
      <c r="A116" s="15" t="s">
        <v>267</v>
      </c>
      <c r="B116" s="15" t="s">
        <v>11</v>
      </c>
      <c r="C116" s="16">
        <f>IF(ISBLANK(B116),0,IF(ISERROR(VALUE(B116)),VLOOKUP(B116,dagsoorttabel1,2,FALSE)*dagenperjaar1,VALUE(B116)))</f>
        <v>200</v>
      </c>
      <c r="D116" s="15" t="s">
        <v>268</v>
      </c>
      <c r="E116" s="68"/>
      <c r="F116" s="18"/>
      <c r="G116" s="69"/>
      <c r="H116" s="30">
        <f>IF(ISBLANK(G116),0,G116*C116)+IF(ISBLANK(F116),0,F116*objecturen13_1)</f>
        <v>0</v>
      </c>
      <c r="I116" s="30">
        <f>IF(C116=0,0,H116/C116)</f>
        <v>0</v>
      </c>
      <c r="J116" s="34">
        <f>IF(ISBLANK(E116),0,ROUND(E116,3)*H116)</f>
        <v>0</v>
      </c>
      <c r="K116" s="34">
        <f>J116/12</f>
        <v>0</v>
      </c>
    </row>
    <row r="117" spans="1:11" x14ac:dyDescent="0.2">
      <c r="A117" s="20"/>
      <c r="B117" s="20"/>
      <c r="C117" s="70">
        <f>dagenperjaar1</f>
        <v>200</v>
      </c>
      <c r="D117" s="71" t="s">
        <v>269</v>
      </c>
      <c r="E117" s="72"/>
      <c r="F117" s="23"/>
      <c r="G117" s="73"/>
      <c r="H117" s="35">
        <f>IF(ISBLANK(G117),0,G117*C117)+IF(ISBLANK(F117),0,F117*objecturen13_1)</f>
        <v>0</v>
      </c>
      <c r="I117" s="35">
        <f>IF(C117=0,0,H117/C117)</f>
        <v>0</v>
      </c>
      <c r="J117" s="39">
        <f>IF(ISBLANK(E117),0,ROUND(E117,3)*H117)</f>
        <v>0</v>
      </c>
      <c r="K117" s="39">
        <f>J117/12</f>
        <v>0</v>
      </c>
    </row>
    <row r="118" spans="1:11" x14ac:dyDescent="0.2">
      <c r="A118" s="20"/>
      <c r="B118" s="20"/>
      <c r="C118" s="70">
        <f>dagenperjaar1</f>
        <v>200</v>
      </c>
      <c r="D118" s="71" t="s">
        <v>269</v>
      </c>
      <c r="E118" s="72"/>
      <c r="F118" s="23"/>
      <c r="G118" s="73"/>
      <c r="H118" s="35">
        <f>IF(ISBLANK(G118),0,G118*C118)+IF(ISBLANK(F118),0,F118*objecturen13_1)</f>
        <v>0</v>
      </c>
      <c r="I118" s="35">
        <f>IF(C118=0,0,H118/C118)</f>
        <v>0</v>
      </c>
      <c r="J118" s="39">
        <f>IF(ISBLANK(E118),0,ROUND(E118,3)*H118)</f>
        <v>0</v>
      </c>
      <c r="K118" s="39">
        <f>J118/12</f>
        <v>0</v>
      </c>
    </row>
    <row r="119" spans="1:11" x14ac:dyDescent="0.2">
      <c r="A119" s="20"/>
      <c r="B119" s="20"/>
      <c r="C119" s="70">
        <f>dagenperjaar1</f>
        <v>200</v>
      </c>
      <c r="D119" s="71" t="s">
        <v>270</v>
      </c>
      <c r="E119" s="72"/>
      <c r="F119" s="74"/>
      <c r="G119" s="22"/>
      <c r="H119" s="35">
        <f>IF(ISBLANK(G119),0,G119*C119)+IF(ISBLANK(F119),0,F119*objecturen13_1)</f>
        <v>0</v>
      </c>
      <c r="I119" s="35">
        <f>IF(C119=0,0,H119/C119)</f>
        <v>0</v>
      </c>
      <c r="J119" s="39">
        <f>IF(ISBLANK(E119),0,ROUND(E119,3)*H119)</f>
        <v>0</v>
      </c>
      <c r="K119" s="39">
        <f>J119/12</f>
        <v>0</v>
      </c>
    </row>
    <row r="120" spans="1:11" x14ac:dyDescent="0.2">
      <c r="A120" s="25"/>
      <c r="B120" s="25"/>
      <c r="C120" s="75">
        <f>dagenperjaar1</f>
        <v>200</v>
      </c>
      <c r="D120" s="76" t="s">
        <v>270</v>
      </c>
      <c r="E120" s="77"/>
      <c r="F120" s="78"/>
      <c r="G120" s="27"/>
      <c r="H120" s="40">
        <f>IF(ISBLANK(G120),0,G120*C120)+IF(ISBLANK(F120),0,F120*objecturen13_1)</f>
        <v>0</v>
      </c>
      <c r="I120" s="40">
        <f>IF(C120=0,0,H120/C120)</f>
        <v>0</v>
      </c>
      <c r="J120" s="42">
        <f>IF(ISBLANK(E120),0,ROUND(E120,3)*H120)</f>
        <v>0</v>
      </c>
      <c r="K120" s="42">
        <f>J120/12</f>
        <v>0</v>
      </c>
    </row>
    <row r="121" spans="1:11" x14ac:dyDescent="0.2">
      <c r="A121" s="79" t="s">
        <v>295</v>
      </c>
      <c r="B121" s="44"/>
      <c r="C121" s="44"/>
      <c r="D121" s="44"/>
      <c r="E121" s="44"/>
      <c r="F121" s="44"/>
      <c r="G121" s="44"/>
      <c r="H121" s="45">
        <f>SUM(H116:H120)</f>
        <v>0</v>
      </c>
      <c r="I121" s="44"/>
      <c r="J121" s="46">
        <f>SUM(J116:J120)</f>
        <v>0</v>
      </c>
      <c r="K121" s="47">
        <f>SUM(K116:K120)</f>
        <v>0</v>
      </c>
    </row>
    <row r="122" spans="1:11" x14ac:dyDescent="0.2">
      <c r="A122" s="48"/>
      <c r="B122" s="44"/>
      <c r="C122" s="44"/>
      <c r="D122" s="44"/>
      <c r="E122" s="44"/>
      <c r="F122" s="44"/>
      <c r="G122" s="44"/>
      <c r="H122" s="44"/>
      <c r="I122" s="44"/>
      <c r="J122" s="44"/>
      <c r="K122" s="49"/>
    </row>
    <row r="123" spans="1:11" x14ac:dyDescent="0.2">
      <c r="A123" s="9"/>
      <c r="B123" s="10"/>
      <c r="C123" s="10"/>
      <c r="D123" s="10"/>
      <c r="E123" s="10"/>
      <c r="F123" s="10"/>
      <c r="G123" s="10"/>
      <c r="H123" s="10"/>
      <c r="I123" s="10"/>
      <c r="J123" s="10"/>
      <c r="K123" s="11"/>
    </row>
    <row r="124" spans="1:11" x14ac:dyDescent="0.2">
      <c r="A124" s="67" t="s">
        <v>296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4"/>
    </row>
    <row r="125" spans="1:11" x14ac:dyDescent="0.2">
      <c r="A125" s="15" t="s">
        <v>267</v>
      </c>
      <c r="B125" s="15" t="s">
        <v>11</v>
      </c>
      <c r="C125" s="16">
        <f>IF(ISBLANK(B125),0,IF(ISERROR(VALUE(B125)),VLOOKUP(B125,dagsoorttabel1,2,FALSE)*dagenperjaar1,VALUE(B125)))</f>
        <v>200</v>
      </c>
      <c r="D125" s="15" t="s">
        <v>268</v>
      </c>
      <c r="E125" s="68"/>
      <c r="F125" s="18"/>
      <c r="G125" s="69"/>
      <c r="H125" s="30">
        <f>IF(ISBLANK(G125),0,G125*C125)+IF(ISBLANK(F125),0,F125*objecturen14_1)</f>
        <v>0</v>
      </c>
      <c r="I125" s="30">
        <f>IF(C125=0,0,H125/C125)</f>
        <v>0</v>
      </c>
      <c r="J125" s="34">
        <f>IF(ISBLANK(E125),0,ROUND(E125,3)*H125)</f>
        <v>0</v>
      </c>
      <c r="K125" s="34">
        <f>J125/12</f>
        <v>0</v>
      </c>
    </row>
    <row r="126" spans="1:11" x14ac:dyDescent="0.2">
      <c r="A126" s="20"/>
      <c r="B126" s="20"/>
      <c r="C126" s="70">
        <f>dagenperjaar1</f>
        <v>200</v>
      </c>
      <c r="D126" s="71" t="s">
        <v>269</v>
      </c>
      <c r="E126" s="72"/>
      <c r="F126" s="23"/>
      <c r="G126" s="73"/>
      <c r="H126" s="35">
        <f>IF(ISBLANK(G126),0,G126*C126)+IF(ISBLANK(F126),0,F126*objecturen14_1)</f>
        <v>0</v>
      </c>
      <c r="I126" s="35">
        <f>IF(C126=0,0,H126/C126)</f>
        <v>0</v>
      </c>
      <c r="J126" s="39">
        <f>IF(ISBLANK(E126),0,ROUND(E126,3)*H126)</f>
        <v>0</v>
      </c>
      <c r="K126" s="39">
        <f>J126/12</f>
        <v>0</v>
      </c>
    </row>
    <row r="127" spans="1:11" x14ac:dyDescent="0.2">
      <c r="A127" s="20"/>
      <c r="B127" s="20"/>
      <c r="C127" s="70">
        <f>dagenperjaar1</f>
        <v>200</v>
      </c>
      <c r="D127" s="71" t="s">
        <v>269</v>
      </c>
      <c r="E127" s="72"/>
      <c r="F127" s="23"/>
      <c r="G127" s="73"/>
      <c r="H127" s="35">
        <f>IF(ISBLANK(G127),0,G127*C127)+IF(ISBLANK(F127),0,F127*objecturen14_1)</f>
        <v>0</v>
      </c>
      <c r="I127" s="35">
        <f>IF(C127=0,0,H127/C127)</f>
        <v>0</v>
      </c>
      <c r="J127" s="39">
        <f>IF(ISBLANK(E127),0,ROUND(E127,3)*H127)</f>
        <v>0</v>
      </c>
      <c r="K127" s="39">
        <f>J127/12</f>
        <v>0</v>
      </c>
    </row>
    <row r="128" spans="1:11" x14ac:dyDescent="0.2">
      <c r="A128" s="20"/>
      <c r="B128" s="20"/>
      <c r="C128" s="70">
        <f>dagenperjaar1</f>
        <v>200</v>
      </c>
      <c r="D128" s="71" t="s">
        <v>270</v>
      </c>
      <c r="E128" s="72"/>
      <c r="F128" s="74"/>
      <c r="G128" s="22"/>
      <c r="H128" s="35">
        <f>IF(ISBLANK(G128),0,G128*C128)+IF(ISBLANK(F128),0,F128*objecturen14_1)</f>
        <v>0</v>
      </c>
      <c r="I128" s="35">
        <f>IF(C128=0,0,H128/C128)</f>
        <v>0</v>
      </c>
      <c r="J128" s="39">
        <f>IF(ISBLANK(E128),0,ROUND(E128,3)*H128)</f>
        <v>0</v>
      </c>
      <c r="K128" s="39">
        <f>J128/12</f>
        <v>0</v>
      </c>
    </row>
    <row r="129" spans="1:11" x14ac:dyDescent="0.2">
      <c r="A129" s="25"/>
      <c r="B129" s="25"/>
      <c r="C129" s="75">
        <f>dagenperjaar1</f>
        <v>200</v>
      </c>
      <c r="D129" s="76" t="s">
        <v>270</v>
      </c>
      <c r="E129" s="77"/>
      <c r="F129" s="78"/>
      <c r="G129" s="27"/>
      <c r="H129" s="40">
        <f>IF(ISBLANK(G129),0,G129*C129)+IF(ISBLANK(F129),0,F129*objecturen14_1)</f>
        <v>0</v>
      </c>
      <c r="I129" s="40">
        <f>IF(C129=0,0,H129/C129)</f>
        <v>0</v>
      </c>
      <c r="J129" s="42">
        <f>IF(ISBLANK(E129),0,ROUND(E129,3)*H129)</f>
        <v>0</v>
      </c>
      <c r="K129" s="42">
        <f>J129/12</f>
        <v>0</v>
      </c>
    </row>
    <row r="130" spans="1:11" x14ac:dyDescent="0.2">
      <c r="A130" s="79" t="s">
        <v>297</v>
      </c>
      <c r="B130" s="44"/>
      <c r="C130" s="44"/>
      <c r="D130" s="44"/>
      <c r="E130" s="44"/>
      <c r="F130" s="44"/>
      <c r="G130" s="44"/>
      <c r="H130" s="45">
        <f>SUM(H125:H129)</f>
        <v>0</v>
      </c>
      <c r="I130" s="44"/>
      <c r="J130" s="46">
        <f>SUM(J125:J129)</f>
        <v>0</v>
      </c>
      <c r="K130" s="47">
        <f>SUM(K125:K129)</f>
        <v>0</v>
      </c>
    </row>
    <row r="131" spans="1:11" x14ac:dyDescent="0.2">
      <c r="A131" s="48"/>
      <c r="B131" s="44"/>
      <c r="C131" s="44"/>
      <c r="D131" s="44"/>
      <c r="E131" s="44"/>
      <c r="F131" s="44"/>
      <c r="G131" s="44"/>
      <c r="H131" s="44"/>
      <c r="I131" s="44"/>
      <c r="J131" s="44"/>
      <c r="K131" s="49"/>
    </row>
    <row r="132" spans="1:11" x14ac:dyDescent="0.2">
      <c r="A132" s="9"/>
      <c r="B132" s="10"/>
      <c r="C132" s="10"/>
      <c r="D132" s="10"/>
      <c r="E132" s="10"/>
      <c r="F132" s="10"/>
      <c r="G132" s="10"/>
      <c r="H132" s="10"/>
      <c r="I132" s="10"/>
      <c r="J132" s="10"/>
      <c r="K132" s="11"/>
    </row>
    <row r="133" spans="1:11" x14ac:dyDescent="0.2">
      <c r="A133" s="67" t="s">
        <v>298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4"/>
    </row>
    <row r="134" spans="1:11" x14ac:dyDescent="0.2">
      <c r="A134" s="15" t="s">
        <v>267</v>
      </c>
      <c r="B134" s="15" t="s">
        <v>11</v>
      </c>
      <c r="C134" s="16">
        <f>IF(ISBLANK(B134),0,IF(ISERROR(VALUE(B134)),VLOOKUP(B134,dagsoorttabel1,2,FALSE)*dagenperjaar1,VALUE(B134)))</f>
        <v>200</v>
      </c>
      <c r="D134" s="15" t="s">
        <v>268</v>
      </c>
      <c r="E134" s="68"/>
      <c r="F134" s="18"/>
      <c r="G134" s="69"/>
      <c r="H134" s="30">
        <f>IF(ISBLANK(G134),0,G134*C134)+IF(ISBLANK(F134),0,F134*objecturen15_1)</f>
        <v>0</v>
      </c>
      <c r="I134" s="30">
        <f>IF(C134=0,0,H134/C134)</f>
        <v>0</v>
      </c>
      <c r="J134" s="34">
        <f>IF(ISBLANK(E134),0,ROUND(E134,3)*H134)</f>
        <v>0</v>
      </c>
      <c r="K134" s="34">
        <f>J134/12</f>
        <v>0</v>
      </c>
    </row>
    <row r="135" spans="1:11" x14ac:dyDescent="0.2">
      <c r="A135" s="20"/>
      <c r="B135" s="20"/>
      <c r="C135" s="70">
        <f>dagenperjaar1</f>
        <v>200</v>
      </c>
      <c r="D135" s="71" t="s">
        <v>269</v>
      </c>
      <c r="E135" s="72"/>
      <c r="F135" s="23"/>
      <c r="G135" s="73"/>
      <c r="H135" s="35">
        <f>IF(ISBLANK(G135),0,G135*C135)+IF(ISBLANK(F135),0,F135*objecturen15_1)</f>
        <v>0</v>
      </c>
      <c r="I135" s="35">
        <f>IF(C135=0,0,H135/C135)</f>
        <v>0</v>
      </c>
      <c r="J135" s="39">
        <f>IF(ISBLANK(E135),0,ROUND(E135,3)*H135)</f>
        <v>0</v>
      </c>
      <c r="K135" s="39">
        <f>J135/12</f>
        <v>0</v>
      </c>
    </row>
    <row r="136" spans="1:11" x14ac:dyDescent="0.2">
      <c r="A136" s="20"/>
      <c r="B136" s="20"/>
      <c r="C136" s="70">
        <f>dagenperjaar1</f>
        <v>200</v>
      </c>
      <c r="D136" s="71" t="s">
        <v>269</v>
      </c>
      <c r="E136" s="72"/>
      <c r="F136" s="23"/>
      <c r="G136" s="73"/>
      <c r="H136" s="35">
        <f>IF(ISBLANK(G136),0,G136*C136)+IF(ISBLANK(F136),0,F136*objecturen15_1)</f>
        <v>0</v>
      </c>
      <c r="I136" s="35">
        <f>IF(C136=0,0,H136/C136)</f>
        <v>0</v>
      </c>
      <c r="J136" s="39">
        <f>IF(ISBLANK(E136),0,ROUND(E136,3)*H136)</f>
        <v>0</v>
      </c>
      <c r="K136" s="39">
        <f>J136/12</f>
        <v>0</v>
      </c>
    </row>
    <row r="137" spans="1:11" x14ac:dyDescent="0.2">
      <c r="A137" s="20"/>
      <c r="B137" s="20"/>
      <c r="C137" s="70">
        <f>dagenperjaar1</f>
        <v>200</v>
      </c>
      <c r="D137" s="71" t="s">
        <v>270</v>
      </c>
      <c r="E137" s="72"/>
      <c r="F137" s="74"/>
      <c r="G137" s="22"/>
      <c r="H137" s="35">
        <f>IF(ISBLANK(G137),0,G137*C137)+IF(ISBLANK(F137),0,F137*objecturen15_1)</f>
        <v>0</v>
      </c>
      <c r="I137" s="35">
        <f>IF(C137=0,0,H137/C137)</f>
        <v>0</v>
      </c>
      <c r="J137" s="39">
        <f>IF(ISBLANK(E137),0,ROUND(E137,3)*H137)</f>
        <v>0</v>
      </c>
      <c r="K137" s="39">
        <f>J137/12</f>
        <v>0</v>
      </c>
    </row>
    <row r="138" spans="1:11" x14ac:dyDescent="0.2">
      <c r="A138" s="25"/>
      <c r="B138" s="25"/>
      <c r="C138" s="75">
        <f>dagenperjaar1</f>
        <v>200</v>
      </c>
      <c r="D138" s="76" t="s">
        <v>270</v>
      </c>
      <c r="E138" s="77"/>
      <c r="F138" s="78"/>
      <c r="G138" s="27"/>
      <c r="H138" s="40">
        <f>IF(ISBLANK(G138),0,G138*C138)+IF(ISBLANK(F138),0,F138*objecturen15_1)</f>
        <v>0</v>
      </c>
      <c r="I138" s="40">
        <f>IF(C138=0,0,H138/C138)</f>
        <v>0</v>
      </c>
      <c r="J138" s="42">
        <f>IF(ISBLANK(E138),0,ROUND(E138,3)*H138)</f>
        <v>0</v>
      </c>
      <c r="K138" s="42">
        <f>J138/12</f>
        <v>0</v>
      </c>
    </row>
    <row r="139" spans="1:11" x14ac:dyDescent="0.2">
      <c r="A139" s="79" t="s">
        <v>299</v>
      </c>
      <c r="B139" s="44"/>
      <c r="C139" s="44"/>
      <c r="D139" s="44"/>
      <c r="E139" s="44"/>
      <c r="F139" s="44"/>
      <c r="G139" s="44"/>
      <c r="H139" s="45">
        <f>SUM(H134:H138)</f>
        <v>0</v>
      </c>
      <c r="I139" s="44"/>
      <c r="J139" s="46">
        <f>SUM(J134:J138)</f>
        <v>0</v>
      </c>
      <c r="K139" s="47">
        <f>SUM(K134:K138)</f>
        <v>0</v>
      </c>
    </row>
    <row r="140" spans="1:11" x14ac:dyDescent="0.2">
      <c r="A140" s="48"/>
      <c r="B140" s="44"/>
      <c r="C140" s="44"/>
      <c r="D140" s="44"/>
      <c r="E140" s="44"/>
      <c r="F140" s="44"/>
      <c r="G140" s="44"/>
      <c r="H140" s="44"/>
      <c r="I140" s="44"/>
      <c r="J140" s="44"/>
      <c r="K140" s="49"/>
    </row>
    <row r="141" spans="1:11" x14ac:dyDescent="0.2">
      <c r="A141" s="9"/>
      <c r="B141" s="10"/>
      <c r="C141" s="10"/>
      <c r="D141" s="10"/>
      <c r="E141" s="10"/>
      <c r="F141" s="10"/>
      <c r="G141" s="10"/>
      <c r="H141" s="10"/>
      <c r="I141" s="10"/>
      <c r="J141" s="10"/>
      <c r="K141" s="11"/>
    </row>
    <row r="142" spans="1:11" x14ac:dyDescent="0.2">
      <c r="A142" s="67" t="s">
        <v>300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4"/>
    </row>
    <row r="143" spans="1:11" x14ac:dyDescent="0.2">
      <c r="A143" s="15" t="s">
        <v>267</v>
      </c>
      <c r="B143" s="15" t="s">
        <v>11</v>
      </c>
      <c r="C143" s="16">
        <f>IF(ISBLANK(B143),0,IF(ISERROR(VALUE(B143)),VLOOKUP(B143,dagsoorttabel1,2,FALSE)*dagenperjaar1,VALUE(B143)))</f>
        <v>200</v>
      </c>
      <c r="D143" s="15" t="s">
        <v>268</v>
      </c>
      <c r="E143" s="68"/>
      <c r="F143" s="18"/>
      <c r="G143" s="69"/>
      <c r="H143" s="30">
        <f>IF(ISBLANK(G143),0,G143*C143)+IF(ISBLANK(F143),0,F143*objecturen16_1)</f>
        <v>0</v>
      </c>
      <c r="I143" s="30">
        <f>IF(C143=0,0,H143/C143)</f>
        <v>0</v>
      </c>
      <c r="J143" s="34">
        <f>IF(ISBLANK(E143),0,ROUND(E143,3)*H143)</f>
        <v>0</v>
      </c>
      <c r="K143" s="34">
        <f>J143/12</f>
        <v>0</v>
      </c>
    </row>
    <row r="144" spans="1:11" x14ac:dyDescent="0.2">
      <c r="A144" s="20"/>
      <c r="B144" s="20"/>
      <c r="C144" s="70">
        <f>dagenperjaar1</f>
        <v>200</v>
      </c>
      <c r="D144" s="71" t="s">
        <v>269</v>
      </c>
      <c r="E144" s="72"/>
      <c r="F144" s="23"/>
      <c r="G144" s="73"/>
      <c r="H144" s="35">
        <f>IF(ISBLANK(G144),0,G144*C144)+IF(ISBLANK(F144),0,F144*objecturen16_1)</f>
        <v>0</v>
      </c>
      <c r="I144" s="35">
        <f>IF(C144=0,0,H144/C144)</f>
        <v>0</v>
      </c>
      <c r="J144" s="39">
        <f>IF(ISBLANK(E144),0,ROUND(E144,3)*H144)</f>
        <v>0</v>
      </c>
      <c r="K144" s="39">
        <f>J144/12</f>
        <v>0</v>
      </c>
    </row>
    <row r="145" spans="1:11" x14ac:dyDescent="0.2">
      <c r="A145" s="20"/>
      <c r="B145" s="20"/>
      <c r="C145" s="70">
        <f>dagenperjaar1</f>
        <v>200</v>
      </c>
      <c r="D145" s="71" t="s">
        <v>269</v>
      </c>
      <c r="E145" s="72"/>
      <c r="F145" s="23"/>
      <c r="G145" s="73"/>
      <c r="H145" s="35">
        <f>IF(ISBLANK(G145),0,G145*C145)+IF(ISBLANK(F145),0,F145*objecturen16_1)</f>
        <v>0</v>
      </c>
      <c r="I145" s="35">
        <f>IF(C145=0,0,H145/C145)</f>
        <v>0</v>
      </c>
      <c r="J145" s="39">
        <f>IF(ISBLANK(E145),0,ROUND(E145,3)*H145)</f>
        <v>0</v>
      </c>
      <c r="K145" s="39">
        <f>J145/12</f>
        <v>0</v>
      </c>
    </row>
    <row r="146" spans="1:11" x14ac:dyDescent="0.2">
      <c r="A146" s="20"/>
      <c r="B146" s="20"/>
      <c r="C146" s="70">
        <f>dagenperjaar1</f>
        <v>200</v>
      </c>
      <c r="D146" s="71" t="s">
        <v>270</v>
      </c>
      <c r="E146" s="72"/>
      <c r="F146" s="74"/>
      <c r="G146" s="22"/>
      <c r="H146" s="35">
        <f>IF(ISBLANK(G146),0,G146*C146)+IF(ISBLANK(F146),0,F146*objecturen16_1)</f>
        <v>0</v>
      </c>
      <c r="I146" s="35">
        <f>IF(C146=0,0,H146/C146)</f>
        <v>0</v>
      </c>
      <c r="J146" s="39">
        <f>IF(ISBLANK(E146),0,ROUND(E146,3)*H146)</f>
        <v>0</v>
      </c>
      <c r="K146" s="39">
        <f>J146/12</f>
        <v>0</v>
      </c>
    </row>
    <row r="147" spans="1:11" x14ac:dyDescent="0.2">
      <c r="A147" s="25"/>
      <c r="B147" s="25"/>
      <c r="C147" s="75">
        <f>dagenperjaar1</f>
        <v>200</v>
      </c>
      <c r="D147" s="76" t="s">
        <v>270</v>
      </c>
      <c r="E147" s="77"/>
      <c r="F147" s="78"/>
      <c r="G147" s="27"/>
      <c r="H147" s="40">
        <f>IF(ISBLANK(G147),0,G147*C147)+IF(ISBLANK(F147),0,F147*objecturen16_1)</f>
        <v>0</v>
      </c>
      <c r="I147" s="40">
        <f>IF(C147=0,0,H147/C147)</f>
        <v>0</v>
      </c>
      <c r="J147" s="42">
        <f>IF(ISBLANK(E147),0,ROUND(E147,3)*H147)</f>
        <v>0</v>
      </c>
      <c r="K147" s="42">
        <f>J147/12</f>
        <v>0</v>
      </c>
    </row>
    <row r="148" spans="1:11" x14ac:dyDescent="0.2">
      <c r="A148" s="79" t="s">
        <v>301</v>
      </c>
      <c r="B148" s="44"/>
      <c r="C148" s="44"/>
      <c r="D148" s="44"/>
      <c r="E148" s="44"/>
      <c r="F148" s="44"/>
      <c r="G148" s="44"/>
      <c r="H148" s="45">
        <f>SUM(H143:H147)</f>
        <v>0</v>
      </c>
      <c r="I148" s="44"/>
      <c r="J148" s="46">
        <f>SUM(J143:J147)</f>
        <v>0</v>
      </c>
      <c r="K148" s="47">
        <f>SUM(K143:K147)</f>
        <v>0</v>
      </c>
    </row>
    <row r="149" spans="1:11" x14ac:dyDescent="0.2">
      <c r="A149" s="48"/>
      <c r="B149" s="44"/>
      <c r="C149" s="44"/>
      <c r="D149" s="44"/>
      <c r="E149" s="44"/>
      <c r="F149" s="44"/>
      <c r="G149" s="44"/>
      <c r="H149" s="44"/>
      <c r="I149" s="44"/>
      <c r="J149" s="44"/>
      <c r="K149" s="49"/>
    </row>
    <row r="150" spans="1:11" x14ac:dyDescent="0.2">
      <c r="A150" s="9"/>
      <c r="B150" s="10"/>
      <c r="C150" s="10"/>
      <c r="D150" s="10"/>
      <c r="E150" s="10"/>
      <c r="F150" s="10"/>
      <c r="G150" s="10"/>
      <c r="H150" s="10"/>
      <c r="I150" s="10"/>
      <c r="J150" s="10"/>
      <c r="K150" s="11"/>
    </row>
    <row r="151" spans="1:11" x14ac:dyDescent="0.2">
      <c r="A151" s="67" t="s">
        <v>302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4"/>
    </row>
    <row r="152" spans="1:11" x14ac:dyDescent="0.2">
      <c r="A152" s="15" t="s">
        <v>267</v>
      </c>
      <c r="B152" s="15" t="s">
        <v>11</v>
      </c>
      <c r="C152" s="16">
        <f>IF(ISBLANK(B152),0,IF(ISERROR(VALUE(B152)),VLOOKUP(B152,dagsoorttabel1,2,FALSE)*dagenperjaar1,VALUE(B152)))</f>
        <v>200</v>
      </c>
      <c r="D152" s="15" t="s">
        <v>268</v>
      </c>
      <c r="E152" s="68"/>
      <c r="F152" s="18"/>
      <c r="G152" s="69"/>
      <c r="H152" s="30">
        <f>IF(ISBLANK(G152),0,G152*C152)+IF(ISBLANK(F152),0,F152*objecturen17_1)</f>
        <v>0</v>
      </c>
      <c r="I152" s="30">
        <f>IF(C152=0,0,H152/C152)</f>
        <v>0</v>
      </c>
      <c r="J152" s="34">
        <f>IF(ISBLANK(E152),0,ROUND(E152,3)*H152)</f>
        <v>0</v>
      </c>
      <c r="K152" s="34">
        <f>J152/12</f>
        <v>0</v>
      </c>
    </row>
    <row r="153" spans="1:11" x14ac:dyDescent="0.2">
      <c r="A153" s="20"/>
      <c r="B153" s="20"/>
      <c r="C153" s="70">
        <f>dagenperjaar1</f>
        <v>200</v>
      </c>
      <c r="D153" s="71" t="s">
        <v>269</v>
      </c>
      <c r="E153" s="72"/>
      <c r="F153" s="23"/>
      <c r="G153" s="73"/>
      <c r="H153" s="35">
        <f>IF(ISBLANK(G153),0,G153*C153)+IF(ISBLANK(F153),0,F153*objecturen17_1)</f>
        <v>0</v>
      </c>
      <c r="I153" s="35">
        <f>IF(C153=0,0,H153/C153)</f>
        <v>0</v>
      </c>
      <c r="J153" s="39">
        <f>IF(ISBLANK(E153),0,ROUND(E153,3)*H153)</f>
        <v>0</v>
      </c>
      <c r="K153" s="39">
        <f>J153/12</f>
        <v>0</v>
      </c>
    </row>
    <row r="154" spans="1:11" x14ac:dyDescent="0.2">
      <c r="A154" s="20"/>
      <c r="B154" s="20"/>
      <c r="C154" s="70">
        <f>dagenperjaar1</f>
        <v>200</v>
      </c>
      <c r="D154" s="71" t="s">
        <v>269</v>
      </c>
      <c r="E154" s="72"/>
      <c r="F154" s="23"/>
      <c r="G154" s="73"/>
      <c r="H154" s="35">
        <f>IF(ISBLANK(G154),0,G154*C154)+IF(ISBLANK(F154),0,F154*objecturen17_1)</f>
        <v>0</v>
      </c>
      <c r="I154" s="35">
        <f>IF(C154=0,0,H154/C154)</f>
        <v>0</v>
      </c>
      <c r="J154" s="39">
        <f>IF(ISBLANK(E154),0,ROUND(E154,3)*H154)</f>
        <v>0</v>
      </c>
      <c r="K154" s="39">
        <f>J154/12</f>
        <v>0</v>
      </c>
    </row>
    <row r="155" spans="1:11" x14ac:dyDescent="0.2">
      <c r="A155" s="20"/>
      <c r="B155" s="20"/>
      <c r="C155" s="70">
        <f>dagenperjaar1</f>
        <v>200</v>
      </c>
      <c r="D155" s="71" t="s">
        <v>270</v>
      </c>
      <c r="E155" s="72"/>
      <c r="F155" s="74"/>
      <c r="G155" s="22"/>
      <c r="H155" s="35">
        <f>IF(ISBLANK(G155),0,G155*C155)+IF(ISBLANK(F155),0,F155*objecturen17_1)</f>
        <v>0</v>
      </c>
      <c r="I155" s="35">
        <f>IF(C155=0,0,H155/C155)</f>
        <v>0</v>
      </c>
      <c r="J155" s="39">
        <f>IF(ISBLANK(E155),0,ROUND(E155,3)*H155)</f>
        <v>0</v>
      </c>
      <c r="K155" s="39">
        <f>J155/12</f>
        <v>0</v>
      </c>
    </row>
    <row r="156" spans="1:11" x14ac:dyDescent="0.2">
      <c r="A156" s="25"/>
      <c r="B156" s="25"/>
      <c r="C156" s="75">
        <f>dagenperjaar1</f>
        <v>200</v>
      </c>
      <c r="D156" s="76" t="s">
        <v>270</v>
      </c>
      <c r="E156" s="77"/>
      <c r="F156" s="78"/>
      <c r="G156" s="27"/>
      <c r="H156" s="40">
        <f>IF(ISBLANK(G156),0,G156*C156)+IF(ISBLANK(F156),0,F156*objecturen17_1)</f>
        <v>0</v>
      </c>
      <c r="I156" s="40">
        <f>IF(C156=0,0,H156/C156)</f>
        <v>0</v>
      </c>
      <c r="J156" s="42">
        <f>IF(ISBLANK(E156),0,ROUND(E156,3)*H156)</f>
        <v>0</v>
      </c>
      <c r="K156" s="42">
        <f>J156/12</f>
        <v>0</v>
      </c>
    </row>
    <row r="157" spans="1:11" x14ac:dyDescent="0.2">
      <c r="A157" s="79" t="s">
        <v>303</v>
      </c>
      <c r="B157" s="44"/>
      <c r="C157" s="44"/>
      <c r="D157" s="44"/>
      <c r="E157" s="44"/>
      <c r="F157" s="44"/>
      <c r="G157" s="44"/>
      <c r="H157" s="45">
        <f>SUM(H152:H156)</f>
        <v>0</v>
      </c>
      <c r="I157" s="44"/>
      <c r="J157" s="46">
        <f>SUM(J152:J156)</f>
        <v>0</v>
      </c>
      <c r="K157" s="47">
        <f>SUM(K152:K156)</f>
        <v>0</v>
      </c>
    </row>
    <row r="158" spans="1:11" x14ac:dyDescent="0.2">
      <c r="A158" s="48"/>
      <c r="B158" s="44"/>
      <c r="C158" s="44"/>
      <c r="D158" s="44"/>
      <c r="E158" s="44"/>
      <c r="F158" s="44"/>
      <c r="G158" s="44"/>
      <c r="H158" s="44"/>
      <c r="I158" s="44"/>
      <c r="J158" s="44"/>
      <c r="K158" s="49"/>
    </row>
    <row r="159" spans="1:11" x14ac:dyDescent="0.2">
      <c r="A159" s="9"/>
      <c r="B159" s="10"/>
      <c r="C159" s="10"/>
      <c r="D159" s="10"/>
      <c r="E159" s="10"/>
      <c r="F159" s="10"/>
      <c r="G159" s="10"/>
      <c r="H159" s="10"/>
      <c r="I159" s="10"/>
      <c r="J159" s="10"/>
      <c r="K159" s="11"/>
    </row>
    <row r="160" spans="1:11" x14ac:dyDescent="0.2">
      <c r="A160" s="67" t="s">
        <v>304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4"/>
    </row>
    <row r="161" spans="1:11" x14ac:dyDescent="0.2">
      <c r="A161" s="15" t="s">
        <v>267</v>
      </c>
      <c r="B161" s="15" t="s">
        <v>11</v>
      </c>
      <c r="C161" s="16">
        <f>IF(ISBLANK(B161),0,IF(ISERROR(VALUE(B161)),VLOOKUP(B161,dagsoorttabel1,2,FALSE)*dagenperjaar1,VALUE(B161)))</f>
        <v>200</v>
      </c>
      <c r="D161" s="15" t="s">
        <v>268</v>
      </c>
      <c r="E161" s="68"/>
      <c r="F161" s="18"/>
      <c r="G161" s="69"/>
      <c r="H161" s="30">
        <f>IF(ISBLANK(G161),0,G161*C161)+IF(ISBLANK(F161),0,F161*objecturen18_1)</f>
        <v>0</v>
      </c>
      <c r="I161" s="30">
        <f>IF(C161=0,0,H161/C161)</f>
        <v>0</v>
      </c>
      <c r="J161" s="34">
        <f>IF(ISBLANK(E161),0,ROUND(E161,3)*H161)</f>
        <v>0</v>
      </c>
      <c r="K161" s="34">
        <f>J161/12</f>
        <v>0</v>
      </c>
    </row>
    <row r="162" spans="1:11" x14ac:dyDescent="0.2">
      <c r="A162" s="20"/>
      <c r="B162" s="20"/>
      <c r="C162" s="70">
        <f>dagenperjaar1</f>
        <v>200</v>
      </c>
      <c r="D162" s="71" t="s">
        <v>269</v>
      </c>
      <c r="E162" s="72"/>
      <c r="F162" s="23"/>
      <c r="G162" s="73"/>
      <c r="H162" s="35">
        <f>IF(ISBLANK(G162),0,G162*C162)+IF(ISBLANK(F162),0,F162*objecturen18_1)</f>
        <v>0</v>
      </c>
      <c r="I162" s="35">
        <f>IF(C162=0,0,H162/C162)</f>
        <v>0</v>
      </c>
      <c r="J162" s="39">
        <f>IF(ISBLANK(E162),0,ROUND(E162,3)*H162)</f>
        <v>0</v>
      </c>
      <c r="K162" s="39">
        <f>J162/12</f>
        <v>0</v>
      </c>
    </row>
    <row r="163" spans="1:11" x14ac:dyDescent="0.2">
      <c r="A163" s="20"/>
      <c r="B163" s="20"/>
      <c r="C163" s="70">
        <f>dagenperjaar1</f>
        <v>200</v>
      </c>
      <c r="D163" s="71" t="s">
        <v>269</v>
      </c>
      <c r="E163" s="72"/>
      <c r="F163" s="23"/>
      <c r="G163" s="73"/>
      <c r="H163" s="35">
        <f>IF(ISBLANK(G163),0,G163*C163)+IF(ISBLANK(F163),0,F163*objecturen18_1)</f>
        <v>0</v>
      </c>
      <c r="I163" s="35">
        <f>IF(C163=0,0,H163/C163)</f>
        <v>0</v>
      </c>
      <c r="J163" s="39">
        <f>IF(ISBLANK(E163),0,ROUND(E163,3)*H163)</f>
        <v>0</v>
      </c>
      <c r="K163" s="39">
        <f>J163/12</f>
        <v>0</v>
      </c>
    </row>
    <row r="164" spans="1:11" x14ac:dyDescent="0.2">
      <c r="A164" s="20"/>
      <c r="B164" s="20"/>
      <c r="C164" s="70">
        <f>dagenperjaar1</f>
        <v>200</v>
      </c>
      <c r="D164" s="71" t="s">
        <v>270</v>
      </c>
      <c r="E164" s="72"/>
      <c r="F164" s="74"/>
      <c r="G164" s="22"/>
      <c r="H164" s="35">
        <f>IF(ISBLANK(G164),0,G164*C164)+IF(ISBLANK(F164),0,F164*objecturen18_1)</f>
        <v>0</v>
      </c>
      <c r="I164" s="35">
        <f>IF(C164=0,0,H164/C164)</f>
        <v>0</v>
      </c>
      <c r="J164" s="39">
        <f>IF(ISBLANK(E164),0,ROUND(E164,3)*H164)</f>
        <v>0</v>
      </c>
      <c r="K164" s="39">
        <f>J164/12</f>
        <v>0</v>
      </c>
    </row>
    <row r="165" spans="1:11" x14ac:dyDescent="0.2">
      <c r="A165" s="25"/>
      <c r="B165" s="25"/>
      <c r="C165" s="75">
        <f>dagenperjaar1</f>
        <v>200</v>
      </c>
      <c r="D165" s="76" t="s">
        <v>270</v>
      </c>
      <c r="E165" s="77"/>
      <c r="F165" s="78"/>
      <c r="G165" s="27"/>
      <c r="H165" s="40">
        <f>IF(ISBLANK(G165),0,G165*C165)+IF(ISBLANK(F165),0,F165*objecturen18_1)</f>
        <v>0</v>
      </c>
      <c r="I165" s="40">
        <f>IF(C165=0,0,H165/C165)</f>
        <v>0</v>
      </c>
      <c r="J165" s="42">
        <f>IF(ISBLANK(E165),0,ROUND(E165,3)*H165)</f>
        <v>0</v>
      </c>
      <c r="K165" s="42">
        <f>J165/12</f>
        <v>0</v>
      </c>
    </row>
    <row r="166" spans="1:11" x14ac:dyDescent="0.2">
      <c r="A166" s="79" t="s">
        <v>305</v>
      </c>
      <c r="B166" s="44"/>
      <c r="C166" s="44"/>
      <c r="D166" s="44"/>
      <c r="E166" s="44"/>
      <c r="F166" s="44"/>
      <c r="G166" s="44"/>
      <c r="H166" s="45">
        <f>SUM(H161:H165)</f>
        <v>0</v>
      </c>
      <c r="I166" s="44"/>
      <c r="J166" s="46">
        <f>SUM(J161:J165)</f>
        <v>0</v>
      </c>
      <c r="K166" s="47">
        <f>SUM(K161:K165)</f>
        <v>0</v>
      </c>
    </row>
    <row r="167" spans="1:11" x14ac:dyDescent="0.2">
      <c r="A167" s="48"/>
      <c r="B167" s="44"/>
      <c r="C167" s="44"/>
      <c r="D167" s="44"/>
      <c r="E167" s="44"/>
      <c r="F167" s="44"/>
      <c r="G167" s="44"/>
      <c r="H167" s="44"/>
      <c r="I167" s="44"/>
      <c r="J167" s="44"/>
      <c r="K167" s="49"/>
    </row>
    <row r="168" spans="1:11" x14ac:dyDescent="0.2">
      <c r="A168" s="43" t="s">
        <v>143</v>
      </c>
      <c r="B168" s="44"/>
      <c r="C168" s="44"/>
      <c r="D168" s="44"/>
      <c r="E168" s="44"/>
      <c r="F168" s="44"/>
      <c r="G168" s="44"/>
      <c r="H168" s="45">
        <f>tzujt1_1+tzujt2_1+tzujt3_1+tzujt4_1+tzujt5_1+tzujt6_1+tzujt7_1+tzujt8_1+tzujt9_1+tzujt10_1+tzujt11_1+tzujt12_1+tzujt13_1+tzujt14_1+tzujt15_1+tzujt16_1+tzujt17_1+tzujt18_1</f>
        <v>0</v>
      </c>
      <c r="I168" s="44"/>
      <c r="J168" s="46">
        <f>tzpjt1_1+tzpjt2_1+tzpjt3_1+tzpjt4_1+tzpjt5_1+tzpjt6_1+tzpjt7_1+tzpjt8_1+tzpjt9_1+tzpjt10_1+tzpjt11_1+tzpjt12_1+tzpjt13_1+tzpjt14_1+tzpjt15_1+tzpjt16_1+tzpjt17_1+tzpjt18_1</f>
        <v>0</v>
      </c>
      <c r="K168" s="47">
        <f>tzpmt1_1+tzpmt2_1+tzpmt3_1+tzpmt4_1+tzpmt5_1+tzpmt6_1+tzpmt7_1+tzpmt8_1+tzpmt9_1+tzpmt10_1+tzpmt11_1+tzpmt12_1+tzpmt13_1+tzpmt14_1+tzpmt15_1+tzpmt16_1+tzpmt17_1+tzpmt18_1</f>
        <v>0</v>
      </c>
    </row>
    <row r="169" spans="1:11" x14ac:dyDescent="0.2">
      <c r="A169" s="48"/>
      <c r="B169" s="44"/>
      <c r="C169" s="44"/>
      <c r="D169" s="44"/>
      <c r="E169" s="44"/>
      <c r="F169" s="44"/>
      <c r="G169" s="44"/>
      <c r="H169" s="44"/>
      <c r="I169" s="44"/>
      <c r="J169" s="44"/>
      <c r="K169" s="49"/>
    </row>
    <row r="171" spans="1:11" x14ac:dyDescent="0.2">
      <c r="A171" s="43" t="s">
        <v>306</v>
      </c>
      <c r="B171" s="44"/>
      <c r="C171" s="44"/>
      <c r="D171" s="44"/>
      <c r="E171" s="44"/>
      <c r="F171" s="44"/>
      <c r="G171" s="44"/>
      <c r="H171" s="45">
        <f>tzujt1</f>
        <v>0</v>
      </c>
      <c r="I171" s="44"/>
      <c r="J171" s="46">
        <f>tzpjt1</f>
        <v>0</v>
      </c>
      <c r="K171" s="46">
        <f>tzpmt1</f>
        <v>0</v>
      </c>
    </row>
  </sheetData>
  <pageMargins left="0.7" right="0.7" top="0.75" bottom="0.75" header="0.3" footer="0.3"/>
  <pageSetup paperSize="9" scale="65" orientation="landscape" horizontalDpi="4294967295" verticalDpi="4294967295" r:id="rId1"/>
  <headerFooter>
    <oddFooter>&amp;LStichting Openbaar Onderwijs Oost Groningen EA              &amp;ROpmaakdatum: 17-08-2021
Intexso - De Start 5 - Leusden
+31 (33) 2778485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083F2-5A04-4134-8869-A890C701B952}">
  <dimension ref="A1:K23"/>
  <sheetViews>
    <sheetView workbookViewId="0"/>
  </sheetViews>
  <sheetFormatPr defaultRowHeight="12.75" x14ac:dyDescent="0.2"/>
  <cols>
    <col min="1" max="1" width="8.625" customWidth="1"/>
    <col min="2" max="2" width="32.625" customWidth="1"/>
    <col min="3" max="3" width="20.625" customWidth="1"/>
    <col min="4" max="4" width="18.625" customWidth="1"/>
    <col min="5" max="6" width="12.625" customWidth="1"/>
    <col min="7" max="11" width="13.625" customWidth="1"/>
  </cols>
  <sheetData>
    <row r="1" spans="1:11" x14ac:dyDescent="0.2">
      <c r="A1" s="1" t="str">
        <f>CONCATENATE("Bijlage H.5: ",tabeltype," totaalblad objecten")</f>
        <v>Bijlage H.5: Invultabel totaalblad objecten</v>
      </c>
    </row>
    <row r="3" spans="1:11" ht="38.25" x14ac:dyDescent="0.2">
      <c r="A3" s="8" t="s">
        <v>172</v>
      </c>
      <c r="B3" s="8" t="s">
        <v>173</v>
      </c>
      <c r="C3" s="8" t="s">
        <v>174</v>
      </c>
      <c r="D3" s="8" t="s">
        <v>175</v>
      </c>
      <c r="E3" s="8" t="s">
        <v>185</v>
      </c>
      <c r="F3" s="8" t="s">
        <v>113</v>
      </c>
      <c r="G3" s="8" t="s">
        <v>307</v>
      </c>
      <c r="H3" s="8" t="s">
        <v>308</v>
      </c>
      <c r="I3" s="8" t="s">
        <v>309</v>
      </c>
      <c r="J3" s="8" t="s">
        <v>310</v>
      </c>
      <c r="K3" s="8" t="s">
        <v>311</v>
      </c>
    </row>
    <row r="4" spans="1:11" x14ac:dyDescent="0.2">
      <c r="A4" s="15" t="s">
        <v>188</v>
      </c>
      <c r="B4" s="15" t="s">
        <v>189</v>
      </c>
      <c r="C4" s="15" t="s">
        <v>190</v>
      </c>
      <c r="D4" s="15" t="s">
        <v>191</v>
      </c>
      <c r="E4" s="30">
        <f>objecturenhf1_1</f>
        <v>0</v>
      </c>
      <c r="F4" s="30">
        <f>objecturen1_1</f>
        <v>0</v>
      </c>
      <c r="G4" s="34">
        <f>objectprijs1_1</f>
        <v>0</v>
      </c>
      <c r="H4" s="30">
        <f>tzujt1_1</f>
        <v>0</v>
      </c>
      <c r="I4" s="34">
        <f>tzpjt1_1</f>
        <v>0</v>
      </c>
      <c r="J4" s="34">
        <f>G4+I4</f>
        <v>0</v>
      </c>
      <c r="K4" s="34">
        <f>J4/12</f>
        <v>0</v>
      </c>
    </row>
    <row r="5" spans="1:11" x14ac:dyDescent="0.2">
      <c r="A5" s="20" t="s">
        <v>192</v>
      </c>
      <c r="B5" s="20" t="s">
        <v>193</v>
      </c>
      <c r="C5" s="20" t="s">
        <v>194</v>
      </c>
      <c r="D5" s="20" t="s">
        <v>195</v>
      </c>
      <c r="E5" s="35">
        <f>objecturenhf2_1</f>
        <v>0</v>
      </c>
      <c r="F5" s="35">
        <f>objecturen2_1</f>
        <v>0</v>
      </c>
      <c r="G5" s="39">
        <f>objectprijs2_1</f>
        <v>0</v>
      </c>
      <c r="H5" s="35">
        <f>tzujt2_1</f>
        <v>0</v>
      </c>
      <c r="I5" s="39">
        <f>tzpjt2_1</f>
        <v>0</v>
      </c>
      <c r="J5" s="39">
        <f>G5+I5</f>
        <v>0</v>
      </c>
      <c r="K5" s="39">
        <f>J5/12</f>
        <v>0</v>
      </c>
    </row>
    <row r="6" spans="1:11" x14ac:dyDescent="0.2">
      <c r="A6" s="20" t="s">
        <v>196</v>
      </c>
      <c r="B6" s="20" t="s">
        <v>197</v>
      </c>
      <c r="C6" s="20" t="s">
        <v>198</v>
      </c>
      <c r="D6" s="20" t="s">
        <v>195</v>
      </c>
      <c r="E6" s="35">
        <f>objecturenhf3_1</f>
        <v>0</v>
      </c>
      <c r="F6" s="35">
        <f>objecturen3_1</f>
        <v>0</v>
      </c>
      <c r="G6" s="39">
        <f>objectprijs3_1</f>
        <v>0</v>
      </c>
      <c r="H6" s="35">
        <f>tzujt3_1</f>
        <v>0</v>
      </c>
      <c r="I6" s="39">
        <f>tzpjt3_1</f>
        <v>0</v>
      </c>
      <c r="J6" s="39">
        <f>G6+I6</f>
        <v>0</v>
      </c>
      <c r="K6" s="39">
        <f>J6/12</f>
        <v>0</v>
      </c>
    </row>
    <row r="7" spans="1:11" x14ac:dyDescent="0.2">
      <c r="A7" s="20" t="s">
        <v>199</v>
      </c>
      <c r="B7" s="20" t="s">
        <v>200</v>
      </c>
      <c r="C7" s="20" t="s">
        <v>201</v>
      </c>
      <c r="D7" s="20" t="s">
        <v>202</v>
      </c>
      <c r="E7" s="35">
        <f>objecturenhf4_1</f>
        <v>0</v>
      </c>
      <c r="F7" s="35">
        <f>objecturen4_1</f>
        <v>0</v>
      </c>
      <c r="G7" s="39">
        <f>objectprijs4_1</f>
        <v>0</v>
      </c>
      <c r="H7" s="35">
        <f>tzujt4_1</f>
        <v>0</v>
      </c>
      <c r="I7" s="39">
        <f>tzpjt4_1</f>
        <v>0</v>
      </c>
      <c r="J7" s="39">
        <f>G7+I7</f>
        <v>0</v>
      </c>
      <c r="K7" s="39">
        <f>J7/12</f>
        <v>0</v>
      </c>
    </row>
    <row r="8" spans="1:11" x14ac:dyDescent="0.2">
      <c r="A8" s="20" t="s">
        <v>203</v>
      </c>
      <c r="B8" s="20" t="s">
        <v>204</v>
      </c>
      <c r="C8" s="20" t="s">
        <v>205</v>
      </c>
      <c r="D8" s="20" t="s">
        <v>206</v>
      </c>
      <c r="E8" s="35">
        <f>objecturenhf5_1</f>
        <v>0</v>
      </c>
      <c r="F8" s="35">
        <f>objecturen5_1</f>
        <v>0</v>
      </c>
      <c r="G8" s="39">
        <f>objectprijs5_1</f>
        <v>0</v>
      </c>
      <c r="H8" s="35">
        <f>tzujt5_1</f>
        <v>0</v>
      </c>
      <c r="I8" s="39">
        <f>tzpjt5_1</f>
        <v>0</v>
      </c>
      <c r="J8" s="39">
        <f>G8+I8</f>
        <v>0</v>
      </c>
      <c r="K8" s="39">
        <f>J8/12</f>
        <v>0</v>
      </c>
    </row>
    <row r="9" spans="1:11" x14ac:dyDescent="0.2">
      <c r="A9" s="20" t="s">
        <v>207</v>
      </c>
      <c r="B9" s="20" t="s">
        <v>208</v>
      </c>
      <c r="C9" s="20" t="s">
        <v>209</v>
      </c>
      <c r="D9" s="20" t="s">
        <v>210</v>
      </c>
      <c r="E9" s="35">
        <f>objecturenhf6_1</f>
        <v>0</v>
      </c>
      <c r="F9" s="35">
        <f>objecturen6_1</f>
        <v>0</v>
      </c>
      <c r="G9" s="39">
        <f>objectprijs6_1</f>
        <v>0</v>
      </c>
      <c r="H9" s="35">
        <f>tzujt6_1</f>
        <v>0</v>
      </c>
      <c r="I9" s="39">
        <f>tzpjt6_1</f>
        <v>0</v>
      </c>
      <c r="J9" s="39">
        <f>G9+I9</f>
        <v>0</v>
      </c>
      <c r="K9" s="39">
        <f>J9/12</f>
        <v>0</v>
      </c>
    </row>
    <row r="10" spans="1:11" x14ac:dyDescent="0.2">
      <c r="A10" s="20" t="s">
        <v>211</v>
      </c>
      <c r="B10" s="20" t="s">
        <v>212</v>
      </c>
      <c r="C10" s="20" t="s">
        <v>213</v>
      </c>
      <c r="D10" s="20" t="s">
        <v>214</v>
      </c>
      <c r="E10" s="35">
        <f>objecturenhf7_1</f>
        <v>0</v>
      </c>
      <c r="F10" s="35">
        <f>objecturen7_1</f>
        <v>0</v>
      </c>
      <c r="G10" s="39">
        <f>objectprijs7_1</f>
        <v>0</v>
      </c>
      <c r="H10" s="35">
        <f>tzujt7_1</f>
        <v>0</v>
      </c>
      <c r="I10" s="39">
        <f>tzpjt7_1</f>
        <v>0</v>
      </c>
      <c r="J10" s="39">
        <f>G10+I10</f>
        <v>0</v>
      </c>
      <c r="K10" s="39">
        <f>J10/12</f>
        <v>0</v>
      </c>
    </row>
    <row r="11" spans="1:11" x14ac:dyDescent="0.2">
      <c r="A11" s="20" t="s">
        <v>215</v>
      </c>
      <c r="B11" s="20" t="s">
        <v>216</v>
      </c>
      <c r="C11" s="20" t="s">
        <v>217</v>
      </c>
      <c r="D11" s="20" t="s">
        <v>210</v>
      </c>
      <c r="E11" s="35">
        <f>objecturenhf8_1</f>
        <v>0</v>
      </c>
      <c r="F11" s="35">
        <f>objecturen8_1</f>
        <v>0</v>
      </c>
      <c r="G11" s="39">
        <f>objectprijs8_1</f>
        <v>0</v>
      </c>
      <c r="H11" s="35">
        <f>tzujt8_1</f>
        <v>0</v>
      </c>
      <c r="I11" s="39">
        <f>tzpjt8_1</f>
        <v>0</v>
      </c>
      <c r="J11" s="39">
        <f>G11+I11</f>
        <v>0</v>
      </c>
      <c r="K11" s="39">
        <f>J11/12</f>
        <v>0</v>
      </c>
    </row>
    <row r="12" spans="1:11" x14ac:dyDescent="0.2">
      <c r="A12" s="20" t="s">
        <v>218</v>
      </c>
      <c r="B12" s="20" t="s">
        <v>219</v>
      </c>
      <c r="C12" s="20" t="s">
        <v>220</v>
      </c>
      <c r="D12" s="20" t="s">
        <v>221</v>
      </c>
      <c r="E12" s="35">
        <f>objecturenhf9_1</f>
        <v>0</v>
      </c>
      <c r="F12" s="35">
        <f>objecturen9_1</f>
        <v>0</v>
      </c>
      <c r="G12" s="39">
        <f>objectprijs9_1</f>
        <v>0</v>
      </c>
      <c r="H12" s="35">
        <f>tzujt9_1</f>
        <v>0</v>
      </c>
      <c r="I12" s="39">
        <f>tzpjt9_1</f>
        <v>0</v>
      </c>
      <c r="J12" s="39">
        <f>G12+I12</f>
        <v>0</v>
      </c>
      <c r="K12" s="39">
        <f>J12/12</f>
        <v>0</v>
      </c>
    </row>
    <row r="13" spans="1:11" x14ac:dyDescent="0.2">
      <c r="A13" s="20" t="s">
        <v>222</v>
      </c>
      <c r="B13" s="20" t="s">
        <v>223</v>
      </c>
      <c r="C13" s="20" t="s">
        <v>224</v>
      </c>
      <c r="D13" s="20" t="s">
        <v>225</v>
      </c>
      <c r="E13" s="35">
        <f>objecturenhf10_1</f>
        <v>0</v>
      </c>
      <c r="F13" s="35">
        <f>objecturen10_1</f>
        <v>0</v>
      </c>
      <c r="G13" s="39">
        <f>objectprijs10_1</f>
        <v>0</v>
      </c>
      <c r="H13" s="35">
        <f>tzujt10_1</f>
        <v>0</v>
      </c>
      <c r="I13" s="39">
        <f>tzpjt10_1</f>
        <v>0</v>
      </c>
      <c r="J13" s="39">
        <f>G13+I13</f>
        <v>0</v>
      </c>
      <c r="K13" s="39">
        <f>J13/12</f>
        <v>0</v>
      </c>
    </row>
    <row r="14" spans="1:11" x14ac:dyDescent="0.2">
      <c r="A14" s="20" t="s">
        <v>226</v>
      </c>
      <c r="B14" s="20" t="s">
        <v>227</v>
      </c>
      <c r="C14" s="20" t="s">
        <v>228</v>
      </c>
      <c r="D14" s="20" t="s">
        <v>210</v>
      </c>
      <c r="E14" s="35">
        <f>objecturenhf11_1</f>
        <v>0</v>
      </c>
      <c r="F14" s="35">
        <f>objecturen11_1</f>
        <v>0</v>
      </c>
      <c r="G14" s="39">
        <f>objectprijs11_1</f>
        <v>0</v>
      </c>
      <c r="H14" s="35">
        <f>tzujt11_1</f>
        <v>0</v>
      </c>
      <c r="I14" s="39">
        <f>tzpjt11_1</f>
        <v>0</v>
      </c>
      <c r="J14" s="39">
        <f>G14+I14</f>
        <v>0</v>
      </c>
      <c r="K14" s="39">
        <f>J14/12</f>
        <v>0</v>
      </c>
    </row>
    <row r="15" spans="1:11" x14ac:dyDescent="0.2">
      <c r="A15" s="20" t="s">
        <v>229</v>
      </c>
      <c r="B15" s="20" t="s">
        <v>230</v>
      </c>
      <c r="C15" s="20" t="s">
        <v>231</v>
      </c>
      <c r="D15" s="20" t="s">
        <v>232</v>
      </c>
      <c r="E15" s="35">
        <f>objecturenhf12_1</f>
        <v>0</v>
      </c>
      <c r="F15" s="35">
        <f>objecturen12_1</f>
        <v>0</v>
      </c>
      <c r="G15" s="39">
        <f>objectprijs12_1</f>
        <v>0</v>
      </c>
      <c r="H15" s="35">
        <f>tzujt12_1</f>
        <v>0</v>
      </c>
      <c r="I15" s="39">
        <f>tzpjt12_1</f>
        <v>0</v>
      </c>
      <c r="J15" s="39">
        <f>G15+I15</f>
        <v>0</v>
      </c>
      <c r="K15" s="39">
        <f>J15/12</f>
        <v>0</v>
      </c>
    </row>
    <row r="16" spans="1:11" x14ac:dyDescent="0.2">
      <c r="A16" s="20" t="s">
        <v>233</v>
      </c>
      <c r="B16" s="20" t="s">
        <v>234</v>
      </c>
      <c r="C16" s="20" t="s">
        <v>235</v>
      </c>
      <c r="D16" s="20" t="s">
        <v>236</v>
      </c>
      <c r="E16" s="35">
        <f>objecturenhf13_1</f>
        <v>0</v>
      </c>
      <c r="F16" s="35">
        <f>objecturen13_1</f>
        <v>0</v>
      </c>
      <c r="G16" s="39">
        <f>objectprijs13_1</f>
        <v>0</v>
      </c>
      <c r="H16" s="35">
        <f>tzujt13_1</f>
        <v>0</v>
      </c>
      <c r="I16" s="39">
        <f>tzpjt13_1</f>
        <v>0</v>
      </c>
      <c r="J16" s="39">
        <f>G16+I16</f>
        <v>0</v>
      </c>
      <c r="K16" s="39">
        <f>J16/12</f>
        <v>0</v>
      </c>
    </row>
    <row r="17" spans="1:11" x14ac:dyDescent="0.2">
      <c r="A17" s="20" t="s">
        <v>237</v>
      </c>
      <c r="B17" s="20" t="s">
        <v>238</v>
      </c>
      <c r="C17" s="20" t="s">
        <v>239</v>
      </c>
      <c r="D17" s="20" t="s">
        <v>240</v>
      </c>
      <c r="E17" s="35">
        <f>objecturenhf14_1</f>
        <v>0</v>
      </c>
      <c r="F17" s="35">
        <f>objecturen14_1</f>
        <v>0</v>
      </c>
      <c r="G17" s="39">
        <f>objectprijs14_1</f>
        <v>0</v>
      </c>
      <c r="H17" s="35">
        <f>tzujt14_1</f>
        <v>0</v>
      </c>
      <c r="I17" s="39">
        <f>tzpjt14_1</f>
        <v>0</v>
      </c>
      <c r="J17" s="39">
        <f>G17+I17</f>
        <v>0</v>
      </c>
      <c r="K17" s="39">
        <f>J17/12</f>
        <v>0</v>
      </c>
    </row>
    <row r="18" spans="1:11" x14ac:dyDescent="0.2">
      <c r="A18" s="20" t="s">
        <v>241</v>
      </c>
      <c r="B18" s="20" t="s">
        <v>242</v>
      </c>
      <c r="C18" s="20" t="s">
        <v>243</v>
      </c>
      <c r="D18" s="20" t="s">
        <v>244</v>
      </c>
      <c r="E18" s="35">
        <f>objecturenhf15_1</f>
        <v>0</v>
      </c>
      <c r="F18" s="35">
        <f>objecturen15_1</f>
        <v>0</v>
      </c>
      <c r="G18" s="39">
        <f>objectprijs15_1</f>
        <v>0</v>
      </c>
      <c r="H18" s="35">
        <f>tzujt15_1</f>
        <v>0</v>
      </c>
      <c r="I18" s="39">
        <f>tzpjt15_1</f>
        <v>0</v>
      </c>
      <c r="J18" s="39">
        <f>G18+I18</f>
        <v>0</v>
      </c>
      <c r="K18" s="39">
        <f>J18/12</f>
        <v>0</v>
      </c>
    </row>
    <row r="19" spans="1:11" x14ac:dyDescent="0.2">
      <c r="A19" s="20" t="s">
        <v>245</v>
      </c>
      <c r="B19" s="20" t="s">
        <v>246</v>
      </c>
      <c r="C19" s="20" t="s">
        <v>247</v>
      </c>
      <c r="D19" s="20" t="s">
        <v>210</v>
      </c>
      <c r="E19" s="35">
        <f>objecturenhf16_1</f>
        <v>0</v>
      </c>
      <c r="F19" s="35">
        <f>objecturen16_1</f>
        <v>0</v>
      </c>
      <c r="G19" s="39">
        <f>objectprijs16_1</f>
        <v>0</v>
      </c>
      <c r="H19" s="35">
        <f>tzujt16_1</f>
        <v>0</v>
      </c>
      <c r="I19" s="39">
        <f>tzpjt16_1</f>
        <v>0</v>
      </c>
      <c r="J19" s="39">
        <f>G19+I19</f>
        <v>0</v>
      </c>
      <c r="K19" s="39">
        <f>J19/12</f>
        <v>0</v>
      </c>
    </row>
    <row r="20" spans="1:11" x14ac:dyDescent="0.2">
      <c r="A20" s="20" t="s">
        <v>248</v>
      </c>
      <c r="B20" s="20" t="s">
        <v>249</v>
      </c>
      <c r="C20" s="20" t="s">
        <v>250</v>
      </c>
      <c r="D20" s="20" t="s">
        <v>251</v>
      </c>
      <c r="E20" s="35">
        <f>objecturenhf17_1</f>
        <v>0</v>
      </c>
      <c r="F20" s="35">
        <f>objecturen17_1</f>
        <v>0</v>
      </c>
      <c r="G20" s="39">
        <f>objectprijs17_1</f>
        <v>0</v>
      </c>
      <c r="H20" s="35">
        <f>tzujt17_1</f>
        <v>0</v>
      </c>
      <c r="I20" s="39">
        <f>tzpjt17_1</f>
        <v>0</v>
      </c>
      <c r="J20" s="39">
        <f>G20+I20</f>
        <v>0</v>
      </c>
      <c r="K20" s="39">
        <f>J20/12</f>
        <v>0</v>
      </c>
    </row>
    <row r="21" spans="1:11" x14ac:dyDescent="0.2">
      <c r="A21" s="25" t="s">
        <v>252</v>
      </c>
      <c r="B21" s="25" t="s">
        <v>253</v>
      </c>
      <c r="C21" s="25" t="s">
        <v>254</v>
      </c>
      <c r="D21" s="25" t="s">
        <v>255</v>
      </c>
      <c r="E21" s="40">
        <f>objecturenhf18_1</f>
        <v>0</v>
      </c>
      <c r="F21" s="40">
        <f>objecturen18_1</f>
        <v>0</v>
      </c>
      <c r="G21" s="42">
        <f>objectprijs18_1</f>
        <v>0</v>
      </c>
      <c r="H21" s="40">
        <f>tzujt18_1</f>
        <v>0</v>
      </c>
      <c r="I21" s="42">
        <f>tzpjt18_1</f>
        <v>0</v>
      </c>
      <c r="J21" s="42">
        <f>G21+I21</f>
        <v>0</v>
      </c>
      <c r="K21" s="42">
        <f>J21/12</f>
        <v>0</v>
      </c>
    </row>
    <row r="23" spans="1:11" x14ac:dyDescent="0.2">
      <c r="A23" s="43" t="s">
        <v>312</v>
      </c>
      <c r="B23" s="44"/>
      <c r="C23" s="44"/>
      <c r="D23" s="44"/>
      <c r="E23" s="45">
        <f>SUM(E4:E21)</f>
        <v>0</v>
      </c>
      <c r="F23" s="45">
        <f>SUM(F4:F21)</f>
        <v>0</v>
      </c>
      <c r="G23" s="46">
        <f>SUM(G4:G21)</f>
        <v>0</v>
      </c>
      <c r="H23" s="45">
        <f>SUM(H4:H21)</f>
        <v>0</v>
      </c>
      <c r="I23" s="46">
        <f>SUM(I4:I21)</f>
        <v>0</v>
      </c>
      <c r="J23" s="46">
        <f>SUM(J4:J21)</f>
        <v>0</v>
      </c>
      <c r="K23" s="46">
        <f>SUM(K4:K21)</f>
        <v>0</v>
      </c>
    </row>
  </sheetData>
  <pageMargins left="0.7" right="0.7" top="0.75" bottom="0.75" header="0.3" footer="0.3"/>
  <pageSetup paperSize="9" scale="65" orientation="landscape" horizontalDpi="4294967295" verticalDpi="4294967295" r:id="rId1"/>
  <headerFooter>
    <oddFooter>&amp;LStichting Openbaar Onderwijs Oost Groningen EA              &amp;ROpmaakdatum: 17-08-2021
Intexso - De Start 5 - Leusden
+31 (33) 2778485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A6E04-9484-4990-8117-55F5570694AF}">
  <dimension ref="A1:L12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50.625" customWidth="1"/>
    <col min="5" max="6" width="14.625" customWidth="1"/>
    <col min="7" max="9" width="11.625" customWidth="1"/>
    <col min="10" max="10" width="12.625" customWidth="1"/>
    <col min="11" max="11" width="14.625" customWidth="1"/>
    <col min="12" max="12" width="13.625" customWidth="1"/>
  </cols>
  <sheetData>
    <row r="1" spans="1:12" x14ac:dyDescent="0.2">
      <c r="A1" s="1" t="str">
        <f>CONCATENATE("Bijlage H.6: ",tabeltype," afroep")</f>
        <v>Bijlage H.6: Invultabel afroep</v>
      </c>
    </row>
    <row r="3" spans="1:12" ht="38.25" x14ac:dyDescent="0.2">
      <c r="A3" s="8" t="s">
        <v>313</v>
      </c>
      <c r="B3" s="8" t="s">
        <v>7</v>
      </c>
      <c r="C3" s="8" t="s">
        <v>314</v>
      </c>
      <c r="D3" s="8" t="s">
        <v>36</v>
      </c>
      <c r="E3" s="8" t="s">
        <v>39</v>
      </c>
      <c r="F3" s="8" t="s">
        <v>315</v>
      </c>
      <c r="G3" s="8" t="s">
        <v>316</v>
      </c>
      <c r="H3" s="8" t="s">
        <v>317</v>
      </c>
      <c r="I3" s="8" t="s">
        <v>318</v>
      </c>
      <c r="J3" s="8" t="s">
        <v>319</v>
      </c>
      <c r="K3" s="8" t="s">
        <v>114</v>
      </c>
      <c r="L3" s="8" t="s">
        <v>187</v>
      </c>
    </row>
    <row r="4" spans="1:12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1"/>
    </row>
    <row r="5" spans="1:12" x14ac:dyDescent="0.2">
      <c r="A5" s="12" t="s">
        <v>41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4"/>
    </row>
    <row r="6" spans="1:12" x14ac:dyDescent="0.2">
      <c r="A6" s="15" t="s">
        <v>320</v>
      </c>
      <c r="B6" s="15" t="s">
        <v>29</v>
      </c>
      <c r="C6" s="16">
        <f>IF(ISBLANK(B6),0,IF(ISERROR(VALUE(B6)),VLOOKUP(B6,dagsoorttabel1,2,FALSE)*dagenperjaar1,VALUE(B6)))</f>
        <v>1</v>
      </c>
      <c r="D6" s="15" t="s">
        <v>321</v>
      </c>
      <c r="E6" s="15" t="s">
        <v>322</v>
      </c>
      <c r="F6" s="80">
        <v>900</v>
      </c>
      <c r="G6" s="68"/>
      <c r="H6" s="81"/>
      <c r="I6" s="68"/>
      <c r="J6" s="34">
        <f>IF(ISBLANK(F6),0,F6)*I6</f>
        <v>0</v>
      </c>
      <c r="K6" s="34">
        <f>C6*J6</f>
        <v>0</v>
      </c>
      <c r="L6" s="34">
        <f>K6/12</f>
        <v>0</v>
      </c>
    </row>
    <row r="7" spans="1:12" x14ac:dyDescent="0.2">
      <c r="A7" s="20" t="s">
        <v>323</v>
      </c>
      <c r="B7" s="20" t="s">
        <v>24</v>
      </c>
      <c r="C7" s="21">
        <f>IF(ISBLANK(B7),0,IF(ISERROR(VALUE(B7)),VLOOKUP(B7,dagsoorttabel1,2,FALSE)*dagenperjaar1,VALUE(B7)))</f>
        <v>10</v>
      </c>
      <c r="D7" s="20" t="s">
        <v>324</v>
      </c>
      <c r="E7" s="20" t="s">
        <v>322</v>
      </c>
      <c r="F7" s="82">
        <v>20</v>
      </c>
      <c r="G7" s="72"/>
      <c r="H7" s="83"/>
      <c r="I7" s="72"/>
      <c r="J7" s="39">
        <f>IF(ISBLANK(F7),0,F7)*I7</f>
        <v>0</v>
      </c>
      <c r="K7" s="39">
        <f>C7*J7</f>
        <v>0</v>
      </c>
      <c r="L7" s="39">
        <f>K7/12</f>
        <v>0</v>
      </c>
    </row>
    <row r="8" spans="1:12" x14ac:dyDescent="0.2">
      <c r="A8" s="20" t="s">
        <v>325</v>
      </c>
      <c r="B8" s="20" t="s">
        <v>24</v>
      </c>
      <c r="C8" s="21">
        <f>IF(ISBLANK(B8),0,IF(ISERROR(VALUE(B8)),VLOOKUP(B8,dagsoorttabel1,2,FALSE)*dagenperjaar1,VALUE(B8)))</f>
        <v>10</v>
      </c>
      <c r="D8" s="20" t="s">
        <v>326</v>
      </c>
      <c r="E8" s="20" t="s">
        <v>322</v>
      </c>
      <c r="F8" s="82">
        <v>4</v>
      </c>
      <c r="G8" s="72"/>
      <c r="H8" s="83"/>
      <c r="I8" s="72"/>
      <c r="J8" s="39">
        <f>IF(ISBLANK(F8),0,F8)*I8</f>
        <v>0</v>
      </c>
      <c r="K8" s="39">
        <f>C8*J8</f>
        <v>0</v>
      </c>
      <c r="L8" s="39">
        <f>K8/12</f>
        <v>0</v>
      </c>
    </row>
    <row r="9" spans="1:12" x14ac:dyDescent="0.2">
      <c r="A9" s="25" t="s">
        <v>327</v>
      </c>
      <c r="B9" s="25" t="s">
        <v>29</v>
      </c>
      <c r="C9" s="26">
        <f>IF(ISBLANK(B9),0,IF(ISERROR(VALUE(B9)),VLOOKUP(B9,dagsoorttabel1,2,FALSE)*dagenperjaar1,VALUE(B9)))</f>
        <v>1</v>
      </c>
      <c r="D9" s="25" t="s">
        <v>328</v>
      </c>
      <c r="E9" s="25" t="s">
        <v>329</v>
      </c>
      <c r="F9" s="84">
        <v>1925</v>
      </c>
      <c r="G9" s="77"/>
      <c r="H9" s="85"/>
      <c r="I9" s="77"/>
      <c r="J9" s="42">
        <f>IF(ISBLANK(F9),0,F9)*I9</f>
        <v>0</v>
      </c>
      <c r="K9" s="42">
        <f>C9*J9</f>
        <v>0</v>
      </c>
      <c r="L9" s="42">
        <f>K9/12</f>
        <v>0</v>
      </c>
    </row>
    <row r="10" spans="1:12" x14ac:dyDescent="0.2">
      <c r="A10" s="43" t="s">
        <v>143</v>
      </c>
      <c r="B10" s="44"/>
      <c r="C10" s="44"/>
      <c r="D10" s="44"/>
      <c r="E10" s="44"/>
      <c r="F10" s="44"/>
      <c r="G10" s="44"/>
      <c r="H10" s="44"/>
      <c r="I10" s="44"/>
      <c r="J10" s="44"/>
      <c r="K10" s="46">
        <f>SUM(K6:K9)</f>
        <v>0</v>
      </c>
      <c r="L10" s="86">
        <f>K10/12</f>
        <v>0</v>
      </c>
    </row>
    <row r="12" spans="1:12" x14ac:dyDescent="0.2">
      <c r="A12" s="43" t="s">
        <v>330</v>
      </c>
      <c r="B12" s="44"/>
      <c r="C12" s="44"/>
      <c r="D12" s="44"/>
      <c r="E12" s="44"/>
      <c r="F12" s="44"/>
      <c r="G12" s="44"/>
      <c r="H12" s="44"/>
      <c r="I12" s="44"/>
      <c r="J12" s="44"/>
      <c r="K12" s="46">
        <f>prijsjaarafroep1</f>
        <v>0</v>
      </c>
      <c r="L12" s="86">
        <f>K12/12</f>
        <v>0</v>
      </c>
    </row>
  </sheetData>
  <pageMargins left="0.7" right="0.7" top="0.75" bottom="0.75" header="0.3" footer="0.3"/>
  <pageSetup paperSize="9" scale="65" orientation="landscape" horizontalDpi="4294967295" verticalDpi="4294967295" r:id="rId1"/>
  <headerFooter>
    <oddFooter>&amp;LStichting Openbaar Onderwijs Oost Groningen EA              &amp;ROpmaakdatum: 17-08-2021
Intexso - De Start 5 - Leusden
+31 (33) 2778485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97216-7AA5-49BE-8A8D-3E8E6E2BEE78}">
  <dimension ref="A1:E94"/>
  <sheetViews>
    <sheetView workbookViewId="0"/>
  </sheetViews>
  <sheetFormatPr defaultRowHeight="12.75" x14ac:dyDescent="0.2"/>
  <cols>
    <col min="1" max="1" width="7.625" customWidth="1"/>
    <col min="2" max="2" width="40.625" customWidth="1"/>
    <col min="3" max="3" width="18.625" customWidth="1"/>
    <col min="4" max="4" width="20.625" customWidth="1"/>
    <col min="5" max="5" width="15.625" customWidth="1"/>
  </cols>
  <sheetData>
    <row r="1" spans="1:5" x14ac:dyDescent="0.2">
      <c r="A1" s="1" t="str">
        <f>CONCATENATE("Bijlage H.7: ",tabeltype," afroep incidenteel")</f>
        <v>Bijlage H.7: Invultabel afroep incidenteel</v>
      </c>
    </row>
    <row r="3" spans="1:5" ht="38.25" x14ac:dyDescent="0.2">
      <c r="A3" s="8" t="s">
        <v>313</v>
      </c>
      <c r="B3" s="8" t="s">
        <v>36</v>
      </c>
      <c r="C3" s="8" t="s">
        <v>39</v>
      </c>
      <c r="D3" s="8" t="s">
        <v>331</v>
      </c>
      <c r="E3" s="8" t="s">
        <v>318</v>
      </c>
    </row>
    <row r="4" spans="1:5" x14ac:dyDescent="0.2">
      <c r="A4" s="9"/>
      <c r="B4" s="10"/>
      <c r="C4" s="10"/>
      <c r="D4" s="10"/>
      <c r="E4" s="11"/>
    </row>
    <row r="5" spans="1:5" x14ac:dyDescent="0.2">
      <c r="A5" s="12" t="s">
        <v>41</v>
      </c>
      <c r="B5" s="13"/>
      <c r="C5" s="13"/>
      <c r="D5" s="13"/>
      <c r="E5" s="14"/>
    </row>
    <row r="6" spans="1:5" x14ac:dyDescent="0.2">
      <c r="A6" s="15" t="s">
        <v>332</v>
      </c>
      <c r="B6" s="15" t="s">
        <v>333</v>
      </c>
      <c r="C6" s="15" t="s">
        <v>334</v>
      </c>
      <c r="D6" s="15" t="s">
        <v>335</v>
      </c>
      <c r="E6" s="68"/>
    </row>
    <row r="7" spans="1:5" x14ac:dyDescent="0.2">
      <c r="A7" s="20" t="s">
        <v>336</v>
      </c>
      <c r="B7" s="20" t="s">
        <v>333</v>
      </c>
      <c r="C7" s="20" t="s">
        <v>334</v>
      </c>
      <c r="D7" s="20" t="s">
        <v>337</v>
      </c>
      <c r="E7" s="72"/>
    </row>
    <row r="8" spans="1:5" x14ac:dyDescent="0.2">
      <c r="A8" s="20" t="s">
        <v>338</v>
      </c>
      <c r="B8" s="20" t="s">
        <v>333</v>
      </c>
      <c r="C8" s="20" t="s">
        <v>334</v>
      </c>
      <c r="D8" s="20" t="s">
        <v>339</v>
      </c>
      <c r="E8" s="72"/>
    </row>
    <row r="9" spans="1:5" x14ac:dyDescent="0.2">
      <c r="A9" s="20" t="s">
        <v>340</v>
      </c>
      <c r="B9" s="20" t="s">
        <v>333</v>
      </c>
      <c r="C9" s="20" t="s">
        <v>334</v>
      </c>
      <c r="D9" s="20" t="s">
        <v>341</v>
      </c>
      <c r="E9" s="72"/>
    </row>
    <row r="10" spans="1:5" x14ac:dyDescent="0.2">
      <c r="A10" s="20" t="s">
        <v>342</v>
      </c>
      <c r="B10" s="20" t="s">
        <v>343</v>
      </c>
      <c r="C10" s="20" t="s">
        <v>334</v>
      </c>
      <c r="D10" s="20" t="s">
        <v>335</v>
      </c>
      <c r="E10" s="72"/>
    </row>
    <row r="11" spans="1:5" x14ac:dyDescent="0.2">
      <c r="A11" s="20" t="s">
        <v>344</v>
      </c>
      <c r="B11" s="20" t="s">
        <v>343</v>
      </c>
      <c r="C11" s="20" t="s">
        <v>334</v>
      </c>
      <c r="D11" s="20" t="s">
        <v>337</v>
      </c>
      <c r="E11" s="72"/>
    </row>
    <row r="12" spans="1:5" x14ac:dyDescent="0.2">
      <c r="A12" s="20" t="s">
        <v>345</v>
      </c>
      <c r="B12" s="20" t="s">
        <v>343</v>
      </c>
      <c r="C12" s="20" t="s">
        <v>334</v>
      </c>
      <c r="D12" s="20" t="s">
        <v>339</v>
      </c>
      <c r="E12" s="72"/>
    </row>
    <row r="13" spans="1:5" x14ac:dyDescent="0.2">
      <c r="A13" s="20" t="s">
        <v>346</v>
      </c>
      <c r="B13" s="20" t="s">
        <v>343</v>
      </c>
      <c r="C13" s="20" t="s">
        <v>334</v>
      </c>
      <c r="D13" s="20" t="s">
        <v>341</v>
      </c>
      <c r="E13" s="72"/>
    </row>
    <row r="14" spans="1:5" x14ac:dyDescent="0.2">
      <c r="A14" s="20" t="s">
        <v>347</v>
      </c>
      <c r="B14" s="20" t="s">
        <v>348</v>
      </c>
      <c r="C14" s="20" t="s">
        <v>334</v>
      </c>
      <c r="D14" s="20" t="s">
        <v>335</v>
      </c>
      <c r="E14" s="72"/>
    </row>
    <row r="15" spans="1:5" x14ac:dyDescent="0.2">
      <c r="A15" s="20" t="s">
        <v>349</v>
      </c>
      <c r="B15" s="20" t="s">
        <v>348</v>
      </c>
      <c r="C15" s="20" t="s">
        <v>334</v>
      </c>
      <c r="D15" s="20" t="s">
        <v>337</v>
      </c>
      <c r="E15" s="72"/>
    </row>
    <row r="16" spans="1:5" x14ac:dyDescent="0.2">
      <c r="A16" s="20" t="s">
        <v>350</v>
      </c>
      <c r="B16" s="20" t="s">
        <v>348</v>
      </c>
      <c r="C16" s="20" t="s">
        <v>334</v>
      </c>
      <c r="D16" s="20" t="s">
        <v>339</v>
      </c>
      <c r="E16" s="72"/>
    </row>
    <row r="17" spans="1:5" x14ac:dyDescent="0.2">
      <c r="A17" s="20" t="s">
        <v>351</v>
      </c>
      <c r="B17" s="20" t="s">
        <v>348</v>
      </c>
      <c r="C17" s="20" t="s">
        <v>334</v>
      </c>
      <c r="D17" s="20" t="s">
        <v>341</v>
      </c>
      <c r="E17" s="72"/>
    </row>
    <row r="18" spans="1:5" x14ac:dyDescent="0.2">
      <c r="A18" s="20" t="s">
        <v>352</v>
      </c>
      <c r="B18" s="20" t="s">
        <v>353</v>
      </c>
      <c r="C18" s="20" t="s">
        <v>334</v>
      </c>
      <c r="D18" s="20" t="s">
        <v>335</v>
      </c>
      <c r="E18" s="72"/>
    </row>
    <row r="19" spans="1:5" x14ac:dyDescent="0.2">
      <c r="A19" s="20" t="s">
        <v>354</v>
      </c>
      <c r="B19" s="20" t="s">
        <v>353</v>
      </c>
      <c r="C19" s="20" t="s">
        <v>334</v>
      </c>
      <c r="D19" s="20" t="s">
        <v>337</v>
      </c>
      <c r="E19" s="72"/>
    </row>
    <row r="20" spans="1:5" x14ac:dyDescent="0.2">
      <c r="A20" s="20" t="s">
        <v>355</v>
      </c>
      <c r="B20" s="20" t="s">
        <v>353</v>
      </c>
      <c r="C20" s="20" t="s">
        <v>334</v>
      </c>
      <c r="D20" s="20" t="s">
        <v>339</v>
      </c>
      <c r="E20" s="72"/>
    </row>
    <row r="21" spans="1:5" x14ac:dyDescent="0.2">
      <c r="A21" s="20" t="s">
        <v>356</v>
      </c>
      <c r="B21" s="20" t="s">
        <v>353</v>
      </c>
      <c r="C21" s="20" t="s">
        <v>334</v>
      </c>
      <c r="D21" s="20" t="s">
        <v>341</v>
      </c>
      <c r="E21" s="72"/>
    </row>
    <row r="22" spans="1:5" x14ac:dyDescent="0.2">
      <c r="A22" s="20" t="s">
        <v>357</v>
      </c>
      <c r="B22" s="20" t="s">
        <v>358</v>
      </c>
      <c r="C22" s="20" t="s">
        <v>329</v>
      </c>
      <c r="D22" s="20" t="s">
        <v>359</v>
      </c>
      <c r="E22" s="72"/>
    </row>
    <row r="23" spans="1:5" x14ac:dyDescent="0.2">
      <c r="A23" s="20" t="s">
        <v>360</v>
      </c>
      <c r="B23" s="20" t="s">
        <v>358</v>
      </c>
      <c r="C23" s="20" t="s">
        <v>329</v>
      </c>
      <c r="D23" s="20" t="s">
        <v>361</v>
      </c>
      <c r="E23" s="72"/>
    </row>
    <row r="24" spans="1:5" x14ac:dyDescent="0.2">
      <c r="A24" s="20" t="s">
        <v>362</v>
      </c>
      <c r="B24" s="20" t="s">
        <v>358</v>
      </c>
      <c r="C24" s="20" t="s">
        <v>329</v>
      </c>
      <c r="D24" s="20" t="s">
        <v>363</v>
      </c>
      <c r="E24" s="72"/>
    </row>
    <row r="25" spans="1:5" x14ac:dyDescent="0.2">
      <c r="A25" s="20" t="s">
        <v>364</v>
      </c>
      <c r="B25" s="20" t="s">
        <v>358</v>
      </c>
      <c r="C25" s="20" t="s">
        <v>329</v>
      </c>
      <c r="D25" s="20" t="s">
        <v>365</v>
      </c>
      <c r="E25" s="72"/>
    </row>
    <row r="26" spans="1:5" x14ac:dyDescent="0.2">
      <c r="A26" s="20" t="s">
        <v>366</v>
      </c>
      <c r="B26" s="20" t="s">
        <v>367</v>
      </c>
      <c r="C26" s="20" t="s">
        <v>329</v>
      </c>
      <c r="D26" s="20" t="s">
        <v>359</v>
      </c>
      <c r="E26" s="72"/>
    </row>
    <row r="27" spans="1:5" x14ac:dyDescent="0.2">
      <c r="A27" s="20" t="s">
        <v>368</v>
      </c>
      <c r="B27" s="20" t="s">
        <v>367</v>
      </c>
      <c r="C27" s="20" t="s">
        <v>329</v>
      </c>
      <c r="D27" s="20" t="s">
        <v>361</v>
      </c>
      <c r="E27" s="72"/>
    </row>
    <row r="28" spans="1:5" x14ac:dyDescent="0.2">
      <c r="A28" s="20" t="s">
        <v>369</v>
      </c>
      <c r="B28" s="20" t="s">
        <v>367</v>
      </c>
      <c r="C28" s="20" t="s">
        <v>329</v>
      </c>
      <c r="D28" s="20" t="s">
        <v>363</v>
      </c>
      <c r="E28" s="72"/>
    </row>
    <row r="29" spans="1:5" x14ac:dyDescent="0.2">
      <c r="A29" s="20" t="s">
        <v>370</v>
      </c>
      <c r="B29" s="20" t="s">
        <v>367</v>
      </c>
      <c r="C29" s="20" t="s">
        <v>329</v>
      </c>
      <c r="D29" s="20" t="s">
        <v>365</v>
      </c>
      <c r="E29" s="72"/>
    </row>
    <row r="30" spans="1:5" x14ac:dyDescent="0.2">
      <c r="A30" s="20" t="s">
        <v>371</v>
      </c>
      <c r="B30" s="20" t="s">
        <v>372</v>
      </c>
      <c r="C30" s="20" t="s">
        <v>329</v>
      </c>
      <c r="D30" s="20" t="s">
        <v>359</v>
      </c>
      <c r="E30" s="72"/>
    </row>
    <row r="31" spans="1:5" x14ac:dyDescent="0.2">
      <c r="A31" s="20" t="s">
        <v>373</v>
      </c>
      <c r="B31" s="20" t="s">
        <v>372</v>
      </c>
      <c r="C31" s="20" t="s">
        <v>329</v>
      </c>
      <c r="D31" s="20" t="s">
        <v>361</v>
      </c>
      <c r="E31" s="72"/>
    </row>
    <row r="32" spans="1:5" x14ac:dyDescent="0.2">
      <c r="A32" s="20" t="s">
        <v>374</v>
      </c>
      <c r="B32" s="20" t="s">
        <v>372</v>
      </c>
      <c r="C32" s="20" t="s">
        <v>329</v>
      </c>
      <c r="D32" s="20" t="s">
        <v>363</v>
      </c>
      <c r="E32" s="72"/>
    </row>
    <row r="33" spans="1:5" x14ac:dyDescent="0.2">
      <c r="A33" s="20" t="s">
        <v>375</v>
      </c>
      <c r="B33" s="20" t="s">
        <v>372</v>
      </c>
      <c r="C33" s="20" t="s">
        <v>329</v>
      </c>
      <c r="D33" s="20" t="s">
        <v>365</v>
      </c>
      <c r="E33" s="72"/>
    </row>
    <row r="34" spans="1:5" x14ac:dyDescent="0.2">
      <c r="A34" s="20" t="s">
        <v>376</v>
      </c>
      <c r="B34" s="20" t="s">
        <v>377</v>
      </c>
      <c r="C34" s="20" t="s">
        <v>329</v>
      </c>
      <c r="D34" s="20" t="s">
        <v>359</v>
      </c>
      <c r="E34" s="72"/>
    </row>
    <row r="35" spans="1:5" x14ac:dyDescent="0.2">
      <c r="A35" s="20" t="s">
        <v>378</v>
      </c>
      <c r="B35" s="20" t="s">
        <v>377</v>
      </c>
      <c r="C35" s="20" t="s">
        <v>329</v>
      </c>
      <c r="D35" s="20" t="s">
        <v>361</v>
      </c>
      <c r="E35" s="72"/>
    </row>
    <row r="36" spans="1:5" x14ac:dyDescent="0.2">
      <c r="A36" s="20" t="s">
        <v>379</v>
      </c>
      <c r="B36" s="20" t="s">
        <v>377</v>
      </c>
      <c r="C36" s="20" t="s">
        <v>329</v>
      </c>
      <c r="D36" s="20" t="s">
        <v>363</v>
      </c>
      <c r="E36" s="72"/>
    </row>
    <row r="37" spans="1:5" x14ac:dyDescent="0.2">
      <c r="A37" s="20" t="s">
        <v>380</v>
      </c>
      <c r="B37" s="20" t="s">
        <v>377</v>
      </c>
      <c r="C37" s="20" t="s">
        <v>329</v>
      </c>
      <c r="D37" s="20" t="s">
        <v>365</v>
      </c>
      <c r="E37" s="72"/>
    </row>
    <row r="38" spans="1:5" x14ac:dyDescent="0.2">
      <c r="A38" s="20" t="s">
        <v>381</v>
      </c>
      <c r="B38" s="20" t="s">
        <v>382</v>
      </c>
      <c r="C38" s="20" t="s">
        <v>329</v>
      </c>
      <c r="D38" s="20" t="s">
        <v>359</v>
      </c>
      <c r="E38" s="72"/>
    </row>
    <row r="39" spans="1:5" x14ac:dyDescent="0.2">
      <c r="A39" s="20" t="s">
        <v>383</v>
      </c>
      <c r="B39" s="20" t="s">
        <v>382</v>
      </c>
      <c r="C39" s="20" t="s">
        <v>329</v>
      </c>
      <c r="D39" s="20" t="s">
        <v>361</v>
      </c>
      <c r="E39" s="72"/>
    </row>
    <row r="40" spans="1:5" x14ac:dyDescent="0.2">
      <c r="A40" s="20" t="s">
        <v>384</v>
      </c>
      <c r="B40" s="20" t="s">
        <v>382</v>
      </c>
      <c r="C40" s="20" t="s">
        <v>329</v>
      </c>
      <c r="D40" s="20" t="s">
        <v>363</v>
      </c>
      <c r="E40" s="72"/>
    </row>
    <row r="41" spans="1:5" x14ac:dyDescent="0.2">
      <c r="A41" s="20" t="s">
        <v>385</v>
      </c>
      <c r="B41" s="20" t="s">
        <v>382</v>
      </c>
      <c r="C41" s="20" t="s">
        <v>329</v>
      </c>
      <c r="D41" s="20" t="s">
        <v>365</v>
      </c>
      <c r="E41" s="72"/>
    </row>
    <row r="42" spans="1:5" x14ac:dyDescent="0.2">
      <c r="A42" s="20" t="s">
        <v>386</v>
      </c>
      <c r="B42" s="20" t="s">
        <v>387</v>
      </c>
      <c r="C42" s="20" t="s">
        <v>329</v>
      </c>
      <c r="D42" s="20" t="s">
        <v>359</v>
      </c>
      <c r="E42" s="72"/>
    </row>
    <row r="43" spans="1:5" x14ac:dyDescent="0.2">
      <c r="A43" s="20" t="s">
        <v>388</v>
      </c>
      <c r="B43" s="20" t="s">
        <v>387</v>
      </c>
      <c r="C43" s="20" t="s">
        <v>329</v>
      </c>
      <c r="D43" s="20" t="s">
        <v>361</v>
      </c>
      <c r="E43" s="72"/>
    </row>
    <row r="44" spans="1:5" x14ac:dyDescent="0.2">
      <c r="A44" s="20" t="s">
        <v>389</v>
      </c>
      <c r="B44" s="20" t="s">
        <v>387</v>
      </c>
      <c r="C44" s="20" t="s">
        <v>329</v>
      </c>
      <c r="D44" s="20" t="s">
        <v>363</v>
      </c>
      <c r="E44" s="72"/>
    </row>
    <row r="45" spans="1:5" x14ac:dyDescent="0.2">
      <c r="A45" s="20" t="s">
        <v>390</v>
      </c>
      <c r="B45" s="20" t="s">
        <v>387</v>
      </c>
      <c r="C45" s="20" t="s">
        <v>329</v>
      </c>
      <c r="D45" s="20" t="s">
        <v>365</v>
      </c>
      <c r="E45" s="72"/>
    </row>
    <row r="46" spans="1:5" x14ac:dyDescent="0.2">
      <c r="A46" s="20" t="s">
        <v>391</v>
      </c>
      <c r="B46" s="20" t="s">
        <v>392</v>
      </c>
      <c r="C46" s="20" t="s">
        <v>329</v>
      </c>
      <c r="D46" s="20" t="s">
        <v>359</v>
      </c>
      <c r="E46" s="72"/>
    </row>
    <row r="47" spans="1:5" x14ac:dyDescent="0.2">
      <c r="A47" s="20" t="s">
        <v>393</v>
      </c>
      <c r="B47" s="20" t="s">
        <v>392</v>
      </c>
      <c r="C47" s="20" t="s">
        <v>329</v>
      </c>
      <c r="D47" s="20" t="s">
        <v>361</v>
      </c>
      <c r="E47" s="72"/>
    </row>
    <row r="48" spans="1:5" x14ac:dyDescent="0.2">
      <c r="A48" s="20" t="s">
        <v>394</v>
      </c>
      <c r="B48" s="20" t="s">
        <v>392</v>
      </c>
      <c r="C48" s="20" t="s">
        <v>329</v>
      </c>
      <c r="D48" s="20" t="s">
        <v>363</v>
      </c>
      <c r="E48" s="72"/>
    </row>
    <row r="49" spans="1:5" x14ac:dyDescent="0.2">
      <c r="A49" s="20" t="s">
        <v>395</v>
      </c>
      <c r="B49" s="20" t="s">
        <v>392</v>
      </c>
      <c r="C49" s="20" t="s">
        <v>329</v>
      </c>
      <c r="D49" s="20" t="s">
        <v>365</v>
      </c>
      <c r="E49" s="72"/>
    </row>
    <row r="50" spans="1:5" x14ac:dyDescent="0.2">
      <c r="A50" s="20" t="s">
        <v>396</v>
      </c>
      <c r="B50" s="20" t="s">
        <v>397</v>
      </c>
      <c r="C50" s="20" t="s">
        <v>329</v>
      </c>
      <c r="D50" s="20" t="s">
        <v>398</v>
      </c>
      <c r="E50" s="72"/>
    </row>
    <row r="51" spans="1:5" x14ac:dyDescent="0.2">
      <c r="A51" s="20" t="s">
        <v>399</v>
      </c>
      <c r="B51" s="20" t="s">
        <v>400</v>
      </c>
      <c r="C51" s="20" t="s">
        <v>322</v>
      </c>
      <c r="D51" s="20" t="s">
        <v>398</v>
      </c>
      <c r="E51" s="72"/>
    </row>
    <row r="52" spans="1:5" x14ac:dyDescent="0.2">
      <c r="A52" s="20" t="s">
        <v>401</v>
      </c>
      <c r="B52" s="20" t="s">
        <v>402</v>
      </c>
      <c r="C52" s="20" t="s">
        <v>329</v>
      </c>
      <c r="D52" s="20" t="s">
        <v>403</v>
      </c>
      <c r="E52" s="72"/>
    </row>
    <row r="53" spans="1:5" x14ac:dyDescent="0.2">
      <c r="A53" s="20" t="s">
        <v>404</v>
      </c>
      <c r="B53" s="20" t="s">
        <v>402</v>
      </c>
      <c r="C53" s="20" t="s">
        <v>329</v>
      </c>
      <c r="D53" s="20" t="s">
        <v>405</v>
      </c>
      <c r="E53" s="72"/>
    </row>
    <row r="54" spans="1:5" x14ac:dyDescent="0.2">
      <c r="A54" s="20" t="s">
        <v>406</v>
      </c>
      <c r="B54" s="20" t="s">
        <v>402</v>
      </c>
      <c r="C54" s="20" t="s">
        <v>329</v>
      </c>
      <c r="D54" s="20" t="s">
        <v>407</v>
      </c>
      <c r="E54" s="72"/>
    </row>
    <row r="55" spans="1:5" x14ac:dyDescent="0.2">
      <c r="A55" s="20" t="s">
        <v>408</v>
      </c>
      <c r="B55" s="20" t="s">
        <v>402</v>
      </c>
      <c r="C55" s="20" t="s">
        <v>329</v>
      </c>
      <c r="D55" s="20" t="s">
        <v>409</v>
      </c>
      <c r="E55" s="72"/>
    </row>
    <row r="56" spans="1:5" x14ac:dyDescent="0.2">
      <c r="A56" s="20" t="s">
        <v>410</v>
      </c>
      <c r="B56" s="20" t="s">
        <v>411</v>
      </c>
      <c r="C56" s="20" t="s">
        <v>329</v>
      </c>
      <c r="D56" s="20" t="s">
        <v>403</v>
      </c>
      <c r="E56" s="72"/>
    </row>
    <row r="57" spans="1:5" x14ac:dyDescent="0.2">
      <c r="A57" s="20" t="s">
        <v>412</v>
      </c>
      <c r="B57" s="20" t="s">
        <v>411</v>
      </c>
      <c r="C57" s="20" t="s">
        <v>329</v>
      </c>
      <c r="D57" s="20" t="s">
        <v>405</v>
      </c>
      <c r="E57" s="72"/>
    </row>
    <row r="58" spans="1:5" x14ac:dyDescent="0.2">
      <c r="A58" s="20" t="s">
        <v>413</v>
      </c>
      <c r="B58" s="20" t="s">
        <v>411</v>
      </c>
      <c r="C58" s="20" t="s">
        <v>329</v>
      </c>
      <c r="D58" s="20" t="s">
        <v>407</v>
      </c>
      <c r="E58" s="72"/>
    </row>
    <row r="59" spans="1:5" x14ac:dyDescent="0.2">
      <c r="A59" s="20" t="s">
        <v>414</v>
      </c>
      <c r="B59" s="20" t="s">
        <v>411</v>
      </c>
      <c r="C59" s="20" t="s">
        <v>329</v>
      </c>
      <c r="D59" s="20" t="s">
        <v>409</v>
      </c>
      <c r="E59" s="72"/>
    </row>
    <row r="60" spans="1:5" x14ac:dyDescent="0.2">
      <c r="A60" s="20" t="s">
        <v>415</v>
      </c>
      <c r="B60" s="20" t="s">
        <v>416</v>
      </c>
      <c r="C60" s="20" t="s">
        <v>329</v>
      </c>
      <c r="D60" s="20" t="s">
        <v>403</v>
      </c>
      <c r="E60" s="72"/>
    </row>
    <row r="61" spans="1:5" x14ac:dyDescent="0.2">
      <c r="A61" s="20" t="s">
        <v>417</v>
      </c>
      <c r="B61" s="20" t="s">
        <v>416</v>
      </c>
      <c r="C61" s="20" t="s">
        <v>329</v>
      </c>
      <c r="D61" s="20" t="s">
        <v>405</v>
      </c>
      <c r="E61" s="72"/>
    </row>
    <row r="62" spans="1:5" x14ac:dyDescent="0.2">
      <c r="A62" s="20" t="s">
        <v>418</v>
      </c>
      <c r="B62" s="20" t="s">
        <v>416</v>
      </c>
      <c r="C62" s="20" t="s">
        <v>329</v>
      </c>
      <c r="D62" s="20" t="s">
        <v>407</v>
      </c>
      <c r="E62" s="72"/>
    </row>
    <row r="63" spans="1:5" x14ac:dyDescent="0.2">
      <c r="A63" s="20" t="s">
        <v>419</v>
      </c>
      <c r="B63" s="20" t="s">
        <v>416</v>
      </c>
      <c r="C63" s="20" t="s">
        <v>329</v>
      </c>
      <c r="D63" s="20" t="s">
        <v>409</v>
      </c>
      <c r="E63" s="72"/>
    </row>
    <row r="64" spans="1:5" x14ac:dyDescent="0.2">
      <c r="A64" s="20" t="s">
        <v>420</v>
      </c>
      <c r="B64" s="20" t="s">
        <v>421</v>
      </c>
      <c r="C64" s="20" t="s">
        <v>329</v>
      </c>
      <c r="D64" s="20" t="s">
        <v>403</v>
      </c>
      <c r="E64" s="72"/>
    </row>
    <row r="65" spans="1:5" x14ac:dyDescent="0.2">
      <c r="A65" s="20" t="s">
        <v>422</v>
      </c>
      <c r="B65" s="20" t="s">
        <v>421</v>
      </c>
      <c r="C65" s="20" t="s">
        <v>329</v>
      </c>
      <c r="D65" s="20" t="s">
        <v>405</v>
      </c>
      <c r="E65" s="72"/>
    </row>
    <row r="66" spans="1:5" x14ac:dyDescent="0.2">
      <c r="A66" s="20" t="s">
        <v>423</v>
      </c>
      <c r="B66" s="20" t="s">
        <v>421</v>
      </c>
      <c r="C66" s="20" t="s">
        <v>329</v>
      </c>
      <c r="D66" s="20" t="s">
        <v>407</v>
      </c>
      <c r="E66" s="72"/>
    </row>
    <row r="67" spans="1:5" x14ac:dyDescent="0.2">
      <c r="A67" s="20" t="s">
        <v>424</v>
      </c>
      <c r="B67" s="20" t="s">
        <v>421</v>
      </c>
      <c r="C67" s="20" t="s">
        <v>329</v>
      </c>
      <c r="D67" s="20" t="s">
        <v>409</v>
      </c>
      <c r="E67" s="72"/>
    </row>
    <row r="68" spans="1:5" x14ac:dyDescent="0.2">
      <c r="A68" s="20" t="s">
        <v>425</v>
      </c>
      <c r="B68" s="20" t="s">
        <v>426</v>
      </c>
      <c r="C68" s="20" t="s">
        <v>329</v>
      </c>
      <c r="D68" s="20" t="s">
        <v>403</v>
      </c>
      <c r="E68" s="72"/>
    </row>
    <row r="69" spans="1:5" x14ac:dyDescent="0.2">
      <c r="A69" s="20" t="s">
        <v>427</v>
      </c>
      <c r="B69" s="20" t="s">
        <v>426</v>
      </c>
      <c r="C69" s="20" t="s">
        <v>329</v>
      </c>
      <c r="D69" s="20" t="s">
        <v>405</v>
      </c>
      <c r="E69" s="72"/>
    </row>
    <row r="70" spans="1:5" x14ac:dyDescent="0.2">
      <c r="A70" s="20" t="s">
        <v>428</v>
      </c>
      <c r="B70" s="20" t="s">
        <v>426</v>
      </c>
      <c r="C70" s="20" t="s">
        <v>329</v>
      </c>
      <c r="D70" s="20" t="s">
        <v>407</v>
      </c>
      <c r="E70" s="72"/>
    </row>
    <row r="71" spans="1:5" x14ac:dyDescent="0.2">
      <c r="A71" s="20" t="s">
        <v>429</v>
      </c>
      <c r="B71" s="20" t="s">
        <v>426</v>
      </c>
      <c r="C71" s="20" t="s">
        <v>329</v>
      </c>
      <c r="D71" s="20" t="s">
        <v>409</v>
      </c>
      <c r="E71" s="72"/>
    </row>
    <row r="72" spans="1:5" x14ac:dyDescent="0.2">
      <c r="A72" s="20" t="s">
        <v>430</v>
      </c>
      <c r="B72" s="20" t="s">
        <v>431</v>
      </c>
      <c r="C72" s="20" t="s">
        <v>329</v>
      </c>
      <c r="D72" s="20" t="s">
        <v>403</v>
      </c>
      <c r="E72" s="72"/>
    </row>
    <row r="73" spans="1:5" x14ac:dyDescent="0.2">
      <c r="A73" s="20" t="s">
        <v>432</v>
      </c>
      <c r="B73" s="20" t="s">
        <v>431</v>
      </c>
      <c r="C73" s="20" t="s">
        <v>329</v>
      </c>
      <c r="D73" s="20" t="s">
        <v>405</v>
      </c>
      <c r="E73" s="72"/>
    </row>
    <row r="74" spans="1:5" x14ac:dyDescent="0.2">
      <c r="A74" s="20" t="s">
        <v>433</v>
      </c>
      <c r="B74" s="20" t="s">
        <v>431</v>
      </c>
      <c r="C74" s="20" t="s">
        <v>329</v>
      </c>
      <c r="D74" s="20" t="s">
        <v>407</v>
      </c>
      <c r="E74" s="72"/>
    </row>
    <row r="75" spans="1:5" x14ac:dyDescent="0.2">
      <c r="A75" s="20" t="s">
        <v>434</v>
      </c>
      <c r="B75" s="20" t="s">
        <v>431</v>
      </c>
      <c r="C75" s="20" t="s">
        <v>329</v>
      </c>
      <c r="D75" s="20" t="s">
        <v>409</v>
      </c>
      <c r="E75" s="72"/>
    </row>
    <row r="76" spans="1:5" x14ac:dyDescent="0.2">
      <c r="A76" s="20" t="s">
        <v>435</v>
      </c>
      <c r="B76" s="20" t="s">
        <v>328</v>
      </c>
      <c r="C76" s="20" t="s">
        <v>329</v>
      </c>
      <c r="D76" s="20" t="s">
        <v>403</v>
      </c>
      <c r="E76" s="72"/>
    </row>
    <row r="77" spans="1:5" x14ac:dyDescent="0.2">
      <c r="A77" s="20" t="s">
        <v>436</v>
      </c>
      <c r="B77" s="20" t="s">
        <v>328</v>
      </c>
      <c r="C77" s="20" t="s">
        <v>329</v>
      </c>
      <c r="D77" s="20" t="s">
        <v>405</v>
      </c>
      <c r="E77" s="72"/>
    </row>
    <row r="78" spans="1:5" x14ac:dyDescent="0.2">
      <c r="A78" s="20" t="s">
        <v>437</v>
      </c>
      <c r="B78" s="20" t="s">
        <v>328</v>
      </c>
      <c r="C78" s="20" t="s">
        <v>329</v>
      </c>
      <c r="D78" s="20" t="s">
        <v>407</v>
      </c>
      <c r="E78" s="72"/>
    </row>
    <row r="79" spans="1:5" x14ac:dyDescent="0.2">
      <c r="A79" s="20" t="s">
        <v>438</v>
      </c>
      <c r="B79" s="20" t="s">
        <v>328</v>
      </c>
      <c r="C79" s="20" t="s">
        <v>329</v>
      </c>
      <c r="D79" s="20" t="s">
        <v>409</v>
      </c>
      <c r="E79" s="72"/>
    </row>
    <row r="80" spans="1:5" x14ac:dyDescent="0.2">
      <c r="A80" s="20" t="s">
        <v>439</v>
      </c>
      <c r="B80" s="20" t="s">
        <v>440</v>
      </c>
      <c r="C80" s="20" t="s">
        <v>329</v>
      </c>
      <c r="D80" s="20" t="s">
        <v>403</v>
      </c>
      <c r="E80" s="72"/>
    </row>
    <row r="81" spans="1:5" x14ac:dyDescent="0.2">
      <c r="A81" s="20" t="s">
        <v>441</v>
      </c>
      <c r="B81" s="20" t="s">
        <v>440</v>
      </c>
      <c r="C81" s="20" t="s">
        <v>329</v>
      </c>
      <c r="D81" s="20" t="s">
        <v>405</v>
      </c>
      <c r="E81" s="72"/>
    </row>
    <row r="82" spans="1:5" x14ac:dyDescent="0.2">
      <c r="A82" s="20" t="s">
        <v>442</v>
      </c>
      <c r="B82" s="20" t="s">
        <v>440</v>
      </c>
      <c r="C82" s="20" t="s">
        <v>329</v>
      </c>
      <c r="D82" s="20" t="s">
        <v>407</v>
      </c>
      <c r="E82" s="72"/>
    </row>
    <row r="83" spans="1:5" x14ac:dyDescent="0.2">
      <c r="A83" s="20" t="s">
        <v>443</v>
      </c>
      <c r="B83" s="20" t="s">
        <v>440</v>
      </c>
      <c r="C83" s="20" t="s">
        <v>329</v>
      </c>
      <c r="D83" s="20" t="s">
        <v>409</v>
      </c>
      <c r="E83" s="72"/>
    </row>
    <row r="84" spans="1:5" x14ac:dyDescent="0.2">
      <c r="A84" s="20" t="s">
        <v>444</v>
      </c>
      <c r="B84" s="20" t="s">
        <v>445</v>
      </c>
      <c r="C84" s="20" t="s">
        <v>329</v>
      </c>
      <c r="D84" s="20" t="s">
        <v>403</v>
      </c>
      <c r="E84" s="72"/>
    </row>
    <row r="85" spans="1:5" x14ac:dyDescent="0.2">
      <c r="A85" s="20" t="s">
        <v>446</v>
      </c>
      <c r="B85" s="20" t="s">
        <v>445</v>
      </c>
      <c r="C85" s="20" t="s">
        <v>329</v>
      </c>
      <c r="D85" s="20" t="s">
        <v>405</v>
      </c>
      <c r="E85" s="72"/>
    </row>
    <row r="86" spans="1:5" x14ac:dyDescent="0.2">
      <c r="A86" s="20" t="s">
        <v>447</v>
      </c>
      <c r="B86" s="20" t="s">
        <v>445</v>
      </c>
      <c r="C86" s="20" t="s">
        <v>329</v>
      </c>
      <c r="D86" s="20" t="s">
        <v>407</v>
      </c>
      <c r="E86" s="72"/>
    </row>
    <row r="87" spans="1:5" x14ac:dyDescent="0.2">
      <c r="A87" s="20" t="s">
        <v>448</v>
      </c>
      <c r="B87" s="20" t="s">
        <v>445</v>
      </c>
      <c r="C87" s="20" t="s">
        <v>329</v>
      </c>
      <c r="D87" s="20" t="s">
        <v>409</v>
      </c>
      <c r="E87" s="72"/>
    </row>
    <row r="88" spans="1:5" x14ac:dyDescent="0.2">
      <c r="A88" s="20" t="s">
        <v>449</v>
      </c>
      <c r="B88" s="20" t="s">
        <v>450</v>
      </c>
      <c r="C88" s="20" t="s">
        <v>334</v>
      </c>
      <c r="D88" s="20" t="s">
        <v>335</v>
      </c>
      <c r="E88" s="72"/>
    </row>
    <row r="89" spans="1:5" x14ac:dyDescent="0.2">
      <c r="A89" s="20" t="s">
        <v>451</v>
      </c>
      <c r="B89" s="20" t="s">
        <v>450</v>
      </c>
      <c r="C89" s="20" t="s">
        <v>334</v>
      </c>
      <c r="D89" s="20" t="s">
        <v>337</v>
      </c>
      <c r="E89" s="72"/>
    </row>
    <row r="90" spans="1:5" x14ac:dyDescent="0.2">
      <c r="A90" s="20" t="s">
        <v>452</v>
      </c>
      <c r="B90" s="20" t="s">
        <v>450</v>
      </c>
      <c r="C90" s="20" t="s">
        <v>334</v>
      </c>
      <c r="D90" s="20" t="s">
        <v>339</v>
      </c>
      <c r="E90" s="72"/>
    </row>
    <row r="91" spans="1:5" x14ac:dyDescent="0.2">
      <c r="A91" s="25" t="s">
        <v>453</v>
      </c>
      <c r="B91" s="25" t="s">
        <v>450</v>
      </c>
      <c r="C91" s="25" t="s">
        <v>334</v>
      </c>
      <c r="D91" s="25" t="s">
        <v>341</v>
      </c>
      <c r="E91" s="77"/>
    </row>
    <row r="92" spans="1:5" x14ac:dyDescent="0.2">
      <c r="A92" s="43" t="s">
        <v>143</v>
      </c>
      <c r="B92" s="44"/>
      <c r="C92" s="44"/>
      <c r="D92" s="44"/>
      <c r="E92" s="87"/>
    </row>
    <row r="94" spans="1:5" x14ac:dyDescent="0.2">
      <c r="A94" s="43" t="s">
        <v>454</v>
      </c>
      <c r="B94" s="44"/>
      <c r="C94" s="44"/>
      <c r="D94" s="44"/>
      <c r="E94" s="87"/>
    </row>
  </sheetData>
  <pageMargins left="0.7" right="0.7" top="0.75" bottom="0.75" header="0.3" footer="0.3"/>
  <pageSetup paperSize="9" scale="65" orientation="landscape" horizontalDpi="4294967295" verticalDpi="4294967295" r:id="rId1"/>
  <headerFooter>
    <oddFooter>&amp;LStichting Openbaar Onderwijs Oost Groningen EA              &amp;ROpmaakdatum: 17-08-2021
Intexso - De Start 5 - Leusden
+31 (33) 2778485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12</vt:i4>
      </vt:variant>
      <vt:variant>
        <vt:lpstr>Benoemde bereiken</vt:lpstr>
      </vt:variant>
      <vt:variant>
        <vt:i4>412</vt:i4>
      </vt:variant>
    </vt:vector>
  </HeadingPairs>
  <TitlesOfParts>
    <vt:vector size="424" baseType="lpstr">
      <vt:lpstr>Omreken</vt:lpstr>
      <vt:lpstr>Categorienormen</vt:lpstr>
      <vt:lpstr>Regulier werk</vt:lpstr>
      <vt:lpstr>Objectinformatie</vt:lpstr>
      <vt:lpstr>Objecten</vt:lpstr>
      <vt:lpstr>Niet-meewerkende objectleiding</vt:lpstr>
      <vt:lpstr>Totaalblad Objecten</vt:lpstr>
      <vt:lpstr>Afroep</vt:lpstr>
      <vt:lpstr>Afroep incidenteel</vt:lpstr>
      <vt:lpstr>Glas</vt:lpstr>
      <vt:lpstr>Glas per locatie</vt:lpstr>
      <vt:lpstr>Totaal</vt:lpstr>
      <vt:lpstr>Afroep!Afdruktitels</vt:lpstr>
      <vt:lpstr>'Afroep incidenteel'!Afdruktitels</vt:lpstr>
      <vt:lpstr>Categorienormen!Afdruktitels</vt:lpstr>
      <vt:lpstr>Glas!Afdruktitels</vt:lpstr>
      <vt:lpstr>'Glas per locatie'!Afdruktitels</vt:lpstr>
      <vt:lpstr>'Niet-meewerkende objectleiding'!Afdruktitels</vt:lpstr>
      <vt:lpstr>Objecten!Afdruktitels</vt:lpstr>
      <vt:lpstr>Objectinformatie!Afdruktitels</vt:lpstr>
      <vt:lpstr>'Regulier werk'!Afdruktitels</vt:lpstr>
      <vt:lpstr>Totaal!Afdruktitels</vt:lpstr>
      <vt:lpstr>'Totaalblad Objecten'!Afdruktitels</vt:lpstr>
      <vt:lpstr>catdw_1_AHB_1</vt:lpstr>
      <vt:lpstr>catdw_1_AHV_40</vt:lpstr>
      <vt:lpstr>catdw_1_AZB_1</vt:lpstr>
      <vt:lpstr>catdw_1_AZV_40</vt:lpstr>
      <vt:lpstr>catdw_1_BHB_1</vt:lpstr>
      <vt:lpstr>catdw_1_BHV_40</vt:lpstr>
      <vt:lpstr>catdw_1_BZB_1</vt:lpstr>
      <vt:lpstr>catdw_1_BZV_40</vt:lpstr>
      <vt:lpstr>catdw_1_EHB_1</vt:lpstr>
      <vt:lpstr>catdw_1_EHV_40</vt:lpstr>
      <vt:lpstr>catdw_1_EZB_1</vt:lpstr>
      <vt:lpstr>catdw_1_EZV_40</vt:lpstr>
      <vt:lpstr>catdw_1_EZV_52</vt:lpstr>
      <vt:lpstr>catdw_1_GHB_1</vt:lpstr>
      <vt:lpstr>catdw_1_GHV_40</vt:lpstr>
      <vt:lpstr>catdw_1_GZV_40</vt:lpstr>
      <vt:lpstr>catdw_1_LHB_1</vt:lpstr>
      <vt:lpstr>catdw_1_LHV_40</vt:lpstr>
      <vt:lpstr>catdw_1_LZB_1</vt:lpstr>
      <vt:lpstr>catdw_1_LZV_40</vt:lpstr>
      <vt:lpstr>catdw_1_PHB_1</vt:lpstr>
      <vt:lpstr>catdw_1_PHV_40</vt:lpstr>
      <vt:lpstr>catdw_1_SHB_1</vt:lpstr>
      <vt:lpstr>catdw_1_SHV_40</vt:lpstr>
      <vt:lpstr>catdw_1_SHV_52</vt:lpstr>
      <vt:lpstr>catdw_1_THB_1</vt:lpstr>
      <vt:lpstr>catdw_1_THV_40</vt:lpstr>
      <vt:lpstr>catdw_1_VHB_1</vt:lpstr>
      <vt:lpstr>catdw_1_VHV_40</vt:lpstr>
      <vt:lpstr>catdw_1_VHV_52</vt:lpstr>
      <vt:lpstr>catdw_1_VZB_1</vt:lpstr>
      <vt:lpstr>catdw_1_VZV_40</vt:lpstr>
      <vt:lpstr>catdw_1_XBB_1</vt:lpstr>
      <vt:lpstr>catfd_1_AHB_1</vt:lpstr>
      <vt:lpstr>catfd_1_AHV_40</vt:lpstr>
      <vt:lpstr>catfd_1_AZB_1</vt:lpstr>
      <vt:lpstr>catfd_1_AZV_40</vt:lpstr>
      <vt:lpstr>catfd_1_BHB_1</vt:lpstr>
      <vt:lpstr>catfd_1_BHV_40</vt:lpstr>
      <vt:lpstr>catfd_1_BZB_1</vt:lpstr>
      <vt:lpstr>catfd_1_BZV_40</vt:lpstr>
      <vt:lpstr>catfd_1_EHB_1</vt:lpstr>
      <vt:lpstr>catfd_1_EHV_40</vt:lpstr>
      <vt:lpstr>catfd_1_EZB_1</vt:lpstr>
      <vt:lpstr>catfd_1_EZV_40</vt:lpstr>
      <vt:lpstr>catfd_1_EZV_52</vt:lpstr>
      <vt:lpstr>catfd_1_GHB_1</vt:lpstr>
      <vt:lpstr>catfd_1_GHV_40</vt:lpstr>
      <vt:lpstr>catfd_1_GZV_40</vt:lpstr>
      <vt:lpstr>catfd_1_LHB_1</vt:lpstr>
      <vt:lpstr>catfd_1_LHV_40</vt:lpstr>
      <vt:lpstr>catfd_1_LZB_1</vt:lpstr>
      <vt:lpstr>catfd_1_LZV_40</vt:lpstr>
      <vt:lpstr>catfd_1_PHB_1</vt:lpstr>
      <vt:lpstr>catfd_1_PHV_40</vt:lpstr>
      <vt:lpstr>catfd_1_SHB_1</vt:lpstr>
      <vt:lpstr>catfd_1_SHV_40</vt:lpstr>
      <vt:lpstr>catfd_1_SHV_52</vt:lpstr>
      <vt:lpstr>catfd_1_THB_1</vt:lpstr>
      <vt:lpstr>catfd_1_THV_40</vt:lpstr>
      <vt:lpstr>catfd_1_VHB_1</vt:lpstr>
      <vt:lpstr>catfd_1_VHV_40</vt:lpstr>
      <vt:lpstr>catfd_1_VHV_52</vt:lpstr>
      <vt:lpstr>catfd_1_VZB_1</vt:lpstr>
      <vt:lpstr>catfd_1_VZV_40</vt:lpstr>
      <vt:lpstr>catfd_1_XBB_1</vt:lpstr>
      <vt:lpstr>catpn_1_AHB_1</vt:lpstr>
      <vt:lpstr>catpn_1_AHV_40</vt:lpstr>
      <vt:lpstr>catpn_1_AZB_1</vt:lpstr>
      <vt:lpstr>catpn_1_AZV_40</vt:lpstr>
      <vt:lpstr>catpn_1_BHB_1</vt:lpstr>
      <vt:lpstr>catpn_1_BHV_40</vt:lpstr>
      <vt:lpstr>catpn_1_BZB_1</vt:lpstr>
      <vt:lpstr>catpn_1_BZV_40</vt:lpstr>
      <vt:lpstr>catpn_1_EHB_1</vt:lpstr>
      <vt:lpstr>catpn_1_EHV_40</vt:lpstr>
      <vt:lpstr>catpn_1_EZB_1</vt:lpstr>
      <vt:lpstr>catpn_1_EZV_40</vt:lpstr>
      <vt:lpstr>catpn_1_EZV_52</vt:lpstr>
      <vt:lpstr>catpn_1_GHB_1</vt:lpstr>
      <vt:lpstr>catpn_1_GHV_40</vt:lpstr>
      <vt:lpstr>catpn_1_GZV_40</vt:lpstr>
      <vt:lpstr>catpn_1_LHB_1</vt:lpstr>
      <vt:lpstr>catpn_1_LHV_40</vt:lpstr>
      <vt:lpstr>catpn_1_LZB_1</vt:lpstr>
      <vt:lpstr>catpn_1_LZV_40</vt:lpstr>
      <vt:lpstr>catpn_1_PHB_1</vt:lpstr>
      <vt:lpstr>catpn_1_PHV_40</vt:lpstr>
      <vt:lpstr>catpn_1_SHB_1</vt:lpstr>
      <vt:lpstr>catpn_1_SHV_40</vt:lpstr>
      <vt:lpstr>catpn_1_SHV_52</vt:lpstr>
      <vt:lpstr>catpn_1_THB_1</vt:lpstr>
      <vt:lpstr>catpn_1_THV_40</vt:lpstr>
      <vt:lpstr>catpn_1_VHB_1</vt:lpstr>
      <vt:lpstr>catpn_1_VHV_40</vt:lpstr>
      <vt:lpstr>catpn_1_VHV_52</vt:lpstr>
      <vt:lpstr>catpn_1_VZB_1</vt:lpstr>
      <vt:lpstr>catpn_1_VZV_40</vt:lpstr>
      <vt:lpstr>catpn_1_XBB_1</vt:lpstr>
      <vt:lpstr>cattf_1_AHB_1</vt:lpstr>
      <vt:lpstr>cattf_1_AHV_40</vt:lpstr>
      <vt:lpstr>cattf_1_AZB_1</vt:lpstr>
      <vt:lpstr>cattf_1_AZV_40</vt:lpstr>
      <vt:lpstr>cattf_1_BHB_1</vt:lpstr>
      <vt:lpstr>cattf_1_BHV_40</vt:lpstr>
      <vt:lpstr>cattf_1_BZB_1</vt:lpstr>
      <vt:lpstr>cattf_1_BZV_40</vt:lpstr>
      <vt:lpstr>cattf_1_EHB_1</vt:lpstr>
      <vt:lpstr>cattf_1_EHV_40</vt:lpstr>
      <vt:lpstr>cattf_1_EZB_1</vt:lpstr>
      <vt:lpstr>cattf_1_EZV_40</vt:lpstr>
      <vt:lpstr>cattf_1_EZV_52</vt:lpstr>
      <vt:lpstr>cattf_1_GHB_1</vt:lpstr>
      <vt:lpstr>cattf_1_GHV_40</vt:lpstr>
      <vt:lpstr>cattf_1_GZV_40</vt:lpstr>
      <vt:lpstr>cattf_1_LHB_1</vt:lpstr>
      <vt:lpstr>cattf_1_LHV_40</vt:lpstr>
      <vt:lpstr>cattf_1_LZB_1</vt:lpstr>
      <vt:lpstr>cattf_1_LZV_40</vt:lpstr>
      <vt:lpstr>cattf_1_PHB_1</vt:lpstr>
      <vt:lpstr>cattf_1_PHV_40</vt:lpstr>
      <vt:lpstr>cattf_1_SHB_1</vt:lpstr>
      <vt:lpstr>cattf_1_SHV_40</vt:lpstr>
      <vt:lpstr>cattf_1_SHV_52</vt:lpstr>
      <vt:lpstr>cattf_1_THB_1</vt:lpstr>
      <vt:lpstr>cattf_1_THV_40</vt:lpstr>
      <vt:lpstr>cattf_1_VHB_1</vt:lpstr>
      <vt:lpstr>cattf_1_VHV_40</vt:lpstr>
      <vt:lpstr>cattf_1_VHV_52</vt:lpstr>
      <vt:lpstr>cattf_1_VZB_1</vt:lpstr>
      <vt:lpstr>cattf_1_VZV_40</vt:lpstr>
      <vt:lpstr>cattf_1_XBB_1</vt:lpstr>
      <vt:lpstr>dagenperjaar1</vt:lpstr>
      <vt:lpstr>dagenperjaar2</vt:lpstr>
      <vt:lpstr>dagenperjaar3</vt:lpstr>
      <vt:lpstr>dagenperjaar4</vt:lpstr>
      <vt:lpstr>dagenperweek1</vt:lpstr>
      <vt:lpstr>dagenperweek2</vt:lpstr>
      <vt:lpstr>dagenperweek3</vt:lpstr>
      <vt:lpstr>dagenperweek4</vt:lpstr>
      <vt:lpstr>dagsoorttabel1</vt:lpstr>
      <vt:lpstr>dagsoorttabel2</vt:lpstr>
      <vt:lpstr>dagsoorttabel3</vt:lpstr>
      <vt:lpstr>dagsoorttabel4</vt:lpstr>
      <vt:lpstr>dagwerk10</vt:lpstr>
      <vt:lpstr>dagwerk11</vt:lpstr>
      <vt:lpstr>dagwerk12</vt:lpstr>
      <vt:lpstr>dagwerk13</vt:lpstr>
      <vt:lpstr>dagwerk14</vt:lpstr>
      <vt:lpstr>dagwerk15</vt:lpstr>
      <vt:lpstr>dagwerk16</vt:lpstr>
      <vt:lpstr>dagwerk17</vt:lpstr>
      <vt:lpstr>dagwerk18</vt:lpstr>
      <vt:lpstr>dagwerk19</vt:lpstr>
      <vt:lpstr>dagwerk20</vt:lpstr>
      <vt:lpstr>dagwerk21</vt:lpstr>
      <vt:lpstr>dagwerk22</vt:lpstr>
      <vt:lpstr>dagwerk23</vt:lpstr>
      <vt:lpstr>dagwerk24</vt:lpstr>
      <vt:lpstr>dagwerk25</vt:lpstr>
      <vt:lpstr>dagwerk26</vt:lpstr>
      <vt:lpstr>dagwerk27</vt:lpstr>
      <vt:lpstr>dagwerk28</vt:lpstr>
      <vt:lpstr>dagwerk29</vt:lpstr>
      <vt:lpstr>dagwerk30</vt:lpstr>
      <vt:lpstr>dagwerk31</vt:lpstr>
      <vt:lpstr>dagwerk32</vt:lpstr>
      <vt:lpstr>dagwerk33</vt:lpstr>
      <vt:lpstr>dagwerk34</vt:lpstr>
      <vt:lpstr>dagwerk35</vt:lpstr>
      <vt:lpstr>dagwerk36</vt:lpstr>
      <vt:lpstr>dagwerk37</vt:lpstr>
      <vt:lpstr>dagwerk38</vt:lpstr>
      <vt:lpstr>dagwerk6</vt:lpstr>
      <vt:lpstr>dagwerk7</vt:lpstr>
      <vt:lpstr>dagwerk8</vt:lpstr>
      <vt:lpstr>dagwerk9</vt:lpstr>
      <vt:lpstr>dagwerktabel1</vt:lpstr>
      <vt:lpstr>gemuurtarief1</vt:lpstr>
      <vt:lpstr>kengetaltabel1</vt:lpstr>
      <vt:lpstr>object1_opptabel1</vt:lpstr>
      <vt:lpstr>object10_opptabel1</vt:lpstr>
      <vt:lpstr>object11_opptabel1</vt:lpstr>
      <vt:lpstr>object12_opptabel1</vt:lpstr>
      <vt:lpstr>object13_opptabel1</vt:lpstr>
      <vt:lpstr>object14_opptabel1</vt:lpstr>
      <vt:lpstr>object15_opptabel1</vt:lpstr>
      <vt:lpstr>object16_opptabel1</vt:lpstr>
      <vt:lpstr>object17_opptabel1</vt:lpstr>
      <vt:lpstr>object18_opptabel1</vt:lpstr>
      <vt:lpstr>object2_opptabel1</vt:lpstr>
      <vt:lpstr>object3_opptabel1</vt:lpstr>
      <vt:lpstr>object4_opptabel1</vt:lpstr>
      <vt:lpstr>object5_opptabel1</vt:lpstr>
      <vt:lpstr>object6_opptabel1</vt:lpstr>
      <vt:lpstr>object7_opptabel1</vt:lpstr>
      <vt:lpstr>object8_opptabel1</vt:lpstr>
      <vt:lpstr>object9_opptabel1</vt:lpstr>
      <vt:lpstr>objectprijs1_1</vt:lpstr>
      <vt:lpstr>objectprijs10_1</vt:lpstr>
      <vt:lpstr>objectprijs11_1</vt:lpstr>
      <vt:lpstr>objectprijs12_1</vt:lpstr>
      <vt:lpstr>objectprijs13_1</vt:lpstr>
      <vt:lpstr>objectprijs14_1</vt:lpstr>
      <vt:lpstr>objectprijs15_1</vt:lpstr>
      <vt:lpstr>objectprijs16_1</vt:lpstr>
      <vt:lpstr>objectprijs17_1</vt:lpstr>
      <vt:lpstr>objectprijs18_1</vt:lpstr>
      <vt:lpstr>objectprijs2_1</vt:lpstr>
      <vt:lpstr>objectprijs3_1</vt:lpstr>
      <vt:lpstr>objectprijs4_1</vt:lpstr>
      <vt:lpstr>objectprijs5_1</vt:lpstr>
      <vt:lpstr>objectprijs6_1</vt:lpstr>
      <vt:lpstr>objectprijs7_1</vt:lpstr>
      <vt:lpstr>objectprijs8_1</vt:lpstr>
      <vt:lpstr>objectprijs9_1</vt:lpstr>
      <vt:lpstr>objecturen1_1</vt:lpstr>
      <vt:lpstr>objecturen10_1</vt:lpstr>
      <vt:lpstr>objecturen11_1</vt:lpstr>
      <vt:lpstr>objecturen12_1</vt:lpstr>
      <vt:lpstr>objecturen13_1</vt:lpstr>
      <vt:lpstr>objecturen14_1</vt:lpstr>
      <vt:lpstr>objecturen15_1</vt:lpstr>
      <vt:lpstr>objecturen16_1</vt:lpstr>
      <vt:lpstr>objecturen17_1</vt:lpstr>
      <vt:lpstr>objecturen18_1</vt:lpstr>
      <vt:lpstr>objecturen2_1</vt:lpstr>
      <vt:lpstr>objecturen3_1</vt:lpstr>
      <vt:lpstr>objecturen4_1</vt:lpstr>
      <vt:lpstr>objecturen5_1</vt:lpstr>
      <vt:lpstr>objecturen6_1</vt:lpstr>
      <vt:lpstr>objecturen7_1</vt:lpstr>
      <vt:lpstr>objecturen8_1</vt:lpstr>
      <vt:lpstr>objecturen9_1</vt:lpstr>
      <vt:lpstr>objecturenhf1_1</vt:lpstr>
      <vt:lpstr>objecturenhf10_1</vt:lpstr>
      <vt:lpstr>objecturenhf11_1</vt:lpstr>
      <vt:lpstr>objecturenhf12_1</vt:lpstr>
      <vt:lpstr>objecturenhf13_1</vt:lpstr>
      <vt:lpstr>objecturenhf14_1</vt:lpstr>
      <vt:lpstr>objecturenhf15_1</vt:lpstr>
      <vt:lpstr>objecturenhf16_1</vt:lpstr>
      <vt:lpstr>objecturenhf17_1</vt:lpstr>
      <vt:lpstr>objecturenhf18_1</vt:lpstr>
      <vt:lpstr>objecturenhf2_1</vt:lpstr>
      <vt:lpstr>objecturenhf3_1</vt:lpstr>
      <vt:lpstr>objecturenhf4_1</vt:lpstr>
      <vt:lpstr>objecturenhf5_1</vt:lpstr>
      <vt:lpstr>objecturenhf6_1</vt:lpstr>
      <vt:lpstr>objecturenhf7_1</vt:lpstr>
      <vt:lpstr>objecturenhf8_1</vt:lpstr>
      <vt:lpstr>objecturenhf9_1</vt:lpstr>
      <vt:lpstr>prijsdag1</vt:lpstr>
      <vt:lpstr>prijsjaar</vt:lpstr>
      <vt:lpstr>prijsjaar1</vt:lpstr>
      <vt:lpstr>prijsjaarafroep</vt:lpstr>
      <vt:lpstr>prijsjaarafroep1</vt:lpstr>
      <vt:lpstr>prijsjaarglas</vt:lpstr>
      <vt:lpstr>prijsjaarglas1</vt:lpstr>
      <vt:lpstr>prijsjaarnietmeewerkend</vt:lpstr>
      <vt:lpstr>prijsjaartotaal</vt:lpstr>
      <vt:lpstr>prijsjaartotaal1</vt:lpstr>
      <vt:lpstr>prijsjaartotaaloverzicht</vt:lpstr>
      <vt:lpstr>prijsmaandtotaal1</vt:lpstr>
      <vt:lpstr>prodnorm10</vt:lpstr>
      <vt:lpstr>prodnorm11</vt:lpstr>
      <vt:lpstr>prodnorm12</vt:lpstr>
      <vt:lpstr>prodnorm13</vt:lpstr>
      <vt:lpstr>prodnorm14</vt:lpstr>
      <vt:lpstr>prodnorm15</vt:lpstr>
      <vt:lpstr>prodnorm16</vt:lpstr>
      <vt:lpstr>prodnorm17</vt:lpstr>
      <vt:lpstr>prodnorm18</vt:lpstr>
      <vt:lpstr>prodnorm19</vt:lpstr>
      <vt:lpstr>prodnorm20</vt:lpstr>
      <vt:lpstr>prodnorm21</vt:lpstr>
      <vt:lpstr>prodnorm22</vt:lpstr>
      <vt:lpstr>prodnorm23</vt:lpstr>
      <vt:lpstr>prodnorm24</vt:lpstr>
      <vt:lpstr>prodnorm25</vt:lpstr>
      <vt:lpstr>prodnorm26</vt:lpstr>
      <vt:lpstr>prodnorm27</vt:lpstr>
      <vt:lpstr>prodnorm28</vt:lpstr>
      <vt:lpstr>prodnorm29</vt:lpstr>
      <vt:lpstr>prodnorm30</vt:lpstr>
      <vt:lpstr>prodnorm31</vt:lpstr>
      <vt:lpstr>prodnorm32</vt:lpstr>
      <vt:lpstr>prodnorm33</vt:lpstr>
      <vt:lpstr>prodnorm34</vt:lpstr>
      <vt:lpstr>prodnorm35</vt:lpstr>
      <vt:lpstr>prodnorm36</vt:lpstr>
      <vt:lpstr>prodnorm37</vt:lpstr>
      <vt:lpstr>prodnorm38</vt:lpstr>
      <vt:lpstr>prodnorm6</vt:lpstr>
      <vt:lpstr>prodnorm7</vt:lpstr>
      <vt:lpstr>prodnorm8</vt:lpstr>
      <vt:lpstr>prodnorm9</vt:lpstr>
      <vt:lpstr>taakfreqtabel1</vt:lpstr>
      <vt:lpstr>tabeltype</vt:lpstr>
      <vt:lpstr>tarieftabel1</vt:lpstr>
      <vt:lpstr>tzpjt1</vt:lpstr>
      <vt:lpstr>tzpjt1_1</vt:lpstr>
      <vt:lpstr>tzpjt10_1</vt:lpstr>
      <vt:lpstr>tzpjt11_1</vt:lpstr>
      <vt:lpstr>tzpjt12_1</vt:lpstr>
      <vt:lpstr>tzpjt13_1</vt:lpstr>
      <vt:lpstr>tzpjt14_1</vt:lpstr>
      <vt:lpstr>tzpjt15_1</vt:lpstr>
      <vt:lpstr>tzpjt16_1</vt:lpstr>
      <vt:lpstr>tzpjt17_1</vt:lpstr>
      <vt:lpstr>tzpjt18_1</vt:lpstr>
      <vt:lpstr>tzpjt2_1</vt:lpstr>
      <vt:lpstr>tzpjt3_1</vt:lpstr>
      <vt:lpstr>tzpjt4_1</vt:lpstr>
      <vt:lpstr>tzpjt5_1</vt:lpstr>
      <vt:lpstr>tzpjt6_1</vt:lpstr>
      <vt:lpstr>tzpjt7_1</vt:lpstr>
      <vt:lpstr>tzpjt8_1</vt:lpstr>
      <vt:lpstr>tzpjt9_1</vt:lpstr>
      <vt:lpstr>tzpmt1</vt:lpstr>
      <vt:lpstr>tzpmt1_1</vt:lpstr>
      <vt:lpstr>tzpmt10_1</vt:lpstr>
      <vt:lpstr>tzpmt11_1</vt:lpstr>
      <vt:lpstr>tzpmt12_1</vt:lpstr>
      <vt:lpstr>tzpmt13_1</vt:lpstr>
      <vt:lpstr>tzpmt14_1</vt:lpstr>
      <vt:lpstr>tzpmt15_1</vt:lpstr>
      <vt:lpstr>tzpmt16_1</vt:lpstr>
      <vt:lpstr>tzpmt17_1</vt:lpstr>
      <vt:lpstr>tzpmt18_1</vt:lpstr>
      <vt:lpstr>tzpmt2_1</vt:lpstr>
      <vt:lpstr>tzpmt3_1</vt:lpstr>
      <vt:lpstr>tzpmt4_1</vt:lpstr>
      <vt:lpstr>tzpmt5_1</vt:lpstr>
      <vt:lpstr>tzpmt6_1</vt:lpstr>
      <vt:lpstr>tzpmt7_1</vt:lpstr>
      <vt:lpstr>tzpmt8_1</vt:lpstr>
      <vt:lpstr>tzpmt9_1</vt:lpstr>
      <vt:lpstr>tzujt1</vt:lpstr>
      <vt:lpstr>tzujt1_1</vt:lpstr>
      <vt:lpstr>tzujt10_1</vt:lpstr>
      <vt:lpstr>tzujt11_1</vt:lpstr>
      <vt:lpstr>tzujt12_1</vt:lpstr>
      <vt:lpstr>tzujt13_1</vt:lpstr>
      <vt:lpstr>tzujt14_1</vt:lpstr>
      <vt:lpstr>tzujt15_1</vt:lpstr>
      <vt:lpstr>tzujt16_1</vt:lpstr>
      <vt:lpstr>tzujt17_1</vt:lpstr>
      <vt:lpstr>tzujt18_1</vt:lpstr>
      <vt:lpstr>tzujt2_1</vt:lpstr>
      <vt:lpstr>tzujt3_1</vt:lpstr>
      <vt:lpstr>tzujt4_1</vt:lpstr>
      <vt:lpstr>tzujt5_1</vt:lpstr>
      <vt:lpstr>tzujt6_1</vt:lpstr>
      <vt:lpstr>tzujt7_1</vt:lpstr>
      <vt:lpstr>tzujt8_1</vt:lpstr>
      <vt:lpstr>tzujt9_1</vt:lpstr>
      <vt:lpstr>urendag1</vt:lpstr>
      <vt:lpstr>urenjaar</vt:lpstr>
      <vt:lpstr>urenjaar1</vt:lpstr>
      <vt:lpstr>urenjaarnietmeewerkend</vt:lpstr>
      <vt:lpstr>urenjaartotaal</vt:lpstr>
      <vt:lpstr>urenjaartotaal1</vt:lpstr>
      <vt:lpstr>urenjaartotaalhf</vt:lpstr>
      <vt:lpstr>urenjaartotaalhf1</vt:lpstr>
      <vt:lpstr>urenjaartotaaloverzicht</vt:lpstr>
      <vt:lpstr>urenjaartotaaloverzichthf</vt:lpstr>
      <vt:lpstr>uurfactortabel1</vt:lpstr>
      <vt:lpstr>uurtarief10</vt:lpstr>
      <vt:lpstr>uurtarief11</vt:lpstr>
      <vt:lpstr>uurtarief12</vt:lpstr>
      <vt:lpstr>uurtarief13</vt:lpstr>
      <vt:lpstr>uurtarief14</vt:lpstr>
      <vt:lpstr>uurtarief15</vt:lpstr>
      <vt:lpstr>uurtarief16</vt:lpstr>
      <vt:lpstr>uurtarief17</vt:lpstr>
      <vt:lpstr>uurtarief18</vt:lpstr>
      <vt:lpstr>uurtarief19</vt:lpstr>
      <vt:lpstr>uurtarief20</vt:lpstr>
      <vt:lpstr>uurtarief21</vt:lpstr>
      <vt:lpstr>uurtarief22</vt:lpstr>
      <vt:lpstr>uurtarief23</vt:lpstr>
      <vt:lpstr>uurtarief24</vt:lpstr>
      <vt:lpstr>uurtarief25</vt:lpstr>
      <vt:lpstr>uurtarief26</vt:lpstr>
      <vt:lpstr>uurtarief27</vt:lpstr>
      <vt:lpstr>uurtarief28</vt:lpstr>
      <vt:lpstr>uurtarief29</vt:lpstr>
      <vt:lpstr>uurtarief30</vt:lpstr>
      <vt:lpstr>uurtarief31</vt:lpstr>
      <vt:lpstr>uurtarief32</vt:lpstr>
      <vt:lpstr>uurtarief33</vt:lpstr>
      <vt:lpstr>uurtarief34</vt:lpstr>
      <vt:lpstr>uurtarief35</vt:lpstr>
      <vt:lpstr>uurtarief36</vt:lpstr>
      <vt:lpstr>uurtarief37</vt:lpstr>
      <vt:lpstr>uurtarief38</vt:lpstr>
      <vt:lpstr>uurtarief6</vt:lpstr>
      <vt:lpstr>uurtarief7</vt:lpstr>
      <vt:lpstr>uurtarief8</vt:lpstr>
      <vt:lpstr>uurtarief9</vt:lpstr>
    </vt:vector>
  </TitlesOfParts>
  <Company>Intexso Adviesbureau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Maaike Schmelling</dc:creator>
  <cp:lastModifiedBy>Maaike Schmelling</cp:lastModifiedBy>
  <dcterms:created xsi:type="dcterms:W3CDTF">2021-08-17T13:10:28Z</dcterms:created>
  <dcterms:modified xsi:type="dcterms:W3CDTF">2021-08-17T13:30:54Z</dcterms:modified>
</cp:coreProperties>
</file>