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Stichting Openbaar Onderwijs Oost Groningen\Aanbesteding 2021\"/>
    </mc:Choice>
  </mc:AlternateContent>
  <xr:revisionPtr revIDLastSave="0" documentId="13_ncr:1_{ACC4A83F-850F-4839-9103-76B40C91FF86}" xr6:coauthVersionLast="45" xr6:coauthVersionMax="45" xr10:uidLastSave="{00000000-0000-0000-0000-000000000000}"/>
  <bookViews>
    <workbookView xWindow="4935" yWindow="405" windowWidth="23040" windowHeight="12195" firstSheet="7" activeTab="12" xr2:uid="{7D5FFE76-1701-42E7-A8A2-64C1B9DBBFE5}"/>
  </bookViews>
  <sheets>
    <sheet name="Omreken" sheetId="1" r:id="rId1"/>
    <sheet name="Categorienormen" sheetId="2" r:id="rId2"/>
    <sheet name="Regulier werk" sheetId="3" r:id="rId3"/>
    <sheet name="Ruimten werkdag" sheetId="4" r:id="rId4"/>
    <sheet name="Objectinformatie" sheetId="5" r:id="rId5"/>
    <sheet name="Objecten" sheetId="6" r:id="rId6"/>
    <sheet name="Niet-meewerkende objectleiding" sheetId="7" r:id="rId7"/>
    <sheet name="Totaalblad Objecten" sheetId="8" r:id="rId8"/>
    <sheet name="Afroep" sheetId="9" r:id="rId9"/>
    <sheet name="Afroep incidenteel" sheetId="10" r:id="rId10"/>
    <sheet name="Glas" sheetId="11" r:id="rId11"/>
    <sheet name="Glas per locatie" sheetId="12" r:id="rId12"/>
    <sheet name="Totaal" sheetId="13" r:id="rId13"/>
  </sheets>
  <definedNames>
    <definedName name="_xlnm.Print_Titles" localSheetId="8">Afroep!$1:$3</definedName>
    <definedName name="_xlnm.Print_Titles" localSheetId="9">'Afroep incidenteel'!$1:$3</definedName>
    <definedName name="_xlnm.Print_Titles" localSheetId="1">Categorienormen!$1:$3</definedName>
    <definedName name="_xlnm.Print_Titles" localSheetId="10">Glas!$1:$3</definedName>
    <definedName name="_xlnm.Print_Titles" localSheetId="11">'Glas per locatie'!$1:$3</definedName>
    <definedName name="_xlnm.Print_Titles" localSheetId="6">'Niet-meewerkende objectleiding'!$1:$3</definedName>
    <definedName name="_xlnm.Print_Titles" localSheetId="5">Objecten!$1:$3</definedName>
    <definedName name="_xlnm.Print_Titles" localSheetId="4">Objectinformatie!$A:$D,Objectinformatie!$1:$4</definedName>
    <definedName name="_xlnm.Print_Titles" localSheetId="2">'Regulier werk'!$1:$3</definedName>
    <definedName name="_xlnm.Print_Titles" localSheetId="3">'Ruimten werkdag'!$1:$3</definedName>
    <definedName name="_xlnm.Print_Titles" localSheetId="12">Totaal!$1:$3</definedName>
    <definedName name="_xlnm.Print_Titles" localSheetId="7">'Totaalblad Objecten'!$1:$3</definedName>
    <definedName name="catdw_1_BZB_1">Categorienormen!$F$8</definedName>
    <definedName name="catdw_1_BZV_40">Categorienormen!$F$10</definedName>
    <definedName name="catdw_1_EZB_1">Categorienormen!$F$16</definedName>
    <definedName name="catdw_1_EZV_40">Categorienormen!$F$18</definedName>
    <definedName name="catdw_1_LHB_1">Categorienormen!$F$6</definedName>
    <definedName name="catdw_1_LHV_40">Categorienormen!$F$7</definedName>
    <definedName name="catdw_1_LZB_1">Categorienormen!$F$9</definedName>
    <definedName name="catdw_1_LZV_40">Categorienormen!$F$11</definedName>
    <definedName name="catdw_1_SHB_1">Categorienormen!$F$12</definedName>
    <definedName name="catdw_1_SHV_40">Categorienormen!$F$13</definedName>
    <definedName name="catdw_1_VHB_1">Categorienormen!$F$14</definedName>
    <definedName name="catdw_1_VHV_40">Categorienormen!$F$15</definedName>
    <definedName name="catdw_1_VZB_1">Categorienormen!$F$17</definedName>
    <definedName name="catdw_1_VZV_40">Categorienormen!$F$19</definedName>
    <definedName name="catdw_1_XBB_1">Categorienormen!$F$20</definedName>
    <definedName name="catfd_1_BZB_1">Categorienormen!$C$8</definedName>
    <definedName name="catfd_1_BZV_40">Categorienormen!$C$10</definedName>
    <definedName name="catfd_1_EZB_1">Categorienormen!$C$16</definedName>
    <definedName name="catfd_1_EZV_40">Categorienormen!$C$18</definedName>
    <definedName name="catfd_1_LHB_1">Categorienormen!$C$6</definedName>
    <definedName name="catfd_1_LHV_40">Categorienormen!$C$7</definedName>
    <definedName name="catfd_1_LZB_1">Categorienormen!$C$9</definedName>
    <definedName name="catfd_1_LZV_40">Categorienormen!$C$11</definedName>
    <definedName name="catfd_1_SHB_1">Categorienormen!$C$12</definedName>
    <definedName name="catfd_1_SHV_40">Categorienormen!$C$13</definedName>
    <definedName name="catfd_1_VHB_1">Categorienormen!$C$14</definedName>
    <definedName name="catfd_1_VHV_40">Categorienormen!$C$15</definedName>
    <definedName name="catfd_1_VZB_1">Categorienormen!$C$17</definedName>
    <definedName name="catfd_1_VZV_40">Categorienormen!$C$19</definedName>
    <definedName name="catfd_1_XBB_1">Categorienormen!$C$20</definedName>
    <definedName name="catpn_1_BZB_1">Categorienormen!$E$8</definedName>
    <definedName name="catpn_1_BZV_40">Categorienormen!$E$10</definedName>
    <definedName name="catpn_1_EZB_1">Categorienormen!$E$16</definedName>
    <definedName name="catpn_1_EZV_40">Categorienormen!$E$18</definedName>
    <definedName name="catpn_1_LHB_1">Categorienormen!$E$6</definedName>
    <definedName name="catpn_1_LHV_40">Categorienormen!$E$7</definedName>
    <definedName name="catpn_1_LZB_1">Categorienormen!$E$9</definedName>
    <definedName name="catpn_1_LZV_40">Categorienormen!$E$11</definedName>
    <definedName name="catpn_1_SHB_1">Categorienormen!$E$12</definedName>
    <definedName name="catpn_1_SHV_40">Categorienormen!$E$13</definedName>
    <definedName name="catpn_1_VHB_1">Categorienormen!$E$14</definedName>
    <definedName name="catpn_1_VHV_40">Categorienormen!$E$15</definedName>
    <definedName name="catpn_1_VZB_1">Categorienormen!$E$17</definedName>
    <definedName name="catpn_1_VZV_40">Categorienormen!$E$19</definedName>
    <definedName name="catpn_1_XBB_1">Categorienormen!$E$20</definedName>
    <definedName name="cattf_1_BZB_1">Categorienormen!$H$8</definedName>
    <definedName name="cattf_1_BZV_40">Categorienormen!$H$10</definedName>
    <definedName name="cattf_1_EZB_1">Categorienormen!$H$16</definedName>
    <definedName name="cattf_1_EZV_40">Categorienormen!$H$18</definedName>
    <definedName name="cattf_1_LHB_1">Categorienormen!$H$6</definedName>
    <definedName name="cattf_1_LHV_40">Categorienormen!$H$7</definedName>
    <definedName name="cattf_1_LZB_1">Categorienormen!$H$9</definedName>
    <definedName name="cattf_1_LZV_40">Categorienormen!$H$11</definedName>
    <definedName name="cattf_1_SHB_1">Categorienormen!$H$12</definedName>
    <definedName name="cattf_1_SHV_40">Categorienormen!$H$13</definedName>
    <definedName name="cattf_1_VHB_1">Categorienormen!$H$14</definedName>
    <definedName name="cattf_1_VHV_40">Categorienormen!$H$15</definedName>
    <definedName name="cattf_1_VZB_1">Categorienormen!$H$17</definedName>
    <definedName name="cattf_1_VZV_40">Categorienormen!$H$19</definedName>
    <definedName name="cattf_1_XBB_1">Categorienormen!$H$20</definedName>
    <definedName name="dagenperjaar1">Omreken!$B$9</definedName>
    <definedName name="dagenperjaar2">Omreken!$E$9</definedName>
    <definedName name="dagenperjaar3">Omreken!$H$9</definedName>
    <definedName name="dagenperjaar4">Omreken!$K$9</definedName>
    <definedName name="dagenperweek1">Omreken!$B$10</definedName>
    <definedName name="dagenperweek2">Omreken!$E$10</definedName>
    <definedName name="dagenperweek3">Omreken!$H$10</definedName>
    <definedName name="dagenperweek4">Omreken!$K$10</definedName>
    <definedName name="dagsoorttabel1">Omreken!$A$13:$B$28</definedName>
    <definedName name="dagsoorttabel2">Omreken!$D$13:$E$24</definedName>
    <definedName name="dagsoorttabel3">Omreken!$G$13:$H$14</definedName>
    <definedName name="dagsoorttabel4">Omreken!$J$13:$K$24</definedName>
    <definedName name="dagwerk10">'Regulier werk'!$H$11</definedName>
    <definedName name="dagwerk11">'Regulier werk'!$H$12</definedName>
    <definedName name="dagwerk12">'Regulier werk'!$H$13</definedName>
    <definedName name="dagwerk13">'Regulier werk'!$H$14</definedName>
    <definedName name="dagwerk14">'Regulier werk'!$H$15</definedName>
    <definedName name="dagwerk15">'Regulier werk'!$H$16</definedName>
    <definedName name="dagwerk5">'Regulier werk'!$H$6</definedName>
    <definedName name="dagwerk6">'Regulier werk'!$H$7</definedName>
    <definedName name="dagwerk7">'Regulier werk'!$H$8</definedName>
    <definedName name="dagwerk8">'Regulier werk'!$H$9</definedName>
    <definedName name="dagwerk9">'Regulier werk'!$H$10</definedName>
    <definedName name="dagwerktabel1">Objectinformatie!$H$5:$H$15</definedName>
    <definedName name="gemuurtarief1">'Regulier werk'!$J$19</definedName>
    <definedName name="kengetaltabel1">Objectinformatie!$G$5:$G$15</definedName>
    <definedName name="object1_gemuurtarief1">'Ruimten werkdag'!$P$28</definedName>
    <definedName name="object1_opptabel1">Objectinformatie!$J$5:$J$15</definedName>
    <definedName name="object1_prijsdag1">'Ruimten werkdag'!$S$28</definedName>
    <definedName name="object1_prijsjaar1">'Ruimten werkdag'!$U$28</definedName>
    <definedName name="object1_urendag1">'Ruimten werkdag'!$Q$28</definedName>
    <definedName name="object1_urendaghf1">'Ruimten werkdag'!$R$28</definedName>
    <definedName name="object1_urenjaar1">'Ruimten werkdag'!$T$28</definedName>
    <definedName name="objectprijs1_1">Objecten!$Q$6</definedName>
    <definedName name="objecturen1_1">Objecten!$P$6</definedName>
    <definedName name="objecturenhf1_1">Objecten!$O$6</definedName>
    <definedName name="prijsdag1">'Regulier werk'!$L$17</definedName>
    <definedName name="prijsjaar">'Regulier werk'!$N$22</definedName>
    <definedName name="prijsjaar1">'Regulier werk'!$N$17</definedName>
    <definedName name="prijsjaarafroep">Afroep!$K$12</definedName>
    <definedName name="prijsjaarafroep1">Afroep!$K$10</definedName>
    <definedName name="prijsjaarglas">Glas!$K$11</definedName>
    <definedName name="prijsjaarglas1">Glas!$K$9</definedName>
    <definedName name="prijsjaarnietmeewerkend">'Niet-meewerkende objectleiding'!$J$18</definedName>
    <definedName name="prijsjaartotaal">Objecten!$Q$10</definedName>
    <definedName name="prijsjaartotaal1">Objecten!$Q$7</definedName>
    <definedName name="prijsjaartotaaloverzicht">'Totaalblad Objecten'!$G$6</definedName>
    <definedName name="prijsmaandtotaal1">Objecten!$R$7</definedName>
    <definedName name="prodnorm10">'Regulier werk'!$G$11</definedName>
    <definedName name="prodnorm11">'Regulier werk'!$G$12</definedName>
    <definedName name="prodnorm12">'Regulier werk'!$G$13</definedName>
    <definedName name="prodnorm13">'Regulier werk'!$G$14</definedName>
    <definedName name="prodnorm14">'Regulier werk'!$G$15</definedName>
    <definedName name="prodnorm15">'Regulier werk'!$G$16</definedName>
    <definedName name="prodnorm5">'Regulier werk'!$G$6</definedName>
    <definedName name="prodnorm6">'Regulier werk'!$G$7</definedName>
    <definedName name="prodnorm7">'Regulier werk'!$G$8</definedName>
    <definedName name="prodnorm8">'Regulier werk'!$G$9</definedName>
    <definedName name="prodnorm9">'Regulier werk'!$G$10</definedName>
    <definedName name="taakfreqtabel1">Objectinformatie!$E$5:$E$15</definedName>
    <definedName name="tabeltype">Omreken!$B$5:$B$5</definedName>
    <definedName name="tarieftabel1">Objectinformatie!$I$5:$I$15</definedName>
    <definedName name="tzpjt1">'Niet-meewerkende objectleiding'!$J$15</definedName>
    <definedName name="tzpjt1_1">'Niet-meewerkende objectleiding'!$J$13</definedName>
    <definedName name="tzpmt1">'Niet-meewerkende objectleiding'!$K$15</definedName>
    <definedName name="tzpmt1_1">'Niet-meewerkende objectleiding'!$K$13</definedName>
    <definedName name="tzujt1">'Niet-meewerkende objectleiding'!$H$15</definedName>
    <definedName name="tzujt1_1">'Niet-meewerkende objectleiding'!$H$13</definedName>
    <definedName name="urendag1">'Regulier werk'!$K$17</definedName>
    <definedName name="urenjaar">'Regulier werk'!$M$22</definedName>
    <definedName name="urenjaar1">'Regulier werk'!$M$17</definedName>
    <definedName name="urenjaarnietmeewerkend">'Niet-meewerkende objectleiding'!$H$18</definedName>
    <definedName name="urenjaartotaal">Objecten!$P$10</definedName>
    <definedName name="urenjaartotaal1">Objecten!$P$7</definedName>
    <definedName name="urenjaartotaalhf">Objecten!$O$10</definedName>
    <definedName name="urenjaartotaalhf1">Objecten!$O$7</definedName>
    <definedName name="urenjaartotaaloverzicht">'Totaalblad Objecten'!$F$6</definedName>
    <definedName name="urenjaartotaaloverzichthf">'Totaalblad Objecten'!$E$6</definedName>
    <definedName name="uurfactortabel1">Objectinformatie!$F$5:$F$15</definedName>
    <definedName name="uurtarief10">'Regulier werk'!$J$11</definedName>
    <definedName name="uurtarief11">'Regulier werk'!$J$12</definedName>
    <definedName name="uurtarief12">'Regulier werk'!$J$13</definedName>
    <definedName name="uurtarief13">'Regulier werk'!$J$14</definedName>
    <definedName name="uurtarief14">'Regulier werk'!$J$15</definedName>
    <definedName name="uurtarief15">'Regulier werk'!$J$16</definedName>
    <definedName name="uurtarief5">'Regulier werk'!$J$6</definedName>
    <definedName name="uurtarief6">'Regulier werk'!$J$7</definedName>
    <definedName name="uurtarief7">'Regulier werk'!$J$8</definedName>
    <definedName name="uurtarief8">'Regulier werk'!$J$9</definedName>
    <definedName name="uurtarief9">'Regulier werk'!$J$10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" i="13" l="1"/>
  <c r="E17" i="13"/>
  <c r="A1" i="13" l="1"/>
  <c r="J8" i="12"/>
  <c r="K8" i="12" s="1"/>
  <c r="H8" i="12"/>
  <c r="J7" i="12"/>
  <c r="K7" i="12" s="1"/>
  <c r="H7" i="12"/>
  <c r="K6" i="12"/>
  <c r="K9" i="12" s="1"/>
  <c r="J6" i="12"/>
  <c r="H6" i="12"/>
  <c r="A1" i="12"/>
  <c r="J8" i="11"/>
  <c r="C8" i="11"/>
  <c r="K8" i="11" s="1"/>
  <c r="L8" i="11" s="1"/>
  <c r="J7" i="11"/>
  <c r="J6" i="11"/>
  <c r="A1" i="11"/>
  <c r="A1" i="10"/>
  <c r="J9" i="9"/>
  <c r="C9" i="9"/>
  <c r="K9" i="9" s="1"/>
  <c r="L9" i="9" s="1"/>
  <c r="J8" i="9"/>
  <c r="J7" i="9"/>
  <c r="J6" i="9"/>
  <c r="A1" i="9"/>
  <c r="A1" i="8"/>
  <c r="K12" i="7"/>
  <c r="J12" i="7"/>
  <c r="I12" i="7"/>
  <c r="H12" i="7"/>
  <c r="C12" i="7"/>
  <c r="J11" i="7"/>
  <c r="K11" i="7" s="1"/>
  <c r="H11" i="7"/>
  <c r="I11" i="7" s="1"/>
  <c r="C11" i="7"/>
  <c r="K10" i="7"/>
  <c r="J10" i="7"/>
  <c r="H10" i="7"/>
  <c r="I10" i="7" s="1"/>
  <c r="C10" i="7"/>
  <c r="J9" i="7"/>
  <c r="K9" i="7" s="1"/>
  <c r="H9" i="7"/>
  <c r="C9" i="7"/>
  <c r="I9" i="7" s="1"/>
  <c r="J8" i="7"/>
  <c r="J13" i="7" s="1"/>
  <c r="C8" i="7"/>
  <c r="A1" i="7"/>
  <c r="A1" i="6"/>
  <c r="I15" i="5"/>
  <c r="H15" i="5"/>
  <c r="G15" i="5"/>
  <c r="I14" i="5"/>
  <c r="H13" i="5"/>
  <c r="G13" i="5"/>
  <c r="E13" i="5"/>
  <c r="I12" i="5"/>
  <c r="H12" i="5"/>
  <c r="H9" i="5"/>
  <c r="E7" i="5"/>
  <c r="I6" i="5"/>
  <c r="H5" i="5"/>
  <c r="G5" i="5"/>
  <c r="E5" i="5"/>
  <c r="P27" i="4"/>
  <c r="M27" i="4"/>
  <c r="P26" i="4"/>
  <c r="N26" i="4"/>
  <c r="M26" i="4"/>
  <c r="L26" i="4"/>
  <c r="P25" i="4"/>
  <c r="N25" i="4"/>
  <c r="M25" i="4"/>
  <c r="L25" i="4"/>
  <c r="L24" i="4"/>
  <c r="P23" i="4"/>
  <c r="L23" i="4"/>
  <c r="P22" i="4"/>
  <c r="P21" i="4"/>
  <c r="N21" i="4"/>
  <c r="L20" i="4"/>
  <c r="P19" i="4"/>
  <c r="N19" i="4"/>
  <c r="M19" i="4"/>
  <c r="L19" i="4"/>
  <c r="N18" i="4"/>
  <c r="M18" i="4"/>
  <c r="L18" i="4"/>
  <c r="M17" i="4"/>
  <c r="L17" i="4"/>
  <c r="P16" i="4"/>
  <c r="P15" i="4"/>
  <c r="P14" i="4"/>
  <c r="N14" i="4"/>
  <c r="M14" i="4"/>
  <c r="P13" i="4"/>
  <c r="P11" i="4"/>
  <c r="M11" i="4"/>
  <c r="L10" i="4"/>
  <c r="P9" i="4"/>
  <c r="M9" i="4"/>
  <c r="P8" i="4"/>
  <c r="N8" i="4"/>
  <c r="M8" i="4"/>
  <c r="P7" i="4"/>
  <c r="N7" i="4"/>
  <c r="M7" i="4"/>
  <c r="Q7" i="4" s="1"/>
  <c r="T7" i="4" s="1"/>
  <c r="U7" i="4" s="1"/>
  <c r="L7" i="4"/>
  <c r="P6" i="4"/>
  <c r="N6" i="4"/>
  <c r="L5" i="4"/>
  <c r="A1" i="4"/>
  <c r="K16" i="3"/>
  <c r="L16" i="3" s="1"/>
  <c r="F16" i="3"/>
  <c r="J15" i="3"/>
  <c r="H15" i="3"/>
  <c r="N13" i="4" s="1"/>
  <c r="G15" i="3"/>
  <c r="M21" i="4" s="1"/>
  <c r="K14" i="3"/>
  <c r="M14" i="3" s="1"/>
  <c r="N14" i="3" s="1"/>
  <c r="J14" i="3"/>
  <c r="I13" i="5" s="1"/>
  <c r="H14" i="3"/>
  <c r="G14" i="3"/>
  <c r="J13" i="3"/>
  <c r="P12" i="4" s="1"/>
  <c r="H13" i="3"/>
  <c r="N12" i="4" s="1"/>
  <c r="G13" i="3"/>
  <c r="K13" i="3" s="1"/>
  <c r="M13" i="3" s="1"/>
  <c r="N13" i="3" s="1"/>
  <c r="J12" i="3"/>
  <c r="P10" i="4" s="1"/>
  <c r="H12" i="3"/>
  <c r="H11" i="5" s="1"/>
  <c r="G12" i="3"/>
  <c r="G11" i="5" s="1"/>
  <c r="F12" i="3"/>
  <c r="J11" i="3"/>
  <c r="I10" i="5" s="1"/>
  <c r="H11" i="3"/>
  <c r="H10" i="5" s="1"/>
  <c r="G11" i="3"/>
  <c r="K11" i="3" s="1"/>
  <c r="F11" i="3"/>
  <c r="K10" i="3"/>
  <c r="M10" i="3" s="1"/>
  <c r="N10" i="3" s="1"/>
  <c r="J10" i="3"/>
  <c r="P17" i="4" s="1"/>
  <c r="H10" i="3"/>
  <c r="N17" i="4" s="1"/>
  <c r="G10" i="3"/>
  <c r="G9" i="5" s="1"/>
  <c r="J9" i="3"/>
  <c r="P20" i="4" s="1"/>
  <c r="H9" i="3"/>
  <c r="N20" i="4" s="1"/>
  <c r="G9" i="3"/>
  <c r="M20" i="4" s="1"/>
  <c r="F9" i="3"/>
  <c r="J8" i="3"/>
  <c r="P24" i="4" s="1"/>
  <c r="H8" i="3"/>
  <c r="N24" i="4" s="1"/>
  <c r="G8" i="3"/>
  <c r="M24" i="4" s="1"/>
  <c r="F8" i="3"/>
  <c r="J7" i="3"/>
  <c r="H7" i="3"/>
  <c r="H6" i="5" s="1"/>
  <c r="G7" i="3"/>
  <c r="K7" i="3" s="1"/>
  <c r="K6" i="3"/>
  <c r="M6" i="3" s="1"/>
  <c r="J6" i="3"/>
  <c r="I5" i="5" s="1"/>
  <c r="H6" i="3"/>
  <c r="G6" i="3"/>
  <c r="A1" i="3"/>
  <c r="A1" i="2"/>
  <c r="K24" i="1"/>
  <c r="K23" i="1"/>
  <c r="K22" i="1"/>
  <c r="K21" i="1"/>
  <c r="K20" i="1"/>
  <c r="K19" i="1"/>
  <c r="K18" i="1"/>
  <c r="K17" i="1"/>
  <c r="K16" i="1"/>
  <c r="K15" i="1"/>
  <c r="K14" i="1"/>
  <c r="K13" i="1"/>
  <c r="H14" i="1"/>
  <c r="H13" i="1"/>
  <c r="E24" i="1"/>
  <c r="E23" i="1"/>
  <c r="E22" i="1"/>
  <c r="E21" i="1"/>
  <c r="E20" i="1"/>
  <c r="E19" i="1"/>
  <c r="E18" i="1"/>
  <c r="E17" i="1"/>
  <c r="E16" i="1"/>
  <c r="E15" i="1"/>
  <c r="E14" i="1"/>
  <c r="E13" i="1"/>
  <c r="B28" i="1"/>
  <c r="L21" i="4" s="1"/>
  <c r="B27" i="1"/>
  <c r="C6" i="12" s="1"/>
  <c r="L6" i="12" s="1"/>
  <c r="B26" i="1"/>
  <c r="B25" i="1"/>
  <c r="B24" i="1"/>
  <c r="B23" i="1"/>
  <c r="C8" i="9" s="1"/>
  <c r="K8" i="9" s="1"/>
  <c r="L8" i="9" s="1"/>
  <c r="B22" i="1"/>
  <c r="B21" i="1"/>
  <c r="B20" i="1"/>
  <c r="L14" i="4" s="1"/>
  <c r="Q14" i="4" s="1"/>
  <c r="T14" i="4" s="1"/>
  <c r="U14" i="4" s="1"/>
  <c r="B19" i="1"/>
  <c r="B18" i="1"/>
  <c r="E12" i="5" s="1"/>
  <c r="B17" i="1"/>
  <c r="B16" i="1"/>
  <c r="B15" i="1"/>
  <c r="B14" i="1"/>
  <c r="E11" i="5" s="1"/>
  <c r="B13" i="1"/>
  <c r="M11" i="3" l="1"/>
  <c r="N11" i="3" s="1"/>
  <c r="L11" i="3"/>
  <c r="R14" i="4"/>
  <c r="S9" i="4"/>
  <c r="S14" i="4"/>
  <c r="M7" i="3"/>
  <c r="N7" i="3" s="1"/>
  <c r="L7" i="3"/>
  <c r="R17" i="4"/>
  <c r="Q21" i="4"/>
  <c r="T21" i="4" s="1"/>
  <c r="U21" i="4" s="1"/>
  <c r="R21" i="4"/>
  <c r="N6" i="3"/>
  <c r="R26" i="4"/>
  <c r="R24" i="4"/>
  <c r="Q24" i="4"/>
  <c r="T24" i="4" s="1"/>
  <c r="U24" i="4" s="1"/>
  <c r="S24" i="4"/>
  <c r="R20" i="4"/>
  <c r="Q20" i="4"/>
  <c r="T20" i="4" s="1"/>
  <c r="U20" i="4" s="1"/>
  <c r="M6" i="12"/>
  <c r="I4" i="8"/>
  <c r="I6" i="8" s="1"/>
  <c r="J15" i="7"/>
  <c r="J18" i="7" s="1"/>
  <c r="E5" i="13" s="1"/>
  <c r="S20" i="4"/>
  <c r="S7" i="4"/>
  <c r="G12" i="5"/>
  <c r="L11" i="4"/>
  <c r="Q11" i="4" s="1"/>
  <c r="C7" i="12"/>
  <c r="L7" i="12" s="1"/>
  <c r="M7" i="12" s="1"/>
  <c r="K8" i="3"/>
  <c r="M8" i="3" s="1"/>
  <c r="N8" i="3" s="1"/>
  <c r="K12" i="3"/>
  <c r="M12" i="3" s="1"/>
  <c r="N12" i="3" s="1"/>
  <c r="R7" i="4"/>
  <c r="M16" i="3"/>
  <c r="N16" i="3" s="1"/>
  <c r="L8" i="3"/>
  <c r="L12" i="3"/>
  <c r="N11" i="4"/>
  <c r="P18" i="4"/>
  <c r="Q25" i="4"/>
  <c r="T25" i="4" s="1"/>
  <c r="U25" i="4" s="1"/>
  <c r="Q18" i="4"/>
  <c r="T18" i="4" s="1"/>
  <c r="U18" i="4" s="1"/>
  <c r="L22" i="4"/>
  <c r="E6" i="5"/>
  <c r="L6" i="6" s="1"/>
  <c r="E14" i="5"/>
  <c r="L15" i="4"/>
  <c r="M22" i="4"/>
  <c r="G6" i="5"/>
  <c r="G14" i="5"/>
  <c r="F13" i="3"/>
  <c r="L8" i="4"/>
  <c r="M15" i="4"/>
  <c r="N22" i="4"/>
  <c r="H14" i="5"/>
  <c r="K8" i="7"/>
  <c r="K13" i="7" s="1"/>
  <c r="K15" i="7" s="1"/>
  <c r="K18" i="7" s="1"/>
  <c r="N15" i="4"/>
  <c r="C8" i="12"/>
  <c r="L8" i="12" s="1"/>
  <c r="M8" i="12" s="1"/>
  <c r="E15" i="5"/>
  <c r="G7" i="5"/>
  <c r="K9" i="3"/>
  <c r="M9" i="3" s="1"/>
  <c r="N9" i="3" s="1"/>
  <c r="Q8" i="4"/>
  <c r="T8" i="4" s="1"/>
  <c r="U8" i="4" s="1"/>
  <c r="H7" i="5"/>
  <c r="H6" i="6" s="1"/>
  <c r="J6" i="6" s="1"/>
  <c r="O6" i="6" s="1"/>
  <c r="C6" i="11"/>
  <c r="K6" i="11" s="1"/>
  <c r="M12" i="4"/>
  <c r="I7" i="5"/>
  <c r="M5" i="4"/>
  <c r="Q26" i="4"/>
  <c r="T26" i="4" s="1"/>
  <c r="U26" i="4" s="1"/>
  <c r="E8" i="5"/>
  <c r="L9" i="3"/>
  <c r="G8" i="5"/>
  <c r="C7" i="11"/>
  <c r="K7" i="11" s="1"/>
  <c r="L7" i="11" s="1"/>
  <c r="L13" i="3"/>
  <c r="N5" i="4"/>
  <c r="Q19" i="4"/>
  <c r="T19" i="4" s="1"/>
  <c r="U19" i="4" s="1"/>
  <c r="F6" i="3"/>
  <c r="F10" i="3"/>
  <c r="F14" i="3"/>
  <c r="P5" i="4"/>
  <c r="L16" i="4"/>
  <c r="M23" i="4"/>
  <c r="H8" i="5"/>
  <c r="L9" i="4"/>
  <c r="Q9" i="4" s="1"/>
  <c r="M16" i="4"/>
  <c r="N23" i="4"/>
  <c r="I8" i="5"/>
  <c r="N16" i="4"/>
  <c r="E9" i="5"/>
  <c r="N9" i="4"/>
  <c r="L27" i="4"/>
  <c r="L6" i="3"/>
  <c r="L10" i="3"/>
  <c r="L14" i="3"/>
  <c r="L13" i="4"/>
  <c r="N27" i="4"/>
  <c r="I9" i="5"/>
  <c r="L6" i="4"/>
  <c r="M13" i="4"/>
  <c r="E10" i="5"/>
  <c r="C6" i="9"/>
  <c r="K6" i="9" s="1"/>
  <c r="M6" i="4"/>
  <c r="Q27" i="4"/>
  <c r="T27" i="4" s="1"/>
  <c r="U27" i="4" s="1"/>
  <c r="G10" i="5"/>
  <c r="F15" i="3"/>
  <c r="C7" i="9"/>
  <c r="K7" i="9" s="1"/>
  <c r="L7" i="9" s="1"/>
  <c r="M10" i="4"/>
  <c r="L12" i="4"/>
  <c r="K15" i="3"/>
  <c r="K17" i="3" s="1"/>
  <c r="N10" i="4"/>
  <c r="F7" i="3"/>
  <c r="I11" i="5"/>
  <c r="Q17" i="4"/>
  <c r="T17" i="4" s="1"/>
  <c r="U17" i="4" s="1"/>
  <c r="O7" i="6" l="1"/>
  <c r="O10" i="6" s="1"/>
  <c r="E4" i="8"/>
  <c r="E6" i="8" s="1"/>
  <c r="C4" i="13" s="1"/>
  <c r="C9" i="13" s="1"/>
  <c r="T11" i="4"/>
  <c r="U11" i="4" s="1"/>
  <c r="S11" i="4"/>
  <c r="R11" i="4"/>
  <c r="S19" i="4"/>
  <c r="L6" i="9"/>
  <c r="K10" i="9"/>
  <c r="Q13" i="4"/>
  <c r="R13" i="4" s="1"/>
  <c r="R19" i="4"/>
  <c r="R25" i="4"/>
  <c r="Q12" i="4"/>
  <c r="M15" i="3"/>
  <c r="L15" i="3"/>
  <c r="Q10" i="4"/>
  <c r="R10" i="4" s="1"/>
  <c r="R27" i="4"/>
  <c r="R8" i="4"/>
  <c r="S18" i="4"/>
  <c r="Q6" i="4"/>
  <c r="R6" i="4"/>
  <c r="K9" i="11"/>
  <c r="L6" i="11"/>
  <c r="L17" i="3"/>
  <c r="S21" i="4"/>
  <c r="S26" i="4"/>
  <c r="Q16" i="4"/>
  <c r="R16" i="4"/>
  <c r="Q15" i="4"/>
  <c r="L9" i="12"/>
  <c r="M9" i="12" s="1"/>
  <c r="S17" i="4"/>
  <c r="G6" i="6"/>
  <c r="K6" i="6" s="1"/>
  <c r="P6" i="6" s="1"/>
  <c r="R18" i="4"/>
  <c r="Q23" i="4"/>
  <c r="Q22" i="4"/>
  <c r="Q5" i="4"/>
  <c r="S27" i="4"/>
  <c r="S8" i="4"/>
  <c r="T9" i="4"/>
  <c r="U9" i="4" s="1"/>
  <c r="R9" i="4"/>
  <c r="S25" i="4"/>
  <c r="Q28" i="4" l="1"/>
  <c r="T5" i="4"/>
  <c r="K12" i="9"/>
  <c r="L10" i="9"/>
  <c r="T22" i="4"/>
  <c r="U22" i="4" s="1"/>
  <c r="S22" i="4"/>
  <c r="T16" i="4"/>
  <c r="U16" i="4" s="1"/>
  <c r="S16" i="4"/>
  <c r="T10" i="4"/>
  <c r="U10" i="4" s="1"/>
  <c r="S10" i="4"/>
  <c r="P7" i="6"/>
  <c r="P10" i="6" s="1"/>
  <c r="F4" i="8"/>
  <c r="F6" i="8" s="1"/>
  <c r="B4" i="13" s="1"/>
  <c r="B9" i="13" s="1"/>
  <c r="B11" i="13" s="1"/>
  <c r="H8" i="7"/>
  <c r="K11" i="11"/>
  <c r="L9" i="11"/>
  <c r="T12" i="4"/>
  <c r="U12" i="4" s="1"/>
  <c r="S12" i="4"/>
  <c r="R22" i="4"/>
  <c r="T6" i="4"/>
  <c r="U6" i="4" s="1"/>
  <c r="S6" i="4"/>
  <c r="N15" i="3"/>
  <c r="N17" i="3" s="1"/>
  <c r="N22" i="3" s="1"/>
  <c r="M17" i="3"/>
  <c r="R5" i="4"/>
  <c r="R28" i="4" s="1"/>
  <c r="T23" i="4"/>
  <c r="U23" i="4" s="1"/>
  <c r="S23" i="4"/>
  <c r="R23" i="4"/>
  <c r="T15" i="4"/>
  <c r="U15" i="4" s="1"/>
  <c r="S15" i="4"/>
  <c r="R12" i="4"/>
  <c r="S5" i="4"/>
  <c r="S28" i="4" s="1"/>
  <c r="T13" i="4"/>
  <c r="U13" i="4" s="1"/>
  <c r="S13" i="4"/>
  <c r="R15" i="4"/>
  <c r="L11" i="11" l="1"/>
  <c r="E7" i="13"/>
  <c r="E6" i="13"/>
  <c r="L12" i="9"/>
  <c r="J19" i="3"/>
  <c r="F6" i="6" s="1"/>
  <c r="M6" i="6" s="1"/>
  <c r="N6" i="6" s="1"/>
  <c r="Q6" i="6" s="1"/>
  <c r="M22" i="3"/>
  <c r="H13" i="7"/>
  <c r="I8" i="7"/>
  <c r="U5" i="4"/>
  <c r="U28" i="4" s="1"/>
  <c r="T28" i="4"/>
  <c r="P28" i="4" s="1"/>
  <c r="H4" i="8" l="1"/>
  <c r="H6" i="8" s="1"/>
  <c r="H15" i="7"/>
  <c r="H18" i="7" s="1"/>
  <c r="D5" i="13" s="1"/>
  <c r="D9" i="13" s="1"/>
  <c r="R6" i="6"/>
  <c r="R7" i="6" s="1"/>
  <c r="R10" i="6" s="1"/>
  <c r="Q7" i="6"/>
  <c r="Q10" i="6" s="1"/>
  <c r="G4" i="8"/>
  <c r="G6" i="8" l="1"/>
  <c r="E4" i="13" s="1"/>
  <c r="E9" i="13" s="1"/>
  <c r="J4" i="8"/>
  <c r="J6" i="8" l="1"/>
  <c r="K4" i="8"/>
  <c r="K6" i="8" s="1"/>
</calcChain>
</file>

<file path=xl/sharedStrings.xml><?xml version="1.0" encoding="utf-8"?>
<sst xmlns="http://schemas.openxmlformats.org/spreadsheetml/2006/main" count="1036" uniqueCount="357">
  <si>
    <t>Blad 'Omreken'</t>
  </si>
  <si>
    <t>Dit blad mag niet worden gewijzigd!</t>
  </si>
  <si>
    <t>Type:</t>
  </si>
  <si>
    <t>Invultabel</t>
  </si>
  <si>
    <t xml:space="preserve">werkdag             </t>
  </si>
  <si>
    <t xml:space="preserve">per jaar: </t>
  </si>
  <si>
    <t xml:space="preserve">per week: </t>
  </si>
  <si>
    <t>FREQ</t>
  </si>
  <si>
    <t>FACTOR</t>
  </si>
  <si>
    <t>5W</t>
  </si>
  <si>
    <t>200J</t>
  </si>
  <si>
    <t>4W</t>
  </si>
  <si>
    <t>3W</t>
  </si>
  <si>
    <t>2W</t>
  </si>
  <si>
    <t>80J</t>
  </si>
  <si>
    <t>1W</t>
  </si>
  <si>
    <t>40J</t>
  </si>
  <si>
    <t>26J</t>
  </si>
  <si>
    <t>12J</t>
  </si>
  <si>
    <t>10J</t>
  </si>
  <si>
    <t>6J</t>
  </si>
  <si>
    <t>4J</t>
  </si>
  <si>
    <t>3J</t>
  </si>
  <si>
    <t>2J</t>
  </si>
  <si>
    <t>1J</t>
  </si>
  <si>
    <t xml:space="preserve">werkdag vakantie    </t>
  </si>
  <si>
    <t xml:space="preserve">weekenddag          </t>
  </si>
  <si>
    <t xml:space="preserve">periodiek           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</si>
  <si>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</si>
  <si>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</si>
  <si>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</si>
  <si>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</si>
  <si>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</si>
  <si>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</si>
  <si>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</si>
  <si>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</si>
  <si>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</si>
  <si>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LHB</t>
  </si>
  <si>
    <t xml:space="preserve">B    </t>
  </si>
  <si>
    <t>Leslokalen/studieruimte - hard (basis)</t>
  </si>
  <si>
    <t>m²/uur</t>
  </si>
  <si>
    <t>LHV</t>
  </si>
  <si>
    <t>Leslokalen/studieruimte - hard (volledig)</t>
  </si>
  <si>
    <t>BZB</t>
  </si>
  <si>
    <t>Kantoor-/personeels-/vergaderruimte - zacht (basis)</t>
  </si>
  <si>
    <t>LZB</t>
  </si>
  <si>
    <t>Leslokalen/studieruimte - zacht (basis)</t>
  </si>
  <si>
    <t>BZV</t>
  </si>
  <si>
    <t>Kantoor-/personeels-/vergaderruimte - zacht (volledig)</t>
  </si>
  <si>
    <t>LZV</t>
  </si>
  <si>
    <t>Leslokalen/studieruimte - zacht (volledig)</t>
  </si>
  <si>
    <t>SHB</t>
  </si>
  <si>
    <t xml:space="preserve">S    </t>
  </si>
  <si>
    <t>Sanitaire ruimte/toiletgroep - hard (basis)</t>
  </si>
  <si>
    <t>SHV</t>
  </si>
  <si>
    <t>Sanitaire ruimte/toiletgroep - hard (volledig)</t>
  </si>
  <si>
    <t>VHB</t>
  </si>
  <si>
    <t xml:space="preserve">V    </t>
  </si>
  <si>
    <t>Verkeersruimte/garderobe/reprografie - hard (basis)</t>
  </si>
  <si>
    <t>VHV</t>
  </si>
  <si>
    <t>Verkeersruimte/garderobe/reprografie - hard (volledig)</t>
  </si>
  <si>
    <t>EZB</t>
  </si>
  <si>
    <t>Entree - zacht (basis)</t>
  </si>
  <si>
    <t>VZB</t>
  </si>
  <si>
    <t>Verkeersruimte/garderobe/reprografie - zacht (basis)</t>
  </si>
  <si>
    <t>EZV</t>
  </si>
  <si>
    <t>Entree - zacht (volledig)</t>
  </si>
  <si>
    <t>VZV</t>
  </si>
  <si>
    <t>Verkeersruimte/garderobe/reprografie - zacht (volledig)</t>
  </si>
  <si>
    <t>XBB</t>
  </si>
  <si>
    <t xml:space="preserve">X    </t>
  </si>
  <si>
    <t>Periodiek vloeren beschermd (basis)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</si>
  <si>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</si>
  <si>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</si>
  <si>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</si>
  <si>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</si>
  <si>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</si>
  <si>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</si>
  <si>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</si>
  <si>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</si>
  <si>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BZ</t>
  </si>
  <si>
    <t>interieur</t>
  </si>
  <si>
    <t>Kantoor/personeels-/vergaderrruimte</t>
  </si>
  <si>
    <t>EZ</t>
  </si>
  <si>
    <t>Entree</t>
  </si>
  <si>
    <t>LH</t>
  </si>
  <si>
    <t>Leslokaal/studieruimte</t>
  </si>
  <si>
    <t>LZ</t>
  </si>
  <si>
    <t>SH</t>
  </si>
  <si>
    <t>Sanitaire ruimte/toiletten</t>
  </si>
  <si>
    <t>VH</t>
  </si>
  <si>
    <t>Verkeersruimte/garderobe/reprografie</t>
  </si>
  <si>
    <t>VZ</t>
  </si>
  <si>
    <t>XB</t>
  </si>
  <si>
    <t>Periodiek vloeren beschermd</t>
  </si>
  <si>
    <t>Z002</t>
  </si>
  <si>
    <t>Extra moppen vloeren</t>
  </si>
  <si>
    <t xml:space="preserve">Totaal werkdag             </t>
  </si>
  <si>
    <t xml:space="preserve">Gemiddeld uurtarief werkdag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</si>
  <si>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</si>
  <si>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</si>
  <si>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</si>
  <si>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</si>
  <si>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</si>
  <si>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</si>
  <si>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</si>
  <si>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</si>
  <si>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DAG-KRACHT</t>
  </si>
  <si>
    <t>UREN HOOG-FREQUENT/ DAG</t>
  </si>
  <si>
    <t>510 - OBS Theo Thijssen 10BG, H.B. Hulsmanstraat K8b, Boven Pekela</t>
  </si>
  <si>
    <t>510</t>
  </si>
  <si>
    <t/>
  </si>
  <si>
    <t>00</t>
  </si>
  <si>
    <t>0.01</t>
  </si>
  <si>
    <t>inloopmat</t>
  </si>
  <si>
    <t>0.02</t>
  </si>
  <si>
    <t>Kantoor</t>
  </si>
  <si>
    <t>tapijt</t>
  </si>
  <si>
    <t>0.03</t>
  </si>
  <si>
    <t>Invalidentoilet</t>
  </si>
  <si>
    <t>coating</t>
  </si>
  <si>
    <t>0.04</t>
  </si>
  <si>
    <t>Gang</t>
  </si>
  <si>
    <t>0.05</t>
  </si>
  <si>
    <t>Leslokaal</t>
  </si>
  <si>
    <t>0.07</t>
  </si>
  <si>
    <t>Doorloopgang</t>
  </si>
  <si>
    <t>linoleum</t>
  </si>
  <si>
    <t>0.08</t>
  </si>
  <si>
    <t>Peuterspeelzaal</t>
  </si>
  <si>
    <t>0.09</t>
  </si>
  <si>
    <t>0.10</t>
  </si>
  <si>
    <t>0.11</t>
  </si>
  <si>
    <t>0.12</t>
  </si>
  <si>
    <t>Gang/speelplekken</t>
  </si>
  <si>
    <t>0.13</t>
  </si>
  <si>
    <t>0.14</t>
  </si>
  <si>
    <t>Entree/garderobe</t>
  </si>
  <si>
    <t>0.15</t>
  </si>
  <si>
    <t>Toiletten</t>
  </si>
  <si>
    <t>0.16</t>
  </si>
  <si>
    <t>0.17</t>
  </si>
  <si>
    <t>0.18</t>
  </si>
  <si>
    <t>Personeelsruimte</t>
  </si>
  <si>
    <t>0.19</t>
  </si>
  <si>
    <t>Toiletruimten</t>
  </si>
  <si>
    <t>Totaal werkdag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</si>
  <si>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</si>
  <si>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</si>
  <si>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</si>
  <si>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</si>
  <si>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</si>
  <si>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</si>
  <si>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</si>
  <si>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510</t>
  </si>
  <si>
    <t>werkdag</t>
  </si>
  <si>
    <t>NAAM</t>
  </si>
  <si>
    <t>ADRES</t>
  </si>
  <si>
    <t>PLAATS</t>
  </si>
  <si>
    <t>BASIS UUR- TARIEF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</si>
  <si>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</si>
  <si>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</si>
  <si>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</si>
  <si>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</si>
  <si>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</si>
  <si>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</si>
  <si>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</si>
  <si>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</si>
  <si>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</si>
  <si>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JAAR (EURO)</t>
  </si>
  <si>
    <t>PRIJS/ MAAND (EURO)</t>
  </si>
  <si>
    <t>OBS Theo Thijssen 10BG</t>
  </si>
  <si>
    <t>H.B. Hulsmanstraat K8b</t>
  </si>
  <si>
    <t>Boven Pekela</t>
  </si>
  <si>
    <t>Totaal regulier werk incl. suppleties (excl.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</si>
  <si>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</si>
  <si>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</si>
  <si>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</si>
  <si>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</si>
  <si>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</si>
  <si>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</si>
  <si>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</si>
  <si>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</si>
  <si>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</si>
  <si>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1000</t>
  </si>
  <si>
    <t>Niet meewerkende objectleiding</t>
  </si>
  <si>
    <t>&lt;invullen functie afh. van uren uitvoering per jaar&gt;</t>
  </si>
  <si>
    <t>&lt;invullen functie met vaste uren per dag&gt;</t>
  </si>
  <si>
    <t>Totaal 510 - OBS Theo Thijssen 10BG, H.B. Hulsmanstraat K8b, Boven Pekela</t>
  </si>
  <si>
    <t>Totaal niet-meewerkende objectleiding</t>
  </si>
  <si>
    <t>PRIJS UITVOEREND/ JAAR</t>
  </si>
  <si>
    <t>UREN LEIDING/ JAAR</t>
  </si>
  <si>
    <t>PRIJS LEIDING/ JAAR</t>
  </si>
  <si>
    <t>PRIJS MET LEIDING/ JAAR</t>
  </si>
  <si>
    <t>PRIJS/ MAAND EXCL.BTW</t>
  </si>
  <si>
    <t>Totaal van alle objecten (excl. BTW)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</si>
  <si>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</si>
  <si>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</si>
  <si>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</si>
  <si>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</si>
  <si>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</si>
  <si>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</si>
  <si>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</si>
  <si>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7000</t>
  </si>
  <si>
    <t>Computers reingen</t>
  </si>
  <si>
    <t>prijs per uur</t>
  </si>
  <si>
    <t>9000</t>
  </si>
  <si>
    <t>Medewerker regiewerkzaamheden</t>
  </si>
  <si>
    <t>9100</t>
  </si>
  <si>
    <t>Medewerker specialistische werkzaamheden</t>
  </si>
  <si>
    <t>9200</t>
  </si>
  <si>
    <t>Tapijt reinigen sproei/extractie methode</t>
  </si>
  <si>
    <t>prijs per m²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</si>
  <si>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</si>
  <si>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</si>
  <si>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</si>
  <si>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</si>
  <si>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</si>
  <si>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</si>
  <si>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</si>
  <si>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</si>
  <si>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</si>
  <si>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</si>
  <si>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</si>
  <si>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</si>
  <si>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</si>
  <si>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</si>
  <si>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</si>
  <si>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</si>
  <si>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</si>
  <si>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</si>
  <si>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</si>
  <si>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</si>
  <si>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</si>
  <si>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</si>
  <si>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</si>
  <si>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</si>
  <si>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</si>
  <si>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</si>
  <si>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</si>
  <si>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</si>
  <si>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</si>
  <si>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</si>
  <si>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</si>
  <si>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</si>
  <si>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</si>
  <si>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</si>
  <si>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</si>
  <si>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</si>
  <si>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</si>
  <si>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</si>
  <si>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</si>
  <si>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</si>
  <si>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</si>
  <si>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</si>
  <si>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</si>
  <si>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</si>
  <si>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</si>
  <si>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</si>
  <si>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</si>
  <si>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</si>
  <si>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</si>
  <si>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</si>
  <si>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</si>
  <si>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</si>
  <si>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</si>
  <si>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</si>
  <si>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</si>
  <si>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</si>
  <si>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</si>
  <si>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</si>
  <si>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</si>
  <si>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</si>
  <si>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</si>
  <si>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</si>
  <si>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</si>
  <si>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</si>
  <si>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</si>
  <si>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</si>
  <si>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</si>
  <si>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</si>
  <si>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</si>
  <si>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</si>
  <si>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</si>
  <si>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</si>
  <si>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</si>
  <si>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</si>
  <si>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</si>
  <si>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</si>
  <si>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</si>
  <si>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</si>
  <si>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</si>
  <si>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</si>
  <si>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</si>
  <si>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</si>
  <si>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</si>
  <si>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</si>
  <si>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</si>
  <si>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</si>
  <si>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</si>
  <si>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</si>
  <si>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</si>
  <si>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</si>
  <si>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</si>
  <si>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</si>
  <si>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</si>
  <si>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</si>
  <si>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</si>
  <si>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</si>
  <si>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</si>
  <si>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</si>
  <si>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</si>
  <si>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</si>
  <si>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</si>
  <si>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</si>
  <si>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</si>
  <si>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</si>
  <si>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</si>
  <si>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</si>
  <si>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</si>
  <si>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</si>
  <si>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</si>
  <si>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</si>
  <si>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</si>
  <si>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</si>
  <si>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</si>
  <si>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</si>
  <si>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</si>
  <si>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</si>
  <si>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</si>
  <si>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</si>
  <si>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</si>
  <si>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Inloopmatten uitkloppen</t>
  </si>
  <si>
    <t>4090B</t>
  </si>
  <si>
    <t>4090C</t>
  </si>
  <si>
    <t>4090D</t>
  </si>
  <si>
    <t>Totaal afroep incidenteel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</si>
  <si>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</si>
  <si>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</si>
  <si>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</si>
  <si>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</si>
  <si>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</si>
  <si>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</si>
  <si>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Totaal glas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</si>
  <si>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</si>
  <si>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</si>
  <si>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</si>
  <si>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</si>
  <si>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</si>
  <si>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Regulier werk</t>
  </si>
  <si>
    <t>Objectleiding</t>
  </si>
  <si>
    <t>Afroepwerk (geschatte frequenties)</t>
  </si>
  <si>
    <t>Glas</t>
  </si>
  <si>
    <t>Totaal generaal</t>
  </si>
  <si>
    <t>Percentage objectleiding</t>
  </si>
  <si>
    <t>BEGROOT BEDRAG REGULIERE WERKZAAMHEDEN EN GLASBEWASSING (NIET HOGER DAN BUDGET)</t>
  </si>
  <si>
    <t>VERGELIJKINGSBEDRAG AFROEP/REGIE WERK (GESCHAT) VOOR PRIJSCRITERIUM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</si>
</sst>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€-2]\ * #,##0.0000_-;_-[$€-2]\ * #,##0.0000\-;_-[$€-2]\ * &quot;-&quot;????_-;_-@_-"/>
    <numFmt numFmtId="165" formatCode="#,##0.0000"/>
    <numFmt numFmtId="166" formatCode="_-[$€-2]\ * #,##0.00_-;_-[$€-2]\ * #,##0.00\-;_-[$€-2]\ * &quot;-&quot;??_-;_-@_-"/>
  </numFmts>
  <fonts count="4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166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166" fontId="0" fillId="2" borderId="15" xfId="0" applyNumberFormat="1" applyFill="1" applyBorder="1"/>
    <xf numFmtId="4" fontId="0" fillId="2" borderId="16" xfId="0" applyNumberFormat="1" applyFill="1" applyBorder="1"/>
    <xf numFmtId="165" fontId="0" fillId="0" borderId="16" xfId="0" applyNumberFormat="1" applyBorder="1" applyProtection="1">
      <protection locked="0"/>
    </xf>
    <xf numFmtId="166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6" fontId="0" fillId="3" borderId="6" xfId="0" applyNumberFormat="1" applyFill="1" applyBorder="1"/>
    <xf numFmtId="166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164" fontId="0" fillId="2" borderId="24" xfId="0" applyNumberFormat="1" applyFill="1" applyBorder="1"/>
    <xf numFmtId="166" fontId="0" fillId="2" borderId="24" xfId="0" applyNumberFormat="1" applyFill="1" applyBorder="1"/>
    <xf numFmtId="166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0" fontId="0" fillId="2" borderId="27" xfId="0" applyNumberFormat="1" applyFill="1" applyBorder="1"/>
    <xf numFmtId="164" fontId="0" fillId="2" borderId="27" xfId="0" applyNumberFormat="1" applyFill="1" applyBorder="1"/>
    <xf numFmtId="166" fontId="0" fillId="2" borderId="27" xfId="0" applyNumberFormat="1" applyFill="1" applyBorder="1"/>
    <xf numFmtId="166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0" fontId="0" fillId="2" borderId="30" xfId="0" applyNumberFormat="1" applyFill="1" applyBorder="1"/>
    <xf numFmtId="164" fontId="0" fillId="2" borderId="30" xfId="0" applyNumberFormat="1" applyFill="1" applyBorder="1"/>
    <xf numFmtId="166" fontId="0" fillId="2" borderId="30" xfId="0" applyNumberFormat="1" applyFill="1" applyBorder="1"/>
    <xf numFmtId="166" fontId="0" fillId="2" borderId="31" xfId="0" applyNumberFormat="1" applyFill="1" applyBorder="1"/>
    <xf numFmtId="49" fontId="0" fillId="3" borderId="3" xfId="0" applyNumberFormat="1" applyFill="1" applyBorder="1"/>
    <xf numFmtId="0" fontId="0" fillId="3" borderId="22" xfId="0" applyFill="1" applyBorder="1"/>
    <xf numFmtId="49" fontId="0" fillId="3" borderId="22" xfId="0" applyNumberFormat="1" applyFill="1" applyBorder="1"/>
    <xf numFmtId="10" fontId="0" fillId="2" borderId="16" xfId="0" applyNumberFormat="1" applyFill="1" applyBorder="1"/>
    <xf numFmtId="0" fontId="0" fillId="3" borderId="6" xfId="0" applyFill="1" applyBorder="1"/>
    <xf numFmtId="49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6" fontId="0" fillId="4" borderId="6" xfId="0" applyNumberFormat="1" applyFill="1" applyBorder="1" applyProtection="1">
      <protection locked="0"/>
    </xf>
    <xf numFmtId="4" fontId="0" fillId="2" borderId="6" xfId="0" applyNumberFormat="1" applyFill="1" applyBorder="1"/>
    <xf numFmtId="4" fontId="0" fillId="0" borderId="6" xfId="0" applyNumberFormat="1" applyBorder="1"/>
    <xf numFmtId="166" fontId="0" fillId="2" borderId="6" xfId="0" applyNumberFormat="1" applyFill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166" fontId="0" fillId="0" borderId="14" xfId="0" applyNumberFormat="1" applyBorder="1" applyProtection="1">
      <protection locked="0"/>
    </xf>
    <xf numFmtId="10" fontId="0" fillId="4" borderId="14" xfId="0" applyNumberFormat="1" applyFill="1" applyBorder="1" applyProtection="1">
      <protection locked="0"/>
    </xf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166" fontId="0" fillId="0" borderId="15" xfId="0" applyNumberFormat="1" applyBorder="1" applyProtection="1">
      <protection locked="0"/>
    </xf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66" fontId="0" fillId="0" borderId="16" xfId="0" applyNumberFormat="1" applyBorder="1" applyProtection="1">
      <protection locked="0"/>
    </xf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" fontId="0" fillId="4" borderId="14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4" fontId="0" fillId="3" borderId="16" xfId="0" applyNumberFormat="1" applyFill="1" applyBorder="1" applyProtection="1">
      <protection locked="0"/>
    </xf>
    <xf numFmtId="166" fontId="0" fillId="3" borderId="12" xfId="0" applyNumberFormat="1" applyFill="1" applyBorder="1"/>
    <xf numFmtId="0" fontId="0" fillId="3" borderId="12" xfId="0" applyFill="1" applyBorder="1"/>
    <xf numFmtId="0" fontId="0" fillId="3" borderId="10" xfId="0" applyFill="1" applyBorder="1" applyAlignment="1"/>
    <xf numFmtId="166" fontId="0" fillId="2" borderId="14" xfId="0" applyNumberFormat="1" applyFill="1" applyBorder="1" applyProtection="1">
      <protection locked="0"/>
    </xf>
    <xf numFmtId="166" fontId="0" fillId="2" borderId="15" xfId="0" applyNumberFormat="1" applyFill="1" applyBorder="1" applyProtection="1">
      <protection locked="0"/>
    </xf>
    <xf numFmtId="166" fontId="0" fillId="2" borderId="16" xfId="0" applyNumberFormat="1" applyFill="1" applyBorder="1" applyProtection="1">
      <protection locked="0"/>
    </xf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  <xf numFmtId="0" fontId="2" fillId="5" borderId="3" xfId="0" applyFont="1" applyFill="1" applyBorder="1"/>
    <xf numFmtId="0" fontId="3" fillId="5" borderId="3" xfId="0" applyFont="1" applyFill="1" applyBorder="1"/>
    <xf numFmtId="166" fontId="2" fillId="6" borderId="3" xfId="0" applyNumberFormat="1" applyFont="1" applyFill="1" applyBorder="1"/>
    <xf numFmtId="0" fontId="3" fillId="5" borderId="11" xfId="0" applyFont="1" applyFill="1" applyBorder="1"/>
    <xf numFmtId="0" fontId="3" fillId="5" borderId="19" xfId="0" applyFont="1" applyFill="1" applyBorder="1"/>
    <xf numFmtId="166" fontId="2" fillId="6" borderId="18" xfId="0" applyNumberFormat="1" applyFont="1" applyFill="1" applyBorder="1"/>
    <xf numFmtId="0" fontId="3" fillId="5" borderId="4" xfId="0" applyFont="1" applyFill="1" applyBorder="1"/>
    <xf numFmtId="0" fontId="3" fillId="5" borderId="9" xfId="0" applyFont="1" applyFill="1" applyBorder="1"/>
    <xf numFmtId="0" fontId="2" fillId="5" borderId="1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F7FD-689D-4634-8816-5CC0CC9C1533}">
  <dimension ref="A1:K28"/>
  <sheetViews>
    <sheetView workbookViewId="0"/>
  </sheetViews>
  <sheetFormatPr defaultRowHeight="12.75" x14ac:dyDescent="0.2"/>
  <sheetData>
    <row r="1" spans="1:11" x14ac:dyDescent="0.2">
      <c r="A1" s="1" t="s">
        <v>0</v>
      </c>
    </row>
    <row r="3" spans="1:11" x14ac:dyDescent="0.2">
      <c r="A3" t="s">
        <v>1</v>
      </c>
    </row>
    <row r="5" spans="1:11" x14ac:dyDescent="0.2">
      <c r="A5" t="s">
        <v>2</v>
      </c>
      <c r="B5" t="s">
        <v>3</v>
      </c>
    </row>
    <row r="7" spans="1:11" x14ac:dyDescent="0.2">
      <c r="A7" s="4" t="s">
        <v>4</v>
      </c>
      <c r="B7" s="5"/>
      <c r="D7" s="4" t="s">
        <v>25</v>
      </c>
      <c r="E7" s="5"/>
      <c r="G7" s="4" t="s">
        <v>26</v>
      </c>
      <c r="H7" s="5"/>
      <c r="J7" s="4" t="s">
        <v>27</v>
      </c>
      <c r="K7" s="5"/>
    </row>
    <row r="8" spans="1:11" x14ac:dyDescent="0.2">
      <c r="A8" s="2"/>
      <c r="B8" s="3"/>
      <c r="D8" s="2"/>
      <c r="E8" s="3"/>
      <c r="G8" s="2"/>
      <c r="H8" s="3"/>
      <c r="J8" s="2"/>
      <c r="K8" s="3"/>
    </row>
    <row r="9" spans="1:11" x14ac:dyDescent="0.2">
      <c r="A9" s="2" t="s">
        <v>5</v>
      </c>
      <c r="B9" s="3">
        <v>200</v>
      </c>
      <c r="D9" s="2" t="s">
        <v>5</v>
      </c>
      <c r="E9" s="3">
        <v>55</v>
      </c>
      <c r="G9" s="2" t="s">
        <v>5</v>
      </c>
      <c r="H9" s="3">
        <v>102</v>
      </c>
      <c r="J9" s="2" t="s">
        <v>5</v>
      </c>
      <c r="K9" s="3">
        <v>1</v>
      </c>
    </row>
    <row r="10" spans="1:11" x14ac:dyDescent="0.2">
      <c r="A10" s="2" t="s">
        <v>6</v>
      </c>
      <c r="B10" s="3">
        <v>5</v>
      </c>
      <c r="D10" s="2" t="s">
        <v>6</v>
      </c>
      <c r="E10" s="3">
        <v>5</v>
      </c>
      <c r="G10" s="2" t="s">
        <v>6</v>
      </c>
      <c r="H10" s="3">
        <v>2</v>
      </c>
      <c r="J10" s="2" t="s">
        <v>6</v>
      </c>
      <c r="K10" s="3">
        <v>1</v>
      </c>
    </row>
    <row r="11" spans="1:11" x14ac:dyDescent="0.2">
      <c r="A11" s="2"/>
      <c r="B11" s="3"/>
      <c r="D11" s="2"/>
      <c r="E11" s="3"/>
      <c r="G11" s="2"/>
      <c r="H11" s="3"/>
      <c r="J11" s="2"/>
      <c r="K11" s="3"/>
    </row>
    <row r="12" spans="1:11" x14ac:dyDescent="0.2">
      <c r="A12" s="2" t="s">
        <v>7</v>
      </c>
      <c r="B12" s="3" t="s">
        <v>8</v>
      </c>
      <c r="D12" s="2" t="s">
        <v>7</v>
      </c>
      <c r="E12" s="3" t="s">
        <v>8</v>
      </c>
      <c r="G12" s="2" t="s">
        <v>7</v>
      </c>
      <c r="H12" s="3" t="s">
        <v>8</v>
      </c>
      <c r="J12" s="2" t="s">
        <v>7</v>
      </c>
      <c r="K12" s="3" t="s">
        <v>8</v>
      </c>
    </row>
    <row r="13" spans="1:11" x14ac:dyDescent="0.2">
      <c r="A13" s="2" t="s">
        <v>9</v>
      </c>
      <c r="B13" s="3">
        <f t="shared" ref="B13:B28" si="0">IF(A13="2½W",2.5/dagenperweek1,IF(RIGHT(A13,1)="W",VALUE(LEFT(A13,LEN(A13)-1))/dagenperweek1,IF(RIGHT(A13,1)="J",VALUE(LEFT(A13,LEN(A13)-1))/dagenperjaar1,"handmatig!")))</f>
        <v>1</v>
      </c>
      <c r="D13" s="2" t="s">
        <v>9</v>
      </c>
      <c r="E13" s="3">
        <f t="shared" ref="E13:E24" si="1">IF(D13="2½W",2.5/dagenperweek2,IF(RIGHT(D13,1)="W",VALUE(LEFT(D13,LEN(D13)-1))/dagenperweek2,IF(RIGHT(D13,1)="J",VALUE(LEFT(D13,LEN(D13)-1))/dagenperjaar2,"handmatig!")))</f>
        <v>1</v>
      </c>
      <c r="G13" s="2" t="s">
        <v>13</v>
      </c>
      <c r="H13" s="3">
        <f>IF(G13="2½W",2.5/dagenperweek3,IF(RIGHT(G13,1)="W",VALUE(LEFT(G13,LEN(G13)-1))/dagenperweek3,IF(RIGHT(G13,1)="J",VALUE(LEFT(G13,LEN(G13)-1))/dagenperjaar3,"handmatig!")))</f>
        <v>1</v>
      </c>
      <c r="J13" s="2" t="s">
        <v>9</v>
      </c>
      <c r="K13" s="3">
        <f t="shared" ref="K13:K24" si="2">IF(J13="2½W",2.5/dagenperweek4,IF(RIGHT(J13,1)="W",VALUE(LEFT(J13,LEN(J13)-1))/dagenperweek4,IF(RIGHT(J13,1)="J",VALUE(LEFT(J13,LEN(J13)-1))/dagenperjaar4,"handmatig!")))</f>
        <v>5</v>
      </c>
    </row>
    <row r="14" spans="1:11" x14ac:dyDescent="0.2">
      <c r="A14" s="2" t="s">
        <v>10</v>
      </c>
      <c r="B14" s="3">
        <f t="shared" si="0"/>
        <v>1</v>
      </c>
      <c r="D14" s="2" t="s">
        <v>11</v>
      </c>
      <c r="E14" s="3">
        <f t="shared" si="1"/>
        <v>0.8</v>
      </c>
      <c r="G14" s="6" t="s">
        <v>15</v>
      </c>
      <c r="H14" s="7">
        <f>IF(G14="2½W",2.5/dagenperweek3,IF(RIGHT(G14,1)="W",VALUE(LEFT(G14,LEN(G14)-1))/dagenperweek3,IF(RIGHT(G14,1)="J",VALUE(LEFT(G14,LEN(G14)-1))/dagenperjaar3,"handmatig!")))</f>
        <v>0.5</v>
      </c>
      <c r="J14" s="2" t="s">
        <v>11</v>
      </c>
      <c r="K14" s="3">
        <f t="shared" si="2"/>
        <v>4</v>
      </c>
    </row>
    <row r="15" spans="1:11" x14ac:dyDescent="0.2">
      <c r="A15" s="2" t="s">
        <v>11</v>
      </c>
      <c r="B15" s="3">
        <f t="shared" si="0"/>
        <v>0.8</v>
      </c>
      <c r="D15" s="2" t="s">
        <v>12</v>
      </c>
      <c r="E15" s="3">
        <f t="shared" si="1"/>
        <v>0.6</v>
      </c>
      <c r="J15" s="2" t="s">
        <v>12</v>
      </c>
      <c r="K15" s="3">
        <f t="shared" si="2"/>
        <v>3</v>
      </c>
    </row>
    <row r="16" spans="1:11" x14ac:dyDescent="0.2">
      <c r="A16" s="2" t="s">
        <v>12</v>
      </c>
      <c r="B16" s="3">
        <f t="shared" si="0"/>
        <v>0.6</v>
      </c>
      <c r="D16" s="2" t="s">
        <v>13</v>
      </c>
      <c r="E16" s="3">
        <f t="shared" si="1"/>
        <v>0.4</v>
      </c>
      <c r="J16" s="2" t="s">
        <v>13</v>
      </c>
      <c r="K16" s="3">
        <f t="shared" si="2"/>
        <v>2</v>
      </c>
    </row>
    <row r="17" spans="1:11" x14ac:dyDescent="0.2">
      <c r="A17" s="2" t="s">
        <v>13</v>
      </c>
      <c r="B17" s="3">
        <f t="shared" si="0"/>
        <v>0.4</v>
      </c>
      <c r="D17" s="2" t="s">
        <v>15</v>
      </c>
      <c r="E17" s="3">
        <f t="shared" si="1"/>
        <v>0.2</v>
      </c>
      <c r="J17" s="2" t="s">
        <v>15</v>
      </c>
      <c r="K17" s="3">
        <f t="shared" si="2"/>
        <v>1</v>
      </c>
    </row>
    <row r="18" spans="1:11" x14ac:dyDescent="0.2">
      <c r="A18" s="2" t="s">
        <v>14</v>
      </c>
      <c r="B18" s="3">
        <f t="shared" si="0"/>
        <v>0.4</v>
      </c>
      <c r="D18" s="2" t="s">
        <v>17</v>
      </c>
      <c r="E18" s="3">
        <f t="shared" si="1"/>
        <v>0.47272727272727272</v>
      </c>
      <c r="J18" s="2" t="s">
        <v>17</v>
      </c>
      <c r="K18" s="3">
        <f t="shared" si="2"/>
        <v>26</v>
      </c>
    </row>
    <row r="19" spans="1:11" x14ac:dyDescent="0.2">
      <c r="A19" s="2" t="s">
        <v>15</v>
      </c>
      <c r="B19" s="3">
        <f t="shared" si="0"/>
        <v>0.2</v>
      </c>
      <c r="D19" s="2" t="s">
        <v>18</v>
      </c>
      <c r="E19" s="3">
        <f t="shared" si="1"/>
        <v>0.21818181818181817</v>
      </c>
      <c r="J19" s="2" t="s">
        <v>18</v>
      </c>
      <c r="K19" s="3">
        <f t="shared" si="2"/>
        <v>12</v>
      </c>
    </row>
    <row r="20" spans="1:11" x14ac:dyDescent="0.2">
      <c r="A20" s="2" t="s">
        <v>16</v>
      </c>
      <c r="B20" s="3">
        <f t="shared" si="0"/>
        <v>0.2</v>
      </c>
      <c r="D20" s="2" t="s">
        <v>20</v>
      </c>
      <c r="E20" s="3">
        <f t="shared" si="1"/>
        <v>0.10909090909090909</v>
      </c>
      <c r="J20" s="2" t="s">
        <v>20</v>
      </c>
      <c r="K20" s="3">
        <f t="shared" si="2"/>
        <v>6</v>
      </c>
    </row>
    <row r="21" spans="1:11" x14ac:dyDescent="0.2">
      <c r="A21" s="2" t="s">
        <v>17</v>
      </c>
      <c r="B21" s="3">
        <f t="shared" si="0"/>
        <v>0.13</v>
      </c>
      <c r="D21" s="2" t="s">
        <v>21</v>
      </c>
      <c r="E21" s="3">
        <f t="shared" si="1"/>
        <v>7.2727272727272724E-2</v>
      </c>
      <c r="J21" s="2" t="s">
        <v>21</v>
      </c>
      <c r="K21" s="3">
        <f t="shared" si="2"/>
        <v>4</v>
      </c>
    </row>
    <row r="22" spans="1:11" x14ac:dyDescent="0.2">
      <c r="A22" s="2" t="s">
        <v>18</v>
      </c>
      <c r="B22" s="3">
        <f t="shared" si="0"/>
        <v>0.06</v>
      </c>
      <c r="D22" s="2" t="s">
        <v>22</v>
      </c>
      <c r="E22" s="3">
        <f t="shared" si="1"/>
        <v>5.4545454545454543E-2</v>
      </c>
      <c r="J22" s="2" t="s">
        <v>22</v>
      </c>
      <c r="K22" s="3">
        <f t="shared" si="2"/>
        <v>3</v>
      </c>
    </row>
    <row r="23" spans="1:11" x14ac:dyDescent="0.2">
      <c r="A23" s="2" t="s">
        <v>19</v>
      </c>
      <c r="B23" s="3">
        <f t="shared" si="0"/>
        <v>0.05</v>
      </c>
      <c r="D23" s="2" t="s">
        <v>23</v>
      </c>
      <c r="E23" s="3">
        <f t="shared" si="1"/>
        <v>3.6363636363636362E-2</v>
      </c>
      <c r="J23" s="2" t="s">
        <v>23</v>
      </c>
      <c r="K23" s="3">
        <f t="shared" si="2"/>
        <v>2</v>
      </c>
    </row>
    <row r="24" spans="1:11" x14ac:dyDescent="0.2">
      <c r="A24" s="2" t="s">
        <v>20</v>
      </c>
      <c r="B24" s="3">
        <f t="shared" si="0"/>
        <v>0.03</v>
      </c>
      <c r="D24" s="6" t="s">
        <v>24</v>
      </c>
      <c r="E24" s="7">
        <f t="shared" si="1"/>
        <v>1.8181818181818181E-2</v>
      </c>
      <c r="J24" s="6" t="s">
        <v>24</v>
      </c>
      <c r="K24" s="7">
        <f t="shared" si="2"/>
        <v>1</v>
      </c>
    </row>
    <row r="25" spans="1:11" x14ac:dyDescent="0.2">
      <c r="A25" s="2" t="s">
        <v>21</v>
      </c>
      <c r="B25" s="3">
        <f t="shared" si="0"/>
        <v>0.02</v>
      </c>
    </row>
    <row r="26" spans="1:11" x14ac:dyDescent="0.2">
      <c r="A26" s="2" t="s">
        <v>22</v>
      </c>
      <c r="B26" s="3">
        <f t="shared" si="0"/>
        <v>1.4999999999999999E-2</v>
      </c>
    </row>
    <row r="27" spans="1:11" x14ac:dyDescent="0.2">
      <c r="A27" s="2" t="s">
        <v>23</v>
      </c>
      <c r="B27" s="3">
        <f t="shared" si="0"/>
        <v>0.01</v>
      </c>
    </row>
    <row r="28" spans="1:11" x14ac:dyDescent="0.2">
      <c r="A28" s="6" t="s">
        <v>24</v>
      </c>
      <c r="B28" s="7">
        <f t="shared" si="0"/>
        <v>5.0000000000000001E-3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51F3A-3DA4-4BD3-8C7A-0640816C1943}">
  <dimension ref="A1:E94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H .8: ",tabeltype," afroep incidenteel")</f>
        <v>Bijlage H .8: Invultabel afroep incidenteel</v>
      </c>
    </row>
    <row r="3" spans="1:5" ht="38.25" x14ac:dyDescent="0.2">
      <c r="A3" s="8" t="s">
        <v>196</v>
      </c>
      <c r="B3" s="8" t="s">
        <v>31</v>
      </c>
      <c r="C3" s="8" t="s">
        <v>34</v>
      </c>
      <c r="D3" s="8" t="s">
        <v>214</v>
      </c>
      <c r="E3" s="8" t="s">
        <v>201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36</v>
      </c>
      <c r="B5" s="13"/>
      <c r="C5" s="13"/>
      <c r="D5" s="13"/>
      <c r="E5" s="14"/>
    </row>
    <row r="6" spans="1:5" x14ac:dyDescent="0.2">
      <c r="A6" s="15" t="s">
        <v>215</v>
      </c>
      <c r="B6" s="15" t="s">
        <v>216</v>
      </c>
      <c r="C6" s="15" t="s">
        <v>217</v>
      </c>
      <c r="D6" s="15" t="s">
        <v>218</v>
      </c>
      <c r="E6" s="96"/>
    </row>
    <row r="7" spans="1:5" x14ac:dyDescent="0.2">
      <c r="A7" s="20" t="s">
        <v>219</v>
      </c>
      <c r="B7" s="20" t="s">
        <v>216</v>
      </c>
      <c r="C7" s="20" t="s">
        <v>217</v>
      </c>
      <c r="D7" s="20" t="s">
        <v>220</v>
      </c>
      <c r="E7" s="101"/>
    </row>
    <row r="8" spans="1:5" x14ac:dyDescent="0.2">
      <c r="A8" s="20" t="s">
        <v>221</v>
      </c>
      <c r="B8" s="20" t="s">
        <v>216</v>
      </c>
      <c r="C8" s="20" t="s">
        <v>217</v>
      </c>
      <c r="D8" s="20" t="s">
        <v>222</v>
      </c>
      <c r="E8" s="101"/>
    </row>
    <row r="9" spans="1:5" x14ac:dyDescent="0.2">
      <c r="A9" s="20" t="s">
        <v>223</v>
      </c>
      <c r="B9" s="20" t="s">
        <v>216</v>
      </c>
      <c r="C9" s="20" t="s">
        <v>217</v>
      </c>
      <c r="D9" s="20" t="s">
        <v>224</v>
      </c>
      <c r="E9" s="101"/>
    </row>
    <row r="10" spans="1:5" x14ac:dyDescent="0.2">
      <c r="A10" s="20" t="s">
        <v>225</v>
      </c>
      <c r="B10" s="20" t="s">
        <v>226</v>
      </c>
      <c r="C10" s="20" t="s">
        <v>217</v>
      </c>
      <c r="D10" s="20" t="s">
        <v>218</v>
      </c>
      <c r="E10" s="101"/>
    </row>
    <row r="11" spans="1:5" x14ac:dyDescent="0.2">
      <c r="A11" s="20" t="s">
        <v>227</v>
      </c>
      <c r="B11" s="20" t="s">
        <v>226</v>
      </c>
      <c r="C11" s="20" t="s">
        <v>217</v>
      </c>
      <c r="D11" s="20" t="s">
        <v>220</v>
      </c>
      <c r="E11" s="101"/>
    </row>
    <row r="12" spans="1:5" x14ac:dyDescent="0.2">
      <c r="A12" s="20" t="s">
        <v>228</v>
      </c>
      <c r="B12" s="20" t="s">
        <v>226</v>
      </c>
      <c r="C12" s="20" t="s">
        <v>217</v>
      </c>
      <c r="D12" s="20" t="s">
        <v>222</v>
      </c>
      <c r="E12" s="101"/>
    </row>
    <row r="13" spans="1:5" x14ac:dyDescent="0.2">
      <c r="A13" s="20" t="s">
        <v>229</v>
      </c>
      <c r="B13" s="20" t="s">
        <v>226</v>
      </c>
      <c r="C13" s="20" t="s">
        <v>217</v>
      </c>
      <c r="D13" s="20" t="s">
        <v>224</v>
      </c>
      <c r="E13" s="101"/>
    </row>
    <row r="14" spans="1:5" x14ac:dyDescent="0.2">
      <c r="A14" s="20" t="s">
        <v>230</v>
      </c>
      <c r="B14" s="20" t="s">
        <v>231</v>
      </c>
      <c r="C14" s="20" t="s">
        <v>217</v>
      </c>
      <c r="D14" s="20" t="s">
        <v>218</v>
      </c>
      <c r="E14" s="101"/>
    </row>
    <row r="15" spans="1:5" x14ac:dyDescent="0.2">
      <c r="A15" s="20" t="s">
        <v>232</v>
      </c>
      <c r="B15" s="20" t="s">
        <v>231</v>
      </c>
      <c r="C15" s="20" t="s">
        <v>217</v>
      </c>
      <c r="D15" s="20" t="s">
        <v>220</v>
      </c>
      <c r="E15" s="101"/>
    </row>
    <row r="16" spans="1:5" x14ac:dyDescent="0.2">
      <c r="A16" s="20" t="s">
        <v>233</v>
      </c>
      <c r="B16" s="20" t="s">
        <v>231</v>
      </c>
      <c r="C16" s="20" t="s">
        <v>217</v>
      </c>
      <c r="D16" s="20" t="s">
        <v>222</v>
      </c>
      <c r="E16" s="101"/>
    </row>
    <row r="17" spans="1:5" x14ac:dyDescent="0.2">
      <c r="A17" s="20" t="s">
        <v>234</v>
      </c>
      <c r="B17" s="20" t="s">
        <v>231</v>
      </c>
      <c r="C17" s="20" t="s">
        <v>217</v>
      </c>
      <c r="D17" s="20" t="s">
        <v>224</v>
      </c>
      <c r="E17" s="101"/>
    </row>
    <row r="18" spans="1:5" x14ac:dyDescent="0.2">
      <c r="A18" s="20" t="s">
        <v>235</v>
      </c>
      <c r="B18" s="20" t="s">
        <v>236</v>
      </c>
      <c r="C18" s="20" t="s">
        <v>217</v>
      </c>
      <c r="D18" s="20" t="s">
        <v>218</v>
      </c>
      <c r="E18" s="101"/>
    </row>
    <row r="19" spans="1:5" x14ac:dyDescent="0.2">
      <c r="A19" s="20" t="s">
        <v>237</v>
      </c>
      <c r="B19" s="20" t="s">
        <v>236</v>
      </c>
      <c r="C19" s="20" t="s">
        <v>217</v>
      </c>
      <c r="D19" s="20" t="s">
        <v>220</v>
      </c>
      <c r="E19" s="101"/>
    </row>
    <row r="20" spans="1:5" x14ac:dyDescent="0.2">
      <c r="A20" s="20" t="s">
        <v>238</v>
      </c>
      <c r="B20" s="20" t="s">
        <v>236</v>
      </c>
      <c r="C20" s="20" t="s">
        <v>217</v>
      </c>
      <c r="D20" s="20" t="s">
        <v>222</v>
      </c>
      <c r="E20" s="101"/>
    </row>
    <row r="21" spans="1:5" x14ac:dyDescent="0.2">
      <c r="A21" s="20" t="s">
        <v>239</v>
      </c>
      <c r="B21" s="20" t="s">
        <v>236</v>
      </c>
      <c r="C21" s="20" t="s">
        <v>217</v>
      </c>
      <c r="D21" s="20" t="s">
        <v>224</v>
      </c>
      <c r="E21" s="101"/>
    </row>
    <row r="22" spans="1:5" x14ac:dyDescent="0.2">
      <c r="A22" s="20" t="s">
        <v>240</v>
      </c>
      <c r="B22" s="20" t="s">
        <v>241</v>
      </c>
      <c r="C22" s="20" t="s">
        <v>212</v>
      </c>
      <c r="D22" s="20" t="s">
        <v>242</v>
      </c>
      <c r="E22" s="101"/>
    </row>
    <row r="23" spans="1:5" x14ac:dyDescent="0.2">
      <c r="A23" s="20" t="s">
        <v>243</v>
      </c>
      <c r="B23" s="20" t="s">
        <v>241</v>
      </c>
      <c r="C23" s="20" t="s">
        <v>212</v>
      </c>
      <c r="D23" s="20" t="s">
        <v>244</v>
      </c>
      <c r="E23" s="101"/>
    </row>
    <row r="24" spans="1:5" x14ac:dyDescent="0.2">
      <c r="A24" s="20" t="s">
        <v>245</v>
      </c>
      <c r="B24" s="20" t="s">
        <v>241</v>
      </c>
      <c r="C24" s="20" t="s">
        <v>212</v>
      </c>
      <c r="D24" s="20" t="s">
        <v>246</v>
      </c>
      <c r="E24" s="101"/>
    </row>
    <row r="25" spans="1:5" x14ac:dyDescent="0.2">
      <c r="A25" s="20" t="s">
        <v>247</v>
      </c>
      <c r="B25" s="20" t="s">
        <v>241</v>
      </c>
      <c r="C25" s="20" t="s">
        <v>212</v>
      </c>
      <c r="D25" s="20" t="s">
        <v>248</v>
      </c>
      <c r="E25" s="101"/>
    </row>
    <row r="26" spans="1:5" x14ac:dyDescent="0.2">
      <c r="A26" s="20" t="s">
        <v>249</v>
      </c>
      <c r="B26" s="20" t="s">
        <v>250</v>
      </c>
      <c r="C26" s="20" t="s">
        <v>212</v>
      </c>
      <c r="D26" s="20" t="s">
        <v>242</v>
      </c>
      <c r="E26" s="101"/>
    </row>
    <row r="27" spans="1:5" x14ac:dyDescent="0.2">
      <c r="A27" s="20" t="s">
        <v>251</v>
      </c>
      <c r="B27" s="20" t="s">
        <v>250</v>
      </c>
      <c r="C27" s="20" t="s">
        <v>212</v>
      </c>
      <c r="D27" s="20" t="s">
        <v>244</v>
      </c>
      <c r="E27" s="101"/>
    </row>
    <row r="28" spans="1:5" x14ac:dyDescent="0.2">
      <c r="A28" s="20" t="s">
        <v>252</v>
      </c>
      <c r="B28" s="20" t="s">
        <v>250</v>
      </c>
      <c r="C28" s="20" t="s">
        <v>212</v>
      </c>
      <c r="D28" s="20" t="s">
        <v>246</v>
      </c>
      <c r="E28" s="101"/>
    </row>
    <row r="29" spans="1:5" x14ac:dyDescent="0.2">
      <c r="A29" s="20" t="s">
        <v>253</v>
      </c>
      <c r="B29" s="20" t="s">
        <v>250</v>
      </c>
      <c r="C29" s="20" t="s">
        <v>212</v>
      </c>
      <c r="D29" s="20" t="s">
        <v>248</v>
      </c>
      <c r="E29" s="101"/>
    </row>
    <row r="30" spans="1:5" x14ac:dyDescent="0.2">
      <c r="A30" s="20" t="s">
        <v>254</v>
      </c>
      <c r="B30" s="20" t="s">
        <v>255</v>
      </c>
      <c r="C30" s="20" t="s">
        <v>212</v>
      </c>
      <c r="D30" s="20" t="s">
        <v>242</v>
      </c>
      <c r="E30" s="101"/>
    </row>
    <row r="31" spans="1:5" x14ac:dyDescent="0.2">
      <c r="A31" s="20" t="s">
        <v>256</v>
      </c>
      <c r="B31" s="20" t="s">
        <v>255</v>
      </c>
      <c r="C31" s="20" t="s">
        <v>212</v>
      </c>
      <c r="D31" s="20" t="s">
        <v>244</v>
      </c>
      <c r="E31" s="101"/>
    </row>
    <row r="32" spans="1:5" x14ac:dyDescent="0.2">
      <c r="A32" s="20" t="s">
        <v>257</v>
      </c>
      <c r="B32" s="20" t="s">
        <v>255</v>
      </c>
      <c r="C32" s="20" t="s">
        <v>212</v>
      </c>
      <c r="D32" s="20" t="s">
        <v>246</v>
      </c>
      <c r="E32" s="101"/>
    </row>
    <row r="33" spans="1:5" x14ac:dyDescent="0.2">
      <c r="A33" s="20" t="s">
        <v>258</v>
      </c>
      <c r="B33" s="20" t="s">
        <v>255</v>
      </c>
      <c r="C33" s="20" t="s">
        <v>212</v>
      </c>
      <c r="D33" s="20" t="s">
        <v>248</v>
      </c>
      <c r="E33" s="101"/>
    </row>
    <row r="34" spans="1:5" x14ac:dyDescent="0.2">
      <c r="A34" s="20" t="s">
        <v>259</v>
      </c>
      <c r="B34" s="20" t="s">
        <v>260</v>
      </c>
      <c r="C34" s="20" t="s">
        <v>212</v>
      </c>
      <c r="D34" s="20" t="s">
        <v>242</v>
      </c>
      <c r="E34" s="101"/>
    </row>
    <row r="35" spans="1:5" x14ac:dyDescent="0.2">
      <c r="A35" s="20" t="s">
        <v>261</v>
      </c>
      <c r="B35" s="20" t="s">
        <v>260</v>
      </c>
      <c r="C35" s="20" t="s">
        <v>212</v>
      </c>
      <c r="D35" s="20" t="s">
        <v>244</v>
      </c>
      <c r="E35" s="101"/>
    </row>
    <row r="36" spans="1:5" x14ac:dyDescent="0.2">
      <c r="A36" s="20" t="s">
        <v>262</v>
      </c>
      <c r="B36" s="20" t="s">
        <v>260</v>
      </c>
      <c r="C36" s="20" t="s">
        <v>212</v>
      </c>
      <c r="D36" s="20" t="s">
        <v>246</v>
      </c>
      <c r="E36" s="101"/>
    </row>
    <row r="37" spans="1:5" x14ac:dyDescent="0.2">
      <c r="A37" s="20" t="s">
        <v>263</v>
      </c>
      <c r="B37" s="20" t="s">
        <v>260</v>
      </c>
      <c r="C37" s="20" t="s">
        <v>212</v>
      </c>
      <c r="D37" s="20" t="s">
        <v>248</v>
      </c>
      <c r="E37" s="101"/>
    </row>
    <row r="38" spans="1:5" x14ac:dyDescent="0.2">
      <c r="A38" s="20" t="s">
        <v>264</v>
      </c>
      <c r="B38" s="20" t="s">
        <v>265</v>
      </c>
      <c r="C38" s="20" t="s">
        <v>212</v>
      </c>
      <c r="D38" s="20" t="s">
        <v>242</v>
      </c>
      <c r="E38" s="101"/>
    </row>
    <row r="39" spans="1:5" x14ac:dyDescent="0.2">
      <c r="A39" s="20" t="s">
        <v>266</v>
      </c>
      <c r="B39" s="20" t="s">
        <v>265</v>
      </c>
      <c r="C39" s="20" t="s">
        <v>212</v>
      </c>
      <c r="D39" s="20" t="s">
        <v>244</v>
      </c>
      <c r="E39" s="101"/>
    </row>
    <row r="40" spans="1:5" x14ac:dyDescent="0.2">
      <c r="A40" s="20" t="s">
        <v>267</v>
      </c>
      <c r="B40" s="20" t="s">
        <v>265</v>
      </c>
      <c r="C40" s="20" t="s">
        <v>212</v>
      </c>
      <c r="D40" s="20" t="s">
        <v>246</v>
      </c>
      <c r="E40" s="101"/>
    </row>
    <row r="41" spans="1:5" x14ac:dyDescent="0.2">
      <c r="A41" s="20" t="s">
        <v>268</v>
      </c>
      <c r="B41" s="20" t="s">
        <v>265</v>
      </c>
      <c r="C41" s="20" t="s">
        <v>212</v>
      </c>
      <c r="D41" s="20" t="s">
        <v>248</v>
      </c>
      <c r="E41" s="101"/>
    </row>
    <row r="42" spans="1:5" x14ac:dyDescent="0.2">
      <c r="A42" s="20" t="s">
        <v>269</v>
      </c>
      <c r="B42" s="20" t="s">
        <v>270</v>
      </c>
      <c r="C42" s="20" t="s">
        <v>212</v>
      </c>
      <c r="D42" s="20" t="s">
        <v>242</v>
      </c>
      <c r="E42" s="101"/>
    </row>
    <row r="43" spans="1:5" x14ac:dyDescent="0.2">
      <c r="A43" s="20" t="s">
        <v>271</v>
      </c>
      <c r="B43" s="20" t="s">
        <v>270</v>
      </c>
      <c r="C43" s="20" t="s">
        <v>212</v>
      </c>
      <c r="D43" s="20" t="s">
        <v>244</v>
      </c>
      <c r="E43" s="101"/>
    </row>
    <row r="44" spans="1:5" x14ac:dyDescent="0.2">
      <c r="A44" s="20" t="s">
        <v>272</v>
      </c>
      <c r="B44" s="20" t="s">
        <v>270</v>
      </c>
      <c r="C44" s="20" t="s">
        <v>212</v>
      </c>
      <c r="D44" s="20" t="s">
        <v>246</v>
      </c>
      <c r="E44" s="101"/>
    </row>
    <row r="45" spans="1:5" x14ac:dyDescent="0.2">
      <c r="A45" s="20" t="s">
        <v>273</v>
      </c>
      <c r="B45" s="20" t="s">
        <v>270</v>
      </c>
      <c r="C45" s="20" t="s">
        <v>212</v>
      </c>
      <c r="D45" s="20" t="s">
        <v>248</v>
      </c>
      <c r="E45" s="101"/>
    </row>
    <row r="46" spans="1:5" x14ac:dyDescent="0.2">
      <c r="A46" s="20" t="s">
        <v>274</v>
      </c>
      <c r="B46" s="20" t="s">
        <v>275</v>
      </c>
      <c r="C46" s="20" t="s">
        <v>212</v>
      </c>
      <c r="D46" s="20" t="s">
        <v>242</v>
      </c>
      <c r="E46" s="101"/>
    </row>
    <row r="47" spans="1:5" x14ac:dyDescent="0.2">
      <c r="A47" s="20" t="s">
        <v>276</v>
      </c>
      <c r="B47" s="20" t="s">
        <v>275</v>
      </c>
      <c r="C47" s="20" t="s">
        <v>212</v>
      </c>
      <c r="D47" s="20" t="s">
        <v>244</v>
      </c>
      <c r="E47" s="101"/>
    </row>
    <row r="48" spans="1:5" x14ac:dyDescent="0.2">
      <c r="A48" s="20" t="s">
        <v>277</v>
      </c>
      <c r="B48" s="20" t="s">
        <v>275</v>
      </c>
      <c r="C48" s="20" t="s">
        <v>212</v>
      </c>
      <c r="D48" s="20" t="s">
        <v>246</v>
      </c>
      <c r="E48" s="101"/>
    </row>
    <row r="49" spans="1:5" x14ac:dyDescent="0.2">
      <c r="A49" s="20" t="s">
        <v>278</v>
      </c>
      <c r="B49" s="20" t="s">
        <v>275</v>
      </c>
      <c r="C49" s="20" t="s">
        <v>212</v>
      </c>
      <c r="D49" s="20" t="s">
        <v>248</v>
      </c>
      <c r="E49" s="101"/>
    </row>
    <row r="50" spans="1:5" x14ac:dyDescent="0.2">
      <c r="A50" s="20" t="s">
        <v>279</v>
      </c>
      <c r="B50" s="20" t="s">
        <v>280</v>
      </c>
      <c r="C50" s="20" t="s">
        <v>212</v>
      </c>
      <c r="D50" s="20" t="s">
        <v>111</v>
      </c>
      <c r="E50" s="101"/>
    </row>
    <row r="51" spans="1:5" x14ac:dyDescent="0.2">
      <c r="A51" s="20" t="s">
        <v>281</v>
      </c>
      <c r="B51" s="20" t="s">
        <v>282</v>
      </c>
      <c r="C51" s="20" t="s">
        <v>205</v>
      </c>
      <c r="D51" s="20" t="s">
        <v>111</v>
      </c>
      <c r="E51" s="101"/>
    </row>
    <row r="52" spans="1:5" x14ac:dyDescent="0.2">
      <c r="A52" s="20" t="s">
        <v>283</v>
      </c>
      <c r="B52" s="20" t="s">
        <v>284</v>
      </c>
      <c r="C52" s="20" t="s">
        <v>212</v>
      </c>
      <c r="D52" s="20" t="s">
        <v>285</v>
      </c>
      <c r="E52" s="101"/>
    </row>
    <row r="53" spans="1:5" x14ac:dyDescent="0.2">
      <c r="A53" s="20" t="s">
        <v>286</v>
      </c>
      <c r="B53" s="20" t="s">
        <v>284</v>
      </c>
      <c r="C53" s="20" t="s">
        <v>212</v>
      </c>
      <c r="D53" s="20" t="s">
        <v>287</v>
      </c>
      <c r="E53" s="101"/>
    </row>
    <row r="54" spans="1:5" x14ac:dyDescent="0.2">
      <c r="A54" s="20" t="s">
        <v>288</v>
      </c>
      <c r="B54" s="20" t="s">
        <v>284</v>
      </c>
      <c r="C54" s="20" t="s">
        <v>212</v>
      </c>
      <c r="D54" s="20" t="s">
        <v>289</v>
      </c>
      <c r="E54" s="101"/>
    </row>
    <row r="55" spans="1:5" x14ac:dyDescent="0.2">
      <c r="A55" s="20" t="s">
        <v>290</v>
      </c>
      <c r="B55" s="20" t="s">
        <v>284</v>
      </c>
      <c r="C55" s="20" t="s">
        <v>212</v>
      </c>
      <c r="D55" s="20" t="s">
        <v>291</v>
      </c>
      <c r="E55" s="101"/>
    </row>
    <row r="56" spans="1:5" x14ac:dyDescent="0.2">
      <c r="A56" s="20" t="s">
        <v>292</v>
      </c>
      <c r="B56" s="20" t="s">
        <v>293</v>
      </c>
      <c r="C56" s="20" t="s">
        <v>212</v>
      </c>
      <c r="D56" s="20" t="s">
        <v>285</v>
      </c>
      <c r="E56" s="101"/>
    </row>
    <row r="57" spans="1:5" x14ac:dyDescent="0.2">
      <c r="A57" s="20" t="s">
        <v>294</v>
      </c>
      <c r="B57" s="20" t="s">
        <v>293</v>
      </c>
      <c r="C57" s="20" t="s">
        <v>212</v>
      </c>
      <c r="D57" s="20" t="s">
        <v>287</v>
      </c>
      <c r="E57" s="101"/>
    </row>
    <row r="58" spans="1:5" x14ac:dyDescent="0.2">
      <c r="A58" s="20" t="s">
        <v>295</v>
      </c>
      <c r="B58" s="20" t="s">
        <v>293</v>
      </c>
      <c r="C58" s="20" t="s">
        <v>212</v>
      </c>
      <c r="D58" s="20" t="s">
        <v>289</v>
      </c>
      <c r="E58" s="101"/>
    </row>
    <row r="59" spans="1:5" x14ac:dyDescent="0.2">
      <c r="A59" s="20" t="s">
        <v>296</v>
      </c>
      <c r="B59" s="20" t="s">
        <v>293</v>
      </c>
      <c r="C59" s="20" t="s">
        <v>212</v>
      </c>
      <c r="D59" s="20" t="s">
        <v>291</v>
      </c>
      <c r="E59" s="101"/>
    </row>
    <row r="60" spans="1:5" x14ac:dyDescent="0.2">
      <c r="A60" s="20" t="s">
        <v>297</v>
      </c>
      <c r="B60" s="20" t="s">
        <v>298</v>
      </c>
      <c r="C60" s="20" t="s">
        <v>212</v>
      </c>
      <c r="D60" s="20" t="s">
        <v>285</v>
      </c>
      <c r="E60" s="101"/>
    </row>
    <row r="61" spans="1:5" x14ac:dyDescent="0.2">
      <c r="A61" s="20" t="s">
        <v>299</v>
      </c>
      <c r="B61" s="20" t="s">
        <v>298</v>
      </c>
      <c r="C61" s="20" t="s">
        <v>212</v>
      </c>
      <c r="D61" s="20" t="s">
        <v>287</v>
      </c>
      <c r="E61" s="101"/>
    </row>
    <row r="62" spans="1:5" x14ac:dyDescent="0.2">
      <c r="A62" s="20" t="s">
        <v>300</v>
      </c>
      <c r="B62" s="20" t="s">
        <v>298</v>
      </c>
      <c r="C62" s="20" t="s">
        <v>212</v>
      </c>
      <c r="D62" s="20" t="s">
        <v>289</v>
      </c>
      <c r="E62" s="101"/>
    </row>
    <row r="63" spans="1:5" x14ac:dyDescent="0.2">
      <c r="A63" s="20" t="s">
        <v>301</v>
      </c>
      <c r="B63" s="20" t="s">
        <v>298</v>
      </c>
      <c r="C63" s="20" t="s">
        <v>212</v>
      </c>
      <c r="D63" s="20" t="s">
        <v>291</v>
      </c>
      <c r="E63" s="101"/>
    </row>
    <row r="64" spans="1:5" x14ac:dyDescent="0.2">
      <c r="A64" s="20" t="s">
        <v>302</v>
      </c>
      <c r="B64" s="20" t="s">
        <v>303</v>
      </c>
      <c r="C64" s="20" t="s">
        <v>212</v>
      </c>
      <c r="D64" s="20" t="s">
        <v>285</v>
      </c>
      <c r="E64" s="101"/>
    </row>
    <row r="65" spans="1:5" x14ac:dyDescent="0.2">
      <c r="A65" s="20" t="s">
        <v>304</v>
      </c>
      <c r="B65" s="20" t="s">
        <v>303</v>
      </c>
      <c r="C65" s="20" t="s">
        <v>212</v>
      </c>
      <c r="D65" s="20" t="s">
        <v>287</v>
      </c>
      <c r="E65" s="101"/>
    </row>
    <row r="66" spans="1:5" x14ac:dyDescent="0.2">
      <c r="A66" s="20" t="s">
        <v>305</v>
      </c>
      <c r="B66" s="20" t="s">
        <v>303</v>
      </c>
      <c r="C66" s="20" t="s">
        <v>212</v>
      </c>
      <c r="D66" s="20" t="s">
        <v>289</v>
      </c>
      <c r="E66" s="101"/>
    </row>
    <row r="67" spans="1:5" x14ac:dyDescent="0.2">
      <c r="A67" s="20" t="s">
        <v>306</v>
      </c>
      <c r="B67" s="20" t="s">
        <v>303</v>
      </c>
      <c r="C67" s="20" t="s">
        <v>212</v>
      </c>
      <c r="D67" s="20" t="s">
        <v>291</v>
      </c>
      <c r="E67" s="101"/>
    </row>
    <row r="68" spans="1:5" x14ac:dyDescent="0.2">
      <c r="A68" s="20" t="s">
        <v>307</v>
      </c>
      <c r="B68" s="20" t="s">
        <v>308</v>
      </c>
      <c r="C68" s="20" t="s">
        <v>212</v>
      </c>
      <c r="D68" s="20" t="s">
        <v>285</v>
      </c>
      <c r="E68" s="101"/>
    </row>
    <row r="69" spans="1:5" x14ac:dyDescent="0.2">
      <c r="A69" s="20" t="s">
        <v>309</v>
      </c>
      <c r="B69" s="20" t="s">
        <v>308</v>
      </c>
      <c r="C69" s="20" t="s">
        <v>212</v>
      </c>
      <c r="D69" s="20" t="s">
        <v>287</v>
      </c>
      <c r="E69" s="101"/>
    </row>
    <row r="70" spans="1:5" x14ac:dyDescent="0.2">
      <c r="A70" s="20" t="s">
        <v>310</v>
      </c>
      <c r="B70" s="20" t="s">
        <v>308</v>
      </c>
      <c r="C70" s="20" t="s">
        <v>212</v>
      </c>
      <c r="D70" s="20" t="s">
        <v>289</v>
      </c>
      <c r="E70" s="101"/>
    </row>
    <row r="71" spans="1:5" x14ac:dyDescent="0.2">
      <c r="A71" s="20" t="s">
        <v>311</v>
      </c>
      <c r="B71" s="20" t="s">
        <v>308</v>
      </c>
      <c r="C71" s="20" t="s">
        <v>212</v>
      </c>
      <c r="D71" s="20" t="s">
        <v>291</v>
      </c>
      <c r="E71" s="101"/>
    </row>
    <row r="72" spans="1:5" x14ac:dyDescent="0.2">
      <c r="A72" s="20" t="s">
        <v>312</v>
      </c>
      <c r="B72" s="20" t="s">
        <v>313</v>
      </c>
      <c r="C72" s="20" t="s">
        <v>212</v>
      </c>
      <c r="D72" s="20" t="s">
        <v>285</v>
      </c>
      <c r="E72" s="101"/>
    </row>
    <row r="73" spans="1:5" x14ac:dyDescent="0.2">
      <c r="A73" s="20" t="s">
        <v>314</v>
      </c>
      <c r="B73" s="20" t="s">
        <v>313</v>
      </c>
      <c r="C73" s="20" t="s">
        <v>212</v>
      </c>
      <c r="D73" s="20" t="s">
        <v>287</v>
      </c>
      <c r="E73" s="101"/>
    </row>
    <row r="74" spans="1:5" x14ac:dyDescent="0.2">
      <c r="A74" s="20" t="s">
        <v>315</v>
      </c>
      <c r="B74" s="20" t="s">
        <v>313</v>
      </c>
      <c r="C74" s="20" t="s">
        <v>212</v>
      </c>
      <c r="D74" s="20" t="s">
        <v>289</v>
      </c>
      <c r="E74" s="101"/>
    </row>
    <row r="75" spans="1:5" x14ac:dyDescent="0.2">
      <c r="A75" s="20" t="s">
        <v>316</v>
      </c>
      <c r="B75" s="20" t="s">
        <v>313</v>
      </c>
      <c r="C75" s="20" t="s">
        <v>212</v>
      </c>
      <c r="D75" s="20" t="s">
        <v>291</v>
      </c>
      <c r="E75" s="101"/>
    </row>
    <row r="76" spans="1:5" x14ac:dyDescent="0.2">
      <c r="A76" s="20" t="s">
        <v>317</v>
      </c>
      <c r="B76" s="20" t="s">
        <v>211</v>
      </c>
      <c r="C76" s="20" t="s">
        <v>212</v>
      </c>
      <c r="D76" s="20" t="s">
        <v>285</v>
      </c>
      <c r="E76" s="101"/>
    </row>
    <row r="77" spans="1:5" x14ac:dyDescent="0.2">
      <c r="A77" s="20" t="s">
        <v>318</v>
      </c>
      <c r="B77" s="20" t="s">
        <v>211</v>
      </c>
      <c r="C77" s="20" t="s">
        <v>212</v>
      </c>
      <c r="D77" s="20" t="s">
        <v>287</v>
      </c>
      <c r="E77" s="101"/>
    </row>
    <row r="78" spans="1:5" x14ac:dyDescent="0.2">
      <c r="A78" s="20" t="s">
        <v>319</v>
      </c>
      <c r="B78" s="20" t="s">
        <v>211</v>
      </c>
      <c r="C78" s="20" t="s">
        <v>212</v>
      </c>
      <c r="D78" s="20" t="s">
        <v>289</v>
      </c>
      <c r="E78" s="101"/>
    </row>
    <row r="79" spans="1:5" x14ac:dyDescent="0.2">
      <c r="A79" s="20" t="s">
        <v>320</v>
      </c>
      <c r="B79" s="20" t="s">
        <v>211</v>
      </c>
      <c r="C79" s="20" t="s">
        <v>212</v>
      </c>
      <c r="D79" s="20" t="s">
        <v>291</v>
      </c>
      <c r="E79" s="101"/>
    </row>
    <row r="80" spans="1:5" x14ac:dyDescent="0.2">
      <c r="A80" s="20" t="s">
        <v>321</v>
      </c>
      <c r="B80" s="20" t="s">
        <v>322</v>
      </c>
      <c r="C80" s="20" t="s">
        <v>212</v>
      </c>
      <c r="D80" s="20" t="s">
        <v>285</v>
      </c>
      <c r="E80" s="101"/>
    </row>
    <row r="81" spans="1:5" x14ac:dyDescent="0.2">
      <c r="A81" s="20" t="s">
        <v>323</v>
      </c>
      <c r="B81" s="20" t="s">
        <v>322</v>
      </c>
      <c r="C81" s="20" t="s">
        <v>212</v>
      </c>
      <c r="D81" s="20" t="s">
        <v>287</v>
      </c>
      <c r="E81" s="101"/>
    </row>
    <row r="82" spans="1:5" x14ac:dyDescent="0.2">
      <c r="A82" s="20" t="s">
        <v>324</v>
      </c>
      <c r="B82" s="20" t="s">
        <v>322</v>
      </c>
      <c r="C82" s="20" t="s">
        <v>212</v>
      </c>
      <c r="D82" s="20" t="s">
        <v>289</v>
      </c>
      <c r="E82" s="101"/>
    </row>
    <row r="83" spans="1:5" x14ac:dyDescent="0.2">
      <c r="A83" s="20" t="s">
        <v>325</v>
      </c>
      <c r="B83" s="20" t="s">
        <v>322</v>
      </c>
      <c r="C83" s="20" t="s">
        <v>212</v>
      </c>
      <c r="D83" s="20" t="s">
        <v>291</v>
      </c>
      <c r="E83" s="101"/>
    </row>
    <row r="84" spans="1:5" x14ac:dyDescent="0.2">
      <c r="A84" s="20" t="s">
        <v>326</v>
      </c>
      <c r="B84" s="20" t="s">
        <v>327</v>
      </c>
      <c r="C84" s="20" t="s">
        <v>212</v>
      </c>
      <c r="D84" s="20" t="s">
        <v>285</v>
      </c>
      <c r="E84" s="101"/>
    </row>
    <row r="85" spans="1:5" x14ac:dyDescent="0.2">
      <c r="A85" s="20" t="s">
        <v>328</v>
      </c>
      <c r="B85" s="20" t="s">
        <v>327</v>
      </c>
      <c r="C85" s="20" t="s">
        <v>212</v>
      </c>
      <c r="D85" s="20" t="s">
        <v>287</v>
      </c>
      <c r="E85" s="101"/>
    </row>
    <row r="86" spans="1:5" x14ac:dyDescent="0.2">
      <c r="A86" s="20" t="s">
        <v>329</v>
      </c>
      <c r="B86" s="20" t="s">
        <v>327</v>
      </c>
      <c r="C86" s="20" t="s">
        <v>212</v>
      </c>
      <c r="D86" s="20" t="s">
        <v>289</v>
      </c>
      <c r="E86" s="101"/>
    </row>
    <row r="87" spans="1:5" x14ac:dyDescent="0.2">
      <c r="A87" s="20" t="s">
        <v>330</v>
      </c>
      <c r="B87" s="20" t="s">
        <v>327</v>
      </c>
      <c r="C87" s="20" t="s">
        <v>212</v>
      </c>
      <c r="D87" s="20" t="s">
        <v>291</v>
      </c>
      <c r="E87" s="101"/>
    </row>
    <row r="88" spans="1:5" x14ac:dyDescent="0.2">
      <c r="A88" s="20" t="s">
        <v>331</v>
      </c>
      <c r="B88" s="20" t="s">
        <v>332</v>
      </c>
      <c r="C88" s="20" t="s">
        <v>217</v>
      </c>
      <c r="D88" s="20" t="s">
        <v>218</v>
      </c>
      <c r="E88" s="101"/>
    </row>
    <row r="89" spans="1:5" x14ac:dyDescent="0.2">
      <c r="A89" s="20" t="s">
        <v>333</v>
      </c>
      <c r="B89" s="20" t="s">
        <v>332</v>
      </c>
      <c r="C89" s="20" t="s">
        <v>217</v>
      </c>
      <c r="D89" s="20" t="s">
        <v>220</v>
      </c>
      <c r="E89" s="101"/>
    </row>
    <row r="90" spans="1:5" x14ac:dyDescent="0.2">
      <c r="A90" s="20" t="s">
        <v>334</v>
      </c>
      <c r="B90" s="20" t="s">
        <v>332</v>
      </c>
      <c r="C90" s="20" t="s">
        <v>217</v>
      </c>
      <c r="D90" s="20" t="s">
        <v>222</v>
      </c>
      <c r="E90" s="101"/>
    </row>
    <row r="91" spans="1:5" x14ac:dyDescent="0.2">
      <c r="A91" s="25" t="s">
        <v>335</v>
      </c>
      <c r="B91" s="25" t="s">
        <v>332</v>
      </c>
      <c r="C91" s="25" t="s">
        <v>217</v>
      </c>
      <c r="D91" s="25" t="s">
        <v>224</v>
      </c>
      <c r="E91" s="106"/>
    </row>
    <row r="92" spans="1:5" x14ac:dyDescent="0.2">
      <c r="A92" s="44" t="s">
        <v>97</v>
      </c>
      <c r="B92" s="45"/>
      <c r="C92" s="45"/>
      <c r="D92" s="45"/>
      <c r="E92" s="116"/>
    </row>
    <row r="94" spans="1:5" x14ac:dyDescent="0.2">
      <c r="A94" s="44" t="s">
        <v>336</v>
      </c>
      <c r="B94" s="45"/>
      <c r="C94" s="45"/>
      <c r="D94" s="45"/>
      <c r="E94" s="116"/>
    </row>
  </sheetData>
  <pageMargins left="0.7" right="0.7" top="0.75" bottom="0.75" header="0.3" footer="0.3"/>
  <pageSetup paperSize="9" scale="65" orientation="landscape" r:id="rId1"/>
  <headerFooter>
    <oddFooter>&amp;LStichting Openbaar Onderwijs Oost Groningen EA              &amp;ROpmaakdatum: 16-07-2021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C5ADF-14A7-4EFD-AE1D-668051C19551}">
  <dimension ref="A1:L1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 .9: ",tabeltype," glas")</f>
        <v>Bijlage H .9: Invultabel glas</v>
      </c>
    </row>
    <row r="3" spans="1:12" ht="38.25" x14ac:dyDescent="0.2">
      <c r="A3" s="8" t="s">
        <v>196</v>
      </c>
      <c r="B3" s="8" t="s">
        <v>7</v>
      </c>
      <c r="C3" s="8" t="s">
        <v>197</v>
      </c>
      <c r="D3" s="8" t="s">
        <v>31</v>
      </c>
      <c r="E3" s="8" t="s">
        <v>34</v>
      </c>
      <c r="F3" s="8" t="s">
        <v>198</v>
      </c>
      <c r="G3" s="8" t="s">
        <v>199</v>
      </c>
      <c r="H3" s="8" t="s">
        <v>200</v>
      </c>
      <c r="I3" s="8" t="s">
        <v>201</v>
      </c>
      <c r="J3" s="8" t="s">
        <v>202</v>
      </c>
      <c r="K3" s="8" t="s">
        <v>79</v>
      </c>
      <c r="L3" s="8" t="s">
        <v>170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337</v>
      </c>
      <c r="B6" s="15" t="s">
        <v>23</v>
      </c>
      <c r="C6" s="16">
        <f>IF(ISBLANK(B6),0,IF(ISERROR(VALUE(B6)),VLOOKUP(B6,dagsoorttabel1,2,FALSE)*dagenperjaar1,VALUE(B6)))</f>
        <v>2</v>
      </c>
      <c r="D6" s="15" t="s">
        <v>338</v>
      </c>
      <c r="E6" s="15" t="s">
        <v>212</v>
      </c>
      <c r="F6" s="109">
        <v>325</v>
      </c>
      <c r="G6" s="96"/>
      <c r="H6" s="110"/>
      <c r="I6" s="96"/>
      <c r="J6" s="34">
        <f>IF(ISBLANK(F6),0,F6)*I6</f>
        <v>0</v>
      </c>
      <c r="K6" s="34">
        <f>C6*J6</f>
        <v>0</v>
      </c>
      <c r="L6" s="34">
        <f>K6/12</f>
        <v>0</v>
      </c>
    </row>
    <row r="7" spans="1:12" x14ac:dyDescent="0.2">
      <c r="A7" s="20" t="s">
        <v>339</v>
      </c>
      <c r="B7" s="20" t="s">
        <v>23</v>
      </c>
      <c r="C7" s="21">
        <f>IF(ISBLANK(B7),0,IF(ISERROR(VALUE(B7)),VLOOKUP(B7,dagsoorttabel1,2,FALSE)*dagenperjaar1,VALUE(B7)))</f>
        <v>2</v>
      </c>
      <c r="D7" s="20" t="s">
        <v>340</v>
      </c>
      <c r="E7" s="20" t="s">
        <v>212</v>
      </c>
      <c r="F7" s="111">
        <v>325</v>
      </c>
      <c r="G7" s="101"/>
      <c r="H7" s="112"/>
      <c r="I7" s="101"/>
      <c r="J7" s="39">
        <f>IF(ISBLANK(F7),0,F7)*I7</f>
        <v>0</v>
      </c>
      <c r="K7" s="39">
        <f>C7*J7</f>
        <v>0</v>
      </c>
      <c r="L7" s="39">
        <f>K7/12</f>
        <v>0</v>
      </c>
    </row>
    <row r="8" spans="1:12" x14ac:dyDescent="0.2">
      <c r="A8" s="25" t="s">
        <v>341</v>
      </c>
      <c r="B8" s="25" t="s">
        <v>23</v>
      </c>
      <c r="C8" s="26">
        <f>IF(ISBLANK(B8),0,IF(ISERROR(VALUE(B8)),VLOOKUP(B8,dagsoorttabel1,2,FALSE)*dagenperjaar1,VALUE(B8)))</f>
        <v>2</v>
      </c>
      <c r="D8" s="25" t="s">
        <v>342</v>
      </c>
      <c r="E8" s="25" t="s">
        <v>212</v>
      </c>
      <c r="F8" s="113">
        <v>87</v>
      </c>
      <c r="G8" s="106"/>
      <c r="H8" s="114"/>
      <c r="I8" s="106"/>
      <c r="J8" s="42">
        <f>IF(ISBLANK(F8),0,F8)*I8</f>
        <v>0</v>
      </c>
      <c r="K8" s="42">
        <f>C8*J8</f>
        <v>0</v>
      </c>
      <c r="L8" s="42">
        <f>K8/12</f>
        <v>0</v>
      </c>
    </row>
    <row r="9" spans="1:12" x14ac:dyDescent="0.2">
      <c r="A9" s="44" t="s">
        <v>97</v>
      </c>
      <c r="B9" s="45"/>
      <c r="C9" s="45"/>
      <c r="D9" s="45"/>
      <c r="E9" s="45"/>
      <c r="F9" s="45"/>
      <c r="G9" s="45"/>
      <c r="H9" s="45"/>
      <c r="I9" s="45"/>
      <c r="J9" s="45"/>
      <c r="K9" s="47">
        <f>SUM(K6:K8)</f>
        <v>0</v>
      </c>
      <c r="L9" s="115">
        <f>K9/12</f>
        <v>0</v>
      </c>
    </row>
    <row r="11" spans="1:12" x14ac:dyDescent="0.2">
      <c r="A11" s="44" t="s">
        <v>343</v>
      </c>
      <c r="B11" s="45"/>
      <c r="C11" s="45"/>
      <c r="D11" s="45"/>
      <c r="E11" s="45"/>
      <c r="F11" s="45"/>
      <c r="G11" s="45"/>
      <c r="H11" s="45"/>
      <c r="I11" s="45"/>
      <c r="J11" s="45"/>
      <c r="K11" s="47">
        <f>prijsjaarglas1</f>
        <v>0</v>
      </c>
      <c r="L11" s="115">
        <f>K11/12</f>
        <v>0</v>
      </c>
    </row>
  </sheetData>
  <pageMargins left="0.7" right="0.7" top="0.75" bottom="0.75" header="0.3" footer="0.3"/>
  <pageSetup paperSize="9" scale="65" orientation="landscape" r:id="rId1"/>
  <headerFooter>
    <oddFooter>&amp;LStichting Openbaar Onderwijs Oost Groningen EA              &amp;ROpmaakdatum: 16-07-2021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3BAFC-083D-42C0-AAA3-8527E475E65A}">
  <dimension ref="A1:M9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H .10: ",tabeltype," glas per locatie")</f>
        <v>Bijlage H .10: Invultabel glas per locatie</v>
      </c>
    </row>
    <row r="3" spans="1:13" ht="38.25" x14ac:dyDescent="0.2">
      <c r="A3" s="8" t="s">
        <v>196</v>
      </c>
      <c r="B3" s="8" t="s">
        <v>7</v>
      </c>
      <c r="C3" s="8" t="s">
        <v>197</v>
      </c>
      <c r="D3" s="8" t="s">
        <v>148</v>
      </c>
      <c r="E3" s="8" t="s">
        <v>31</v>
      </c>
      <c r="F3" s="8" t="s">
        <v>34</v>
      </c>
      <c r="G3" s="8" t="s">
        <v>198</v>
      </c>
      <c r="H3" s="8" t="s">
        <v>199</v>
      </c>
      <c r="I3" s="8" t="s">
        <v>200</v>
      </c>
      <c r="J3" s="8" t="s">
        <v>201</v>
      </c>
      <c r="K3" s="8" t="s">
        <v>202</v>
      </c>
      <c r="L3" s="8" t="s">
        <v>79</v>
      </c>
      <c r="M3" s="8" t="s">
        <v>170</v>
      </c>
    </row>
    <row r="5" spans="1:13" x14ac:dyDescent="0.2">
      <c r="A5" s="117" t="s">
        <v>109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116"/>
    </row>
    <row r="6" spans="1:13" x14ac:dyDescent="0.2">
      <c r="A6" s="15" t="s">
        <v>337</v>
      </c>
      <c r="B6" s="15" t="s">
        <v>23</v>
      </c>
      <c r="C6" s="16">
        <f>IF(ISBLANK(B6),0,IF(ISERROR(VALUE(B6)),VLOOKUP(B6,dagsoorttabel1,2,FALSE)*dagenperjaar1,VALUE(B6)))</f>
        <v>2</v>
      </c>
      <c r="D6" s="15" t="s">
        <v>155</v>
      </c>
      <c r="E6" s="15" t="s">
        <v>338</v>
      </c>
      <c r="F6" s="15" t="s">
        <v>212</v>
      </c>
      <c r="G6" s="109">
        <v>325</v>
      </c>
      <c r="H6" s="118">
        <f>Glas!G6</f>
        <v>0</v>
      </c>
      <c r="I6" s="110"/>
      <c r="J6" s="118">
        <f>Glas!I6</f>
        <v>0</v>
      </c>
      <c r="K6" s="34">
        <f>IF(ISBLANK(G6),0,G6)*J6</f>
        <v>0</v>
      </c>
      <c r="L6" s="34">
        <f>C6*K6</f>
        <v>0</v>
      </c>
      <c r="M6" s="34">
        <f>L6/12</f>
        <v>0</v>
      </c>
    </row>
    <row r="7" spans="1:13" x14ac:dyDescent="0.2">
      <c r="A7" s="20" t="s">
        <v>339</v>
      </c>
      <c r="B7" s="20" t="s">
        <v>23</v>
      </c>
      <c r="C7" s="21">
        <f>IF(ISBLANK(B7),0,IF(ISERROR(VALUE(B7)),VLOOKUP(B7,dagsoorttabel1,2,FALSE)*dagenperjaar1,VALUE(B7)))</f>
        <v>2</v>
      </c>
      <c r="D7" s="20" t="s">
        <v>155</v>
      </c>
      <c r="E7" s="20" t="s">
        <v>340</v>
      </c>
      <c r="F7" s="20" t="s">
        <v>212</v>
      </c>
      <c r="G7" s="111">
        <v>325</v>
      </c>
      <c r="H7" s="119">
        <f>Glas!G7</f>
        <v>0</v>
      </c>
      <c r="I7" s="112"/>
      <c r="J7" s="119">
        <f>Glas!I7</f>
        <v>0</v>
      </c>
      <c r="K7" s="39">
        <f>IF(ISBLANK(G7),0,G7)*J7</f>
        <v>0</v>
      </c>
      <c r="L7" s="39">
        <f>C7*K7</f>
        <v>0</v>
      </c>
      <c r="M7" s="39">
        <f>L7/12</f>
        <v>0</v>
      </c>
    </row>
    <row r="8" spans="1:13" x14ac:dyDescent="0.2">
      <c r="A8" s="25" t="s">
        <v>341</v>
      </c>
      <c r="B8" s="25" t="s">
        <v>23</v>
      </c>
      <c r="C8" s="26">
        <f>IF(ISBLANK(B8),0,IF(ISERROR(VALUE(B8)),VLOOKUP(B8,dagsoorttabel1,2,FALSE)*dagenperjaar1,VALUE(B8)))</f>
        <v>2</v>
      </c>
      <c r="D8" s="25" t="s">
        <v>155</v>
      </c>
      <c r="E8" s="25" t="s">
        <v>342</v>
      </c>
      <c r="F8" s="25" t="s">
        <v>212</v>
      </c>
      <c r="G8" s="113">
        <v>87</v>
      </c>
      <c r="H8" s="120">
        <f>Glas!G8</f>
        <v>0</v>
      </c>
      <c r="I8" s="114"/>
      <c r="J8" s="120">
        <f>Glas!I8</f>
        <v>0</v>
      </c>
      <c r="K8" s="42">
        <f>IF(ISBLANK(G8),0,G8)*J8</f>
        <v>0</v>
      </c>
      <c r="L8" s="42">
        <f>C8*K8</f>
        <v>0</v>
      </c>
      <c r="M8" s="42">
        <f>L8/12</f>
        <v>0</v>
      </c>
    </row>
    <row r="9" spans="1:13" x14ac:dyDescent="0.2">
      <c r="A9" s="108" t="s">
        <v>188</v>
      </c>
      <c r="B9" s="45"/>
      <c r="C9" s="45"/>
      <c r="D9" s="45"/>
      <c r="E9" s="45"/>
      <c r="F9" s="45"/>
      <c r="G9" s="45"/>
      <c r="H9" s="45"/>
      <c r="I9" s="45"/>
      <c r="J9" s="45"/>
      <c r="K9" s="47">
        <f>SUM(K6:K8)</f>
        <v>0</v>
      </c>
      <c r="L9" s="47">
        <f>SUM(L6:L8)</f>
        <v>0</v>
      </c>
      <c r="M9" s="115">
        <f>L9/12</f>
        <v>0</v>
      </c>
    </row>
  </sheetData>
  <pageMargins left="0.7" right="0.7" top="0.75" bottom="0.75" header="0.3" footer="0.3"/>
  <pageSetup paperSize="9" scale="65" orientation="landscape" r:id="rId1"/>
  <headerFooter>
    <oddFooter>&amp;LStichting Openbaar Onderwijs Oost Groningen EA              &amp;ROpmaakdatum: 16-07-2021
Intexso - De Start 5 -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4E4D1-3F21-4F87-8357-A7BA26F1BD69}">
  <dimension ref="A1:E19"/>
  <sheetViews>
    <sheetView tabSelected="1" workbookViewId="0">
      <selection activeCell="C13" sqref="C13"/>
    </sheetView>
  </sheetViews>
  <sheetFormatPr defaultRowHeight="12.75" x14ac:dyDescent="0.2"/>
  <cols>
    <col min="1" max="1" width="30.625" customWidth="1"/>
    <col min="2" max="5" width="20.625" customWidth="1"/>
  </cols>
  <sheetData>
    <row r="1" spans="1:5" x14ac:dyDescent="0.2">
      <c r="A1" s="1" t="str">
        <f>CONCATENATE("Bijlage H .11: ",tabeltype," totaalblad schoonmaakwerk")</f>
        <v>Bijlage H .11: Invultabel totaalblad schoonmaakwerk</v>
      </c>
    </row>
    <row r="3" spans="1:5" ht="25.5" x14ac:dyDescent="0.2">
      <c r="A3" s="8" t="s">
        <v>344</v>
      </c>
      <c r="B3" s="8" t="s">
        <v>345</v>
      </c>
      <c r="C3" s="8" t="s">
        <v>346</v>
      </c>
      <c r="D3" s="8" t="s">
        <v>347</v>
      </c>
      <c r="E3" s="8" t="s">
        <v>348</v>
      </c>
    </row>
    <row r="4" spans="1:5" x14ac:dyDescent="0.2">
      <c r="A4" s="121" t="s">
        <v>349</v>
      </c>
      <c r="B4" s="30">
        <f>urenjaartotaaloverzicht</f>
        <v>0</v>
      </c>
      <c r="C4" s="30">
        <f>urenjaartotaaloverzichthf</f>
        <v>0</v>
      </c>
      <c r="D4" s="98"/>
      <c r="E4" s="34">
        <f>prijsjaartotaaloverzicht</f>
        <v>0</v>
      </c>
    </row>
    <row r="5" spans="1:5" x14ac:dyDescent="0.2">
      <c r="A5" s="122" t="s">
        <v>350</v>
      </c>
      <c r="B5" s="102"/>
      <c r="C5" s="102"/>
      <c r="D5" s="35">
        <f>urenjaarnietmeewerkend</f>
        <v>0</v>
      </c>
      <c r="E5" s="39">
        <f>prijsjaarnietmeewerkend</f>
        <v>0</v>
      </c>
    </row>
    <row r="6" spans="1:5" ht="25.5" x14ac:dyDescent="0.2">
      <c r="A6" s="122" t="s">
        <v>351</v>
      </c>
      <c r="B6" s="102"/>
      <c r="C6" s="102"/>
      <c r="D6" s="102"/>
      <c r="E6" s="39">
        <f>prijsjaarafroep</f>
        <v>0</v>
      </c>
    </row>
    <row r="7" spans="1:5" x14ac:dyDescent="0.2">
      <c r="A7" s="123" t="s">
        <v>352</v>
      </c>
      <c r="B7" s="124"/>
      <c r="C7" s="124"/>
      <c r="D7" s="124"/>
      <c r="E7" s="42">
        <f>prijsjaarglas</f>
        <v>0</v>
      </c>
    </row>
    <row r="9" spans="1:5" x14ac:dyDescent="0.2">
      <c r="A9" s="8" t="s">
        <v>353</v>
      </c>
      <c r="B9" s="46">
        <f>SUM(B4:B7)</f>
        <v>0</v>
      </c>
      <c r="C9" s="46">
        <f>SUM(C4:C7)</f>
        <v>0</v>
      </c>
      <c r="D9" s="46">
        <f>SUM(D4:D7)</f>
        <v>0</v>
      </c>
      <c r="E9" s="47">
        <f>SUM(E4:E7)</f>
        <v>0</v>
      </c>
    </row>
    <row r="11" spans="1:5" x14ac:dyDescent="0.2">
      <c r="A11" s="8" t="s">
        <v>354</v>
      </c>
      <c r="B11" s="125">
        <f>IF(B9&gt;0,D9/B9,0)</f>
        <v>0</v>
      </c>
    </row>
    <row r="17" spans="1:5" ht="15" x14ac:dyDescent="0.25">
      <c r="A17" s="126" t="s">
        <v>355</v>
      </c>
      <c r="B17" s="127"/>
      <c r="C17" s="127"/>
      <c r="D17" s="127"/>
      <c r="E17" s="128">
        <f>E4+E5+E7</f>
        <v>0</v>
      </c>
    </row>
    <row r="18" spans="1:5" ht="15" x14ac:dyDescent="0.25">
      <c r="A18" s="132"/>
      <c r="B18" s="133"/>
      <c r="C18" s="133"/>
      <c r="D18" s="133"/>
      <c r="E18" s="130"/>
    </row>
    <row r="19" spans="1:5" ht="15" x14ac:dyDescent="0.25">
      <c r="A19" s="134" t="s">
        <v>356</v>
      </c>
      <c r="B19" s="129"/>
      <c r="C19" s="129"/>
      <c r="D19" s="130"/>
      <c r="E19" s="131">
        <f>E6</f>
        <v>0</v>
      </c>
    </row>
  </sheetData>
  <pageMargins left="0.7" right="0.7" top="0.75" bottom="0.75" header="0.3" footer="0.3"/>
  <pageSetup paperSize="9" scale="70" orientation="landscape" r:id="rId1"/>
  <headerFooter>
    <oddFooter>&amp;LStichting Openbaar Onderwijs Oost Groningen EA              &amp;ROpmaakdatum: 16-07-2021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743B8-A731-4BCF-BF26-8352867AD20A}">
  <dimension ref="A1:H2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H .1: ",tabeltype," categorienormen")</f>
        <v>Bijlage H .1: Invultabel categorienormen</v>
      </c>
    </row>
    <row r="3" spans="1:8" ht="38.25" x14ac:dyDescent="0.2">
      <c r="A3" s="8" t="s">
        <v>28</v>
      </c>
      <c r="B3" s="8" t="s">
        <v>29</v>
      </c>
      <c r="C3" s="8" t="s">
        <v>30</v>
      </c>
      <c r="D3" s="8" t="s">
        <v>31</v>
      </c>
      <c r="E3" s="8" t="s">
        <v>32</v>
      </c>
      <c r="F3" s="8" t="s">
        <v>33</v>
      </c>
      <c r="G3" s="8" t="s">
        <v>34</v>
      </c>
      <c r="H3" s="8" t="s">
        <v>35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36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37</v>
      </c>
      <c r="B6" s="16" t="s">
        <v>38</v>
      </c>
      <c r="C6" s="15">
        <v>1</v>
      </c>
      <c r="D6" s="15" t="s">
        <v>39</v>
      </c>
      <c r="E6" s="17"/>
      <c r="F6" s="18"/>
      <c r="G6" s="15" t="s">
        <v>40</v>
      </c>
      <c r="H6" s="19"/>
    </row>
    <row r="7" spans="1:8" x14ac:dyDescent="0.2">
      <c r="A7" s="20" t="s">
        <v>41</v>
      </c>
      <c r="B7" s="21" t="s">
        <v>38</v>
      </c>
      <c r="C7" s="20">
        <v>40</v>
      </c>
      <c r="D7" s="20" t="s">
        <v>42</v>
      </c>
      <c r="E7" s="22"/>
      <c r="F7" s="23"/>
      <c r="G7" s="20" t="s">
        <v>40</v>
      </c>
      <c r="H7" s="24"/>
    </row>
    <row r="8" spans="1:8" x14ac:dyDescent="0.2">
      <c r="A8" s="20" t="s">
        <v>43</v>
      </c>
      <c r="B8" s="21" t="s">
        <v>38</v>
      </c>
      <c r="C8" s="20">
        <v>1</v>
      </c>
      <c r="D8" s="20" t="s">
        <v>44</v>
      </c>
      <c r="E8" s="22"/>
      <c r="F8" s="23"/>
      <c r="G8" s="20" t="s">
        <v>40</v>
      </c>
      <c r="H8" s="24"/>
    </row>
    <row r="9" spans="1:8" x14ac:dyDescent="0.2">
      <c r="A9" s="20" t="s">
        <v>45</v>
      </c>
      <c r="B9" s="21" t="s">
        <v>38</v>
      </c>
      <c r="C9" s="20">
        <v>1</v>
      </c>
      <c r="D9" s="20" t="s">
        <v>46</v>
      </c>
      <c r="E9" s="22"/>
      <c r="F9" s="23"/>
      <c r="G9" s="20" t="s">
        <v>40</v>
      </c>
      <c r="H9" s="24"/>
    </row>
    <row r="10" spans="1:8" x14ac:dyDescent="0.2">
      <c r="A10" s="20" t="s">
        <v>47</v>
      </c>
      <c r="B10" s="21" t="s">
        <v>38</v>
      </c>
      <c r="C10" s="20">
        <v>40</v>
      </c>
      <c r="D10" s="20" t="s">
        <v>48</v>
      </c>
      <c r="E10" s="22"/>
      <c r="F10" s="23"/>
      <c r="G10" s="20" t="s">
        <v>40</v>
      </c>
      <c r="H10" s="24"/>
    </row>
    <row r="11" spans="1:8" x14ac:dyDescent="0.2">
      <c r="A11" s="20" t="s">
        <v>49</v>
      </c>
      <c r="B11" s="21" t="s">
        <v>38</v>
      </c>
      <c r="C11" s="20">
        <v>40</v>
      </c>
      <c r="D11" s="20" t="s">
        <v>50</v>
      </c>
      <c r="E11" s="22"/>
      <c r="F11" s="23"/>
      <c r="G11" s="20" t="s">
        <v>40</v>
      </c>
      <c r="H11" s="24"/>
    </row>
    <row r="12" spans="1:8" x14ac:dyDescent="0.2">
      <c r="A12" s="20" t="s">
        <v>51</v>
      </c>
      <c r="B12" s="21" t="s">
        <v>52</v>
      </c>
      <c r="C12" s="20">
        <v>1</v>
      </c>
      <c r="D12" s="20" t="s">
        <v>53</v>
      </c>
      <c r="E12" s="22"/>
      <c r="F12" s="23"/>
      <c r="G12" s="20" t="s">
        <v>40</v>
      </c>
      <c r="H12" s="24"/>
    </row>
    <row r="13" spans="1:8" x14ac:dyDescent="0.2">
      <c r="A13" s="20" t="s">
        <v>54</v>
      </c>
      <c r="B13" s="21" t="s">
        <v>52</v>
      </c>
      <c r="C13" s="20">
        <v>40</v>
      </c>
      <c r="D13" s="20" t="s">
        <v>55</v>
      </c>
      <c r="E13" s="22"/>
      <c r="F13" s="23"/>
      <c r="G13" s="20" t="s">
        <v>40</v>
      </c>
      <c r="H13" s="24"/>
    </row>
    <row r="14" spans="1:8" x14ac:dyDescent="0.2">
      <c r="A14" s="20" t="s">
        <v>56</v>
      </c>
      <c r="B14" s="21" t="s">
        <v>57</v>
      </c>
      <c r="C14" s="20">
        <v>1</v>
      </c>
      <c r="D14" s="20" t="s">
        <v>58</v>
      </c>
      <c r="E14" s="22"/>
      <c r="F14" s="23"/>
      <c r="G14" s="20" t="s">
        <v>40</v>
      </c>
      <c r="H14" s="24"/>
    </row>
    <row r="15" spans="1:8" x14ac:dyDescent="0.2">
      <c r="A15" s="20" t="s">
        <v>59</v>
      </c>
      <c r="B15" s="21" t="s">
        <v>57</v>
      </c>
      <c r="C15" s="20">
        <v>40</v>
      </c>
      <c r="D15" s="20" t="s">
        <v>60</v>
      </c>
      <c r="E15" s="22"/>
      <c r="F15" s="23"/>
      <c r="G15" s="20" t="s">
        <v>40</v>
      </c>
      <c r="H15" s="24"/>
    </row>
    <row r="16" spans="1:8" x14ac:dyDescent="0.2">
      <c r="A16" s="20" t="s">
        <v>61</v>
      </c>
      <c r="B16" s="21" t="s">
        <v>57</v>
      </c>
      <c r="C16" s="20">
        <v>1</v>
      </c>
      <c r="D16" s="20" t="s">
        <v>62</v>
      </c>
      <c r="E16" s="22"/>
      <c r="F16" s="23"/>
      <c r="G16" s="20" t="s">
        <v>40</v>
      </c>
      <c r="H16" s="24"/>
    </row>
    <row r="17" spans="1:8" x14ac:dyDescent="0.2">
      <c r="A17" s="20" t="s">
        <v>63</v>
      </c>
      <c r="B17" s="21" t="s">
        <v>57</v>
      </c>
      <c r="C17" s="20">
        <v>1</v>
      </c>
      <c r="D17" s="20" t="s">
        <v>64</v>
      </c>
      <c r="E17" s="22"/>
      <c r="F17" s="23"/>
      <c r="G17" s="20" t="s">
        <v>40</v>
      </c>
      <c r="H17" s="24"/>
    </row>
    <row r="18" spans="1:8" x14ac:dyDescent="0.2">
      <c r="A18" s="20" t="s">
        <v>65</v>
      </c>
      <c r="B18" s="21" t="s">
        <v>57</v>
      </c>
      <c r="C18" s="20">
        <v>40</v>
      </c>
      <c r="D18" s="20" t="s">
        <v>66</v>
      </c>
      <c r="E18" s="22"/>
      <c r="F18" s="23"/>
      <c r="G18" s="20" t="s">
        <v>40</v>
      </c>
      <c r="H18" s="24"/>
    </row>
    <row r="19" spans="1:8" x14ac:dyDescent="0.2">
      <c r="A19" s="20" t="s">
        <v>67</v>
      </c>
      <c r="B19" s="21" t="s">
        <v>57</v>
      </c>
      <c r="C19" s="20">
        <v>40</v>
      </c>
      <c r="D19" s="20" t="s">
        <v>68</v>
      </c>
      <c r="E19" s="22"/>
      <c r="F19" s="23"/>
      <c r="G19" s="20" t="s">
        <v>40</v>
      </c>
      <c r="H19" s="24"/>
    </row>
    <row r="20" spans="1:8" x14ac:dyDescent="0.2">
      <c r="A20" s="25" t="s">
        <v>69</v>
      </c>
      <c r="B20" s="26" t="s">
        <v>70</v>
      </c>
      <c r="C20" s="25">
        <v>1</v>
      </c>
      <c r="D20" s="25" t="s">
        <v>71</v>
      </c>
      <c r="E20" s="27"/>
      <c r="F20" s="28"/>
      <c r="G20" s="25" t="s">
        <v>40</v>
      </c>
      <c r="H20" s="29"/>
    </row>
  </sheetData>
  <pageMargins left="0.7" right="0.7" top="0.75" bottom="0.75" header="0.3" footer="0.3"/>
  <pageSetup paperSize="9" scale="70" orientation="landscape" r:id="rId1"/>
  <headerFooter>
    <oddFooter>&amp;LStichting Openbaar Onderwijs Oost Groningen EA              &amp;ROpmaakdatum: 16-07-2021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39988-B448-449F-9C49-DD821DB273D6}">
  <dimension ref="A1:N22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H .2: ",tabeltype," regulier werk")</f>
        <v>Bijlage H .2: Invultabel regulier werk</v>
      </c>
    </row>
    <row r="3" spans="1:14" ht="38.25" x14ac:dyDescent="0.2">
      <c r="A3" s="8" t="s">
        <v>72</v>
      </c>
      <c r="B3" s="8" t="s">
        <v>7</v>
      </c>
      <c r="C3" s="8" t="s">
        <v>73</v>
      </c>
      <c r="D3" s="8" t="s">
        <v>31</v>
      </c>
      <c r="E3" s="8" t="s">
        <v>74</v>
      </c>
      <c r="F3" s="8" t="s">
        <v>75</v>
      </c>
      <c r="G3" s="8" t="s">
        <v>32</v>
      </c>
      <c r="H3" s="8" t="s">
        <v>33</v>
      </c>
      <c r="I3" s="8" t="s">
        <v>34</v>
      </c>
      <c r="J3" s="8" t="s">
        <v>35</v>
      </c>
      <c r="K3" s="8" t="s">
        <v>76</v>
      </c>
      <c r="L3" s="8" t="s">
        <v>77</v>
      </c>
      <c r="M3" s="8" t="s">
        <v>78</v>
      </c>
      <c r="N3" s="8" t="s">
        <v>79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80</v>
      </c>
      <c r="B6" s="15" t="s">
        <v>10</v>
      </c>
      <c r="C6" s="15" t="s">
        <v>81</v>
      </c>
      <c r="D6" s="15" t="s">
        <v>82</v>
      </c>
      <c r="E6" s="30">
        <v>17.399999999999999</v>
      </c>
      <c r="F6" s="30">
        <f t="shared" ref="F6:F16" si="0">E6*VLOOKUP(B6,dagsoorttabel1,2,FALSE)</f>
        <v>17.399999999999999</v>
      </c>
      <c r="G6" s="31">
        <f>IF(AND(catpn_1_BZB_1&gt;0,catpn_1_BZV_40&gt;0),(dagenperjaar1*VLOOKUP(B6,dagsoorttabel1,2,FALSE))/(((dagenperjaar1*VLOOKUP(B6,dagsoorttabel1,2,FALSE))-catfd_1_BZV_40)/catpn_1_BZB_1+catfd_1_BZV_40/catpn_1_BZV_40),0)</f>
        <v>0</v>
      </c>
      <c r="H6" s="32">
        <f>IF(AND(catpn_1_BZB_1&gt;0,catpn_1_BZV_40&gt;0),(catdw_1_BZB_1*((dagenperjaar1-VLOOKUP(B6,dagsoorttabel1,2,FALSE))-catfd_1_BZV_40)/catpn_1_BZB_1+catdw_1_BZV_40*catfd_1_BZV_40/catpn_1_BZV_40)/(((dagenperjaar1-VLOOKUP(B6,dagsoorttabel1,2,FALSE))-catfd_1_BZV_40)/catpn_1_BZB_1+catfd_1_BZV_40/catpn_1_BZV_40),0)</f>
        <v>0</v>
      </c>
      <c r="I6" s="15" t="s">
        <v>40</v>
      </c>
      <c r="J6" s="33">
        <f>IF(AND(catpn_1_BZB_1&gt;0,catpn_1_BZV_40&gt;0),(cattf_1_BZB_1*((dagenperjaar1*VLOOKUP(B6,dagsoorttabel1,2,FALSE))-catfd_1_BZV_40)/catpn_1_BZB_1+cattf_1_BZV_40*catfd_1_BZV_40/catpn_1_BZV_40)/(((dagenperjaar1*VLOOKUP(B6,dagsoorttabel1,2,FALSE))-catfd_1_BZV_40)/catpn_1_BZB_1+catfd_1_BZV_40/catpn_1_BZV_40),0)</f>
        <v>0</v>
      </c>
      <c r="K6" s="30">
        <f t="shared" ref="K6:K16" si="1">IF(OR(ISBLANK(G6),G6=0),0,F6/ROUND(G6,4))</f>
        <v>0</v>
      </c>
      <c r="L6" s="34">
        <f t="shared" ref="L6:L16" si="2">ROUND(J6,3)*K6</f>
        <v>0</v>
      </c>
      <c r="M6" s="30">
        <f t="shared" ref="M6:M16" si="3">K6*dagenperjaar1</f>
        <v>0</v>
      </c>
      <c r="N6" s="34">
        <f t="shared" ref="N6:N16" si="4">M6*ROUND(J6,3)</f>
        <v>0</v>
      </c>
    </row>
    <row r="7" spans="1:14" x14ac:dyDescent="0.2">
      <c r="A7" s="20" t="s">
        <v>80</v>
      </c>
      <c r="B7" s="20" t="s">
        <v>16</v>
      </c>
      <c r="C7" s="20" t="s">
        <v>81</v>
      </c>
      <c r="D7" s="20" t="s">
        <v>82</v>
      </c>
      <c r="E7" s="35">
        <v>15.3</v>
      </c>
      <c r="F7" s="35">
        <f t="shared" si="0"/>
        <v>3.0600000000000005</v>
      </c>
      <c r="G7" s="36">
        <f>IF(AND(catpn_1_BZB_1&gt;0,catpn_1_BZV_40&gt;0),(dagenperjaar1*VLOOKUP(B7,dagsoorttabel1,2,FALSE))/(((dagenperjaar1*VLOOKUP(B7,dagsoorttabel1,2,FALSE))-catfd_1_BZV_40)/catpn_1_BZB_1+catfd_1_BZV_40/catpn_1_BZV_40),0)</f>
        <v>0</v>
      </c>
      <c r="H7" s="37">
        <f>IF(AND(catpn_1_BZB_1&gt;0,catpn_1_BZV_40&gt;0),(catdw_1_BZB_1*((dagenperjaar1-VLOOKUP(B7,dagsoorttabel1,2,FALSE))-catfd_1_BZV_40)/catpn_1_BZB_1+catdw_1_BZV_40*catfd_1_BZV_40/catpn_1_BZV_40)/(((dagenperjaar1-VLOOKUP(B7,dagsoorttabel1,2,FALSE))-catfd_1_BZV_40)/catpn_1_BZB_1+catfd_1_BZV_40/catpn_1_BZV_40),0)</f>
        <v>0</v>
      </c>
      <c r="I7" s="20" t="s">
        <v>40</v>
      </c>
      <c r="J7" s="38">
        <f>IF(AND(catpn_1_BZB_1&gt;0,catpn_1_BZV_40&gt;0),(cattf_1_BZB_1*((dagenperjaar1*VLOOKUP(B7,dagsoorttabel1,2,FALSE))-catfd_1_BZV_40)/catpn_1_BZB_1+cattf_1_BZV_40*catfd_1_BZV_40/catpn_1_BZV_40)/(((dagenperjaar1*VLOOKUP(B7,dagsoorttabel1,2,FALSE))-catfd_1_BZV_40)/catpn_1_BZB_1+catfd_1_BZV_40/catpn_1_BZV_40),0)</f>
        <v>0</v>
      </c>
      <c r="K7" s="35">
        <f t="shared" si="1"/>
        <v>0</v>
      </c>
      <c r="L7" s="39">
        <f t="shared" si="2"/>
        <v>0</v>
      </c>
      <c r="M7" s="35">
        <f t="shared" si="3"/>
        <v>0</v>
      </c>
      <c r="N7" s="39">
        <f t="shared" si="4"/>
        <v>0</v>
      </c>
    </row>
    <row r="8" spans="1:14" x14ac:dyDescent="0.2">
      <c r="A8" s="20" t="s">
        <v>83</v>
      </c>
      <c r="B8" s="20" t="s">
        <v>10</v>
      </c>
      <c r="C8" s="20" t="s">
        <v>81</v>
      </c>
      <c r="D8" s="20" t="s">
        <v>84</v>
      </c>
      <c r="E8" s="35">
        <v>40.1</v>
      </c>
      <c r="F8" s="35">
        <f t="shared" si="0"/>
        <v>40.1</v>
      </c>
      <c r="G8" s="36">
        <f>IF(AND(catpn_1_EZB_1&gt;0,catpn_1_EZV_40&gt;0),(dagenperjaar1*VLOOKUP(B8,dagsoorttabel1,2,FALSE))/(((dagenperjaar1*VLOOKUP(B8,dagsoorttabel1,2,FALSE))-catfd_1_EZV_40)/catpn_1_EZB_1+catfd_1_EZV_40/catpn_1_EZV_40),0)</f>
        <v>0</v>
      </c>
      <c r="H8" s="37">
        <f>IF(AND(catpn_1_EZB_1&gt;0,catpn_1_EZV_40&gt;0),(catdw_1_EZB_1*((dagenperjaar1-VLOOKUP(B8,dagsoorttabel1,2,FALSE))-catfd_1_EZV_40)/catpn_1_EZB_1+catdw_1_EZV_40*catfd_1_EZV_40/catpn_1_EZV_40)/(((dagenperjaar1-VLOOKUP(B8,dagsoorttabel1,2,FALSE))-catfd_1_EZV_40)/catpn_1_EZB_1+catfd_1_EZV_40/catpn_1_EZV_40),0)</f>
        <v>0</v>
      </c>
      <c r="I8" s="20" t="s">
        <v>40</v>
      </c>
      <c r="J8" s="38">
        <f>IF(AND(catpn_1_EZB_1&gt;0,catpn_1_EZV_40&gt;0),(cattf_1_EZB_1*((dagenperjaar1*VLOOKUP(B8,dagsoorttabel1,2,FALSE))-catfd_1_EZV_40)/catpn_1_EZB_1+cattf_1_EZV_40*catfd_1_EZV_40/catpn_1_EZV_40)/(((dagenperjaar1*VLOOKUP(B8,dagsoorttabel1,2,FALSE))-catfd_1_EZV_40)/catpn_1_EZB_1+catfd_1_EZV_40/catpn_1_EZV_40),0)</f>
        <v>0</v>
      </c>
      <c r="K8" s="35">
        <f t="shared" si="1"/>
        <v>0</v>
      </c>
      <c r="L8" s="39">
        <f t="shared" si="2"/>
        <v>0</v>
      </c>
      <c r="M8" s="35">
        <f t="shared" si="3"/>
        <v>0</v>
      </c>
      <c r="N8" s="39">
        <f t="shared" si="4"/>
        <v>0</v>
      </c>
    </row>
    <row r="9" spans="1:14" x14ac:dyDescent="0.2">
      <c r="A9" s="20" t="s">
        <v>85</v>
      </c>
      <c r="B9" s="20" t="s">
        <v>10</v>
      </c>
      <c r="C9" s="20" t="s">
        <v>81</v>
      </c>
      <c r="D9" s="20" t="s">
        <v>86</v>
      </c>
      <c r="E9" s="35">
        <v>55.4</v>
      </c>
      <c r="F9" s="35">
        <f t="shared" si="0"/>
        <v>55.4</v>
      </c>
      <c r="G9" s="36">
        <f>IF(AND(catpn_1_LHB_1&gt;0,catpn_1_LHV_40&gt;0),(dagenperjaar1*VLOOKUP(B9,dagsoorttabel1,2,FALSE))/(((dagenperjaar1*VLOOKUP(B9,dagsoorttabel1,2,FALSE))-catfd_1_LHV_40)/catpn_1_LHB_1+catfd_1_LHV_40/catpn_1_LHV_40),0)</f>
        <v>0</v>
      </c>
      <c r="H9" s="37">
        <f>IF(AND(catpn_1_LHB_1&gt;0,catpn_1_LHV_40&gt;0),(catdw_1_LHB_1*((dagenperjaar1-VLOOKUP(B9,dagsoorttabel1,2,FALSE))-catfd_1_LHV_40)/catpn_1_LHB_1+catdw_1_LHV_40*catfd_1_LHV_40/catpn_1_LHV_40)/(((dagenperjaar1-VLOOKUP(B9,dagsoorttabel1,2,FALSE))-catfd_1_LHV_40)/catpn_1_LHB_1+catfd_1_LHV_40/catpn_1_LHV_40),0)</f>
        <v>0</v>
      </c>
      <c r="I9" s="20" t="s">
        <v>40</v>
      </c>
      <c r="J9" s="38">
        <f>IF(AND(catpn_1_LHB_1&gt;0,catpn_1_LHV_40&gt;0),(cattf_1_LHB_1*((dagenperjaar1*VLOOKUP(B9,dagsoorttabel1,2,FALSE))-catfd_1_LHV_40)/catpn_1_LHB_1+cattf_1_LHV_40*catfd_1_LHV_40/catpn_1_LHV_40)/(((dagenperjaar1*VLOOKUP(B9,dagsoorttabel1,2,FALSE))-catfd_1_LHV_40)/catpn_1_LHB_1+catfd_1_LHV_40/catpn_1_LHV_40),0)</f>
        <v>0</v>
      </c>
      <c r="K9" s="35">
        <f t="shared" si="1"/>
        <v>0</v>
      </c>
      <c r="L9" s="39">
        <f t="shared" si="2"/>
        <v>0</v>
      </c>
      <c r="M9" s="35">
        <f t="shared" si="3"/>
        <v>0</v>
      </c>
      <c r="N9" s="39">
        <f t="shared" si="4"/>
        <v>0</v>
      </c>
    </row>
    <row r="10" spans="1:14" x14ac:dyDescent="0.2">
      <c r="A10" s="20" t="s">
        <v>87</v>
      </c>
      <c r="B10" s="20" t="s">
        <v>10</v>
      </c>
      <c r="C10" s="20" t="s">
        <v>81</v>
      </c>
      <c r="D10" s="20" t="s">
        <v>86</v>
      </c>
      <c r="E10" s="35">
        <v>166.7</v>
      </c>
      <c r="F10" s="35">
        <f t="shared" si="0"/>
        <v>166.7</v>
      </c>
      <c r="G10" s="36">
        <f>IF(AND(catpn_1_LZB_1&gt;0,catpn_1_LZV_40&gt;0),(dagenperjaar1*VLOOKUP(B10,dagsoorttabel1,2,FALSE))/(((dagenperjaar1*VLOOKUP(B10,dagsoorttabel1,2,FALSE))-catfd_1_LZV_40)/catpn_1_LZB_1+catfd_1_LZV_40/catpn_1_LZV_40),0)</f>
        <v>0</v>
      </c>
      <c r="H10" s="37">
        <f>IF(AND(catpn_1_LZB_1&gt;0,catpn_1_LZV_40&gt;0),(catdw_1_LZB_1*((dagenperjaar1-VLOOKUP(B10,dagsoorttabel1,2,FALSE))-catfd_1_LZV_40)/catpn_1_LZB_1+catdw_1_LZV_40*catfd_1_LZV_40/catpn_1_LZV_40)/(((dagenperjaar1-VLOOKUP(B10,dagsoorttabel1,2,FALSE))-catfd_1_LZV_40)/catpn_1_LZB_1+catfd_1_LZV_40/catpn_1_LZV_40),0)</f>
        <v>0</v>
      </c>
      <c r="I10" s="20" t="s">
        <v>40</v>
      </c>
      <c r="J10" s="38">
        <f>IF(AND(catpn_1_LZB_1&gt;0,catpn_1_LZV_40&gt;0),(cattf_1_LZB_1*((dagenperjaar1*VLOOKUP(B10,dagsoorttabel1,2,FALSE))-catfd_1_LZV_40)/catpn_1_LZB_1+cattf_1_LZV_40*catfd_1_LZV_40/catpn_1_LZV_40)/(((dagenperjaar1*VLOOKUP(B10,dagsoorttabel1,2,FALSE))-catfd_1_LZV_40)/catpn_1_LZB_1+catfd_1_LZV_40/catpn_1_LZV_40),0)</f>
        <v>0</v>
      </c>
      <c r="K10" s="35">
        <f t="shared" si="1"/>
        <v>0</v>
      </c>
      <c r="L10" s="39">
        <f t="shared" si="2"/>
        <v>0</v>
      </c>
      <c r="M10" s="35">
        <f t="shared" si="3"/>
        <v>0</v>
      </c>
      <c r="N10" s="39">
        <f t="shared" si="4"/>
        <v>0</v>
      </c>
    </row>
    <row r="11" spans="1:14" x14ac:dyDescent="0.2">
      <c r="A11" s="20" t="s">
        <v>88</v>
      </c>
      <c r="B11" s="20" t="s">
        <v>10</v>
      </c>
      <c r="C11" s="20" t="s">
        <v>81</v>
      </c>
      <c r="D11" s="20" t="s">
        <v>89</v>
      </c>
      <c r="E11" s="35">
        <v>19.150000000000002</v>
      </c>
      <c r="F11" s="35">
        <f t="shared" si="0"/>
        <v>19.150000000000002</v>
      </c>
      <c r="G11" s="36">
        <f>IF(AND(catpn_1_SHB_1&gt;0,catpn_1_SHV_40&gt;0),(dagenperjaar1*VLOOKUP(B11,dagsoorttabel1,2,FALSE))/(((dagenperjaar1*VLOOKUP(B11,dagsoorttabel1,2,FALSE))-catfd_1_SHV_40)/catpn_1_SHB_1+catfd_1_SHV_40/catpn_1_SHV_40),0)</f>
        <v>0</v>
      </c>
      <c r="H11" s="37">
        <f>IF(AND(catpn_1_SHB_1&gt;0,catpn_1_SHV_40&gt;0),(catdw_1_SHB_1*((dagenperjaar1-VLOOKUP(B11,dagsoorttabel1,2,FALSE))-catfd_1_SHV_40)/catpn_1_SHB_1+catdw_1_SHV_40*catfd_1_SHV_40/catpn_1_SHV_40)/(((dagenperjaar1-VLOOKUP(B11,dagsoorttabel1,2,FALSE))-catfd_1_SHV_40)/catpn_1_SHB_1+catfd_1_SHV_40/catpn_1_SHV_40),0)</f>
        <v>0</v>
      </c>
      <c r="I11" s="20" t="s">
        <v>40</v>
      </c>
      <c r="J11" s="38">
        <f>IF(AND(catpn_1_SHB_1&gt;0,catpn_1_SHV_40&gt;0),(cattf_1_SHB_1*((dagenperjaar1*VLOOKUP(B11,dagsoorttabel1,2,FALSE))-catfd_1_SHV_40)/catpn_1_SHB_1+cattf_1_SHV_40*catfd_1_SHV_40/catpn_1_SHV_40)/(((dagenperjaar1*VLOOKUP(B11,dagsoorttabel1,2,FALSE))-catfd_1_SHV_40)/catpn_1_SHB_1+catfd_1_SHV_40/catpn_1_SHV_40),0)</f>
        <v>0</v>
      </c>
      <c r="K11" s="35">
        <f t="shared" si="1"/>
        <v>0</v>
      </c>
      <c r="L11" s="39">
        <f t="shared" si="2"/>
        <v>0</v>
      </c>
      <c r="M11" s="35">
        <f t="shared" si="3"/>
        <v>0</v>
      </c>
      <c r="N11" s="39">
        <f t="shared" si="4"/>
        <v>0</v>
      </c>
    </row>
    <row r="12" spans="1:14" x14ac:dyDescent="0.2">
      <c r="A12" s="20" t="s">
        <v>90</v>
      </c>
      <c r="B12" s="20" t="s">
        <v>10</v>
      </c>
      <c r="C12" s="20" t="s">
        <v>81</v>
      </c>
      <c r="D12" s="20" t="s">
        <v>91</v>
      </c>
      <c r="E12" s="35">
        <v>59.7</v>
      </c>
      <c r="F12" s="35">
        <f t="shared" si="0"/>
        <v>59.7</v>
      </c>
      <c r="G12" s="36">
        <f>IF(AND(catpn_1_VHB_1&gt;0,catpn_1_VHV_40&gt;0),(dagenperjaar1*VLOOKUP(B12,dagsoorttabel1,2,FALSE))/(((dagenperjaar1*VLOOKUP(B12,dagsoorttabel1,2,FALSE))-catfd_1_VHV_40)/catpn_1_VHB_1+catfd_1_VHV_40/catpn_1_VHV_40),0)</f>
        <v>0</v>
      </c>
      <c r="H12" s="37">
        <f>IF(AND(catpn_1_VHB_1&gt;0,catpn_1_VHV_40&gt;0),(catdw_1_VHB_1*((dagenperjaar1-VLOOKUP(B12,dagsoorttabel1,2,FALSE))-catfd_1_VHV_40)/catpn_1_VHB_1+catdw_1_VHV_40*catfd_1_VHV_40/catpn_1_VHV_40)/(((dagenperjaar1-VLOOKUP(B12,dagsoorttabel1,2,FALSE))-catfd_1_VHV_40)/catpn_1_VHB_1+catfd_1_VHV_40/catpn_1_VHV_40),0)</f>
        <v>0</v>
      </c>
      <c r="I12" s="20" t="s">
        <v>40</v>
      </c>
      <c r="J12" s="38">
        <f>IF(AND(catpn_1_VHB_1&gt;0,catpn_1_VHV_40&gt;0),(cattf_1_VHB_1*((dagenperjaar1*VLOOKUP(B12,dagsoorttabel1,2,FALSE))-catfd_1_VHV_40)/catpn_1_VHB_1+cattf_1_VHV_40*catfd_1_VHV_40/catpn_1_VHV_40)/(((dagenperjaar1*VLOOKUP(B12,dagsoorttabel1,2,FALSE))-catfd_1_VHV_40)/catpn_1_VHB_1+catfd_1_VHV_40/catpn_1_VHV_40),0)</f>
        <v>0</v>
      </c>
      <c r="K12" s="35">
        <f t="shared" si="1"/>
        <v>0</v>
      </c>
      <c r="L12" s="39">
        <f t="shared" si="2"/>
        <v>0</v>
      </c>
      <c r="M12" s="35">
        <f t="shared" si="3"/>
        <v>0</v>
      </c>
      <c r="N12" s="39">
        <f t="shared" si="4"/>
        <v>0</v>
      </c>
    </row>
    <row r="13" spans="1:14" x14ac:dyDescent="0.2">
      <c r="A13" s="20" t="s">
        <v>90</v>
      </c>
      <c r="B13" s="20" t="s">
        <v>14</v>
      </c>
      <c r="C13" s="20" t="s">
        <v>81</v>
      </c>
      <c r="D13" s="20" t="s">
        <v>91</v>
      </c>
      <c r="E13" s="35">
        <v>55.5</v>
      </c>
      <c r="F13" s="35">
        <f t="shared" si="0"/>
        <v>22.200000000000003</v>
      </c>
      <c r="G13" s="36">
        <f>IF(AND(catpn_1_VHB_1&gt;0,catpn_1_VHV_40&gt;0),(dagenperjaar1*VLOOKUP(B13,dagsoorttabel1,2,FALSE))/(((dagenperjaar1*VLOOKUP(B13,dagsoorttabel1,2,FALSE))-catfd_1_VHV_40)/catpn_1_VHB_1+catfd_1_VHV_40/catpn_1_VHV_40),0)</f>
        <v>0</v>
      </c>
      <c r="H13" s="37">
        <f>IF(AND(catpn_1_VHB_1&gt;0,catpn_1_VHV_40&gt;0),(catdw_1_VHB_1*((dagenperjaar1-VLOOKUP(B13,dagsoorttabel1,2,FALSE))-catfd_1_VHV_40)/catpn_1_VHB_1+catdw_1_VHV_40*catfd_1_VHV_40/catpn_1_VHV_40)/(((dagenperjaar1-VLOOKUP(B13,dagsoorttabel1,2,FALSE))-catfd_1_VHV_40)/catpn_1_VHB_1+catfd_1_VHV_40/catpn_1_VHV_40),0)</f>
        <v>0</v>
      </c>
      <c r="I13" s="20" t="s">
        <v>40</v>
      </c>
      <c r="J13" s="38">
        <f>IF(AND(catpn_1_VHB_1&gt;0,catpn_1_VHV_40&gt;0),(cattf_1_VHB_1*((dagenperjaar1*VLOOKUP(B13,dagsoorttabel1,2,FALSE))-catfd_1_VHV_40)/catpn_1_VHB_1+cattf_1_VHV_40*catfd_1_VHV_40/catpn_1_VHV_40)/(((dagenperjaar1*VLOOKUP(B13,dagsoorttabel1,2,FALSE))-catfd_1_VHV_40)/catpn_1_VHB_1+catfd_1_VHV_40/catpn_1_VHV_40),0)</f>
        <v>0</v>
      </c>
      <c r="K13" s="35">
        <f t="shared" si="1"/>
        <v>0</v>
      </c>
      <c r="L13" s="39">
        <f t="shared" si="2"/>
        <v>0</v>
      </c>
      <c r="M13" s="35">
        <f t="shared" si="3"/>
        <v>0</v>
      </c>
      <c r="N13" s="39">
        <f t="shared" si="4"/>
        <v>0</v>
      </c>
    </row>
    <row r="14" spans="1:14" x14ac:dyDescent="0.2">
      <c r="A14" s="20" t="s">
        <v>92</v>
      </c>
      <c r="B14" s="20" t="s">
        <v>10</v>
      </c>
      <c r="C14" s="20" t="s">
        <v>81</v>
      </c>
      <c r="D14" s="20" t="s">
        <v>91</v>
      </c>
      <c r="E14" s="35">
        <v>47.25</v>
      </c>
      <c r="F14" s="35">
        <f t="shared" si="0"/>
        <v>47.25</v>
      </c>
      <c r="G14" s="36">
        <f>IF(AND(catpn_1_VZB_1&gt;0,catpn_1_VZV_40&gt;0),(dagenperjaar1*VLOOKUP(B14,dagsoorttabel1,2,FALSE))/(((dagenperjaar1*VLOOKUP(B14,dagsoorttabel1,2,FALSE))-catfd_1_VZV_40)/catpn_1_VZB_1+catfd_1_VZV_40/catpn_1_VZV_40),0)</f>
        <v>0</v>
      </c>
      <c r="H14" s="37">
        <f>IF(AND(catpn_1_VZB_1&gt;0,catpn_1_VZV_40&gt;0),(catdw_1_VZB_1*((dagenperjaar1-VLOOKUP(B14,dagsoorttabel1,2,FALSE))-catfd_1_VZV_40)/catpn_1_VZB_1+catdw_1_VZV_40*catfd_1_VZV_40/catpn_1_VZV_40)/(((dagenperjaar1-VLOOKUP(B14,dagsoorttabel1,2,FALSE))-catfd_1_VZV_40)/catpn_1_VZB_1+catfd_1_VZV_40/catpn_1_VZV_40),0)</f>
        <v>0</v>
      </c>
      <c r="I14" s="20" t="s">
        <v>40</v>
      </c>
      <c r="J14" s="38">
        <f>IF(AND(catpn_1_VZB_1&gt;0,catpn_1_VZV_40&gt;0),(cattf_1_VZB_1*((dagenperjaar1*VLOOKUP(B14,dagsoorttabel1,2,FALSE))-catfd_1_VZV_40)/catpn_1_VZB_1+cattf_1_VZV_40*catfd_1_VZV_40/catpn_1_VZV_40)/(((dagenperjaar1*VLOOKUP(B14,dagsoorttabel1,2,FALSE))-catfd_1_VZV_40)/catpn_1_VZB_1+catfd_1_VZV_40/catpn_1_VZV_40),0)</f>
        <v>0</v>
      </c>
      <c r="K14" s="35">
        <f t="shared" si="1"/>
        <v>0</v>
      </c>
      <c r="L14" s="39">
        <f t="shared" si="2"/>
        <v>0</v>
      </c>
      <c r="M14" s="35">
        <f t="shared" si="3"/>
        <v>0</v>
      </c>
      <c r="N14" s="39">
        <f t="shared" si="4"/>
        <v>0</v>
      </c>
    </row>
    <row r="15" spans="1:14" x14ac:dyDescent="0.2">
      <c r="A15" s="20" t="s">
        <v>93</v>
      </c>
      <c r="B15" s="20" t="s">
        <v>24</v>
      </c>
      <c r="C15" s="20" t="s">
        <v>81</v>
      </c>
      <c r="D15" s="20" t="s">
        <v>94</v>
      </c>
      <c r="E15" s="35">
        <v>170.6</v>
      </c>
      <c r="F15" s="35">
        <f t="shared" si="0"/>
        <v>0.85299999999999998</v>
      </c>
      <c r="G15" s="36">
        <f>catpn_1_XBB_1</f>
        <v>0</v>
      </c>
      <c r="H15" s="37">
        <f>catdw_1_XBB_1</f>
        <v>0</v>
      </c>
      <c r="I15" s="20" t="s">
        <v>40</v>
      </c>
      <c r="J15" s="38">
        <f>cattf_1_XBB_1</f>
        <v>0</v>
      </c>
      <c r="K15" s="35">
        <f t="shared" si="1"/>
        <v>0</v>
      </c>
      <c r="L15" s="39">
        <f t="shared" si="2"/>
        <v>0</v>
      </c>
      <c r="M15" s="35">
        <f t="shared" si="3"/>
        <v>0</v>
      </c>
      <c r="N15" s="39">
        <f t="shared" si="4"/>
        <v>0</v>
      </c>
    </row>
    <row r="16" spans="1:14" x14ac:dyDescent="0.2">
      <c r="A16" s="25" t="s">
        <v>95</v>
      </c>
      <c r="B16" s="25" t="s">
        <v>16</v>
      </c>
      <c r="C16" s="25" t="s">
        <v>81</v>
      </c>
      <c r="D16" s="25" t="s">
        <v>96</v>
      </c>
      <c r="E16" s="40">
        <v>55.5</v>
      </c>
      <c r="F16" s="40">
        <f t="shared" si="0"/>
        <v>11.100000000000001</v>
      </c>
      <c r="G16" s="41"/>
      <c r="H16" s="28"/>
      <c r="I16" s="25" t="s">
        <v>40</v>
      </c>
      <c r="J16" s="29"/>
      <c r="K16" s="40">
        <f t="shared" si="1"/>
        <v>0</v>
      </c>
      <c r="L16" s="42">
        <f t="shared" si="2"/>
        <v>0</v>
      </c>
      <c r="M16" s="40">
        <f t="shared" si="3"/>
        <v>0</v>
      </c>
      <c r="N16" s="42">
        <f t="shared" si="4"/>
        <v>0</v>
      </c>
    </row>
    <row r="17" spans="1:14" x14ac:dyDescent="0.2">
      <c r="A17" s="44" t="s">
        <v>97</v>
      </c>
      <c r="B17" s="45"/>
      <c r="C17" s="45"/>
      <c r="D17" s="45"/>
      <c r="E17" s="45"/>
      <c r="F17" s="45"/>
      <c r="G17" s="45"/>
      <c r="H17" s="45"/>
      <c r="I17" s="45"/>
      <c r="J17" s="45"/>
      <c r="K17" s="46">
        <f>SUM(K6:K16)</f>
        <v>0</v>
      </c>
      <c r="L17" s="47">
        <f>SUM(L6:L16)</f>
        <v>0</v>
      </c>
      <c r="M17" s="46">
        <f>SUM(M6:M16)</f>
        <v>0</v>
      </c>
      <c r="N17" s="48">
        <f>SUM(N6:N16)</f>
        <v>0</v>
      </c>
    </row>
    <row r="18" spans="1:14" x14ac:dyDescent="0.2">
      <c r="A18" s="49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50"/>
    </row>
    <row r="19" spans="1:14" x14ac:dyDescent="0.2">
      <c r="A19" s="44" t="s">
        <v>98</v>
      </c>
      <c r="B19" s="45"/>
      <c r="C19" s="45"/>
      <c r="D19" s="45"/>
      <c r="E19" s="45"/>
      <c r="F19" s="45"/>
      <c r="G19" s="45"/>
      <c r="H19" s="45"/>
      <c r="I19" s="45"/>
      <c r="J19" s="47">
        <f>IF(urenjaar1&gt;0,SUMIF(M6:M16,"&gt;0",N6:N16)/urenjaar1,0)</f>
        <v>0</v>
      </c>
      <c r="K19" s="45"/>
      <c r="L19" s="45"/>
      <c r="M19" s="45"/>
      <c r="N19" s="50"/>
    </row>
    <row r="20" spans="1:14" x14ac:dyDescent="0.2">
      <c r="A20" s="49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0"/>
    </row>
    <row r="22" spans="1:14" x14ac:dyDescent="0.2">
      <c r="A22" s="44" t="s">
        <v>99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6">
        <f>urenjaar1</f>
        <v>0</v>
      </c>
      <c r="N22" s="47">
        <f>prijsjaar1</f>
        <v>0</v>
      </c>
    </row>
  </sheetData>
  <pageMargins left="0.7" right="0.7" top="0.75" bottom="0.75" header="0.3" footer="0.3"/>
  <pageSetup paperSize="9" scale="70" orientation="landscape" r:id="rId1"/>
  <headerFooter>
    <oddFooter>&amp;LStichting Openbaar Onderwijs Oost Groningen EA              &amp;ROpmaakdatum: 16-07-2021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98B5F-B6F2-45E7-A863-D1BACBBD7705}">
  <dimension ref="A1:U28"/>
  <sheetViews>
    <sheetView workbookViewId="0"/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10" width="8.625" customWidth="1"/>
    <col min="11" max="12" width="10.625" customWidth="1"/>
    <col min="13" max="14" width="11.625" customWidth="1"/>
    <col min="15" max="15" width="9.625" customWidth="1"/>
    <col min="16" max="19" width="11.625" customWidth="1"/>
    <col min="20" max="20" width="12.625" customWidth="1"/>
    <col min="21" max="21" width="14.625" customWidth="1"/>
  </cols>
  <sheetData>
    <row r="1" spans="1:21" x14ac:dyDescent="0.2">
      <c r="A1" s="1" t="str">
        <f>CONCATENATE("Bijlage H .3: ",tabeltype," ruimten werkdag")</f>
        <v>Bijlage H .3: Invultabel ruimten werkdag</v>
      </c>
    </row>
    <row r="3" spans="1:21" ht="38.25" x14ac:dyDescent="0.2">
      <c r="A3" s="51" t="s">
        <v>100</v>
      </c>
      <c r="B3" s="8" t="s">
        <v>101</v>
      </c>
      <c r="C3" s="8" t="s">
        <v>102</v>
      </c>
      <c r="D3" s="8" t="s">
        <v>103</v>
      </c>
      <c r="E3" s="8" t="s">
        <v>104</v>
      </c>
      <c r="F3" s="8" t="s">
        <v>105</v>
      </c>
      <c r="G3" s="8" t="s">
        <v>72</v>
      </c>
      <c r="H3" s="8" t="s">
        <v>7</v>
      </c>
      <c r="I3" s="8" t="s">
        <v>106</v>
      </c>
      <c r="J3" s="8" t="s">
        <v>107</v>
      </c>
      <c r="K3" s="8" t="s">
        <v>74</v>
      </c>
      <c r="L3" s="8" t="s">
        <v>75</v>
      </c>
      <c r="M3" s="8" t="s">
        <v>32</v>
      </c>
      <c r="N3" s="8" t="s">
        <v>33</v>
      </c>
      <c r="O3" s="8" t="s">
        <v>34</v>
      </c>
      <c r="P3" s="8" t="s">
        <v>35</v>
      </c>
      <c r="Q3" s="8" t="s">
        <v>76</v>
      </c>
      <c r="R3" s="8" t="s">
        <v>108</v>
      </c>
      <c r="S3" s="8" t="s">
        <v>77</v>
      </c>
      <c r="T3" s="8" t="s">
        <v>78</v>
      </c>
      <c r="U3" s="52" t="s">
        <v>79</v>
      </c>
    </row>
    <row r="4" spans="1:21" x14ac:dyDescent="0.2">
      <c r="A4" s="53" t="s">
        <v>109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43"/>
    </row>
    <row r="5" spans="1:21" x14ac:dyDescent="0.2">
      <c r="A5" s="54" t="s">
        <v>110</v>
      </c>
      <c r="B5" s="55" t="s">
        <v>111</v>
      </c>
      <c r="C5" s="55" t="s">
        <v>112</v>
      </c>
      <c r="D5" s="55" t="s">
        <v>113</v>
      </c>
      <c r="E5" s="56" t="s">
        <v>84</v>
      </c>
      <c r="F5" s="55" t="s">
        <v>114</v>
      </c>
      <c r="G5" s="55" t="s">
        <v>83</v>
      </c>
      <c r="H5" s="55" t="s">
        <v>10</v>
      </c>
      <c r="I5" s="55" t="s">
        <v>81</v>
      </c>
      <c r="J5" s="55"/>
      <c r="K5" s="57">
        <v>17.5</v>
      </c>
      <c r="L5" s="57">
        <f t="shared" ref="L5:L27" si="0">K5*VLOOKUP(H5,dagsoorttabel1,2,FALSE)</f>
        <v>17.5</v>
      </c>
      <c r="M5" s="58">
        <f>prodnorm7</f>
        <v>0</v>
      </c>
      <c r="N5" s="59">
        <f>dagwerk7</f>
        <v>0</v>
      </c>
      <c r="O5" s="55" t="s">
        <v>40</v>
      </c>
      <c r="P5" s="60">
        <f>uurtarief7</f>
        <v>0</v>
      </c>
      <c r="Q5" s="57" t="e">
        <f t="shared" ref="Q5:Q27" si="1">IF(ISBLANK(M5),0,L5/ROUND(M5,4))</f>
        <v>#DIV/0!</v>
      </c>
      <c r="R5" s="57" t="e">
        <f t="shared" ref="R5:R27" si="2">IF(ISBLANK(M5),0,Q5*ROUND(N5,2))</f>
        <v>#DIV/0!</v>
      </c>
      <c r="S5" s="61" t="e">
        <f t="shared" ref="S5:S27" si="3">ROUND(P5,3)*Q5</f>
        <v>#DIV/0!</v>
      </c>
      <c r="T5" s="57" t="e">
        <f t="shared" ref="T5:T27" si="4">Q5*dagenperjaar1</f>
        <v>#DIV/0!</v>
      </c>
      <c r="U5" s="62" t="e">
        <f t="shared" ref="U5:U27" si="5">T5*ROUND(P5,3)</f>
        <v>#DIV/0!</v>
      </c>
    </row>
    <row r="6" spans="1:21" x14ac:dyDescent="0.2">
      <c r="A6" s="63" t="s">
        <v>110</v>
      </c>
      <c r="B6" s="64" t="s">
        <v>111</v>
      </c>
      <c r="C6" s="64" t="s">
        <v>112</v>
      </c>
      <c r="D6" s="64" t="s">
        <v>115</v>
      </c>
      <c r="E6" s="65" t="s">
        <v>116</v>
      </c>
      <c r="F6" s="64" t="s">
        <v>117</v>
      </c>
      <c r="G6" s="64" t="s">
        <v>80</v>
      </c>
      <c r="H6" s="64" t="s">
        <v>16</v>
      </c>
      <c r="I6" s="64" t="s">
        <v>81</v>
      </c>
      <c r="J6" s="64"/>
      <c r="K6" s="66">
        <v>15.3</v>
      </c>
      <c r="L6" s="66">
        <f t="shared" si="0"/>
        <v>3.0600000000000005</v>
      </c>
      <c r="M6" s="67">
        <f>prodnorm6</f>
        <v>0</v>
      </c>
      <c r="N6" s="68">
        <f>dagwerk6</f>
        <v>0</v>
      </c>
      <c r="O6" s="64" t="s">
        <v>40</v>
      </c>
      <c r="P6" s="69">
        <f>uurtarief6</f>
        <v>0</v>
      </c>
      <c r="Q6" s="66" t="e">
        <f t="shared" si="1"/>
        <v>#DIV/0!</v>
      </c>
      <c r="R6" s="66" t="e">
        <f t="shared" si="2"/>
        <v>#DIV/0!</v>
      </c>
      <c r="S6" s="70" t="e">
        <f t="shared" si="3"/>
        <v>#DIV/0!</v>
      </c>
      <c r="T6" s="66" t="e">
        <f t="shared" si="4"/>
        <v>#DIV/0!</v>
      </c>
      <c r="U6" s="71" t="e">
        <f t="shared" si="5"/>
        <v>#DIV/0!</v>
      </c>
    </row>
    <row r="7" spans="1:21" x14ac:dyDescent="0.2">
      <c r="A7" s="63" t="s">
        <v>110</v>
      </c>
      <c r="B7" s="64" t="s">
        <v>111</v>
      </c>
      <c r="C7" s="64" t="s">
        <v>112</v>
      </c>
      <c r="D7" s="64" t="s">
        <v>118</v>
      </c>
      <c r="E7" s="65" t="s">
        <v>119</v>
      </c>
      <c r="F7" s="64" t="s">
        <v>120</v>
      </c>
      <c r="G7" s="64" t="s">
        <v>88</v>
      </c>
      <c r="H7" s="64" t="s">
        <v>10</v>
      </c>
      <c r="I7" s="64" t="s">
        <v>81</v>
      </c>
      <c r="J7" s="64"/>
      <c r="K7" s="66">
        <v>4.75</v>
      </c>
      <c r="L7" s="66">
        <f t="shared" si="0"/>
        <v>4.75</v>
      </c>
      <c r="M7" s="67">
        <f>prodnorm10</f>
        <v>0</v>
      </c>
      <c r="N7" s="68">
        <f>dagwerk10</f>
        <v>0</v>
      </c>
      <c r="O7" s="64" t="s">
        <v>40</v>
      </c>
      <c r="P7" s="69">
        <f>uurtarief10</f>
        <v>0</v>
      </c>
      <c r="Q7" s="66" t="e">
        <f t="shared" si="1"/>
        <v>#DIV/0!</v>
      </c>
      <c r="R7" s="66" t="e">
        <f t="shared" si="2"/>
        <v>#DIV/0!</v>
      </c>
      <c r="S7" s="70" t="e">
        <f t="shared" si="3"/>
        <v>#DIV/0!</v>
      </c>
      <c r="T7" s="66" t="e">
        <f t="shared" si="4"/>
        <v>#DIV/0!</v>
      </c>
      <c r="U7" s="71" t="e">
        <f t="shared" si="5"/>
        <v>#DIV/0!</v>
      </c>
    </row>
    <row r="8" spans="1:21" x14ac:dyDescent="0.2">
      <c r="A8" s="63" t="s">
        <v>110</v>
      </c>
      <c r="B8" s="64" t="s">
        <v>111</v>
      </c>
      <c r="C8" s="64" t="s">
        <v>112</v>
      </c>
      <c r="D8" s="64" t="s">
        <v>121</v>
      </c>
      <c r="E8" s="65" t="s">
        <v>122</v>
      </c>
      <c r="F8" s="64" t="s">
        <v>117</v>
      </c>
      <c r="G8" s="64" t="s">
        <v>92</v>
      </c>
      <c r="H8" s="64" t="s">
        <v>10</v>
      </c>
      <c r="I8" s="64" t="s">
        <v>81</v>
      </c>
      <c r="J8" s="64"/>
      <c r="K8" s="66">
        <v>24.25</v>
      </c>
      <c r="L8" s="66">
        <f t="shared" si="0"/>
        <v>24.25</v>
      </c>
      <c r="M8" s="67">
        <f>prodnorm13</f>
        <v>0</v>
      </c>
      <c r="N8" s="68">
        <f>dagwerk13</f>
        <v>0</v>
      </c>
      <c r="O8" s="64" t="s">
        <v>40</v>
      </c>
      <c r="P8" s="69">
        <f>uurtarief13</f>
        <v>0</v>
      </c>
      <c r="Q8" s="66" t="e">
        <f t="shared" si="1"/>
        <v>#DIV/0!</v>
      </c>
      <c r="R8" s="66" t="e">
        <f t="shared" si="2"/>
        <v>#DIV/0!</v>
      </c>
      <c r="S8" s="70" t="e">
        <f t="shared" si="3"/>
        <v>#DIV/0!</v>
      </c>
      <c r="T8" s="66" t="e">
        <f t="shared" si="4"/>
        <v>#DIV/0!</v>
      </c>
      <c r="U8" s="71" t="e">
        <f t="shared" si="5"/>
        <v>#DIV/0!</v>
      </c>
    </row>
    <row r="9" spans="1:21" x14ac:dyDescent="0.2">
      <c r="A9" s="63" t="s">
        <v>110</v>
      </c>
      <c r="B9" s="64" t="s">
        <v>111</v>
      </c>
      <c r="C9" s="64" t="s">
        <v>112</v>
      </c>
      <c r="D9" s="64" t="s">
        <v>123</v>
      </c>
      <c r="E9" s="65" t="s">
        <v>124</v>
      </c>
      <c r="F9" s="64" t="s">
        <v>117</v>
      </c>
      <c r="G9" s="64" t="s">
        <v>87</v>
      </c>
      <c r="H9" s="64" t="s">
        <v>10</v>
      </c>
      <c r="I9" s="64" t="s">
        <v>81</v>
      </c>
      <c r="J9" s="64"/>
      <c r="K9" s="66">
        <v>55.9</v>
      </c>
      <c r="L9" s="66">
        <f t="shared" si="0"/>
        <v>55.9</v>
      </c>
      <c r="M9" s="67">
        <f>prodnorm9</f>
        <v>0</v>
      </c>
      <c r="N9" s="68">
        <f>dagwerk9</f>
        <v>0</v>
      </c>
      <c r="O9" s="64" t="s">
        <v>40</v>
      </c>
      <c r="P9" s="69">
        <f>uurtarief9</f>
        <v>0</v>
      </c>
      <c r="Q9" s="66" t="e">
        <f t="shared" si="1"/>
        <v>#DIV/0!</v>
      </c>
      <c r="R9" s="66" t="e">
        <f t="shared" si="2"/>
        <v>#DIV/0!</v>
      </c>
      <c r="S9" s="70" t="e">
        <f t="shared" si="3"/>
        <v>#DIV/0!</v>
      </c>
      <c r="T9" s="66" t="e">
        <f t="shared" si="4"/>
        <v>#DIV/0!</v>
      </c>
      <c r="U9" s="71" t="e">
        <f t="shared" si="5"/>
        <v>#DIV/0!</v>
      </c>
    </row>
    <row r="10" spans="1:21" x14ac:dyDescent="0.2">
      <c r="A10" s="63" t="s">
        <v>110</v>
      </c>
      <c r="B10" s="64" t="s">
        <v>111</v>
      </c>
      <c r="C10" s="64" t="s">
        <v>112</v>
      </c>
      <c r="D10" s="64" t="s">
        <v>125</v>
      </c>
      <c r="E10" s="65" t="s">
        <v>126</v>
      </c>
      <c r="F10" s="64" t="s">
        <v>127</v>
      </c>
      <c r="G10" s="64" t="s">
        <v>90</v>
      </c>
      <c r="H10" s="64" t="s">
        <v>10</v>
      </c>
      <c r="I10" s="64" t="s">
        <v>81</v>
      </c>
      <c r="J10" s="64"/>
      <c r="K10" s="66">
        <v>15.8</v>
      </c>
      <c r="L10" s="66">
        <f t="shared" si="0"/>
        <v>15.8</v>
      </c>
      <c r="M10" s="67">
        <f>prodnorm11</f>
        <v>0</v>
      </c>
      <c r="N10" s="68">
        <f>dagwerk11</f>
        <v>0</v>
      </c>
      <c r="O10" s="64" t="s">
        <v>40</v>
      </c>
      <c r="P10" s="69">
        <f>uurtarief11</f>
        <v>0</v>
      </c>
      <c r="Q10" s="66" t="e">
        <f t="shared" si="1"/>
        <v>#DIV/0!</v>
      </c>
      <c r="R10" s="66" t="e">
        <f t="shared" si="2"/>
        <v>#DIV/0!</v>
      </c>
      <c r="S10" s="70" t="e">
        <f t="shared" si="3"/>
        <v>#DIV/0!</v>
      </c>
      <c r="T10" s="66" t="e">
        <f t="shared" si="4"/>
        <v>#DIV/0!</v>
      </c>
      <c r="U10" s="71" t="e">
        <f t="shared" si="5"/>
        <v>#DIV/0!</v>
      </c>
    </row>
    <row r="11" spans="1:21" x14ac:dyDescent="0.2">
      <c r="A11" s="63" t="s">
        <v>110</v>
      </c>
      <c r="B11" s="64" t="s">
        <v>111</v>
      </c>
      <c r="C11" s="64" t="s">
        <v>112</v>
      </c>
      <c r="D11" s="64" t="s">
        <v>125</v>
      </c>
      <c r="E11" s="65" t="s">
        <v>126</v>
      </c>
      <c r="F11" s="64" t="s">
        <v>127</v>
      </c>
      <c r="G11" s="64" t="s">
        <v>93</v>
      </c>
      <c r="H11" s="64" t="s">
        <v>24</v>
      </c>
      <c r="I11" s="64" t="s">
        <v>81</v>
      </c>
      <c r="J11" s="64"/>
      <c r="K11" s="66">
        <v>15.8</v>
      </c>
      <c r="L11" s="66">
        <f t="shared" si="0"/>
        <v>7.9000000000000001E-2</v>
      </c>
      <c r="M11" s="67">
        <f>prodnorm14</f>
        <v>0</v>
      </c>
      <c r="N11" s="68">
        <f>dagwerk14</f>
        <v>0</v>
      </c>
      <c r="O11" s="64" t="s">
        <v>40</v>
      </c>
      <c r="P11" s="69">
        <f>uurtarief14</f>
        <v>0</v>
      </c>
      <c r="Q11" s="66" t="e">
        <f t="shared" si="1"/>
        <v>#DIV/0!</v>
      </c>
      <c r="R11" s="66" t="e">
        <f t="shared" si="2"/>
        <v>#DIV/0!</v>
      </c>
      <c r="S11" s="70" t="e">
        <f t="shared" si="3"/>
        <v>#DIV/0!</v>
      </c>
      <c r="T11" s="66" t="e">
        <f t="shared" si="4"/>
        <v>#DIV/0!</v>
      </c>
      <c r="U11" s="71" t="e">
        <f t="shared" si="5"/>
        <v>#DIV/0!</v>
      </c>
    </row>
    <row r="12" spans="1:21" x14ac:dyDescent="0.2">
      <c r="A12" s="63" t="s">
        <v>110</v>
      </c>
      <c r="B12" s="64" t="s">
        <v>111</v>
      </c>
      <c r="C12" s="64" t="s">
        <v>112</v>
      </c>
      <c r="D12" s="64" t="s">
        <v>128</v>
      </c>
      <c r="E12" s="65" t="s">
        <v>129</v>
      </c>
      <c r="F12" s="64" t="s">
        <v>127</v>
      </c>
      <c r="G12" s="64" t="s">
        <v>90</v>
      </c>
      <c r="H12" s="64" t="s">
        <v>14</v>
      </c>
      <c r="I12" s="64" t="s">
        <v>81</v>
      </c>
      <c r="J12" s="64"/>
      <c r="K12" s="66">
        <v>55.5</v>
      </c>
      <c r="L12" s="66">
        <f t="shared" si="0"/>
        <v>22.200000000000003</v>
      </c>
      <c r="M12" s="67">
        <f>prodnorm12</f>
        <v>0</v>
      </c>
      <c r="N12" s="68">
        <f>dagwerk12</f>
        <v>0</v>
      </c>
      <c r="O12" s="64" t="s">
        <v>40</v>
      </c>
      <c r="P12" s="69">
        <f>uurtarief12</f>
        <v>0</v>
      </c>
      <c r="Q12" s="66" t="e">
        <f t="shared" si="1"/>
        <v>#DIV/0!</v>
      </c>
      <c r="R12" s="66" t="e">
        <f t="shared" si="2"/>
        <v>#DIV/0!</v>
      </c>
      <c r="S12" s="70" t="e">
        <f t="shared" si="3"/>
        <v>#DIV/0!</v>
      </c>
      <c r="T12" s="66" t="e">
        <f t="shared" si="4"/>
        <v>#DIV/0!</v>
      </c>
      <c r="U12" s="71" t="e">
        <f t="shared" si="5"/>
        <v>#DIV/0!</v>
      </c>
    </row>
    <row r="13" spans="1:21" x14ac:dyDescent="0.2">
      <c r="A13" s="63" t="s">
        <v>110</v>
      </c>
      <c r="B13" s="64" t="s">
        <v>111</v>
      </c>
      <c r="C13" s="64" t="s">
        <v>112</v>
      </c>
      <c r="D13" s="64" t="s">
        <v>128</v>
      </c>
      <c r="E13" s="65" t="s">
        <v>129</v>
      </c>
      <c r="F13" s="64" t="s">
        <v>127</v>
      </c>
      <c r="G13" s="64" t="s">
        <v>93</v>
      </c>
      <c r="H13" s="64" t="s">
        <v>24</v>
      </c>
      <c r="I13" s="64" t="s">
        <v>81</v>
      </c>
      <c r="J13" s="64"/>
      <c r="K13" s="66">
        <v>55.5</v>
      </c>
      <c r="L13" s="66">
        <f t="shared" si="0"/>
        <v>0.27750000000000002</v>
      </c>
      <c r="M13" s="67">
        <f>prodnorm14</f>
        <v>0</v>
      </c>
      <c r="N13" s="68">
        <f>dagwerk14</f>
        <v>0</v>
      </c>
      <c r="O13" s="64" t="s">
        <v>40</v>
      </c>
      <c r="P13" s="69">
        <f>uurtarief14</f>
        <v>0</v>
      </c>
      <c r="Q13" s="66" t="e">
        <f t="shared" si="1"/>
        <v>#DIV/0!</v>
      </c>
      <c r="R13" s="66" t="e">
        <f t="shared" si="2"/>
        <v>#DIV/0!</v>
      </c>
      <c r="S13" s="70" t="e">
        <f t="shared" si="3"/>
        <v>#DIV/0!</v>
      </c>
      <c r="T13" s="66" t="e">
        <f t="shared" si="4"/>
        <v>#DIV/0!</v>
      </c>
      <c r="U13" s="71" t="e">
        <f t="shared" si="5"/>
        <v>#DIV/0!</v>
      </c>
    </row>
    <row r="14" spans="1:21" x14ac:dyDescent="0.2">
      <c r="A14" s="63" t="s">
        <v>110</v>
      </c>
      <c r="B14" s="64" t="s">
        <v>111</v>
      </c>
      <c r="C14" s="64" t="s">
        <v>112</v>
      </c>
      <c r="D14" s="64" t="s">
        <v>128</v>
      </c>
      <c r="E14" s="65" t="s">
        <v>129</v>
      </c>
      <c r="F14" s="64" t="s">
        <v>127</v>
      </c>
      <c r="G14" s="64" t="s">
        <v>95</v>
      </c>
      <c r="H14" s="64" t="s">
        <v>16</v>
      </c>
      <c r="I14" s="64" t="s">
        <v>81</v>
      </c>
      <c r="J14" s="64"/>
      <c r="K14" s="66">
        <v>55.5</v>
      </c>
      <c r="L14" s="66">
        <f t="shared" si="0"/>
        <v>11.100000000000001</v>
      </c>
      <c r="M14" s="67">
        <f>prodnorm15</f>
        <v>0</v>
      </c>
      <c r="N14" s="68">
        <f>dagwerk15</f>
        <v>0</v>
      </c>
      <c r="O14" s="64" t="s">
        <v>40</v>
      </c>
      <c r="P14" s="69">
        <f>uurtarief15</f>
        <v>0</v>
      </c>
      <c r="Q14" s="66" t="e">
        <f t="shared" si="1"/>
        <v>#DIV/0!</v>
      </c>
      <c r="R14" s="66" t="e">
        <f t="shared" si="2"/>
        <v>#DIV/0!</v>
      </c>
      <c r="S14" s="70" t="e">
        <f t="shared" si="3"/>
        <v>#DIV/0!</v>
      </c>
      <c r="T14" s="66" t="e">
        <f t="shared" si="4"/>
        <v>#DIV/0!</v>
      </c>
      <c r="U14" s="71" t="e">
        <f t="shared" si="5"/>
        <v>#DIV/0!</v>
      </c>
    </row>
    <row r="15" spans="1:21" x14ac:dyDescent="0.2">
      <c r="A15" s="63" t="s">
        <v>110</v>
      </c>
      <c r="B15" s="64" t="s">
        <v>111</v>
      </c>
      <c r="C15" s="64" t="s">
        <v>112</v>
      </c>
      <c r="D15" s="64" t="s">
        <v>130</v>
      </c>
      <c r="E15" s="65" t="s">
        <v>122</v>
      </c>
      <c r="F15" s="64" t="s">
        <v>127</v>
      </c>
      <c r="G15" s="64" t="s">
        <v>90</v>
      </c>
      <c r="H15" s="64" t="s">
        <v>10</v>
      </c>
      <c r="I15" s="64" t="s">
        <v>81</v>
      </c>
      <c r="J15" s="64"/>
      <c r="K15" s="66">
        <v>43.9</v>
      </c>
      <c r="L15" s="66">
        <f t="shared" si="0"/>
        <v>43.9</v>
      </c>
      <c r="M15" s="67">
        <f>prodnorm11</f>
        <v>0</v>
      </c>
      <c r="N15" s="68">
        <f>dagwerk11</f>
        <v>0</v>
      </c>
      <c r="O15" s="64" t="s">
        <v>40</v>
      </c>
      <c r="P15" s="69">
        <f>uurtarief11</f>
        <v>0</v>
      </c>
      <c r="Q15" s="66" t="e">
        <f t="shared" si="1"/>
        <v>#DIV/0!</v>
      </c>
      <c r="R15" s="66" t="e">
        <f t="shared" si="2"/>
        <v>#DIV/0!</v>
      </c>
      <c r="S15" s="70" t="e">
        <f t="shared" si="3"/>
        <v>#DIV/0!</v>
      </c>
      <c r="T15" s="66" t="e">
        <f t="shared" si="4"/>
        <v>#DIV/0!</v>
      </c>
      <c r="U15" s="71" t="e">
        <f t="shared" si="5"/>
        <v>#DIV/0!</v>
      </c>
    </row>
    <row r="16" spans="1:21" x14ac:dyDescent="0.2">
      <c r="A16" s="63" t="s">
        <v>110</v>
      </c>
      <c r="B16" s="64" t="s">
        <v>111</v>
      </c>
      <c r="C16" s="64" t="s">
        <v>112</v>
      </c>
      <c r="D16" s="64" t="s">
        <v>130</v>
      </c>
      <c r="E16" s="65" t="s">
        <v>122</v>
      </c>
      <c r="F16" s="64" t="s">
        <v>127</v>
      </c>
      <c r="G16" s="64" t="s">
        <v>93</v>
      </c>
      <c r="H16" s="64" t="s">
        <v>24</v>
      </c>
      <c r="I16" s="64" t="s">
        <v>81</v>
      </c>
      <c r="J16" s="64"/>
      <c r="K16" s="66">
        <v>43.9</v>
      </c>
      <c r="L16" s="66">
        <f t="shared" si="0"/>
        <v>0.2195</v>
      </c>
      <c r="M16" s="67">
        <f>prodnorm14</f>
        <v>0</v>
      </c>
      <c r="N16" s="68">
        <f>dagwerk14</f>
        <v>0</v>
      </c>
      <c r="O16" s="64" t="s">
        <v>40</v>
      </c>
      <c r="P16" s="69">
        <f>uurtarief14</f>
        <v>0</v>
      </c>
      <c r="Q16" s="66" t="e">
        <f t="shared" si="1"/>
        <v>#DIV/0!</v>
      </c>
      <c r="R16" s="66" t="e">
        <f t="shared" si="2"/>
        <v>#DIV/0!</v>
      </c>
      <c r="S16" s="70" t="e">
        <f t="shared" si="3"/>
        <v>#DIV/0!</v>
      </c>
      <c r="T16" s="66" t="e">
        <f t="shared" si="4"/>
        <v>#DIV/0!</v>
      </c>
      <c r="U16" s="71" t="e">
        <f t="shared" si="5"/>
        <v>#DIV/0!</v>
      </c>
    </row>
    <row r="17" spans="1:21" x14ac:dyDescent="0.2">
      <c r="A17" s="63" t="s">
        <v>110</v>
      </c>
      <c r="B17" s="64" t="s">
        <v>111</v>
      </c>
      <c r="C17" s="64" t="s">
        <v>112</v>
      </c>
      <c r="D17" s="64" t="s">
        <v>131</v>
      </c>
      <c r="E17" s="65" t="s">
        <v>124</v>
      </c>
      <c r="F17" s="64" t="s">
        <v>117</v>
      </c>
      <c r="G17" s="64" t="s">
        <v>87</v>
      </c>
      <c r="H17" s="64" t="s">
        <v>10</v>
      </c>
      <c r="I17" s="64" t="s">
        <v>81</v>
      </c>
      <c r="J17" s="64"/>
      <c r="K17" s="66">
        <v>55.4</v>
      </c>
      <c r="L17" s="66">
        <f t="shared" si="0"/>
        <v>55.4</v>
      </c>
      <c r="M17" s="67">
        <f>prodnorm9</f>
        <v>0</v>
      </c>
      <c r="N17" s="68">
        <f>dagwerk9</f>
        <v>0</v>
      </c>
      <c r="O17" s="64" t="s">
        <v>40</v>
      </c>
      <c r="P17" s="69">
        <f>uurtarief9</f>
        <v>0</v>
      </c>
      <c r="Q17" s="66" t="e">
        <f t="shared" si="1"/>
        <v>#DIV/0!</v>
      </c>
      <c r="R17" s="66" t="e">
        <f t="shared" si="2"/>
        <v>#DIV/0!</v>
      </c>
      <c r="S17" s="70" t="e">
        <f t="shared" si="3"/>
        <v>#DIV/0!</v>
      </c>
      <c r="T17" s="66" t="e">
        <f t="shared" si="4"/>
        <v>#DIV/0!</v>
      </c>
      <c r="U17" s="71" t="e">
        <f t="shared" si="5"/>
        <v>#DIV/0!</v>
      </c>
    </row>
    <row r="18" spans="1:21" x14ac:dyDescent="0.2">
      <c r="A18" s="63" t="s">
        <v>110</v>
      </c>
      <c r="B18" s="64" t="s">
        <v>111</v>
      </c>
      <c r="C18" s="64" t="s">
        <v>112</v>
      </c>
      <c r="D18" s="64" t="s">
        <v>132</v>
      </c>
      <c r="E18" s="65" t="s">
        <v>124</v>
      </c>
      <c r="F18" s="64" t="s">
        <v>117</v>
      </c>
      <c r="G18" s="64" t="s">
        <v>87</v>
      </c>
      <c r="H18" s="64" t="s">
        <v>10</v>
      </c>
      <c r="I18" s="64" t="s">
        <v>81</v>
      </c>
      <c r="J18" s="64"/>
      <c r="K18" s="66">
        <v>55.4</v>
      </c>
      <c r="L18" s="66">
        <f t="shared" si="0"/>
        <v>55.4</v>
      </c>
      <c r="M18" s="67">
        <f>prodnorm9</f>
        <v>0</v>
      </c>
      <c r="N18" s="68">
        <f>dagwerk9</f>
        <v>0</v>
      </c>
      <c r="O18" s="64" t="s">
        <v>40</v>
      </c>
      <c r="P18" s="69">
        <f>uurtarief9</f>
        <v>0</v>
      </c>
      <c r="Q18" s="66" t="e">
        <f t="shared" si="1"/>
        <v>#DIV/0!</v>
      </c>
      <c r="R18" s="66" t="e">
        <f t="shared" si="2"/>
        <v>#DIV/0!</v>
      </c>
      <c r="S18" s="70" t="e">
        <f t="shared" si="3"/>
        <v>#DIV/0!</v>
      </c>
      <c r="T18" s="66" t="e">
        <f t="shared" si="4"/>
        <v>#DIV/0!</v>
      </c>
      <c r="U18" s="71" t="e">
        <f t="shared" si="5"/>
        <v>#DIV/0!</v>
      </c>
    </row>
    <row r="19" spans="1:21" x14ac:dyDescent="0.2">
      <c r="A19" s="63" t="s">
        <v>110</v>
      </c>
      <c r="B19" s="64" t="s">
        <v>111</v>
      </c>
      <c r="C19" s="64" t="s">
        <v>112</v>
      </c>
      <c r="D19" s="64" t="s">
        <v>133</v>
      </c>
      <c r="E19" s="65" t="s">
        <v>134</v>
      </c>
      <c r="F19" s="64" t="s">
        <v>117</v>
      </c>
      <c r="G19" s="64" t="s">
        <v>92</v>
      </c>
      <c r="H19" s="64" t="s">
        <v>10</v>
      </c>
      <c r="I19" s="64" t="s">
        <v>81</v>
      </c>
      <c r="J19" s="64"/>
      <c r="K19" s="66">
        <v>23</v>
      </c>
      <c r="L19" s="66">
        <f t="shared" si="0"/>
        <v>23</v>
      </c>
      <c r="M19" s="67">
        <f>prodnorm13</f>
        <v>0</v>
      </c>
      <c r="N19" s="68">
        <f>dagwerk13</f>
        <v>0</v>
      </c>
      <c r="O19" s="64" t="s">
        <v>40</v>
      </c>
      <c r="P19" s="69">
        <f>uurtarief13</f>
        <v>0</v>
      </c>
      <c r="Q19" s="66" t="e">
        <f t="shared" si="1"/>
        <v>#DIV/0!</v>
      </c>
      <c r="R19" s="66" t="e">
        <f t="shared" si="2"/>
        <v>#DIV/0!</v>
      </c>
      <c r="S19" s="70" t="e">
        <f t="shared" si="3"/>
        <v>#DIV/0!</v>
      </c>
      <c r="T19" s="66" t="e">
        <f t="shared" si="4"/>
        <v>#DIV/0!</v>
      </c>
      <c r="U19" s="71" t="e">
        <f t="shared" si="5"/>
        <v>#DIV/0!</v>
      </c>
    </row>
    <row r="20" spans="1:21" x14ac:dyDescent="0.2">
      <c r="A20" s="63" t="s">
        <v>110</v>
      </c>
      <c r="B20" s="64" t="s">
        <v>111</v>
      </c>
      <c r="C20" s="64" t="s">
        <v>112</v>
      </c>
      <c r="D20" s="64" t="s">
        <v>135</v>
      </c>
      <c r="E20" s="65" t="s">
        <v>124</v>
      </c>
      <c r="F20" s="64" t="s">
        <v>127</v>
      </c>
      <c r="G20" s="64" t="s">
        <v>85</v>
      </c>
      <c r="H20" s="64" t="s">
        <v>10</v>
      </c>
      <c r="I20" s="64" t="s">
        <v>81</v>
      </c>
      <c r="J20" s="64"/>
      <c r="K20" s="66">
        <v>55.4</v>
      </c>
      <c r="L20" s="66">
        <f t="shared" si="0"/>
        <v>55.4</v>
      </c>
      <c r="M20" s="67">
        <f>prodnorm8</f>
        <v>0</v>
      </c>
      <c r="N20" s="68">
        <f>dagwerk8</f>
        <v>0</v>
      </c>
      <c r="O20" s="64" t="s">
        <v>40</v>
      </c>
      <c r="P20" s="69">
        <f>uurtarief8</f>
        <v>0</v>
      </c>
      <c r="Q20" s="66" t="e">
        <f t="shared" si="1"/>
        <v>#DIV/0!</v>
      </c>
      <c r="R20" s="66" t="e">
        <f t="shared" si="2"/>
        <v>#DIV/0!</v>
      </c>
      <c r="S20" s="70" t="e">
        <f t="shared" si="3"/>
        <v>#DIV/0!</v>
      </c>
      <c r="T20" s="66" t="e">
        <f t="shared" si="4"/>
        <v>#DIV/0!</v>
      </c>
      <c r="U20" s="71" t="e">
        <f t="shared" si="5"/>
        <v>#DIV/0!</v>
      </c>
    </row>
    <row r="21" spans="1:21" x14ac:dyDescent="0.2">
      <c r="A21" s="63" t="s">
        <v>110</v>
      </c>
      <c r="B21" s="64" t="s">
        <v>111</v>
      </c>
      <c r="C21" s="64" t="s">
        <v>112</v>
      </c>
      <c r="D21" s="64" t="s">
        <v>135</v>
      </c>
      <c r="E21" s="65" t="s">
        <v>124</v>
      </c>
      <c r="F21" s="64" t="s">
        <v>127</v>
      </c>
      <c r="G21" s="64" t="s">
        <v>93</v>
      </c>
      <c r="H21" s="64" t="s">
        <v>24</v>
      </c>
      <c r="I21" s="64" t="s">
        <v>81</v>
      </c>
      <c r="J21" s="64"/>
      <c r="K21" s="66">
        <v>55.4</v>
      </c>
      <c r="L21" s="66">
        <f t="shared" si="0"/>
        <v>0.27700000000000002</v>
      </c>
      <c r="M21" s="67">
        <f>prodnorm14</f>
        <v>0</v>
      </c>
      <c r="N21" s="68">
        <f>dagwerk14</f>
        <v>0</v>
      </c>
      <c r="O21" s="64" t="s">
        <v>40</v>
      </c>
      <c r="P21" s="69">
        <f>uurtarief14</f>
        <v>0</v>
      </c>
      <c r="Q21" s="66" t="e">
        <f t="shared" si="1"/>
        <v>#DIV/0!</v>
      </c>
      <c r="R21" s="66" t="e">
        <f t="shared" si="2"/>
        <v>#DIV/0!</v>
      </c>
      <c r="S21" s="70" t="e">
        <f t="shared" si="3"/>
        <v>#DIV/0!</v>
      </c>
      <c r="T21" s="66" t="e">
        <f t="shared" si="4"/>
        <v>#DIV/0!</v>
      </c>
      <c r="U21" s="71" t="e">
        <f t="shared" si="5"/>
        <v>#DIV/0!</v>
      </c>
    </row>
    <row r="22" spans="1:21" x14ac:dyDescent="0.2">
      <c r="A22" s="63" t="s">
        <v>110</v>
      </c>
      <c r="B22" s="64" t="s">
        <v>111</v>
      </c>
      <c r="C22" s="64" t="s">
        <v>112</v>
      </c>
      <c r="D22" s="64" t="s">
        <v>136</v>
      </c>
      <c r="E22" s="65" t="s">
        <v>137</v>
      </c>
      <c r="F22" s="64" t="s">
        <v>114</v>
      </c>
      <c r="G22" s="64" t="s">
        <v>83</v>
      </c>
      <c r="H22" s="64" t="s">
        <v>10</v>
      </c>
      <c r="I22" s="64" t="s">
        <v>81</v>
      </c>
      <c r="J22" s="64"/>
      <c r="K22" s="66">
        <v>11.6</v>
      </c>
      <c r="L22" s="66">
        <f t="shared" si="0"/>
        <v>11.6</v>
      </c>
      <c r="M22" s="67">
        <f>prodnorm7</f>
        <v>0</v>
      </c>
      <c r="N22" s="68">
        <f>dagwerk7</f>
        <v>0</v>
      </c>
      <c r="O22" s="64" t="s">
        <v>40</v>
      </c>
      <c r="P22" s="69">
        <f>uurtarief7</f>
        <v>0</v>
      </c>
      <c r="Q22" s="66" t="e">
        <f t="shared" si="1"/>
        <v>#DIV/0!</v>
      </c>
      <c r="R22" s="66" t="e">
        <f t="shared" si="2"/>
        <v>#DIV/0!</v>
      </c>
      <c r="S22" s="70" t="e">
        <f t="shared" si="3"/>
        <v>#DIV/0!</v>
      </c>
      <c r="T22" s="66" t="e">
        <f t="shared" si="4"/>
        <v>#DIV/0!</v>
      </c>
      <c r="U22" s="71" t="e">
        <f t="shared" si="5"/>
        <v>#DIV/0!</v>
      </c>
    </row>
    <row r="23" spans="1:21" x14ac:dyDescent="0.2">
      <c r="A23" s="63" t="s">
        <v>110</v>
      </c>
      <c r="B23" s="64" t="s">
        <v>111</v>
      </c>
      <c r="C23" s="64" t="s">
        <v>112</v>
      </c>
      <c r="D23" s="64" t="s">
        <v>138</v>
      </c>
      <c r="E23" s="65" t="s">
        <v>139</v>
      </c>
      <c r="F23" s="64" t="s">
        <v>120</v>
      </c>
      <c r="G23" s="64" t="s">
        <v>88</v>
      </c>
      <c r="H23" s="64" t="s">
        <v>10</v>
      </c>
      <c r="I23" s="64" t="s">
        <v>81</v>
      </c>
      <c r="J23" s="64"/>
      <c r="K23" s="66">
        <v>4.8</v>
      </c>
      <c r="L23" s="66">
        <f t="shared" si="0"/>
        <v>4.8</v>
      </c>
      <c r="M23" s="67">
        <f>prodnorm10</f>
        <v>0</v>
      </c>
      <c r="N23" s="68">
        <f>dagwerk10</f>
        <v>0</v>
      </c>
      <c r="O23" s="64" t="s">
        <v>40</v>
      </c>
      <c r="P23" s="69">
        <f>uurtarief10</f>
        <v>0</v>
      </c>
      <c r="Q23" s="66" t="e">
        <f t="shared" si="1"/>
        <v>#DIV/0!</v>
      </c>
      <c r="R23" s="66" t="e">
        <f t="shared" si="2"/>
        <v>#DIV/0!</v>
      </c>
      <c r="S23" s="70" t="e">
        <f t="shared" si="3"/>
        <v>#DIV/0!</v>
      </c>
      <c r="T23" s="66" t="e">
        <f t="shared" si="4"/>
        <v>#DIV/0!</v>
      </c>
      <c r="U23" s="71" t="e">
        <f t="shared" si="5"/>
        <v>#DIV/0!</v>
      </c>
    </row>
    <row r="24" spans="1:21" x14ac:dyDescent="0.2">
      <c r="A24" s="63" t="s">
        <v>110</v>
      </c>
      <c r="B24" s="64" t="s">
        <v>111</v>
      </c>
      <c r="C24" s="64" t="s">
        <v>112</v>
      </c>
      <c r="D24" s="64" t="s">
        <v>140</v>
      </c>
      <c r="E24" s="65" t="s">
        <v>137</v>
      </c>
      <c r="F24" s="64" t="s">
        <v>114</v>
      </c>
      <c r="G24" s="64" t="s">
        <v>83</v>
      </c>
      <c r="H24" s="64" t="s">
        <v>10</v>
      </c>
      <c r="I24" s="64" t="s">
        <v>81</v>
      </c>
      <c r="J24" s="64"/>
      <c r="K24" s="66">
        <v>11</v>
      </c>
      <c r="L24" s="66">
        <f t="shared" si="0"/>
        <v>11</v>
      </c>
      <c r="M24" s="67">
        <f>prodnorm7</f>
        <v>0</v>
      </c>
      <c r="N24" s="68">
        <f>dagwerk7</f>
        <v>0</v>
      </c>
      <c r="O24" s="64" t="s">
        <v>40</v>
      </c>
      <c r="P24" s="69">
        <f>uurtarief7</f>
        <v>0</v>
      </c>
      <c r="Q24" s="66" t="e">
        <f t="shared" si="1"/>
        <v>#DIV/0!</v>
      </c>
      <c r="R24" s="66" t="e">
        <f t="shared" si="2"/>
        <v>#DIV/0!</v>
      </c>
      <c r="S24" s="70" t="e">
        <f t="shared" si="3"/>
        <v>#DIV/0!</v>
      </c>
      <c r="T24" s="66" t="e">
        <f t="shared" si="4"/>
        <v>#DIV/0!</v>
      </c>
      <c r="U24" s="71" t="e">
        <f t="shared" si="5"/>
        <v>#DIV/0!</v>
      </c>
    </row>
    <row r="25" spans="1:21" x14ac:dyDescent="0.2">
      <c r="A25" s="63" t="s">
        <v>110</v>
      </c>
      <c r="B25" s="64" t="s">
        <v>111</v>
      </c>
      <c r="C25" s="64" t="s">
        <v>112</v>
      </c>
      <c r="D25" s="64" t="s">
        <v>141</v>
      </c>
      <c r="E25" s="65" t="s">
        <v>139</v>
      </c>
      <c r="F25" s="64" t="s">
        <v>120</v>
      </c>
      <c r="G25" s="64" t="s">
        <v>88</v>
      </c>
      <c r="H25" s="64" t="s">
        <v>10</v>
      </c>
      <c r="I25" s="64" t="s">
        <v>81</v>
      </c>
      <c r="J25" s="64"/>
      <c r="K25" s="66">
        <v>4.8</v>
      </c>
      <c r="L25" s="66">
        <f t="shared" si="0"/>
        <v>4.8</v>
      </c>
      <c r="M25" s="67">
        <f>prodnorm10</f>
        <v>0</v>
      </c>
      <c r="N25" s="68">
        <f>dagwerk10</f>
        <v>0</v>
      </c>
      <c r="O25" s="64" t="s">
        <v>40</v>
      </c>
      <c r="P25" s="69">
        <f>uurtarief10</f>
        <v>0</v>
      </c>
      <c r="Q25" s="66" t="e">
        <f t="shared" si="1"/>
        <v>#DIV/0!</v>
      </c>
      <c r="R25" s="66" t="e">
        <f t="shared" si="2"/>
        <v>#DIV/0!</v>
      </c>
      <c r="S25" s="70" t="e">
        <f t="shared" si="3"/>
        <v>#DIV/0!</v>
      </c>
      <c r="T25" s="66" t="e">
        <f t="shared" si="4"/>
        <v>#DIV/0!</v>
      </c>
      <c r="U25" s="71" t="e">
        <f t="shared" si="5"/>
        <v>#DIV/0!</v>
      </c>
    </row>
    <row r="26" spans="1:21" x14ac:dyDescent="0.2">
      <c r="A26" s="63" t="s">
        <v>110</v>
      </c>
      <c r="B26" s="64" t="s">
        <v>111</v>
      </c>
      <c r="C26" s="64" t="s">
        <v>112</v>
      </c>
      <c r="D26" s="64" t="s">
        <v>142</v>
      </c>
      <c r="E26" s="65" t="s">
        <v>143</v>
      </c>
      <c r="F26" s="64" t="s">
        <v>117</v>
      </c>
      <c r="G26" s="64" t="s">
        <v>80</v>
      </c>
      <c r="H26" s="64" t="s">
        <v>10</v>
      </c>
      <c r="I26" s="64" t="s">
        <v>81</v>
      </c>
      <c r="J26" s="64"/>
      <c r="K26" s="66">
        <v>17.399999999999999</v>
      </c>
      <c r="L26" s="66">
        <f t="shared" si="0"/>
        <v>17.399999999999999</v>
      </c>
      <c r="M26" s="67">
        <f>prodnorm5</f>
        <v>0</v>
      </c>
      <c r="N26" s="68">
        <f>dagwerk5</f>
        <v>0</v>
      </c>
      <c r="O26" s="64" t="s">
        <v>40</v>
      </c>
      <c r="P26" s="69">
        <f>uurtarief5</f>
        <v>0</v>
      </c>
      <c r="Q26" s="66" t="e">
        <f t="shared" si="1"/>
        <v>#DIV/0!</v>
      </c>
      <c r="R26" s="66" t="e">
        <f t="shared" si="2"/>
        <v>#DIV/0!</v>
      </c>
      <c r="S26" s="70" t="e">
        <f t="shared" si="3"/>
        <v>#DIV/0!</v>
      </c>
      <c r="T26" s="66" t="e">
        <f t="shared" si="4"/>
        <v>#DIV/0!</v>
      </c>
      <c r="U26" s="71" t="e">
        <f t="shared" si="5"/>
        <v>#DIV/0!</v>
      </c>
    </row>
    <row r="27" spans="1:21" x14ac:dyDescent="0.2">
      <c r="A27" s="72" t="s">
        <v>110</v>
      </c>
      <c r="B27" s="73" t="s">
        <v>111</v>
      </c>
      <c r="C27" s="73" t="s">
        <v>112</v>
      </c>
      <c r="D27" s="73" t="s">
        <v>144</v>
      </c>
      <c r="E27" s="74" t="s">
        <v>145</v>
      </c>
      <c r="F27" s="73" t="s">
        <v>120</v>
      </c>
      <c r="G27" s="73" t="s">
        <v>88</v>
      </c>
      <c r="H27" s="73" t="s">
        <v>10</v>
      </c>
      <c r="I27" s="73" t="s">
        <v>81</v>
      </c>
      <c r="J27" s="73"/>
      <c r="K27" s="75">
        <v>4.8</v>
      </c>
      <c r="L27" s="75">
        <f t="shared" si="0"/>
        <v>4.8</v>
      </c>
      <c r="M27" s="76">
        <f>prodnorm10</f>
        <v>0</v>
      </c>
      <c r="N27" s="77">
        <f>dagwerk10</f>
        <v>0</v>
      </c>
      <c r="O27" s="73" t="s">
        <v>40</v>
      </c>
      <c r="P27" s="78">
        <f>uurtarief10</f>
        <v>0</v>
      </c>
      <c r="Q27" s="75" t="e">
        <f t="shared" si="1"/>
        <v>#DIV/0!</v>
      </c>
      <c r="R27" s="75" t="e">
        <f t="shared" si="2"/>
        <v>#DIV/0!</v>
      </c>
      <c r="S27" s="79" t="e">
        <f t="shared" si="3"/>
        <v>#DIV/0!</v>
      </c>
      <c r="T27" s="75" t="e">
        <f t="shared" si="4"/>
        <v>#DIV/0!</v>
      </c>
      <c r="U27" s="80" t="e">
        <f t="shared" si="5"/>
        <v>#DIV/0!</v>
      </c>
    </row>
    <row r="28" spans="1:21" x14ac:dyDescent="0.2">
      <c r="A28" s="44" t="s">
        <v>146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7" t="e">
        <f>IF(_xlfn.SINGLE(object1_urenjaar1)&gt;0,_xlfn.SINGLE(object1_prijsjaar1)/_xlfn.SINGLE(object1_urenjaar1),0)</f>
        <v>#DIV/0!</v>
      </c>
      <c r="Q28" s="46" t="e">
        <f>SUM(Q5:Q27)</f>
        <v>#DIV/0!</v>
      </c>
      <c r="R28" s="46" t="e">
        <f>SUM(R5:R27)</f>
        <v>#DIV/0!</v>
      </c>
      <c r="S28" s="47" t="e">
        <f>SUM(S5:S27)</f>
        <v>#DIV/0!</v>
      </c>
      <c r="T28" s="46" t="e">
        <f>SUM(T5:T27)</f>
        <v>#DIV/0!</v>
      </c>
      <c r="U28" s="47" t="e">
        <f>SUM(U5:U27)</f>
        <v>#DIV/0!</v>
      </c>
    </row>
  </sheetData>
  <pageMargins left="0.7" right="0.7" top="0.75" bottom="0.75" header="0.3" footer="0.3"/>
  <pageSetup paperSize="9" scale="61" orientation="landscape" r:id="rId1"/>
  <headerFooter>
    <oddFooter>&amp;LStichting Openbaar Onderwijs Oost Groningen EA              &amp;ROpmaakdatum: 16-07-2021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A399E-5B78-4001-86D5-E68BB3C1DFD5}">
  <dimension ref="A1:J16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10" width="12.625" customWidth="1"/>
  </cols>
  <sheetData>
    <row r="1" spans="1:10" x14ac:dyDescent="0.2">
      <c r="A1" s="1" t="s">
        <v>147</v>
      </c>
    </row>
    <row r="3" spans="1:10" x14ac:dyDescent="0.2">
      <c r="A3" s="81" t="s">
        <v>72</v>
      </c>
      <c r="B3" s="81" t="s">
        <v>7</v>
      </c>
      <c r="C3" s="81" t="s">
        <v>148</v>
      </c>
      <c r="D3" s="81" t="s">
        <v>149</v>
      </c>
      <c r="E3" s="81" t="s">
        <v>150</v>
      </c>
      <c r="F3" s="81" t="s">
        <v>151</v>
      </c>
      <c r="G3" s="81" t="s">
        <v>152</v>
      </c>
      <c r="H3" s="81" t="s">
        <v>33</v>
      </c>
      <c r="I3" s="81" t="s">
        <v>153</v>
      </c>
      <c r="J3" s="81" t="s">
        <v>154</v>
      </c>
    </row>
    <row r="4" spans="1:10" x14ac:dyDescent="0.2">
      <c r="A4" s="82"/>
      <c r="B4" s="82"/>
      <c r="C4" s="82"/>
      <c r="D4" s="82"/>
      <c r="E4" s="82"/>
      <c r="F4" s="82"/>
      <c r="G4" s="82"/>
      <c r="H4" s="82"/>
      <c r="I4" s="82"/>
      <c r="J4" s="83" t="s">
        <v>74</v>
      </c>
    </row>
    <row r="5" spans="1:10" x14ac:dyDescent="0.2">
      <c r="A5" s="15" t="s">
        <v>80</v>
      </c>
      <c r="B5" s="15" t="s">
        <v>10</v>
      </c>
      <c r="C5" s="15" t="s">
        <v>155</v>
      </c>
      <c r="D5" s="15" t="s">
        <v>81</v>
      </c>
      <c r="E5" s="30">
        <f t="shared" ref="E5:E15" si="0">IF(B5="","",VLOOKUP(B5,dagsoorttabel1,2,FALSE))</f>
        <v>1</v>
      </c>
      <c r="F5" s="30">
        <v>1</v>
      </c>
      <c r="G5" s="30">
        <f>IF(prodnorm5&gt;0,1/ROUND(prodnorm5,4),0)</f>
        <v>0</v>
      </c>
      <c r="H5" s="32">
        <f>ROUND(dagwerk5,4+2)</f>
        <v>0</v>
      </c>
      <c r="I5" s="34">
        <f>ROUND(uurtarief5,3)</f>
        <v>0</v>
      </c>
      <c r="J5" s="30">
        <v>17.399999999999999</v>
      </c>
    </row>
    <row r="6" spans="1:10" x14ac:dyDescent="0.2">
      <c r="A6" s="20" t="s">
        <v>80</v>
      </c>
      <c r="B6" s="20" t="s">
        <v>16</v>
      </c>
      <c r="C6" s="20" t="s">
        <v>155</v>
      </c>
      <c r="D6" s="20" t="s">
        <v>81</v>
      </c>
      <c r="E6" s="35">
        <f t="shared" si="0"/>
        <v>0.2</v>
      </c>
      <c r="F6" s="35">
        <v>1</v>
      </c>
      <c r="G6" s="35">
        <f>IF(prodnorm6&gt;0,1/ROUND(prodnorm6,4),0)</f>
        <v>0</v>
      </c>
      <c r="H6" s="37">
        <f>ROUND(dagwerk6,4+2)</f>
        <v>0</v>
      </c>
      <c r="I6" s="39">
        <f>ROUND(uurtarief6,3)</f>
        <v>0</v>
      </c>
      <c r="J6" s="35">
        <v>15.3</v>
      </c>
    </row>
    <row r="7" spans="1:10" x14ac:dyDescent="0.2">
      <c r="A7" s="20" t="s">
        <v>83</v>
      </c>
      <c r="B7" s="20" t="s">
        <v>10</v>
      </c>
      <c r="C7" s="20" t="s">
        <v>155</v>
      </c>
      <c r="D7" s="20" t="s">
        <v>81</v>
      </c>
      <c r="E7" s="35">
        <f t="shared" si="0"/>
        <v>1</v>
      </c>
      <c r="F7" s="35">
        <v>1</v>
      </c>
      <c r="G7" s="35">
        <f>IF(prodnorm7&gt;0,1/ROUND(prodnorm7,4),0)</f>
        <v>0</v>
      </c>
      <c r="H7" s="37">
        <f>ROUND(dagwerk7,4+2)</f>
        <v>0</v>
      </c>
      <c r="I7" s="39">
        <f>ROUND(uurtarief7,3)</f>
        <v>0</v>
      </c>
      <c r="J7" s="35">
        <v>40.1</v>
      </c>
    </row>
    <row r="8" spans="1:10" x14ac:dyDescent="0.2">
      <c r="A8" s="20" t="s">
        <v>85</v>
      </c>
      <c r="B8" s="20" t="s">
        <v>10</v>
      </c>
      <c r="C8" s="20" t="s">
        <v>155</v>
      </c>
      <c r="D8" s="20" t="s">
        <v>81</v>
      </c>
      <c r="E8" s="35">
        <f t="shared" si="0"/>
        <v>1</v>
      </c>
      <c r="F8" s="35">
        <v>1</v>
      </c>
      <c r="G8" s="35">
        <f>IF(prodnorm8&gt;0,1/ROUND(prodnorm8,4),0)</f>
        <v>0</v>
      </c>
      <c r="H8" s="37">
        <f>ROUND(dagwerk8,4+2)</f>
        <v>0</v>
      </c>
      <c r="I8" s="39">
        <f>ROUND(uurtarief8,3)</f>
        <v>0</v>
      </c>
      <c r="J8" s="35">
        <v>55.4</v>
      </c>
    </row>
    <row r="9" spans="1:10" x14ac:dyDescent="0.2">
      <c r="A9" s="20" t="s">
        <v>87</v>
      </c>
      <c r="B9" s="20" t="s">
        <v>10</v>
      </c>
      <c r="C9" s="20" t="s">
        <v>155</v>
      </c>
      <c r="D9" s="20" t="s">
        <v>81</v>
      </c>
      <c r="E9" s="35">
        <f t="shared" si="0"/>
        <v>1</v>
      </c>
      <c r="F9" s="35">
        <v>1</v>
      </c>
      <c r="G9" s="35">
        <f>IF(prodnorm9&gt;0,1/ROUND(prodnorm9,4),0)</f>
        <v>0</v>
      </c>
      <c r="H9" s="37">
        <f>ROUND(dagwerk9,4+2)</f>
        <v>0</v>
      </c>
      <c r="I9" s="39">
        <f>ROUND(uurtarief9,3)</f>
        <v>0</v>
      </c>
      <c r="J9" s="35">
        <v>166.7</v>
      </c>
    </row>
    <row r="10" spans="1:10" x14ac:dyDescent="0.2">
      <c r="A10" s="20" t="s">
        <v>88</v>
      </c>
      <c r="B10" s="20" t="s">
        <v>10</v>
      </c>
      <c r="C10" s="20" t="s">
        <v>155</v>
      </c>
      <c r="D10" s="20" t="s">
        <v>81</v>
      </c>
      <c r="E10" s="35">
        <f t="shared" si="0"/>
        <v>1</v>
      </c>
      <c r="F10" s="35">
        <v>1</v>
      </c>
      <c r="G10" s="35">
        <f>IF(prodnorm10&gt;0,1/ROUND(prodnorm10,4),0)</f>
        <v>0</v>
      </c>
      <c r="H10" s="37">
        <f>ROUND(dagwerk10,4+2)</f>
        <v>0</v>
      </c>
      <c r="I10" s="39">
        <f>ROUND(uurtarief10,3)</f>
        <v>0</v>
      </c>
      <c r="J10" s="35">
        <v>19.150000000000002</v>
      </c>
    </row>
    <row r="11" spans="1:10" x14ac:dyDescent="0.2">
      <c r="A11" s="20" t="s">
        <v>90</v>
      </c>
      <c r="B11" s="20" t="s">
        <v>10</v>
      </c>
      <c r="C11" s="20" t="s">
        <v>155</v>
      </c>
      <c r="D11" s="20" t="s">
        <v>81</v>
      </c>
      <c r="E11" s="35">
        <f t="shared" si="0"/>
        <v>1</v>
      </c>
      <c r="F11" s="35">
        <v>1</v>
      </c>
      <c r="G11" s="35">
        <f>IF(prodnorm11&gt;0,1/ROUND(prodnorm11,4),0)</f>
        <v>0</v>
      </c>
      <c r="H11" s="37">
        <f>ROUND(dagwerk11,4+2)</f>
        <v>0</v>
      </c>
      <c r="I11" s="39">
        <f>ROUND(uurtarief11,3)</f>
        <v>0</v>
      </c>
      <c r="J11" s="35">
        <v>59.7</v>
      </c>
    </row>
    <row r="12" spans="1:10" x14ac:dyDescent="0.2">
      <c r="A12" s="20" t="s">
        <v>90</v>
      </c>
      <c r="B12" s="20" t="s">
        <v>14</v>
      </c>
      <c r="C12" s="20" t="s">
        <v>155</v>
      </c>
      <c r="D12" s="20" t="s">
        <v>81</v>
      </c>
      <c r="E12" s="35">
        <f t="shared" si="0"/>
        <v>0.4</v>
      </c>
      <c r="F12" s="35">
        <v>1</v>
      </c>
      <c r="G12" s="35">
        <f>IF(prodnorm12&gt;0,1/ROUND(prodnorm12,4),0)</f>
        <v>0</v>
      </c>
      <c r="H12" s="37">
        <f>ROUND(dagwerk12,4+2)</f>
        <v>0</v>
      </c>
      <c r="I12" s="39">
        <f>ROUND(uurtarief12,3)</f>
        <v>0</v>
      </c>
      <c r="J12" s="35">
        <v>55.5</v>
      </c>
    </row>
    <row r="13" spans="1:10" x14ac:dyDescent="0.2">
      <c r="A13" s="20" t="s">
        <v>92</v>
      </c>
      <c r="B13" s="20" t="s">
        <v>10</v>
      </c>
      <c r="C13" s="20" t="s">
        <v>155</v>
      </c>
      <c r="D13" s="20" t="s">
        <v>81</v>
      </c>
      <c r="E13" s="35">
        <f t="shared" si="0"/>
        <v>1</v>
      </c>
      <c r="F13" s="35">
        <v>1</v>
      </c>
      <c r="G13" s="35">
        <f>IF(prodnorm13&gt;0,1/ROUND(prodnorm13,4),0)</f>
        <v>0</v>
      </c>
      <c r="H13" s="37">
        <f>ROUND(dagwerk13,4+2)</f>
        <v>0</v>
      </c>
      <c r="I13" s="39">
        <f>ROUND(uurtarief13,3)</f>
        <v>0</v>
      </c>
      <c r="J13" s="35">
        <v>47.25</v>
      </c>
    </row>
    <row r="14" spans="1:10" x14ac:dyDescent="0.2">
      <c r="A14" s="20" t="s">
        <v>93</v>
      </c>
      <c r="B14" s="20" t="s">
        <v>24</v>
      </c>
      <c r="C14" s="20" t="s">
        <v>155</v>
      </c>
      <c r="D14" s="20" t="s">
        <v>81</v>
      </c>
      <c r="E14" s="35">
        <f t="shared" si="0"/>
        <v>5.0000000000000001E-3</v>
      </c>
      <c r="F14" s="35">
        <v>1</v>
      </c>
      <c r="G14" s="35">
        <f>IF(prodnorm14&gt;0,1/ROUND(prodnorm14,4),0)</f>
        <v>0</v>
      </c>
      <c r="H14" s="37">
        <f>ROUND(dagwerk14,4+2)</f>
        <v>0</v>
      </c>
      <c r="I14" s="39">
        <f>ROUND(uurtarief14,3)</f>
        <v>0</v>
      </c>
      <c r="J14" s="35">
        <v>170.6</v>
      </c>
    </row>
    <row r="15" spans="1:10" x14ac:dyDescent="0.2">
      <c r="A15" s="25" t="s">
        <v>95</v>
      </c>
      <c r="B15" s="25" t="s">
        <v>16</v>
      </c>
      <c r="C15" s="25" t="s">
        <v>155</v>
      </c>
      <c r="D15" s="25" t="s">
        <v>81</v>
      </c>
      <c r="E15" s="40">
        <f t="shared" si="0"/>
        <v>0.2</v>
      </c>
      <c r="F15" s="40">
        <v>1</v>
      </c>
      <c r="G15" s="40">
        <f>IF(prodnorm15&gt;0,1/ROUND(prodnorm15,4),0)</f>
        <v>0</v>
      </c>
      <c r="H15" s="84">
        <f>ROUND(dagwerk15,4+2)</f>
        <v>0</v>
      </c>
      <c r="I15" s="42">
        <f>ROUND(uurtarief15,3)</f>
        <v>0</v>
      </c>
      <c r="J15" s="40">
        <v>55.5</v>
      </c>
    </row>
    <row r="16" spans="1:10" x14ac:dyDescent="0.2">
      <c r="A16" s="44" t="s">
        <v>97</v>
      </c>
      <c r="B16" s="45"/>
      <c r="C16" s="45"/>
      <c r="D16" s="45"/>
      <c r="E16" s="45"/>
      <c r="F16" s="45"/>
      <c r="G16" s="45"/>
      <c r="H16" s="45"/>
      <c r="I16" s="45"/>
      <c r="J16" s="85"/>
    </row>
  </sheetData>
  <pageMargins left="0.7" right="0.7" top="0.75" bottom="0.75" header="0.3" footer="0.3"/>
  <pageSetup paperSize="9" scale="70" orientation="landscape" r:id="rId1"/>
  <headerFooter>
    <oddFooter>&amp;LStichting Openbaar Onderwijs Oost Groningen EA              &amp;ROpmaakdatum: 16-07-2021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3ACC0-34EF-4F34-ACE6-F470F736E39A}">
  <dimension ref="A1:R10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14" width="12.125" customWidth="1"/>
    <col min="15" max="16" width="12.625" customWidth="1"/>
    <col min="17" max="18" width="13.625" customWidth="1"/>
  </cols>
  <sheetData>
    <row r="1" spans="1:18" x14ac:dyDescent="0.2">
      <c r="A1" s="1" t="str">
        <f>CONCATENATE("Bijlage H .4: ",tabeltype," objecten")</f>
        <v>Bijlage H .4: Invultabel objecten</v>
      </c>
    </row>
    <row r="3" spans="1:18" ht="51" x14ac:dyDescent="0.2">
      <c r="A3" s="8" t="s">
        <v>100</v>
      </c>
      <c r="B3" s="8" t="s">
        <v>156</v>
      </c>
      <c r="C3" s="8" t="s">
        <v>157</v>
      </c>
      <c r="D3" s="8" t="s">
        <v>158</v>
      </c>
      <c r="E3" s="8" t="s">
        <v>7</v>
      </c>
      <c r="F3" s="8" t="s">
        <v>159</v>
      </c>
      <c r="G3" s="8" t="s">
        <v>160</v>
      </c>
      <c r="H3" s="8" t="s">
        <v>161</v>
      </c>
      <c r="I3" s="8" t="s">
        <v>162</v>
      </c>
      <c r="J3" s="8" t="s">
        <v>163</v>
      </c>
      <c r="K3" s="8" t="s">
        <v>164</v>
      </c>
      <c r="L3" s="8" t="s">
        <v>165</v>
      </c>
      <c r="M3" s="8" t="s">
        <v>166</v>
      </c>
      <c r="N3" s="8" t="s">
        <v>167</v>
      </c>
      <c r="O3" s="8" t="s">
        <v>168</v>
      </c>
      <c r="P3" s="8" t="s">
        <v>78</v>
      </c>
      <c r="Q3" s="8" t="s">
        <v>169</v>
      </c>
      <c r="R3" s="8" t="s">
        <v>170</v>
      </c>
    </row>
    <row r="4" spans="1:18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/>
    </row>
    <row r="5" spans="1:18" x14ac:dyDescent="0.2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</row>
    <row r="6" spans="1:18" x14ac:dyDescent="0.2">
      <c r="A6" s="86" t="s">
        <v>110</v>
      </c>
      <c r="B6" s="86" t="s">
        <v>171</v>
      </c>
      <c r="C6" s="86" t="s">
        <v>172</v>
      </c>
      <c r="D6" s="86" t="s">
        <v>173</v>
      </c>
      <c r="E6" s="87" t="s">
        <v>10</v>
      </c>
      <c r="F6" s="88">
        <f>gemuurtarief1</f>
        <v>0</v>
      </c>
      <c r="G6" s="89">
        <f>SUMPRODUCT(taakfreqtabel1,uurfactortabel1,kengetaltabel1,object1_opptabel1)*(1/VLOOKUP(E6,dagsoorttabel1,2,FALSE))</f>
        <v>0</v>
      </c>
      <c r="H6" s="89">
        <f>SUMPRODUCT(dagwerktabel1,taakfreqtabel1,uurfactortabel1,kengetaltabel1,object1_opptabel1)*(1/VLOOKUP(E6,dagsoorttabel1,2,FALSE))</f>
        <v>0</v>
      </c>
      <c r="I6" s="90"/>
      <c r="J6" s="89">
        <f>H6+I6</f>
        <v>0</v>
      </c>
      <c r="K6" s="89">
        <f>G6+I6</f>
        <v>0</v>
      </c>
      <c r="L6" s="91">
        <f>SUMPRODUCT(taakfreqtabel1,kengetaltabel1,tarieftabel1,object1_opptabel1)*(1/VLOOKUP(E6,dagsoorttabel1,2,FALSE))</f>
        <v>0</v>
      </c>
      <c r="M6" s="91">
        <f>F6*I6</f>
        <v>0</v>
      </c>
      <c r="N6" s="91">
        <f>SUM(L6:M6)</f>
        <v>0</v>
      </c>
      <c r="O6" s="89">
        <f>J6*dagenperjaar1*VLOOKUP(E6,dagsoorttabel1,2,FALSE)</f>
        <v>0</v>
      </c>
      <c r="P6" s="89">
        <f>K6*dagenperjaar1*VLOOKUP(E6,dagsoorttabel1,2,FALSE)</f>
        <v>0</v>
      </c>
      <c r="Q6" s="91">
        <f>N6*dagenperjaar1*VLOOKUP(E6,dagsoorttabel1,2,FALSE)</f>
        <v>0</v>
      </c>
      <c r="R6" s="91">
        <f>Q6/12</f>
        <v>0</v>
      </c>
    </row>
    <row r="7" spans="1:18" x14ac:dyDescent="0.2">
      <c r="A7" s="44" t="s">
        <v>97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6">
        <f>SUM(O6:O6)</f>
        <v>0</v>
      </c>
      <c r="P7" s="46">
        <f>SUM(P6:P6)</f>
        <v>0</v>
      </c>
      <c r="Q7" s="47">
        <f>SUM(Q6:Q6)</f>
        <v>0</v>
      </c>
      <c r="R7" s="48">
        <f>SUM(R6:R6)</f>
        <v>0</v>
      </c>
    </row>
    <row r="8" spans="1:18" x14ac:dyDescent="0.2">
      <c r="A8" s="49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50"/>
    </row>
    <row r="10" spans="1:18" x14ac:dyDescent="0.2">
      <c r="A10" s="44" t="s">
        <v>174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6">
        <f>urenjaartotaalhf1</f>
        <v>0</v>
      </c>
      <c r="P10" s="46">
        <f>urenjaartotaal1</f>
        <v>0</v>
      </c>
      <c r="Q10" s="47">
        <f>prijsjaartotaal1</f>
        <v>0</v>
      </c>
      <c r="R10" s="47">
        <f>prijsmaandtotaal1</f>
        <v>0</v>
      </c>
    </row>
  </sheetData>
  <pageMargins left="0.7" right="0.7" top="0.75" bottom="0.75" header="0.3" footer="0.3"/>
  <pageSetup paperSize="9" scale="65" orientation="landscape" r:id="rId1"/>
  <headerFooter>
    <oddFooter>&amp;LStichting Openbaar Onderwijs Oost Groningen EA              &amp;ROpmaakdatum: 16-07-2021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E75E2-9FFF-46F4-9DF3-817BA86CB8A9}">
  <dimension ref="A1:K18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H .5: ",tabeltype," niet-meewerkende objectleiding")</f>
        <v>Bijlage H .5: Invultabel niet-meewerkende objectleiding</v>
      </c>
    </row>
    <row r="3" spans="1:11" ht="38.25" x14ac:dyDescent="0.2">
      <c r="A3" s="8" t="s">
        <v>175</v>
      </c>
      <c r="B3" s="8" t="s">
        <v>7</v>
      </c>
      <c r="C3" s="8" t="s">
        <v>176</v>
      </c>
      <c r="D3" s="8" t="s">
        <v>177</v>
      </c>
      <c r="E3" s="8" t="s">
        <v>178</v>
      </c>
      <c r="F3" s="8" t="s">
        <v>179</v>
      </c>
      <c r="G3" s="8" t="s">
        <v>180</v>
      </c>
      <c r="H3" s="8" t="s">
        <v>78</v>
      </c>
      <c r="I3" s="8" t="s">
        <v>181</v>
      </c>
      <c r="J3" s="8" t="s">
        <v>182</v>
      </c>
      <c r="K3" s="8" t="s">
        <v>183</v>
      </c>
    </row>
    <row r="4" spans="1:11" x14ac:dyDescent="0.2">
      <c r="A4" s="92"/>
      <c r="B4" s="93"/>
      <c r="C4" s="93"/>
      <c r="D4" s="93"/>
      <c r="E4" s="93"/>
      <c r="F4" s="93"/>
      <c r="G4" s="93"/>
      <c r="H4" s="93"/>
      <c r="I4" s="93"/>
      <c r="J4" s="93"/>
      <c r="K4" s="94"/>
    </row>
    <row r="5" spans="1:11" x14ac:dyDescent="0.2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95" t="s">
        <v>109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 t="s">
        <v>184</v>
      </c>
      <c r="B8" s="15" t="s">
        <v>10</v>
      </c>
      <c r="C8" s="16">
        <f>IF(ISBLANK(B8),0,IF(ISERROR(VALUE(B8)),VLOOKUP(B8,dagsoorttabel1,2,FALSE)*dagenperjaar1,VALUE(B8)))</f>
        <v>200</v>
      </c>
      <c r="D8" s="15" t="s">
        <v>185</v>
      </c>
      <c r="E8" s="96"/>
      <c r="F8" s="97">
        <v>0.08</v>
      </c>
      <c r="G8" s="98"/>
      <c r="H8" s="30">
        <f>IF(ISBLANK(G8),0,G8*C8)+IF(ISBLANK(F8),0,F8*objecturen1_1)</f>
        <v>0</v>
      </c>
      <c r="I8" s="30">
        <f>IF(C8=0,0,H8/C8)</f>
        <v>0</v>
      </c>
      <c r="J8" s="34">
        <f>IF(ISBLANK(E8),0,ROUND(E8,3)*H8)</f>
        <v>0</v>
      </c>
      <c r="K8" s="34">
        <f>J8/12</f>
        <v>0</v>
      </c>
    </row>
    <row r="9" spans="1:11" x14ac:dyDescent="0.2">
      <c r="A9" s="20"/>
      <c r="B9" s="20"/>
      <c r="C9" s="99">
        <f>dagenperjaar1</f>
        <v>200</v>
      </c>
      <c r="D9" s="100" t="s">
        <v>186</v>
      </c>
      <c r="E9" s="101"/>
      <c r="F9" s="23"/>
      <c r="G9" s="102"/>
      <c r="H9" s="35">
        <f>IF(ISBLANK(G9),0,G9*C9)+IF(ISBLANK(F9),0,F9*objecturen1_1)</f>
        <v>0</v>
      </c>
      <c r="I9" s="35">
        <f>IF(C9=0,0,H9/C9)</f>
        <v>0</v>
      </c>
      <c r="J9" s="39">
        <f>IF(ISBLANK(E9),0,ROUND(E9,3)*H9)</f>
        <v>0</v>
      </c>
      <c r="K9" s="39">
        <f>J9/12</f>
        <v>0</v>
      </c>
    </row>
    <row r="10" spans="1:11" x14ac:dyDescent="0.2">
      <c r="A10" s="20"/>
      <c r="B10" s="20"/>
      <c r="C10" s="99">
        <f>dagenperjaar1</f>
        <v>200</v>
      </c>
      <c r="D10" s="100" t="s">
        <v>186</v>
      </c>
      <c r="E10" s="101"/>
      <c r="F10" s="23"/>
      <c r="G10" s="102"/>
      <c r="H10" s="35">
        <f>IF(ISBLANK(G10),0,G10*C10)+IF(ISBLANK(F10),0,F10*objecturen1_1)</f>
        <v>0</v>
      </c>
      <c r="I10" s="35">
        <f>IF(C10=0,0,H10/C10)</f>
        <v>0</v>
      </c>
      <c r="J10" s="39">
        <f>IF(ISBLANK(E10),0,ROUND(E10,3)*H10)</f>
        <v>0</v>
      </c>
      <c r="K10" s="39">
        <f>J10/12</f>
        <v>0</v>
      </c>
    </row>
    <row r="11" spans="1:11" x14ac:dyDescent="0.2">
      <c r="A11" s="20"/>
      <c r="B11" s="20"/>
      <c r="C11" s="99">
        <f>dagenperjaar1</f>
        <v>200</v>
      </c>
      <c r="D11" s="100" t="s">
        <v>187</v>
      </c>
      <c r="E11" s="101"/>
      <c r="F11" s="103"/>
      <c r="G11" s="22"/>
      <c r="H11" s="35">
        <f>IF(ISBLANK(G11),0,G11*C11)+IF(ISBLANK(F11),0,F11*objecturen1_1)</f>
        <v>0</v>
      </c>
      <c r="I11" s="35">
        <f>IF(C11=0,0,H11/C11)</f>
        <v>0</v>
      </c>
      <c r="J11" s="39">
        <f>IF(ISBLANK(E11),0,ROUND(E11,3)*H11)</f>
        <v>0</v>
      </c>
      <c r="K11" s="39">
        <f>J11/12</f>
        <v>0</v>
      </c>
    </row>
    <row r="12" spans="1:11" x14ac:dyDescent="0.2">
      <c r="A12" s="25"/>
      <c r="B12" s="25"/>
      <c r="C12" s="104">
        <f>dagenperjaar1</f>
        <v>200</v>
      </c>
      <c r="D12" s="105" t="s">
        <v>187</v>
      </c>
      <c r="E12" s="106"/>
      <c r="F12" s="107"/>
      <c r="G12" s="27"/>
      <c r="H12" s="40">
        <f>IF(ISBLANK(G12),0,G12*C12)+IF(ISBLANK(F12),0,F12*objecturen1_1)</f>
        <v>0</v>
      </c>
      <c r="I12" s="40">
        <f>IF(C12=0,0,H12/C12)</f>
        <v>0</v>
      </c>
      <c r="J12" s="42">
        <f>IF(ISBLANK(E12),0,ROUND(E12,3)*H12)</f>
        <v>0</v>
      </c>
      <c r="K12" s="42">
        <f>J12/12</f>
        <v>0</v>
      </c>
    </row>
    <row r="13" spans="1:11" x14ac:dyDescent="0.2">
      <c r="A13" s="108" t="s">
        <v>188</v>
      </c>
      <c r="B13" s="45"/>
      <c r="C13" s="45"/>
      <c r="D13" s="45"/>
      <c r="E13" s="45"/>
      <c r="F13" s="45"/>
      <c r="G13" s="45"/>
      <c r="H13" s="46">
        <f>SUM(H8:H12)</f>
        <v>0</v>
      </c>
      <c r="I13" s="45"/>
      <c r="J13" s="47">
        <f>SUM(J8:J12)</f>
        <v>0</v>
      </c>
      <c r="K13" s="48">
        <f>SUM(K8:K12)</f>
        <v>0</v>
      </c>
    </row>
    <row r="14" spans="1:11" x14ac:dyDescent="0.2">
      <c r="A14" s="49"/>
      <c r="B14" s="45"/>
      <c r="C14" s="45"/>
      <c r="D14" s="45"/>
      <c r="E14" s="45"/>
      <c r="F14" s="45"/>
      <c r="G14" s="45"/>
      <c r="H14" s="45"/>
      <c r="I14" s="45"/>
      <c r="J14" s="45"/>
      <c r="K14" s="50"/>
    </row>
    <row r="15" spans="1:11" x14ac:dyDescent="0.2">
      <c r="A15" s="44" t="s">
        <v>97</v>
      </c>
      <c r="B15" s="45"/>
      <c r="C15" s="45"/>
      <c r="D15" s="45"/>
      <c r="E15" s="45"/>
      <c r="F15" s="45"/>
      <c r="G15" s="45"/>
      <c r="H15" s="46">
        <f>tzujt1_1</f>
        <v>0</v>
      </c>
      <c r="I15" s="45"/>
      <c r="J15" s="47">
        <f>tzpjt1_1</f>
        <v>0</v>
      </c>
      <c r="K15" s="48">
        <f>tzpmt1_1</f>
        <v>0</v>
      </c>
    </row>
    <row r="16" spans="1:11" x14ac:dyDescent="0.2">
      <c r="A16" s="49"/>
      <c r="B16" s="45"/>
      <c r="C16" s="45"/>
      <c r="D16" s="45"/>
      <c r="E16" s="45"/>
      <c r="F16" s="45"/>
      <c r="G16" s="45"/>
      <c r="H16" s="45"/>
      <c r="I16" s="45"/>
      <c r="J16" s="45"/>
      <c r="K16" s="50"/>
    </row>
    <row r="18" spans="1:11" x14ac:dyDescent="0.2">
      <c r="A18" s="44" t="s">
        <v>189</v>
      </c>
      <c r="B18" s="45"/>
      <c r="C18" s="45"/>
      <c r="D18" s="45"/>
      <c r="E18" s="45"/>
      <c r="F18" s="45"/>
      <c r="G18" s="45"/>
      <c r="H18" s="46">
        <f>tzujt1</f>
        <v>0</v>
      </c>
      <c r="I18" s="45"/>
      <c r="J18" s="47">
        <f>tzpjt1</f>
        <v>0</v>
      </c>
      <c r="K18" s="47">
        <f>tzpmt1</f>
        <v>0</v>
      </c>
    </row>
  </sheetData>
  <pageMargins left="0.7" right="0.7" top="0.75" bottom="0.75" header="0.3" footer="0.3"/>
  <pageSetup paperSize="9" scale="65" orientation="landscape" r:id="rId1"/>
  <headerFooter>
    <oddFooter>&amp;LStichting Openbaar Onderwijs Oost Groningen EA              &amp;ROpmaakdatum: 16-07-2021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FACDF-25B8-4DC3-A6E3-7D3166FCC8A0}">
  <dimension ref="A1:K6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11" width="13.625" customWidth="1"/>
  </cols>
  <sheetData>
    <row r="1" spans="1:11" x14ac:dyDescent="0.2">
      <c r="A1" s="1" t="str">
        <f>CONCATENATE("Bijlage H .6: ",tabeltype," totaalblad objecten")</f>
        <v>Bijlage H .6: Invultabel totaalblad objecten</v>
      </c>
    </row>
    <row r="3" spans="1:11" ht="51" x14ac:dyDescent="0.2">
      <c r="A3" s="8" t="s">
        <v>100</v>
      </c>
      <c r="B3" s="8" t="s">
        <v>156</v>
      </c>
      <c r="C3" s="8" t="s">
        <v>157</v>
      </c>
      <c r="D3" s="8" t="s">
        <v>158</v>
      </c>
      <c r="E3" s="8" t="s">
        <v>168</v>
      </c>
      <c r="F3" s="8" t="s">
        <v>78</v>
      </c>
      <c r="G3" s="8" t="s">
        <v>190</v>
      </c>
      <c r="H3" s="8" t="s">
        <v>191</v>
      </c>
      <c r="I3" s="8" t="s">
        <v>192</v>
      </c>
      <c r="J3" s="8" t="s">
        <v>193</v>
      </c>
      <c r="K3" s="8" t="s">
        <v>194</v>
      </c>
    </row>
    <row r="4" spans="1:11" x14ac:dyDescent="0.2">
      <c r="A4" s="86" t="s">
        <v>110</v>
      </c>
      <c r="B4" s="86" t="s">
        <v>171</v>
      </c>
      <c r="C4" s="86" t="s">
        <v>172</v>
      </c>
      <c r="D4" s="86" t="s">
        <v>173</v>
      </c>
      <c r="E4" s="89">
        <f>objecturenhf1_1</f>
        <v>0</v>
      </c>
      <c r="F4" s="89">
        <f>objecturen1_1</f>
        <v>0</v>
      </c>
      <c r="G4" s="91">
        <f>objectprijs1_1</f>
        <v>0</v>
      </c>
      <c r="H4" s="89">
        <f>tzujt1_1</f>
        <v>0</v>
      </c>
      <c r="I4" s="91">
        <f>tzpjt1_1</f>
        <v>0</v>
      </c>
      <c r="J4" s="91">
        <f>G4+I4</f>
        <v>0</v>
      </c>
      <c r="K4" s="91">
        <f>J4/12</f>
        <v>0</v>
      </c>
    </row>
    <row r="6" spans="1:11" x14ac:dyDescent="0.2">
      <c r="A6" s="44" t="s">
        <v>195</v>
      </c>
      <c r="B6" s="45"/>
      <c r="C6" s="45"/>
      <c r="D6" s="45"/>
      <c r="E6" s="46">
        <f t="shared" ref="E6:K6" si="0">SUM(E4:E4)</f>
        <v>0</v>
      </c>
      <c r="F6" s="46">
        <f t="shared" si="0"/>
        <v>0</v>
      </c>
      <c r="G6" s="47">
        <f t="shared" si="0"/>
        <v>0</v>
      </c>
      <c r="H6" s="46">
        <f t="shared" si="0"/>
        <v>0</v>
      </c>
      <c r="I6" s="47">
        <f t="shared" si="0"/>
        <v>0</v>
      </c>
      <c r="J6" s="47">
        <f t="shared" si="0"/>
        <v>0</v>
      </c>
      <c r="K6" s="47">
        <f t="shared" si="0"/>
        <v>0</v>
      </c>
    </row>
  </sheetData>
  <pageMargins left="0.7" right="0.7" top="0.75" bottom="0.75" header="0.3" footer="0.3"/>
  <pageSetup paperSize="9" scale="65" orientation="landscape" r:id="rId1"/>
  <headerFooter>
    <oddFooter>&amp;LStichting Openbaar Onderwijs Oost Groningen EA              &amp;ROpmaakdatum: 16-07-2021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6303A-F482-4E67-B20B-95B5133ACF33}">
  <dimension ref="A1:L12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 .7: ",tabeltype," afroep")</f>
        <v>Bijlage H .7: Invultabel afroep</v>
      </c>
    </row>
    <row r="3" spans="1:12" ht="38.25" x14ac:dyDescent="0.2">
      <c r="A3" s="8" t="s">
        <v>196</v>
      </c>
      <c r="B3" s="8" t="s">
        <v>7</v>
      </c>
      <c r="C3" s="8" t="s">
        <v>197</v>
      </c>
      <c r="D3" s="8" t="s">
        <v>31</v>
      </c>
      <c r="E3" s="8" t="s">
        <v>34</v>
      </c>
      <c r="F3" s="8" t="s">
        <v>198</v>
      </c>
      <c r="G3" s="8" t="s">
        <v>199</v>
      </c>
      <c r="H3" s="8" t="s">
        <v>200</v>
      </c>
      <c r="I3" s="8" t="s">
        <v>201</v>
      </c>
      <c r="J3" s="8" t="s">
        <v>202</v>
      </c>
      <c r="K3" s="8" t="s">
        <v>79</v>
      </c>
      <c r="L3" s="8" t="s">
        <v>170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203</v>
      </c>
      <c r="B6" s="15" t="s">
        <v>24</v>
      </c>
      <c r="C6" s="16">
        <f>IF(ISBLANK(B6),0,IF(ISERROR(VALUE(B6)),VLOOKUP(B6,dagsoorttabel1,2,FALSE)*dagenperjaar1,VALUE(B6)))</f>
        <v>1</v>
      </c>
      <c r="D6" s="15" t="s">
        <v>204</v>
      </c>
      <c r="E6" s="15" t="s">
        <v>205</v>
      </c>
      <c r="F6" s="109">
        <v>900</v>
      </c>
      <c r="G6" s="96"/>
      <c r="H6" s="110"/>
      <c r="I6" s="96"/>
      <c r="J6" s="34">
        <f>IF(ISBLANK(F6),0,F6)*I6</f>
        <v>0</v>
      </c>
      <c r="K6" s="34">
        <f>C6*J6</f>
        <v>0</v>
      </c>
      <c r="L6" s="34">
        <f>K6/12</f>
        <v>0</v>
      </c>
    </row>
    <row r="7" spans="1:12" x14ac:dyDescent="0.2">
      <c r="A7" s="20" t="s">
        <v>206</v>
      </c>
      <c r="B7" s="20" t="s">
        <v>19</v>
      </c>
      <c r="C7" s="21">
        <f>IF(ISBLANK(B7),0,IF(ISERROR(VALUE(B7)),VLOOKUP(B7,dagsoorttabel1,2,FALSE)*dagenperjaar1,VALUE(B7)))</f>
        <v>10</v>
      </c>
      <c r="D7" s="20" t="s">
        <v>207</v>
      </c>
      <c r="E7" s="20" t="s">
        <v>205</v>
      </c>
      <c r="F7" s="111">
        <v>20</v>
      </c>
      <c r="G7" s="101"/>
      <c r="H7" s="112"/>
      <c r="I7" s="101"/>
      <c r="J7" s="39">
        <f>IF(ISBLANK(F7),0,F7)*I7</f>
        <v>0</v>
      </c>
      <c r="K7" s="39">
        <f>C7*J7</f>
        <v>0</v>
      </c>
      <c r="L7" s="39">
        <f>K7/12</f>
        <v>0</v>
      </c>
    </row>
    <row r="8" spans="1:12" x14ac:dyDescent="0.2">
      <c r="A8" s="20" t="s">
        <v>208</v>
      </c>
      <c r="B8" s="20" t="s">
        <v>19</v>
      </c>
      <c r="C8" s="21">
        <f>IF(ISBLANK(B8),0,IF(ISERROR(VALUE(B8)),VLOOKUP(B8,dagsoorttabel1,2,FALSE)*dagenperjaar1,VALUE(B8)))</f>
        <v>10</v>
      </c>
      <c r="D8" s="20" t="s">
        <v>209</v>
      </c>
      <c r="E8" s="20" t="s">
        <v>205</v>
      </c>
      <c r="F8" s="111">
        <v>4</v>
      </c>
      <c r="G8" s="101"/>
      <c r="H8" s="112"/>
      <c r="I8" s="101"/>
      <c r="J8" s="39">
        <f>IF(ISBLANK(F8),0,F8)*I8</f>
        <v>0</v>
      </c>
      <c r="K8" s="39">
        <f>C8*J8</f>
        <v>0</v>
      </c>
      <c r="L8" s="39">
        <f>K8/12</f>
        <v>0</v>
      </c>
    </row>
    <row r="9" spans="1:12" x14ac:dyDescent="0.2">
      <c r="A9" s="25" t="s">
        <v>210</v>
      </c>
      <c r="B9" s="25" t="s">
        <v>24</v>
      </c>
      <c r="C9" s="26">
        <f>IF(ISBLANK(B9),0,IF(ISERROR(VALUE(B9)),VLOOKUP(B9,dagsoorttabel1,2,FALSE)*dagenperjaar1,VALUE(B9)))</f>
        <v>1</v>
      </c>
      <c r="D9" s="25" t="s">
        <v>211</v>
      </c>
      <c r="E9" s="25" t="s">
        <v>212</v>
      </c>
      <c r="F9" s="113">
        <v>1925</v>
      </c>
      <c r="G9" s="106"/>
      <c r="H9" s="114"/>
      <c r="I9" s="106"/>
      <c r="J9" s="42">
        <f>IF(ISBLANK(F9),0,F9)*I9</f>
        <v>0</v>
      </c>
      <c r="K9" s="42">
        <f>C9*J9</f>
        <v>0</v>
      </c>
      <c r="L9" s="42">
        <f>K9/12</f>
        <v>0</v>
      </c>
    </row>
    <row r="10" spans="1:12" x14ac:dyDescent="0.2">
      <c r="A10" s="44" t="s">
        <v>97</v>
      </c>
      <c r="B10" s="45"/>
      <c r="C10" s="45"/>
      <c r="D10" s="45"/>
      <c r="E10" s="45"/>
      <c r="F10" s="45"/>
      <c r="G10" s="45"/>
      <c r="H10" s="45"/>
      <c r="I10" s="45"/>
      <c r="J10" s="45"/>
      <c r="K10" s="47">
        <f>SUM(K6:K9)</f>
        <v>0</v>
      </c>
      <c r="L10" s="115">
        <f>K10/12</f>
        <v>0</v>
      </c>
    </row>
    <row r="12" spans="1:12" x14ac:dyDescent="0.2">
      <c r="A12" s="44" t="s">
        <v>213</v>
      </c>
      <c r="B12" s="45"/>
      <c r="C12" s="45"/>
      <c r="D12" s="45"/>
      <c r="E12" s="45"/>
      <c r="F12" s="45"/>
      <c r="G12" s="45"/>
      <c r="H12" s="45"/>
      <c r="I12" s="45"/>
      <c r="J12" s="45"/>
      <c r="K12" s="47">
        <f>prijsjaarafroep1</f>
        <v>0</v>
      </c>
      <c r="L12" s="115">
        <f>K12/12</f>
        <v>0</v>
      </c>
    </row>
  </sheetData>
  <pageMargins left="0.7" right="0.7" top="0.75" bottom="0.75" header="0.3" footer="0.3"/>
  <pageSetup paperSize="9" scale="65" orientation="landscape" r:id="rId1"/>
  <headerFooter>
    <oddFooter>&amp;LStichting Openbaar Onderwijs Oost Groningen EA              &amp;ROpmaakdatum: 16-07-2021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162</vt:i4>
      </vt:variant>
    </vt:vector>
  </HeadingPairs>
  <TitlesOfParts>
    <vt:vector size="175" baseType="lpstr">
      <vt:lpstr>Omreken</vt:lpstr>
      <vt:lpstr>Categorienormen</vt:lpstr>
      <vt:lpstr>Regulier werk</vt:lpstr>
      <vt:lpstr>Ruimten werkdag</vt:lpstr>
      <vt:lpstr>Objectinformatie</vt:lpstr>
      <vt:lpstr>Objecten</vt:lpstr>
      <vt:lpstr>Niet-meewerkende objectleiding</vt:lpstr>
      <vt:lpstr>Totaalblad Objecten</vt:lpstr>
      <vt:lpstr>Afroep</vt:lpstr>
      <vt:lpstr>Afroep incidenteel</vt:lpstr>
      <vt:lpstr>Glas</vt:lpstr>
      <vt:lpstr>Glas per locatie</vt:lpstr>
      <vt:lpstr>Totaal</vt:lpstr>
      <vt:lpstr>Afroep!Afdruktitels</vt:lpstr>
      <vt:lpstr>'Afroep incidenteel'!Afdruktitels</vt:lpstr>
      <vt:lpstr>Categorienormen!Afdruktitels</vt:lpstr>
      <vt:lpstr>Glas!Afdruktitels</vt:lpstr>
      <vt:lpstr>'Glas per locatie'!Afdruktitels</vt:lpstr>
      <vt:lpstr>'Niet-meewerkende objectleiding'!Afdruktitels</vt:lpstr>
      <vt:lpstr>Objecten!Afdruktitels</vt:lpstr>
      <vt:lpstr>Objectinformatie!Afdruktitels</vt:lpstr>
      <vt:lpstr>'Regulier werk'!Afdruktitels</vt:lpstr>
      <vt:lpstr>'Ruimten werkdag'!Afdruktitels</vt:lpstr>
      <vt:lpstr>Totaal!Afdruktitels</vt:lpstr>
      <vt:lpstr>'Totaalblad Objecten'!Afdruktitels</vt:lpstr>
      <vt:lpstr>catdw_1_BZB_1</vt:lpstr>
      <vt:lpstr>catdw_1_BZV_40</vt:lpstr>
      <vt:lpstr>catdw_1_EZB_1</vt:lpstr>
      <vt:lpstr>catdw_1_EZV_40</vt:lpstr>
      <vt:lpstr>catdw_1_LHB_1</vt:lpstr>
      <vt:lpstr>catdw_1_LHV_40</vt:lpstr>
      <vt:lpstr>catdw_1_LZB_1</vt:lpstr>
      <vt:lpstr>catdw_1_LZV_40</vt:lpstr>
      <vt:lpstr>catdw_1_SHB_1</vt:lpstr>
      <vt:lpstr>catdw_1_SHV_40</vt:lpstr>
      <vt:lpstr>catdw_1_VHB_1</vt:lpstr>
      <vt:lpstr>catdw_1_VHV_40</vt:lpstr>
      <vt:lpstr>catdw_1_VZB_1</vt:lpstr>
      <vt:lpstr>catdw_1_VZV_40</vt:lpstr>
      <vt:lpstr>catdw_1_XBB_1</vt:lpstr>
      <vt:lpstr>catfd_1_BZB_1</vt:lpstr>
      <vt:lpstr>catfd_1_BZV_40</vt:lpstr>
      <vt:lpstr>catfd_1_EZB_1</vt:lpstr>
      <vt:lpstr>catfd_1_EZV_40</vt:lpstr>
      <vt:lpstr>catfd_1_LHB_1</vt:lpstr>
      <vt:lpstr>catfd_1_LHV_40</vt:lpstr>
      <vt:lpstr>catfd_1_LZB_1</vt:lpstr>
      <vt:lpstr>catfd_1_LZV_40</vt:lpstr>
      <vt:lpstr>catfd_1_SHB_1</vt:lpstr>
      <vt:lpstr>catfd_1_SHV_40</vt:lpstr>
      <vt:lpstr>catfd_1_VHB_1</vt:lpstr>
      <vt:lpstr>catfd_1_VHV_40</vt:lpstr>
      <vt:lpstr>catfd_1_VZB_1</vt:lpstr>
      <vt:lpstr>catfd_1_VZV_40</vt:lpstr>
      <vt:lpstr>catfd_1_XBB_1</vt:lpstr>
      <vt:lpstr>catpn_1_BZB_1</vt:lpstr>
      <vt:lpstr>catpn_1_BZV_40</vt:lpstr>
      <vt:lpstr>catpn_1_EZB_1</vt:lpstr>
      <vt:lpstr>catpn_1_EZV_40</vt:lpstr>
      <vt:lpstr>catpn_1_LHB_1</vt:lpstr>
      <vt:lpstr>catpn_1_LHV_40</vt:lpstr>
      <vt:lpstr>catpn_1_LZB_1</vt:lpstr>
      <vt:lpstr>catpn_1_LZV_40</vt:lpstr>
      <vt:lpstr>catpn_1_SHB_1</vt:lpstr>
      <vt:lpstr>catpn_1_SHV_40</vt:lpstr>
      <vt:lpstr>catpn_1_VHB_1</vt:lpstr>
      <vt:lpstr>catpn_1_VHV_40</vt:lpstr>
      <vt:lpstr>catpn_1_VZB_1</vt:lpstr>
      <vt:lpstr>catpn_1_VZV_40</vt:lpstr>
      <vt:lpstr>catpn_1_XBB_1</vt:lpstr>
      <vt:lpstr>cattf_1_BZB_1</vt:lpstr>
      <vt:lpstr>cattf_1_BZV_40</vt:lpstr>
      <vt:lpstr>cattf_1_EZB_1</vt:lpstr>
      <vt:lpstr>cattf_1_EZV_40</vt:lpstr>
      <vt:lpstr>cattf_1_LHB_1</vt:lpstr>
      <vt:lpstr>cattf_1_LHV_40</vt:lpstr>
      <vt:lpstr>cattf_1_LZB_1</vt:lpstr>
      <vt:lpstr>cattf_1_LZV_40</vt:lpstr>
      <vt:lpstr>cattf_1_SHB_1</vt:lpstr>
      <vt:lpstr>cattf_1_SHV_40</vt:lpstr>
      <vt:lpstr>cattf_1_VHB_1</vt:lpstr>
      <vt:lpstr>cattf_1_VHV_40</vt:lpstr>
      <vt:lpstr>cattf_1_VZB_1</vt:lpstr>
      <vt:lpstr>cattf_1_VZV_40</vt:lpstr>
      <vt:lpstr>cattf_1_XBB_1</vt:lpstr>
      <vt:lpstr>dagenperjaar1</vt:lpstr>
      <vt:lpstr>dagenperjaar2</vt:lpstr>
      <vt:lpstr>dagenperjaar3</vt:lpstr>
      <vt:lpstr>dagenperjaar4</vt:lpstr>
      <vt:lpstr>dagenperweek1</vt:lpstr>
      <vt:lpstr>dagenperweek2</vt:lpstr>
      <vt:lpstr>dagenperweek3</vt:lpstr>
      <vt:lpstr>dagenperweek4</vt:lpstr>
      <vt:lpstr>dagsoorttabel1</vt:lpstr>
      <vt:lpstr>dagsoorttabel2</vt:lpstr>
      <vt:lpstr>dagsoorttabel3</vt:lpstr>
      <vt:lpstr>dagsoorttabel4</vt:lpstr>
      <vt:lpstr>dagwerk10</vt:lpstr>
      <vt:lpstr>dagwerk11</vt:lpstr>
      <vt:lpstr>dagwerk12</vt:lpstr>
      <vt:lpstr>dagwerk13</vt:lpstr>
      <vt:lpstr>dagwerk14</vt:lpstr>
      <vt:lpstr>dagwerk15</vt:lpstr>
      <vt:lpstr>dagwerk5</vt:lpstr>
      <vt:lpstr>dagwerk6</vt:lpstr>
      <vt:lpstr>dagwerk7</vt:lpstr>
      <vt:lpstr>dagwerk8</vt:lpstr>
      <vt:lpstr>dagwerk9</vt:lpstr>
      <vt:lpstr>dagwerktabel1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object1_urendaghf1</vt:lpstr>
      <vt:lpstr>object1_urenjaar1</vt:lpstr>
      <vt:lpstr>objectprijs1_1</vt:lpstr>
      <vt:lpstr>objecturen1_1</vt:lpstr>
      <vt:lpstr>objecturenhf1_1</vt:lpstr>
      <vt:lpstr>prijsdag1</vt:lpstr>
      <vt:lpstr>prijsjaar</vt:lpstr>
      <vt:lpstr>prijsjaar1</vt:lpstr>
      <vt:lpstr>prijsjaarafroep</vt:lpstr>
      <vt:lpstr>prijsjaarafroep1</vt:lpstr>
      <vt:lpstr>prijsjaarglas</vt:lpstr>
      <vt:lpstr>prijsjaarglas1</vt:lpstr>
      <vt:lpstr>prijsjaarnietmeewerkend</vt:lpstr>
      <vt:lpstr>prijsjaartotaal</vt:lpstr>
      <vt:lpstr>prijsjaartotaal1</vt:lpstr>
      <vt:lpstr>prijsjaartotaaloverzicht</vt:lpstr>
      <vt:lpstr>prijsmaandtotaal1</vt:lpstr>
      <vt:lpstr>prodnorm10</vt:lpstr>
      <vt:lpstr>prodnorm11</vt:lpstr>
      <vt:lpstr>prodnorm12</vt:lpstr>
      <vt:lpstr>prodnorm13</vt:lpstr>
      <vt:lpstr>prodnorm14</vt:lpstr>
      <vt:lpstr>prodnorm15</vt:lpstr>
      <vt:lpstr>prodnorm5</vt:lpstr>
      <vt:lpstr>prodnorm6</vt:lpstr>
      <vt:lpstr>prodnorm7</vt:lpstr>
      <vt:lpstr>prodnorm8</vt:lpstr>
      <vt:lpstr>prodnorm9</vt:lpstr>
      <vt:lpstr>taakfreqtabel1</vt:lpstr>
      <vt:lpstr>tabeltype</vt:lpstr>
      <vt:lpstr>tarieftabel1</vt:lpstr>
      <vt:lpstr>tzpjt1</vt:lpstr>
      <vt:lpstr>tzpjt1_1</vt:lpstr>
      <vt:lpstr>tzpmt1</vt:lpstr>
      <vt:lpstr>tzpmt1_1</vt:lpstr>
      <vt:lpstr>tzujt1</vt:lpstr>
      <vt:lpstr>tzujt1_1</vt:lpstr>
      <vt:lpstr>urendag1</vt:lpstr>
      <vt:lpstr>urenjaar</vt:lpstr>
      <vt:lpstr>urenjaar1</vt:lpstr>
      <vt:lpstr>urenjaarnietmeewerkend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uurtarief10</vt:lpstr>
      <vt:lpstr>uurtarief11</vt:lpstr>
      <vt:lpstr>uurtarief12</vt:lpstr>
      <vt:lpstr>uurtarief13</vt:lpstr>
      <vt:lpstr>uurtarief14</vt:lpstr>
      <vt:lpstr>uurtarief15</vt:lpstr>
      <vt:lpstr>uurtarief5</vt:lpstr>
      <vt:lpstr>uurtarief6</vt:lpstr>
      <vt:lpstr>uurtarief7</vt:lpstr>
      <vt:lpstr>uurtarief8</vt:lpstr>
      <vt:lpstr>uurtarief9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2021-07-16T12:53:40Z</dcterms:created>
  <dcterms:modified xsi:type="dcterms:W3CDTF">2021-07-19T14:54:52Z</dcterms:modified>
</cp:coreProperties>
</file>