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0C8CEAD1-25D9-4923-AF32-008893EA7906}" xr6:coauthVersionLast="45" xr6:coauthVersionMax="45" xr10:uidLastSave="{00000000-0000-0000-0000-000000000000}"/>
  <bookViews>
    <workbookView xWindow="4965" yWindow="1410" windowWidth="23040" windowHeight="12195" firstSheet="6" activeTab="11" xr2:uid="{461F2776-1497-42FE-B159-1DD70327431B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0">Categorienormen!$F$9</definedName>
    <definedName name="catdw_1_BZB_1">Categorienormen!$F$12</definedName>
    <definedName name="catdw_1_BZV_40">Categorienormen!$F$13</definedName>
    <definedName name="catdw_1_DHB_1">Categorienormen!$F$16</definedName>
    <definedName name="catdw_1_DHV_40">Categorienormen!$F$18</definedName>
    <definedName name="catdw_1_EZB_1">Categorienormen!$F$28</definedName>
    <definedName name="catdw_1_EZV_40">Categorienormen!$F$29</definedName>
    <definedName name="catdw_1_GHB_1">Categorienormen!$F$20</definedName>
    <definedName name="catdw_1_GHV_40">Categorienormen!$F$24</definedName>
    <definedName name="catdw_1_LHB_1">Categorienormen!$F$7</definedName>
    <definedName name="catdw_1_LHV_40">Categorienormen!$F$10</definedName>
    <definedName name="catdw_1_MHB_1">Categorienormen!$F$8</definedName>
    <definedName name="catdw_1_MHV_40">Categorienormen!$F$11</definedName>
    <definedName name="catdw_1_OHB_1">Categorienormen!$F$21</definedName>
    <definedName name="catdw_1_OHV_12">Categorienormen!$F$25</definedName>
    <definedName name="catdw_1_OZV_12">Categorienormen!$F$30</definedName>
    <definedName name="catdw_1_PHB_1">Categorienormen!$F$22</definedName>
    <definedName name="catdw_1_PHV_40">Categorienormen!$F$26</definedName>
    <definedName name="catdw_1_PUHB_1">Categorienormen!$F$14</definedName>
    <definedName name="catdw_1_PUHV_40">Categorienormen!$F$15</definedName>
    <definedName name="catdw_1_SHB_1">Categorienormen!$F$17</definedName>
    <definedName name="catdw_1_SHV_40">Categorienormen!$F$19</definedName>
    <definedName name="catdw_1_VHB_1">Categorienormen!$F$23</definedName>
    <definedName name="catdw_1_VHV_40">Categorienormen!$F$27</definedName>
    <definedName name="catdw_1_XBB_1">Categorienormen!$F$31</definedName>
    <definedName name="catfd_1_BHB_1">Categorienormen!$C$6</definedName>
    <definedName name="catfd_1_BHV_40">Categorienormen!$C$9</definedName>
    <definedName name="catfd_1_BZB_1">Categorienormen!$C$12</definedName>
    <definedName name="catfd_1_BZV_40">Categorienormen!$C$13</definedName>
    <definedName name="catfd_1_DHB_1">Categorienormen!$C$16</definedName>
    <definedName name="catfd_1_DHV_40">Categorienormen!$C$18</definedName>
    <definedName name="catfd_1_EZB_1">Categorienormen!$C$28</definedName>
    <definedName name="catfd_1_EZV_40">Categorienormen!$C$29</definedName>
    <definedName name="catfd_1_GHB_1">Categorienormen!$C$20</definedName>
    <definedName name="catfd_1_GHV_40">Categorienormen!$C$24</definedName>
    <definedName name="catfd_1_LHB_1">Categorienormen!$C$7</definedName>
    <definedName name="catfd_1_LHV_40">Categorienormen!$C$10</definedName>
    <definedName name="catfd_1_MHB_1">Categorienormen!$C$8</definedName>
    <definedName name="catfd_1_MHV_40">Categorienormen!$C$11</definedName>
    <definedName name="catfd_1_OHB_1">Categorienormen!$C$21</definedName>
    <definedName name="catfd_1_OHV_12">Categorienormen!$C$25</definedName>
    <definedName name="catfd_1_OZV_12">Categorienormen!$C$30</definedName>
    <definedName name="catfd_1_PHB_1">Categorienormen!$C$22</definedName>
    <definedName name="catfd_1_PHV_40">Categorienormen!$C$26</definedName>
    <definedName name="catfd_1_PUHB_1">Categorienormen!$C$14</definedName>
    <definedName name="catfd_1_PUHV_40">Categorienormen!$C$15</definedName>
    <definedName name="catfd_1_SHB_1">Categorienormen!$C$17</definedName>
    <definedName name="catfd_1_SHV_40">Categorienormen!$C$19</definedName>
    <definedName name="catfd_1_VHB_1">Categorienormen!$C$23</definedName>
    <definedName name="catfd_1_VHV_40">Categorienormen!$C$27</definedName>
    <definedName name="catfd_1_XBB_1">Categorienormen!$C$31</definedName>
    <definedName name="catpn_1_BHB_1">Categorienormen!$E$6</definedName>
    <definedName name="catpn_1_BHV_40">Categorienormen!$E$9</definedName>
    <definedName name="catpn_1_BZB_1">Categorienormen!$E$12</definedName>
    <definedName name="catpn_1_BZV_40">Categorienormen!$E$13</definedName>
    <definedName name="catpn_1_DHB_1">Categorienormen!$E$16</definedName>
    <definedName name="catpn_1_DHV_40">Categorienormen!$E$18</definedName>
    <definedName name="catpn_1_EZB_1">Categorienormen!$E$28</definedName>
    <definedName name="catpn_1_EZV_40">Categorienormen!$E$29</definedName>
    <definedName name="catpn_1_GHB_1">Categorienormen!$E$20</definedName>
    <definedName name="catpn_1_GHV_40">Categorienormen!$E$24</definedName>
    <definedName name="catpn_1_LHB_1">Categorienormen!$E$7</definedName>
    <definedName name="catpn_1_LHV_40">Categorienormen!$E$10</definedName>
    <definedName name="catpn_1_MHB_1">Categorienormen!$E$8</definedName>
    <definedName name="catpn_1_MHV_40">Categorienormen!$E$11</definedName>
    <definedName name="catpn_1_OHB_1">Categorienormen!$E$21</definedName>
    <definedName name="catpn_1_OHV_12">Categorienormen!$E$25</definedName>
    <definedName name="catpn_1_OZV_12">Categorienormen!$E$30</definedName>
    <definedName name="catpn_1_PHB_1">Categorienormen!$E$22</definedName>
    <definedName name="catpn_1_PHV_40">Categorienormen!$E$26</definedName>
    <definedName name="catpn_1_PUHB_1">Categorienormen!$E$14</definedName>
    <definedName name="catpn_1_PUHV_40">Categorienormen!$E$15</definedName>
    <definedName name="catpn_1_SHB_1">Categorienormen!$E$17</definedName>
    <definedName name="catpn_1_SHV_40">Categorienormen!$E$19</definedName>
    <definedName name="catpn_1_VHB_1">Categorienormen!$E$23</definedName>
    <definedName name="catpn_1_VHV_40">Categorienormen!$E$27</definedName>
    <definedName name="catpn_1_XBB_1">Categorienormen!$E$31</definedName>
    <definedName name="cattf_1_BHB_1">Categorienormen!$H$6</definedName>
    <definedName name="cattf_1_BHV_40">Categorienormen!$H$9</definedName>
    <definedName name="cattf_1_BZB_1">Categorienormen!$H$12</definedName>
    <definedName name="cattf_1_BZV_40">Categorienormen!$H$13</definedName>
    <definedName name="cattf_1_DHB_1">Categorienormen!$H$16</definedName>
    <definedName name="cattf_1_DHV_40">Categorienormen!$H$18</definedName>
    <definedName name="cattf_1_EZB_1">Categorienormen!$H$28</definedName>
    <definedName name="cattf_1_EZV_40">Categorienormen!$H$29</definedName>
    <definedName name="cattf_1_GHB_1">Categorienormen!$H$20</definedName>
    <definedName name="cattf_1_GHV_40">Categorienormen!$H$24</definedName>
    <definedName name="cattf_1_LHB_1">Categorienormen!$H$7</definedName>
    <definedName name="cattf_1_LHV_40">Categorienormen!$H$10</definedName>
    <definedName name="cattf_1_MHB_1">Categorienormen!$H$8</definedName>
    <definedName name="cattf_1_MHV_40">Categorienormen!$H$11</definedName>
    <definedName name="cattf_1_OHB_1">Categorienormen!$H$21</definedName>
    <definedName name="cattf_1_OHV_12">Categorienormen!$H$25</definedName>
    <definedName name="cattf_1_OZV_12">Categorienormen!$H$30</definedName>
    <definedName name="cattf_1_PHB_1">Categorienormen!$H$22</definedName>
    <definedName name="cattf_1_PHV_40">Categorienormen!$H$26</definedName>
    <definedName name="cattf_1_PUHB_1">Categorienormen!$H$14</definedName>
    <definedName name="cattf_1_PUHV_40">Categorienormen!$H$15</definedName>
    <definedName name="cattf_1_SHB_1">Categorienormen!$H$17</definedName>
    <definedName name="cattf_1_SHV_40">Categorienormen!$H$19</definedName>
    <definedName name="cattf_1_VHB_1">Categorienormen!$H$23</definedName>
    <definedName name="cattf_1_VHV_40">Categorienormen!$H$27</definedName>
    <definedName name="cattf_1_XBB_1">Categorienormen!$H$31</definedName>
    <definedName name="dagenperjaar1">Omreken!$B$9</definedName>
    <definedName name="dagenperweek1">Omreken!$B$10</definedName>
    <definedName name="dagsoorttabel1">Omreken!$A$13:$B$27</definedName>
    <definedName name="dagwerk11">'Regulier werk'!$H$6</definedName>
    <definedName name="dagwerk12">'Regulier werk'!$H$7</definedName>
    <definedName name="dagwerk13">'Regulier werk'!$H$8</definedName>
    <definedName name="dagwerk14">'Regulier werk'!$H$9</definedName>
    <definedName name="dagwerk15">'Regulier werk'!$H$10</definedName>
    <definedName name="dagwerk16">'Regulier werk'!$H$11</definedName>
    <definedName name="dagwerk17">'Regulier werk'!$H$12</definedName>
    <definedName name="dagwerk18">'Regulier werk'!$H$13</definedName>
    <definedName name="dagwerk19">'Regulier werk'!$H$14</definedName>
    <definedName name="dagwerk20">'Regulier werk'!$H$15</definedName>
    <definedName name="dagwerk21">'Regulier werk'!$H$16</definedName>
    <definedName name="dagwerk22">'Regulier werk'!$H$17</definedName>
    <definedName name="dagwerk23">'Regulier werk'!$H$18</definedName>
    <definedName name="dagwerk24">'Regulier werk'!$H$19</definedName>
    <definedName name="dagwerk25">'Regulier werk'!$H$20</definedName>
    <definedName name="dagwerk26">'Regulier werk'!$H$21</definedName>
    <definedName name="dagwerktabel1">Objectinformatie!$H$5:$H$20</definedName>
    <definedName name="gemuurtarief1">'Regulier werk'!$J$24</definedName>
    <definedName name="kengetaltabel1">Objectinformatie!$G$5:$G$20</definedName>
    <definedName name="object1_opptabel1">Objectinformatie!$J$5:$J$20</definedName>
    <definedName name="objectprijs1_1">Objecten!$R$6</definedName>
    <definedName name="objecturen1_1">Objecten!$Q$6</definedName>
    <definedName name="objecturenhf1_1">Objecten!$P$6</definedName>
    <definedName name="prijsdag1">'Regulier werk'!$L$22</definedName>
    <definedName name="prijsjaar">'Regulier werk'!$N$27</definedName>
    <definedName name="prijsjaar1">'Regulier werk'!$N$22</definedName>
    <definedName name="prijsjaarafroep">Afroep!$K$13</definedName>
    <definedName name="prijsjaarafroep1">Afroep!$K$11</definedName>
    <definedName name="prijsjaarglas">Glas!$K$11</definedName>
    <definedName name="prijsjaarglas1">Glas!$K$9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1">'Regulier werk'!$G$6</definedName>
    <definedName name="prodnorm12">'Regulier werk'!$G$7</definedName>
    <definedName name="prodnorm13">'Regulier werk'!$G$8</definedName>
    <definedName name="prodnorm14">'Regulier werk'!$G$9</definedName>
    <definedName name="prodnorm15">'Regulier werk'!$G$10</definedName>
    <definedName name="prodnorm16">'Regulier werk'!$G$11</definedName>
    <definedName name="prodnorm17">'Regulier werk'!$G$12</definedName>
    <definedName name="prodnorm18">'Regulier werk'!$G$13</definedName>
    <definedName name="prodnorm19">'Regulier werk'!$G$14</definedName>
    <definedName name="prodnorm20">'Regulier werk'!$G$15</definedName>
    <definedName name="prodnorm21">'Regulier werk'!$G$16</definedName>
    <definedName name="prodnorm22">'Regulier werk'!$G$17</definedName>
    <definedName name="prodnorm23">'Regulier werk'!$G$18</definedName>
    <definedName name="prodnorm24">'Regulier werk'!$G$19</definedName>
    <definedName name="prodnorm25">'Regulier werk'!$G$20</definedName>
    <definedName name="prodnorm26">'Regulier werk'!$G$21</definedName>
    <definedName name="taakfreqtabel1">Objectinformatie!$E$5:$E$20</definedName>
    <definedName name="tabeltype">Omreken!$B$5:$B$5</definedName>
    <definedName name="tarieftabel1">Objectinformatie!$I$5:$I$20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werk'!$K$22</definedName>
    <definedName name="urenjaar">'Regulier werk'!$M$27</definedName>
    <definedName name="urenjaar1">'Regulier werk'!$M$22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Objectinformatie!$F$5:$F$20</definedName>
    <definedName name="uurtarief11">'Regulier werk'!$J$6</definedName>
    <definedName name="uurtarief12">'Regulier werk'!$J$7</definedName>
    <definedName name="uurtarief13">'Regulier werk'!$J$8</definedName>
    <definedName name="uurtarief14">'Regulier werk'!$J$9</definedName>
    <definedName name="uurtarief15">'Regulier werk'!$J$10</definedName>
    <definedName name="uurtarief16">'Regulier werk'!$J$11</definedName>
    <definedName name="uurtarief17">'Regulier werk'!$J$12</definedName>
    <definedName name="uurtarief18">'Regulier werk'!$J$13</definedName>
    <definedName name="uurtarief19">'Regulier werk'!$J$14</definedName>
    <definedName name="uurtarief20">'Regulier werk'!$J$15</definedName>
    <definedName name="uurtarief21">'Regulier werk'!$J$16</definedName>
    <definedName name="uurtarief22">'Regulier werk'!$J$17</definedName>
    <definedName name="uurtarief23">'Regulier werk'!$J$18</definedName>
    <definedName name="uurtarief24">'Regulier werk'!$J$19</definedName>
    <definedName name="uurtarief25">'Regulier werk'!$J$20</definedName>
    <definedName name="uurtarief26">'Regulier werk'!$J$21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A1" i="12" l="1"/>
  <c r="H10" i="11"/>
  <c r="H9" i="11"/>
  <c r="C9" i="11"/>
  <c r="I9" i="11" s="1"/>
  <c r="H8" i="11"/>
  <c r="C8" i="11"/>
  <c r="I8" i="11" s="1"/>
  <c r="H7" i="11"/>
  <c r="C7" i="11"/>
  <c r="I7" i="11" s="1"/>
  <c r="H6" i="11"/>
  <c r="J8" i="10"/>
  <c r="C8" i="10"/>
  <c r="K8" i="10" s="1"/>
  <c r="L8" i="10" s="1"/>
  <c r="J7" i="10"/>
  <c r="C7" i="10"/>
  <c r="K7" i="10" s="1"/>
  <c r="L7" i="10" s="1"/>
  <c r="J6" i="10"/>
  <c r="C6" i="10"/>
  <c r="K6" i="10" s="1"/>
  <c r="A1" i="10"/>
  <c r="A1" i="9"/>
  <c r="J10" i="8"/>
  <c r="J9" i="8"/>
  <c r="J8" i="8"/>
  <c r="J7" i="8"/>
  <c r="J6" i="8"/>
  <c r="C6" i="8"/>
  <c r="K6" i="8" s="1"/>
  <c r="A1" i="8"/>
  <c r="A1" i="7"/>
  <c r="J12" i="6"/>
  <c r="K12" i="6" s="1"/>
  <c r="I12" i="6"/>
  <c r="H12" i="6"/>
  <c r="C12" i="6"/>
  <c r="J11" i="6"/>
  <c r="K11" i="6" s="1"/>
  <c r="H11" i="6"/>
  <c r="C11" i="6"/>
  <c r="I11" i="6" s="1"/>
  <c r="J10" i="6"/>
  <c r="J13" i="6" s="1"/>
  <c r="H10" i="6"/>
  <c r="H13" i="6" s="1"/>
  <c r="C10" i="6"/>
  <c r="I10" i="6" s="1"/>
  <c r="J9" i="6"/>
  <c r="K9" i="6" s="1"/>
  <c r="H9" i="6"/>
  <c r="C9" i="6"/>
  <c r="I9" i="6" s="1"/>
  <c r="K8" i="6"/>
  <c r="J8" i="6"/>
  <c r="H8" i="6"/>
  <c r="C8" i="6"/>
  <c r="I8" i="6" s="1"/>
  <c r="A1" i="6"/>
  <c r="A1" i="5"/>
  <c r="I20" i="4"/>
  <c r="H20" i="4"/>
  <c r="G20" i="4"/>
  <c r="E18" i="4"/>
  <c r="I17" i="4"/>
  <c r="H17" i="4"/>
  <c r="I16" i="4"/>
  <c r="H16" i="4"/>
  <c r="G16" i="4"/>
  <c r="E16" i="4"/>
  <c r="G15" i="4"/>
  <c r="E15" i="4"/>
  <c r="E14" i="4"/>
  <c r="I13" i="4"/>
  <c r="H13" i="4"/>
  <c r="G12" i="4"/>
  <c r="E11" i="4"/>
  <c r="E10" i="4"/>
  <c r="I9" i="4"/>
  <c r="H9" i="4"/>
  <c r="E9" i="4"/>
  <c r="I8" i="4"/>
  <c r="H8" i="4"/>
  <c r="G8" i="4"/>
  <c r="E8" i="4"/>
  <c r="G7" i="4"/>
  <c r="E7" i="4"/>
  <c r="E6" i="4"/>
  <c r="I5" i="4"/>
  <c r="H5" i="4"/>
  <c r="E5" i="4"/>
  <c r="N21" i="3"/>
  <c r="M21" i="3"/>
  <c r="L21" i="3"/>
  <c r="K21" i="3"/>
  <c r="K20" i="3"/>
  <c r="M20" i="3" s="1"/>
  <c r="N20" i="3" s="1"/>
  <c r="J20" i="3"/>
  <c r="I19" i="4" s="1"/>
  <c r="H20" i="3"/>
  <c r="H19" i="4" s="1"/>
  <c r="G20" i="3"/>
  <c r="G19" i="4" s="1"/>
  <c r="J19" i="3"/>
  <c r="I18" i="4" s="1"/>
  <c r="H19" i="3"/>
  <c r="H18" i="4" s="1"/>
  <c r="G19" i="3"/>
  <c r="G18" i="4" s="1"/>
  <c r="F19" i="3"/>
  <c r="M18" i="3"/>
  <c r="N18" i="3" s="1"/>
  <c r="K18" i="3"/>
  <c r="J18" i="3"/>
  <c r="L18" i="3" s="1"/>
  <c r="H18" i="3"/>
  <c r="G18" i="3"/>
  <c r="G17" i="4" s="1"/>
  <c r="K17" i="3"/>
  <c r="M17" i="3" s="1"/>
  <c r="N17" i="3" s="1"/>
  <c r="J17" i="3"/>
  <c r="L17" i="3" s="1"/>
  <c r="H17" i="3"/>
  <c r="G17" i="3"/>
  <c r="F17" i="3"/>
  <c r="K16" i="3"/>
  <c r="M16" i="3" s="1"/>
  <c r="N16" i="3" s="1"/>
  <c r="J16" i="3"/>
  <c r="L16" i="3" s="1"/>
  <c r="H16" i="3"/>
  <c r="H15" i="4" s="1"/>
  <c r="G16" i="3"/>
  <c r="F16" i="3"/>
  <c r="J15" i="3"/>
  <c r="H15" i="3"/>
  <c r="H14" i="4" s="1"/>
  <c r="G15" i="3"/>
  <c r="K15" i="3" s="1"/>
  <c r="M15" i="3" s="1"/>
  <c r="N15" i="3" s="1"/>
  <c r="F15" i="3"/>
  <c r="M14" i="3"/>
  <c r="N14" i="3" s="1"/>
  <c r="K14" i="3"/>
  <c r="J14" i="3"/>
  <c r="L14" i="3" s="1"/>
  <c r="H14" i="3"/>
  <c r="G14" i="3"/>
  <c r="G13" i="4" s="1"/>
  <c r="K13" i="3"/>
  <c r="M13" i="3" s="1"/>
  <c r="N13" i="3" s="1"/>
  <c r="J13" i="3"/>
  <c r="I12" i="4" s="1"/>
  <c r="H13" i="3"/>
  <c r="H12" i="4" s="1"/>
  <c r="G13" i="3"/>
  <c r="K12" i="3"/>
  <c r="M12" i="3" s="1"/>
  <c r="N12" i="3" s="1"/>
  <c r="J12" i="3"/>
  <c r="I11" i="4" s="1"/>
  <c r="H12" i="3"/>
  <c r="H11" i="4" s="1"/>
  <c r="G12" i="3"/>
  <c r="G11" i="4" s="1"/>
  <c r="F12" i="3"/>
  <c r="J11" i="3"/>
  <c r="I10" i="4" s="1"/>
  <c r="H11" i="3"/>
  <c r="H10" i="4" s="1"/>
  <c r="G11" i="3"/>
  <c r="G10" i="4" s="1"/>
  <c r="F11" i="3"/>
  <c r="M10" i="3"/>
  <c r="N10" i="3" s="1"/>
  <c r="K10" i="3"/>
  <c r="J10" i="3"/>
  <c r="L10" i="3" s="1"/>
  <c r="H10" i="3"/>
  <c r="G10" i="3"/>
  <c r="G9" i="4" s="1"/>
  <c r="F10" i="3"/>
  <c r="K9" i="3"/>
  <c r="M9" i="3" s="1"/>
  <c r="N9" i="3" s="1"/>
  <c r="J9" i="3"/>
  <c r="L9" i="3" s="1"/>
  <c r="H9" i="3"/>
  <c r="G9" i="3"/>
  <c r="F9" i="3"/>
  <c r="K8" i="3"/>
  <c r="M8" i="3" s="1"/>
  <c r="N8" i="3" s="1"/>
  <c r="J8" i="3"/>
  <c r="L8" i="3" s="1"/>
  <c r="H8" i="3"/>
  <c r="H7" i="4" s="1"/>
  <c r="G8" i="3"/>
  <c r="F8" i="3"/>
  <c r="J7" i="3"/>
  <c r="I6" i="4" s="1"/>
  <c r="H7" i="3"/>
  <c r="H6" i="4" s="1"/>
  <c r="G7" i="3"/>
  <c r="K7" i="3" s="1"/>
  <c r="M7" i="3" s="1"/>
  <c r="N7" i="3" s="1"/>
  <c r="F7" i="3"/>
  <c r="M6" i="3"/>
  <c r="K6" i="3"/>
  <c r="J6" i="3"/>
  <c r="L6" i="3" s="1"/>
  <c r="H6" i="3"/>
  <c r="G6" i="3"/>
  <c r="G5" i="4" s="1"/>
  <c r="F6" i="3"/>
  <c r="A1" i="3"/>
  <c r="A1" i="2"/>
  <c r="B27" i="1"/>
  <c r="E20" i="4" s="1"/>
  <c r="B26" i="1"/>
  <c r="B25" i="1"/>
  <c r="B24" i="1"/>
  <c r="B23" i="1"/>
  <c r="B22" i="1"/>
  <c r="C10" i="8" s="1"/>
  <c r="K10" i="8" s="1"/>
  <c r="L10" i="8" s="1"/>
  <c r="B21" i="1"/>
  <c r="E13" i="4" s="1"/>
  <c r="B20" i="1"/>
  <c r="B19" i="1"/>
  <c r="B18" i="1"/>
  <c r="F18" i="3" s="1"/>
  <c r="B17" i="1"/>
  <c r="B16" i="1"/>
  <c r="B15" i="1"/>
  <c r="B14" i="1"/>
  <c r="B13" i="1"/>
  <c r="L6" i="10" l="1"/>
  <c r="L15" i="3"/>
  <c r="L6" i="8"/>
  <c r="I4" i="7"/>
  <c r="I6" i="7" s="1"/>
  <c r="J15" i="6"/>
  <c r="J18" i="6" s="1"/>
  <c r="H4" i="7"/>
  <c r="H6" i="7" s="1"/>
  <c r="H15" i="6"/>
  <c r="H18" i="6" s="1"/>
  <c r="D5" i="12" s="1"/>
  <c r="D10" i="12" s="1"/>
  <c r="G6" i="4"/>
  <c r="C10" i="11"/>
  <c r="I10" i="11" s="1"/>
  <c r="G14" i="4"/>
  <c r="I14" i="4"/>
  <c r="K11" i="3"/>
  <c r="M11" i="3" s="1"/>
  <c r="N11" i="3" s="1"/>
  <c r="K19" i="3"/>
  <c r="M19" i="3" s="1"/>
  <c r="N19" i="3" s="1"/>
  <c r="L7" i="3"/>
  <c r="L11" i="3"/>
  <c r="K10" i="6"/>
  <c r="K13" i="6" s="1"/>
  <c r="K15" i="6" s="1"/>
  <c r="K18" i="6" s="1"/>
  <c r="K20" i="6" s="1"/>
  <c r="I7" i="4"/>
  <c r="I15" i="4"/>
  <c r="F20" i="3"/>
  <c r="E17" i="4"/>
  <c r="L12" i="3"/>
  <c r="L20" i="3"/>
  <c r="C7" i="8"/>
  <c r="K7" i="8" s="1"/>
  <c r="L7" i="8" s="1"/>
  <c r="F13" i="3"/>
  <c r="N6" i="3"/>
  <c r="F21" i="3"/>
  <c r="C8" i="8"/>
  <c r="K8" i="8" s="1"/>
  <c r="L8" i="8" s="1"/>
  <c r="L13" i="3"/>
  <c r="C9" i="8"/>
  <c r="K9" i="8" s="1"/>
  <c r="L9" i="8" s="1"/>
  <c r="C6" i="11"/>
  <c r="I6" i="11" s="1"/>
  <c r="E19" i="4"/>
  <c r="E12" i="4"/>
  <c r="M6" i="5" s="1"/>
  <c r="F14" i="3"/>
  <c r="K22" i="3" l="1"/>
  <c r="L19" i="3"/>
  <c r="L22" i="3" s="1"/>
  <c r="J20" i="6"/>
  <c r="E5" i="12"/>
  <c r="F5" i="12" s="1"/>
  <c r="H6" i="5"/>
  <c r="L6" i="5" s="1"/>
  <c r="Q6" i="5" s="1"/>
  <c r="K11" i="8"/>
  <c r="I11" i="11"/>
  <c r="I13" i="11" s="1"/>
  <c r="E8" i="12" s="1"/>
  <c r="F8" i="12" s="1"/>
  <c r="I6" i="5"/>
  <c r="K6" i="5" s="1"/>
  <c r="P6" i="5" s="1"/>
  <c r="M22" i="3"/>
  <c r="N22" i="3"/>
  <c r="N27" i="3" s="1"/>
  <c r="K9" i="10"/>
  <c r="M27" i="3" l="1"/>
  <c r="J24" i="3"/>
  <c r="F6" i="5" s="1"/>
  <c r="N6" i="5" s="1"/>
  <c r="O6" i="5" s="1"/>
  <c r="R6" i="5" s="1"/>
  <c r="F4" i="7"/>
  <c r="F6" i="7" s="1"/>
  <c r="B4" i="12" s="1"/>
  <c r="B10" i="12" s="1"/>
  <c r="B12" i="12" s="1"/>
  <c r="Q7" i="5"/>
  <c r="Q10" i="5" s="1"/>
  <c r="E4" i="7"/>
  <c r="E6" i="7" s="1"/>
  <c r="C4" i="12" s="1"/>
  <c r="C10" i="12" s="1"/>
  <c r="P7" i="5"/>
  <c r="P10" i="5" s="1"/>
  <c r="K13" i="8"/>
  <c r="L11" i="8"/>
  <c r="K11" i="10"/>
  <c r="L9" i="10"/>
  <c r="E6" i="12" l="1"/>
  <c r="L13" i="8"/>
  <c r="G4" i="7"/>
  <c r="R7" i="5"/>
  <c r="R10" i="5" s="1"/>
  <c r="R12" i="5" s="1"/>
  <c r="S6" i="5"/>
  <c r="S7" i="5" s="1"/>
  <c r="S10" i="5" s="1"/>
  <c r="S12" i="5" s="1"/>
  <c r="L11" i="10"/>
  <c r="E7" i="12"/>
  <c r="F6" i="12" l="1"/>
  <c r="E19" i="12"/>
  <c r="F7" i="12"/>
  <c r="E17" i="12"/>
  <c r="J4" i="7"/>
  <c r="G6" i="7"/>
  <c r="E4" i="12" s="1"/>
  <c r="E10" i="12" l="1"/>
  <c r="F10" i="12" s="1"/>
  <c r="F4" i="12"/>
  <c r="J6" i="7"/>
  <c r="K4" i="7"/>
  <c r="L4" i="7" l="1"/>
  <c r="L6" i="7" s="1"/>
  <c r="K6" i="7"/>
</calcChain>
</file>

<file path=xl/sharedStrings.xml><?xml version="1.0" encoding="utf-8"?>
<sst xmlns="http://schemas.openxmlformats.org/spreadsheetml/2006/main" count="826" uniqueCount="364">
  <si>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</si>
  <si>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</si>
  <si>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</si>
  <si>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</si>
  <si>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</si>
  <si>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</si>
  <si>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</si>
  <si>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</si>
  <si>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</si>
  <si>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</si>
  <si>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</si>
  <si>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</si>
  <si>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</si>
  <si>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</si>
  <si>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80J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</si>
  <si>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</si>
  <si>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</si>
  <si>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</si>
  <si>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</si>
  <si>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</si>
  <si>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</si>
  <si>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</si>
  <si>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</si>
  <si>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</si>
  <si>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</si>
  <si>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</si>
  <si>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</si>
  <si>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</si>
  <si>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</si>
  <si>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</si>
  <si>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</si>
  <si>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</si>
  <si>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</si>
  <si>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</si>
  <si>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</si>
  <si>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</si>
  <si>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</si>
  <si>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</si>
  <si>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</si>
  <si>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MHB</t>
  </si>
  <si>
    <t>Mediatheek/bibliotheek - harde vloeren (basis)</t>
  </si>
  <si>
    <t>BHV</t>
  </si>
  <si>
    <t>Kantoor-/personeels-/vergaderruimte - harde vloeren (volledig)</t>
  </si>
  <si>
    <t>LHV</t>
  </si>
  <si>
    <t>Leslokalen/studieruimte - harde vloeren (volledig)</t>
  </si>
  <si>
    <t>MHV</t>
  </si>
  <si>
    <t>Mediatheek/bibliotheek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</si>
  <si>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</si>
  <si>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</si>
  <si>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</si>
  <si>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</si>
  <si>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</si>
  <si>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</si>
  <si>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</si>
  <si>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</si>
  <si>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</si>
  <si>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</si>
  <si>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</si>
  <si>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</si>
  <si>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SHB</t>
  </si>
  <si>
    <t>Sanitaire ruimte/toiletgroep - harde vloeren (basis)</t>
  </si>
  <si>
    <t>DHV</t>
  </si>
  <si>
    <t>Douche/wasruimte - harde vloeren (volledig)</t>
  </si>
  <si>
    <t>SHV</t>
  </si>
  <si>
    <t>Sanitaire ruimte/toiletgroep - harde vloeren (volledig)</t>
  </si>
  <si>
    <t>GHB</t>
  </si>
  <si>
    <t xml:space="preserve">V    </t>
  </si>
  <si>
    <t>Gym-/speelzaal/multifunc ruimte - harde vloeren (basis)</t>
  </si>
  <si>
    <t>OHB</t>
  </si>
  <si>
    <t>Archief/bergruimte/magazijn - harde vloeren (basis)</t>
  </si>
  <si>
    <t>PHB</t>
  </si>
  <si>
    <t>Pantry/keuken - harde vloeren (basis)</t>
  </si>
  <si>
    <t>VHB</t>
  </si>
  <si>
    <t>Verkeersruimte/garderobe/reprografie - harde vloeren (basis)</t>
  </si>
  <si>
    <t>GHV</t>
  </si>
  <si>
    <t>Gym-l/speelzaal/multifunc ruimte - harde vloeren (volledig)</t>
  </si>
  <si>
    <t>OHV</t>
  </si>
  <si>
    <t>Archief/bergruimte/magazijn - harde vloeren (volledig)</t>
  </si>
  <si>
    <t>PHV</t>
  </si>
  <si>
    <t>Pantry/keuken - harde vloeren (volledig)</t>
  </si>
  <si>
    <t>VHV</t>
  </si>
  <si>
    <t>Verkeersruimte/garderobe/reprografie - harde vloeren (volledig)</t>
  </si>
  <si>
    <t>EZB</t>
  </si>
  <si>
    <t>Entree - zachte vloeren (basis)</t>
  </si>
  <si>
    <t>EZV</t>
  </si>
  <si>
    <t>Entree - zachte vloeren (volledig)</t>
  </si>
  <si>
    <t>OZV</t>
  </si>
  <si>
    <t>Archief/bergruimte/magazijn -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</si>
  <si>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</si>
  <si>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</si>
  <si>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</si>
  <si>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</si>
  <si>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</si>
  <si>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</si>
  <si>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</si>
  <si>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</si>
  <si>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</si>
  <si>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</si>
  <si>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</si>
  <si>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</si>
  <si>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</si>
  <si>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Kantoor/personeels-/vergaderrruimte - harde vloeren</t>
  </si>
  <si>
    <t>BZ</t>
  </si>
  <si>
    <t>Kantoor/personeels-/vergaderrruimte - zachte vloeren</t>
  </si>
  <si>
    <t>DH</t>
  </si>
  <si>
    <t>Douche/wasruimte - harde vloeren</t>
  </si>
  <si>
    <t>EZ</t>
  </si>
  <si>
    <t>Entree - zachte vloeren</t>
  </si>
  <si>
    <t>GH</t>
  </si>
  <si>
    <t>Gymzaal/sportruimte/toestelberging - harde vloeren</t>
  </si>
  <si>
    <t>LH</t>
  </si>
  <si>
    <t>Leslokaal/studieruimte - harde vloeren</t>
  </si>
  <si>
    <t>MH</t>
  </si>
  <si>
    <t>Media-/bibliotheek - harde vloeren</t>
  </si>
  <si>
    <t>OH</t>
  </si>
  <si>
    <t>Archief/magazijn/opslag harde vloeren</t>
  </si>
  <si>
    <t>OZ</t>
  </si>
  <si>
    <t>Archief/magazijn/opslag zachte vloeren</t>
  </si>
  <si>
    <t>PH</t>
  </si>
  <si>
    <t>Pantry/keuken - harde vloeren</t>
  </si>
  <si>
    <t>PUH</t>
  </si>
  <si>
    <t>Praktijklokaal uitgebreid - harde vloeren</t>
  </si>
  <si>
    <t>SH</t>
  </si>
  <si>
    <t>Sanitaire ruimte/toiletten - harde vloeren</t>
  </si>
  <si>
    <t>SHN</t>
  </si>
  <si>
    <t>VH</t>
  </si>
  <si>
    <t>Verkeersruimte/garderobe/reprografie - harde vloeren</t>
  </si>
  <si>
    <t>XB</t>
  </si>
  <si>
    <t>Periodiek vloeren beschermd</t>
  </si>
  <si>
    <t>Z001</t>
  </si>
  <si>
    <t>Schrobben/waterzuigen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</si>
  <si>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</si>
  <si>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</si>
  <si>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</si>
  <si>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</si>
  <si>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</si>
  <si>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</si>
  <si>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</si>
  <si>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</si>
  <si>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</si>
  <si>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</si>
  <si>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012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</si>
  <si>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</si>
  <si>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</si>
  <si>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</si>
  <si>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</si>
  <si>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</si>
  <si>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</si>
  <si>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</si>
  <si>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</si>
  <si>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</si>
  <si>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</si>
  <si>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</si>
  <si>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</si>
  <si>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</si>
  <si>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</si>
  <si>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</si>
  <si>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</si>
  <si>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</si>
  <si>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</si>
  <si>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012</t>
  </si>
  <si>
    <t>SBO De Stuifheuvel</t>
  </si>
  <si>
    <t>Graaf Lodewijklaan 2</t>
  </si>
  <si>
    <t>Zeist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</si>
  <si>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</si>
  <si>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</si>
  <si>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</si>
  <si>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</si>
  <si>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</si>
  <si>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</si>
  <si>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</si>
  <si>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</si>
  <si>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</si>
  <si>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</si>
  <si>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</si>
  <si>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012 - SBO De Stuifheuvel, Graaf Lodewijklaan 2, Zeist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</si>
  <si>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</si>
  <si>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</si>
  <si>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</si>
  <si>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</si>
  <si>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012 - SBO De Stuifheuvel, Graaf Lodewijklaan 2, Zeist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</si>
  <si>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</si>
  <si>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</si>
  <si>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</si>
  <si>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</si>
  <si>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</si>
  <si>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</si>
  <si>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</si>
  <si>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</si>
  <si>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</si>
  <si>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</si>
  <si>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</si>
  <si>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</si>
  <si>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</si>
  <si>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</si>
  <si>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</si>
  <si>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</si>
  <si>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</si>
  <si>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</si>
  <si>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</si>
  <si>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</si>
  <si>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</si>
  <si>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</si>
  <si>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</si>
  <si>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</si>
  <si>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</si>
  <si>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</si>
  <si>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</si>
  <si>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totaalprijs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</si>
  <si>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</si>
  <si>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</si>
  <si>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</si>
  <si>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</si>
  <si>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</si>
  <si>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</si>
  <si>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</si>
  <si>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</si>
  <si>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</si>
  <si>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</si>
  <si>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</si>
  <si>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</si>
  <si>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</si>
  <si>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</si>
  <si>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</si>
  <si>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</si>
  <si>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</si>
  <si>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</si>
  <si>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</si>
  <si>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</si>
  <si>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</si>
  <si>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</si>
  <si>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</si>
  <si>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</si>
  <si>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</si>
  <si>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</si>
  <si>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</si>
  <si>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</si>
  <si>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</si>
  <si>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</si>
  <si>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</si>
  <si>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</si>
  <si>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</si>
  <si>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</si>
  <si>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</si>
  <si>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</si>
  <si>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</si>
  <si>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</si>
  <si>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</si>
  <si>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</si>
  <si>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</si>
  <si>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</si>
  <si>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</si>
  <si>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</si>
  <si>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</si>
  <si>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</si>
  <si>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</si>
  <si>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</si>
  <si>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</si>
  <si>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</si>
  <si>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</si>
  <si>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</si>
  <si>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</si>
  <si>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</si>
  <si>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</si>
  <si>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</si>
  <si>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</si>
  <si>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</si>
  <si>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</si>
  <si>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</si>
  <si>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</si>
  <si>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</si>
  <si>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</si>
  <si>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</si>
  <si>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</si>
  <si>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</si>
  <si>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</si>
  <si>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</si>
  <si>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</si>
  <si>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</si>
  <si>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</si>
  <si>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</si>
  <si>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</si>
  <si>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</si>
  <si>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</si>
  <si>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</si>
  <si>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</si>
  <si>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</si>
  <si>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</si>
  <si>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</si>
  <si>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</si>
  <si>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</si>
  <si>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</si>
  <si>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</si>
  <si>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</si>
  <si>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</si>
  <si>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</si>
  <si>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</si>
  <si>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</si>
  <si>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</si>
  <si>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</si>
  <si>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</si>
  <si>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</si>
  <si>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</si>
  <si>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</si>
  <si>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</si>
  <si>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</si>
  <si>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</si>
  <si>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</si>
  <si>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</si>
  <si>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</si>
  <si>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</si>
  <si>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</si>
  <si>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</si>
  <si>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</si>
  <si>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</si>
  <si>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</si>
  <si>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</si>
  <si>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</si>
  <si>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</si>
  <si>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</si>
  <si>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</si>
  <si>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</si>
  <si>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</si>
  <si>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</si>
  <si>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</si>
  <si>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</si>
  <si>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</si>
  <si>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</si>
  <si>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</si>
  <si>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</si>
  <si>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</si>
  <si>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</si>
  <si>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</si>
  <si>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</si>
  <si>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</si>
  <si>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</si>
  <si>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</si>
  <si>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</si>
  <si>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</si>
  <si>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</si>
  <si>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</si>
  <si>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</si>
  <si>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</si>
  <si>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</si>
  <si>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</si>
  <si>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</si>
  <si>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</si>
  <si>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</si>
  <si>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</si>
  <si>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</si>
  <si>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</si>
  <si>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</si>
  <si>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</si>
  <si>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</si>
  <si>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</si>
  <si>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</si>
  <si>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</si>
  <si>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</si>
  <si>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</si>
  <si>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</si>
  <si>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</si>
  <si>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</si>
  <si>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NULBEURT/AFROEP/REGIE WERK (GESCHAT) VOOR PRIJSCRITERIUM</t>
  </si>
  <si>
    <t>Nulbeurt (geschat)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</si>
</sst>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6C2C-498A-45FD-AD61-04AB87584851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0.31372549019607843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DF65-B384-47BD-8C68-63DF06A0A02F}">
  <dimension ref="A1:L11"/>
  <sheetViews>
    <sheetView workbookViewId="0">
      <selection activeCell="A9" sqref="A9:XFD15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H5.8: ",tabeltype," glas")</f>
        <v>Bijlage H5.8: Invultabel glas</v>
      </c>
    </row>
    <row r="3" spans="1:12" ht="38.25" x14ac:dyDescent="0.2">
      <c r="A3" s="8" t="s">
        <v>190</v>
      </c>
      <c r="B3" s="8" t="s">
        <v>7</v>
      </c>
      <c r="C3" s="8" t="s">
        <v>191</v>
      </c>
      <c r="D3" s="8" t="s">
        <v>27</v>
      </c>
      <c r="E3" s="8" t="s">
        <v>30</v>
      </c>
      <c r="F3" s="8" t="s">
        <v>192</v>
      </c>
      <c r="G3" s="8" t="s">
        <v>193</v>
      </c>
      <c r="H3" s="8" t="s">
        <v>194</v>
      </c>
      <c r="I3" s="8" t="s">
        <v>195</v>
      </c>
      <c r="J3" s="8" t="s">
        <v>196</v>
      </c>
      <c r="K3" s="8" t="s">
        <v>98</v>
      </c>
      <c r="L3" s="8" t="s">
        <v>159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331</v>
      </c>
      <c r="B6" s="15" t="s">
        <v>22</v>
      </c>
      <c r="C6" s="16">
        <f t="shared" ref="C6:C8" si="0">IF(ISBLANK(B6),0,IF(ISERROR(VALUE(B6)),VLOOKUP(B6,dagsoorttabel1,2,FALSE)*dagenperjaar1,VALUE(B6)))</f>
        <v>2</v>
      </c>
      <c r="D6" s="15" t="s">
        <v>332</v>
      </c>
      <c r="E6" s="15" t="s">
        <v>238</v>
      </c>
      <c r="F6" s="73">
        <v>453.4</v>
      </c>
      <c r="G6" s="19"/>
      <c r="H6" s="74"/>
      <c r="I6" s="19"/>
      <c r="J6" s="33">
        <f t="shared" ref="J6:J8" si="1">IF(ISBLANK(F6),0,F6)*I6</f>
        <v>0</v>
      </c>
      <c r="K6" s="33">
        <f t="shared" ref="K6:K8" si="2">C6*J6</f>
        <v>0</v>
      </c>
      <c r="L6" s="33">
        <f t="shared" ref="L6:L9" si="3">K6/12</f>
        <v>0</v>
      </c>
    </row>
    <row r="7" spans="1:12" x14ac:dyDescent="0.2">
      <c r="A7" s="20" t="s">
        <v>333</v>
      </c>
      <c r="B7" s="20" t="s">
        <v>22</v>
      </c>
      <c r="C7" s="21">
        <f t="shared" si="0"/>
        <v>2</v>
      </c>
      <c r="D7" s="20" t="s">
        <v>334</v>
      </c>
      <c r="E7" s="20" t="s">
        <v>238</v>
      </c>
      <c r="F7" s="76">
        <v>453.4</v>
      </c>
      <c r="G7" s="24"/>
      <c r="H7" s="7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335</v>
      </c>
      <c r="B8" s="20" t="s">
        <v>22</v>
      </c>
      <c r="C8" s="21">
        <f t="shared" si="0"/>
        <v>2</v>
      </c>
      <c r="D8" s="20" t="s">
        <v>336</v>
      </c>
      <c r="E8" s="20" t="s">
        <v>238</v>
      </c>
      <c r="F8" s="76">
        <v>269.60000000000002</v>
      </c>
      <c r="G8" s="24"/>
      <c r="H8" s="7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41" t="s">
        <v>131</v>
      </c>
      <c r="B9" s="42"/>
      <c r="C9" s="42"/>
      <c r="D9" s="42"/>
      <c r="E9" s="42"/>
      <c r="F9" s="42"/>
      <c r="G9" s="42"/>
      <c r="H9" s="42"/>
      <c r="I9" s="42"/>
      <c r="J9" s="42"/>
      <c r="K9" s="44">
        <f>SUM(K6:K8)</f>
        <v>0</v>
      </c>
      <c r="L9" s="78">
        <f t="shared" si="3"/>
        <v>0</v>
      </c>
    </row>
    <row r="11" spans="1:12" x14ac:dyDescent="0.2">
      <c r="A11" s="41" t="s">
        <v>337</v>
      </c>
      <c r="B11" s="42"/>
      <c r="C11" s="42"/>
      <c r="D11" s="42"/>
      <c r="E11" s="42"/>
      <c r="F11" s="42"/>
      <c r="G11" s="42"/>
      <c r="H11" s="42"/>
      <c r="I11" s="42"/>
      <c r="J11" s="42"/>
      <c r="K11" s="44">
        <f>prijsjaarglas1</f>
        <v>0</v>
      </c>
      <c r="L11" s="78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E60A-A908-4083-B4EB-104DBC9F10A1}">
  <dimension ref="A1:I13"/>
  <sheetViews>
    <sheetView workbookViewId="0">
      <selection activeCell="E16" sqref="E16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H5.9: ",tabeltype," nulbeurt")</f>
        <v>Bijlage H5.9: Invultabel nulbeurt</v>
      </c>
    </row>
    <row r="3" spans="1:9" ht="38.25" x14ac:dyDescent="0.2">
      <c r="A3" s="8" t="s">
        <v>190</v>
      </c>
      <c r="B3" s="8" t="s">
        <v>7</v>
      </c>
      <c r="C3" s="8" t="s">
        <v>191</v>
      </c>
      <c r="D3" s="8" t="s">
        <v>27</v>
      </c>
      <c r="E3" s="8" t="s">
        <v>30</v>
      </c>
      <c r="F3" s="8" t="s">
        <v>192</v>
      </c>
      <c r="G3" s="8" t="s">
        <v>195</v>
      </c>
      <c r="H3" s="8" t="s">
        <v>196</v>
      </c>
      <c r="I3" s="8" t="s">
        <v>98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338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339</v>
      </c>
      <c r="E6" s="15" t="s">
        <v>208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340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341</v>
      </c>
      <c r="E7" s="20" t="s">
        <v>208</v>
      </c>
      <c r="F7" s="76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342</v>
      </c>
      <c r="B8" s="20" t="s">
        <v>23</v>
      </c>
      <c r="C8" s="21">
        <f>IF(ISBLANK(B8),0,IF(ISERROR(VALUE(B8)),VLOOKUP(B8,dagsoorttabel1,2,FALSE)*dagenperjaar1,VALUE(B8)))</f>
        <v>1</v>
      </c>
      <c r="D8" s="20" t="s">
        <v>343</v>
      </c>
      <c r="E8" s="20" t="s">
        <v>208</v>
      </c>
      <c r="F8" s="76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344</v>
      </c>
      <c r="B9" s="20" t="s">
        <v>23</v>
      </c>
      <c r="C9" s="21">
        <f>IF(ISBLANK(B9),0,IF(ISERROR(VALUE(B9)),VLOOKUP(B9,dagsoorttabel1,2,FALSE)*dagenperjaar1,VALUE(B9)))</f>
        <v>1</v>
      </c>
      <c r="D9" s="20" t="s">
        <v>345</v>
      </c>
      <c r="E9" s="20" t="s">
        <v>208</v>
      </c>
      <c r="F9" s="76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346</v>
      </c>
      <c r="B10" s="25" t="s">
        <v>23</v>
      </c>
      <c r="C10" s="26">
        <f>IF(ISBLANK(B10),0,IF(ISERROR(VALUE(B10)),VLOOKUP(B10,dagsoorttabel1,2,FALSE)*dagenperjaar1,VALUE(B10)))</f>
        <v>1</v>
      </c>
      <c r="D10" s="25" t="s">
        <v>347</v>
      </c>
      <c r="E10" s="25" t="s">
        <v>208</v>
      </c>
      <c r="F10" s="77">
        <v>1</v>
      </c>
      <c r="G10" s="29"/>
      <c r="H10" s="40">
        <f>IF(ISBLANK(F10),1,F10)*G10</f>
        <v>0</v>
      </c>
      <c r="I10" s="40">
        <f>C10*H10</f>
        <v>0</v>
      </c>
    </row>
    <row r="11" spans="1:9" x14ac:dyDescent="0.2">
      <c r="A11" s="41" t="s">
        <v>131</v>
      </c>
      <c r="B11" s="42"/>
      <c r="C11" s="42"/>
      <c r="D11" s="42"/>
      <c r="E11" s="42"/>
      <c r="F11" s="42"/>
      <c r="G11" s="42"/>
      <c r="H11" s="42"/>
      <c r="I11" s="44">
        <f>SUM(I6:I10)</f>
        <v>0</v>
      </c>
    </row>
    <row r="13" spans="1:9" x14ac:dyDescent="0.2">
      <c r="A13" s="41" t="s">
        <v>348</v>
      </c>
      <c r="B13" s="42"/>
      <c r="C13" s="42"/>
      <c r="D13" s="42"/>
      <c r="E13" s="42"/>
      <c r="F13" s="42"/>
      <c r="G13" s="42"/>
      <c r="H13" s="42"/>
      <c r="I13" s="44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FDED-FE3C-43EC-8472-8CC70D16652D}">
  <dimension ref="A1:F19"/>
  <sheetViews>
    <sheetView tabSelected="1" workbookViewId="0">
      <selection activeCell="B1" sqref="B1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H5.10: ",tabeltype," totaalblad schoonmaakwerk")</f>
        <v>Bijlage H5.10: Invultabel totaalblad schoonmaakwerk</v>
      </c>
    </row>
    <row r="3" spans="1:6" ht="25.5" x14ac:dyDescent="0.2">
      <c r="A3" s="8" t="s">
        <v>349</v>
      </c>
      <c r="B3" s="8" t="s">
        <v>350</v>
      </c>
      <c r="C3" s="8" t="s">
        <v>351</v>
      </c>
      <c r="D3" s="8" t="s">
        <v>352</v>
      </c>
      <c r="E3" s="8" t="s">
        <v>353</v>
      </c>
      <c r="F3" s="8" t="s">
        <v>354</v>
      </c>
    </row>
    <row r="4" spans="1:6" x14ac:dyDescent="0.2">
      <c r="A4" s="80" t="s">
        <v>355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1" t="s">
        <v>356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1" t="s">
        <v>357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1" t="s">
        <v>358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2" t="s">
        <v>363</v>
      </c>
      <c r="B8" s="83"/>
      <c r="C8" s="83"/>
      <c r="D8" s="83"/>
      <c r="E8" s="40">
        <f>prijsjaarleveringen</f>
        <v>0</v>
      </c>
      <c r="F8" s="40">
        <f>E8*1.21</f>
        <v>0</v>
      </c>
    </row>
    <row r="10" spans="1:6" x14ac:dyDescent="0.2">
      <c r="A10" s="8" t="s">
        <v>359</v>
      </c>
      <c r="B10" s="43">
        <f>SUM(B4:B8)</f>
        <v>0</v>
      </c>
      <c r="C10" s="43">
        <f>SUM(C4:C8)</f>
        <v>0</v>
      </c>
      <c r="D10" s="43">
        <f>SUM(D4:D8)</f>
        <v>0</v>
      </c>
      <c r="E10" s="44">
        <f>SUM(E4:E8)</f>
        <v>0</v>
      </c>
      <c r="F10" s="44">
        <f>E10*1.21</f>
        <v>0</v>
      </c>
    </row>
    <row r="12" spans="1:6" x14ac:dyDescent="0.2">
      <c r="A12" s="8" t="s">
        <v>360</v>
      </c>
      <c r="B12" s="84">
        <f>IF(B10&gt;0,D10/B10,0)</f>
        <v>0</v>
      </c>
    </row>
    <row r="17" spans="1:5" ht="15" x14ac:dyDescent="0.25">
      <c r="A17" s="85" t="s">
        <v>361</v>
      </c>
      <c r="B17" s="86"/>
      <c r="C17" s="86"/>
      <c r="D17" s="86"/>
      <c r="E17" s="87">
        <f>SUM(E4,E5,E7)</f>
        <v>0</v>
      </c>
    </row>
    <row r="18" spans="1:5" ht="15" x14ac:dyDescent="0.25">
      <c r="A18" s="86"/>
      <c r="B18" s="86"/>
      <c r="C18" s="86"/>
      <c r="D18" s="86"/>
      <c r="E18" s="86"/>
    </row>
    <row r="19" spans="1:5" ht="15" x14ac:dyDescent="0.25">
      <c r="A19" s="85" t="s">
        <v>362</v>
      </c>
      <c r="B19" s="86"/>
      <c r="C19" s="86"/>
      <c r="D19" s="86"/>
      <c r="E19" s="87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9C4-3520-4D99-AC68-464F7AF42C23}">
  <dimension ref="A1:H3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H5.1: ",tabeltype," categorienormen")</f>
        <v>Bijlage H5.1: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1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1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40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34</v>
      </c>
      <c r="C12" s="20">
        <v>1</v>
      </c>
      <c r="D12" s="20" t="s">
        <v>48</v>
      </c>
      <c r="E12" s="22"/>
      <c r="F12" s="23"/>
      <c r="G12" s="20" t="s">
        <v>36</v>
      </c>
      <c r="H12" s="24"/>
    </row>
    <row r="13" spans="1:8" x14ac:dyDescent="0.2">
      <c r="A13" s="20" t="s">
        <v>49</v>
      </c>
      <c r="B13" s="21" t="s">
        <v>34</v>
      </c>
      <c r="C13" s="20">
        <v>40</v>
      </c>
      <c r="D13" s="20" t="s">
        <v>50</v>
      </c>
      <c r="E13" s="22"/>
      <c r="F13" s="23"/>
      <c r="G13" s="20" t="s">
        <v>36</v>
      </c>
      <c r="H13" s="24"/>
    </row>
    <row r="14" spans="1:8" x14ac:dyDescent="0.2">
      <c r="A14" s="20" t="s">
        <v>51</v>
      </c>
      <c r="B14" s="21" t="s">
        <v>52</v>
      </c>
      <c r="C14" s="20">
        <v>1</v>
      </c>
      <c r="D14" s="20" t="s">
        <v>53</v>
      </c>
      <c r="E14" s="22"/>
      <c r="F14" s="23"/>
      <c r="G14" s="20" t="s">
        <v>36</v>
      </c>
      <c r="H14" s="24"/>
    </row>
    <row r="15" spans="1:8" x14ac:dyDescent="0.2">
      <c r="A15" s="20" t="s">
        <v>54</v>
      </c>
      <c r="B15" s="21" t="s">
        <v>52</v>
      </c>
      <c r="C15" s="20">
        <v>40</v>
      </c>
      <c r="D15" s="20" t="s">
        <v>55</v>
      </c>
      <c r="E15" s="22"/>
      <c r="F15" s="23"/>
      <c r="G15" s="20" t="s">
        <v>36</v>
      </c>
      <c r="H15" s="24"/>
    </row>
    <row r="16" spans="1:8" x14ac:dyDescent="0.2">
      <c r="A16" s="20" t="s">
        <v>56</v>
      </c>
      <c r="B16" s="21" t="s">
        <v>57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57</v>
      </c>
      <c r="C17" s="20">
        <v>1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57</v>
      </c>
      <c r="C18" s="20">
        <v>40</v>
      </c>
      <c r="D18" s="20" t="s">
        <v>62</v>
      </c>
      <c r="E18" s="22"/>
      <c r="F18" s="23"/>
      <c r="G18" s="20" t="s">
        <v>36</v>
      </c>
      <c r="H18" s="24"/>
    </row>
    <row r="19" spans="1:8" x14ac:dyDescent="0.2">
      <c r="A19" s="20" t="s">
        <v>63</v>
      </c>
      <c r="B19" s="21" t="s">
        <v>57</v>
      </c>
      <c r="C19" s="20">
        <v>40</v>
      </c>
      <c r="D19" s="20" t="s">
        <v>64</v>
      </c>
      <c r="E19" s="22"/>
      <c r="F19" s="23"/>
      <c r="G19" s="20" t="s">
        <v>36</v>
      </c>
      <c r="H19" s="24"/>
    </row>
    <row r="20" spans="1:8" x14ac:dyDescent="0.2">
      <c r="A20" s="20" t="s">
        <v>65</v>
      </c>
      <c r="B20" s="21" t="s">
        <v>66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66</v>
      </c>
      <c r="C21" s="20">
        <v>1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66</v>
      </c>
      <c r="C22" s="20">
        <v>1</v>
      </c>
      <c r="D22" s="20" t="s">
        <v>71</v>
      </c>
      <c r="E22" s="22"/>
      <c r="F22" s="23"/>
      <c r="G22" s="20" t="s">
        <v>36</v>
      </c>
      <c r="H22" s="24"/>
    </row>
    <row r="23" spans="1:8" x14ac:dyDescent="0.2">
      <c r="A23" s="20" t="s">
        <v>72</v>
      </c>
      <c r="B23" s="21" t="s">
        <v>66</v>
      </c>
      <c r="C23" s="20">
        <v>1</v>
      </c>
      <c r="D23" s="20" t="s">
        <v>73</v>
      </c>
      <c r="E23" s="22"/>
      <c r="F23" s="23"/>
      <c r="G23" s="20" t="s">
        <v>36</v>
      </c>
      <c r="H23" s="24"/>
    </row>
    <row r="24" spans="1:8" x14ac:dyDescent="0.2">
      <c r="A24" s="20" t="s">
        <v>74</v>
      </c>
      <c r="B24" s="21" t="s">
        <v>66</v>
      </c>
      <c r="C24" s="20">
        <v>40</v>
      </c>
      <c r="D24" s="20" t="s">
        <v>75</v>
      </c>
      <c r="E24" s="22"/>
      <c r="F24" s="23"/>
      <c r="G24" s="20" t="s">
        <v>36</v>
      </c>
      <c r="H24" s="24"/>
    </row>
    <row r="25" spans="1:8" x14ac:dyDescent="0.2">
      <c r="A25" s="20" t="s">
        <v>76</v>
      </c>
      <c r="B25" s="21" t="s">
        <v>66</v>
      </c>
      <c r="C25" s="20">
        <v>12</v>
      </c>
      <c r="D25" s="20" t="s">
        <v>77</v>
      </c>
      <c r="E25" s="22"/>
      <c r="F25" s="23"/>
      <c r="G25" s="20" t="s">
        <v>36</v>
      </c>
      <c r="H25" s="24"/>
    </row>
    <row r="26" spans="1:8" x14ac:dyDescent="0.2">
      <c r="A26" s="20" t="s">
        <v>78</v>
      </c>
      <c r="B26" s="21" t="s">
        <v>66</v>
      </c>
      <c r="C26" s="20">
        <v>40</v>
      </c>
      <c r="D26" s="20" t="s">
        <v>79</v>
      </c>
      <c r="E26" s="22"/>
      <c r="F26" s="23"/>
      <c r="G26" s="20" t="s">
        <v>36</v>
      </c>
      <c r="H26" s="24"/>
    </row>
    <row r="27" spans="1:8" x14ac:dyDescent="0.2">
      <c r="A27" s="20" t="s">
        <v>80</v>
      </c>
      <c r="B27" s="21" t="s">
        <v>66</v>
      </c>
      <c r="C27" s="20">
        <v>40</v>
      </c>
      <c r="D27" s="20" t="s">
        <v>81</v>
      </c>
      <c r="E27" s="22"/>
      <c r="F27" s="23"/>
      <c r="G27" s="20" t="s">
        <v>36</v>
      </c>
      <c r="H27" s="24"/>
    </row>
    <row r="28" spans="1:8" x14ac:dyDescent="0.2">
      <c r="A28" s="20" t="s">
        <v>82</v>
      </c>
      <c r="B28" s="21" t="s">
        <v>66</v>
      </c>
      <c r="C28" s="20">
        <v>1</v>
      </c>
      <c r="D28" s="20" t="s">
        <v>83</v>
      </c>
      <c r="E28" s="22"/>
      <c r="F28" s="23"/>
      <c r="G28" s="20" t="s">
        <v>36</v>
      </c>
      <c r="H28" s="24"/>
    </row>
    <row r="29" spans="1:8" x14ac:dyDescent="0.2">
      <c r="A29" s="20" t="s">
        <v>84</v>
      </c>
      <c r="B29" s="21" t="s">
        <v>66</v>
      </c>
      <c r="C29" s="20">
        <v>40</v>
      </c>
      <c r="D29" s="20" t="s">
        <v>85</v>
      </c>
      <c r="E29" s="22"/>
      <c r="F29" s="23"/>
      <c r="G29" s="20" t="s">
        <v>36</v>
      </c>
      <c r="H29" s="24"/>
    </row>
    <row r="30" spans="1:8" x14ac:dyDescent="0.2">
      <c r="A30" s="20" t="s">
        <v>86</v>
      </c>
      <c r="B30" s="21" t="s">
        <v>66</v>
      </c>
      <c r="C30" s="20">
        <v>12</v>
      </c>
      <c r="D30" s="20" t="s">
        <v>87</v>
      </c>
      <c r="E30" s="22"/>
      <c r="F30" s="23"/>
      <c r="G30" s="20" t="s">
        <v>36</v>
      </c>
      <c r="H30" s="24"/>
    </row>
    <row r="31" spans="1:8" x14ac:dyDescent="0.2">
      <c r="A31" s="25" t="s">
        <v>88</v>
      </c>
      <c r="B31" s="26" t="s">
        <v>89</v>
      </c>
      <c r="C31" s="25">
        <v>1</v>
      </c>
      <c r="D31" s="25" t="s">
        <v>90</v>
      </c>
      <c r="E31" s="27"/>
      <c r="F31" s="28"/>
      <c r="G31" s="25" t="s">
        <v>36</v>
      </c>
      <c r="H31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F050-D7E1-458C-BD3A-6BBBE10F7CD8}">
  <dimension ref="A1:N2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H5.2: ",tabeltype," regulier werk")</f>
        <v>Bijlage H5.2: Invultabel regulier werk</v>
      </c>
    </row>
    <row r="3" spans="1:14" ht="38.25" x14ac:dyDescent="0.2">
      <c r="A3" s="8" t="s">
        <v>91</v>
      </c>
      <c r="B3" s="8" t="s">
        <v>7</v>
      </c>
      <c r="C3" s="8" t="s">
        <v>92</v>
      </c>
      <c r="D3" s="8" t="s">
        <v>27</v>
      </c>
      <c r="E3" s="8" t="s">
        <v>93</v>
      </c>
      <c r="F3" s="8" t="s">
        <v>94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95</v>
      </c>
      <c r="L3" s="8" t="s">
        <v>96</v>
      </c>
      <c r="M3" s="8" t="s">
        <v>97</v>
      </c>
      <c r="N3" s="8" t="s">
        <v>98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99</v>
      </c>
      <c r="B6" s="15" t="s">
        <v>11</v>
      </c>
      <c r="C6" s="15" t="s">
        <v>100</v>
      </c>
      <c r="D6" s="15" t="s">
        <v>101</v>
      </c>
      <c r="E6" s="30">
        <v>3.5</v>
      </c>
      <c r="F6" s="30">
        <f t="shared" ref="F6:F21" si="0">E6*VLOOKUP(B6,dagsoorttabel1,2,FALSE)</f>
        <v>2.7450980392156863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36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21" si="1">IF(OR(ISBLANK(G6),G6=0),0,F6/G6)</f>
        <v>0</v>
      </c>
      <c r="L6" s="33">
        <f t="shared" ref="L6:L21" si="2">J6*K6</f>
        <v>0</v>
      </c>
      <c r="M6" s="30">
        <f t="shared" ref="M6:M21" si="3">K6*dagenperjaar1</f>
        <v>0</v>
      </c>
      <c r="N6" s="33">
        <f t="shared" ref="N6:N21" si="4">M6*J6</f>
        <v>0</v>
      </c>
    </row>
    <row r="7" spans="1:14" x14ac:dyDescent="0.2">
      <c r="A7" s="20" t="s">
        <v>102</v>
      </c>
      <c r="B7" s="20" t="s">
        <v>11</v>
      </c>
      <c r="C7" s="20" t="s">
        <v>100</v>
      </c>
      <c r="D7" s="20" t="s">
        <v>103</v>
      </c>
      <c r="E7" s="34">
        <v>465</v>
      </c>
      <c r="F7" s="34">
        <f t="shared" si="0"/>
        <v>364.70588235294116</v>
      </c>
      <c r="G7" s="35">
        <f>IF(AND(catpn_1_BZB_1&gt;0,catpn_1_BZV_40&gt;0),(dagenperjaar1*VLOOKUP(B7,dagsoorttabel1,2,FALSE))/(((dagenperjaar1*VLOOKUP(B7,dagsoorttabel1,2,FALSE))-catfd_1_BZV_40)/catpn_1_BZB_1+catfd_1_BZV_40/catpn_1_BZV_40),0)</f>
        <v>0</v>
      </c>
      <c r="H7" s="36">
        <f>IF(AND(catpn_1_BZB_1&gt;0,catpn_1_BZV_40&gt;0),(catdw_1_BZB_1*((dagenperjaar1*VLOOKUP(B7,dagsoorttabel1,2,FALSE))-catfd_1_BZV_40)/catpn_1_BZB_1+catdw_1_BZV_40*catfd_1_BZV_40/catpn_1_BZV_40)/(((dagenperjaar1*VLOOKUP(B7,dagsoorttabel1,2,FALSE))-catfd_1_BZV_40)/catpn_1_BZB_1+catfd_1_BZV_40/catpn_1_BZV_40),0)</f>
        <v>0</v>
      </c>
      <c r="I7" s="20" t="s">
        <v>36</v>
      </c>
      <c r="J7" s="37">
        <f>IF(AND(catpn_1_BZB_1&gt;0,catpn_1_BZV_40&gt;0),(cattf_1_BZB_1*((dagenperjaar1*VLOOKUP(B7,dagsoorttabel1,2,FALSE))-catfd_1_BZV_40)/catpn_1_BZB_1+cattf_1_BZV_40*catfd_1_BZV_40/catpn_1_BZV_40)/(((dagenperjaar1*VLOOKUP(B7,dagsoorttabel1,2,FALSE))-catfd_1_BZV_40)/catpn_1_BZB_1+catfd_1_BZV_40/catpn_1_BZ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104</v>
      </c>
      <c r="B8" s="20" t="s">
        <v>11</v>
      </c>
      <c r="C8" s="20" t="s">
        <v>100</v>
      </c>
      <c r="D8" s="20" t="s">
        <v>105</v>
      </c>
      <c r="E8" s="34">
        <v>1.5</v>
      </c>
      <c r="F8" s="34">
        <f t="shared" si="0"/>
        <v>1.1764705882352942</v>
      </c>
      <c r="G8" s="35">
        <f>IF(AND(catpn_1_DHB_1&gt;0,catpn_1_DHV_40&gt;0),(dagenperjaar1*VLOOKUP(B8,dagsoorttabel1,2,FALSE))/(((dagenperjaar1*VLOOKUP(B8,dagsoorttabel1,2,FALSE))-catfd_1_DHV_40)/catpn_1_DHB_1+catfd_1_DHV_40/catpn_1_DHV_40),0)</f>
        <v>0</v>
      </c>
      <c r="H8" s="36">
        <f>IF(AND(catpn_1_DHB_1&gt;0,catpn_1_DHV_40&gt;0),(catdw_1_DHB_1*((dagenperjaar1*VLOOKUP(B8,dagsoorttabel1,2,FALSE))-catfd_1_DHV_40)/catpn_1_DHB_1+catdw_1_DHV_40*catfd_1_DHV_40/catpn_1_DHV_40)/(((dagenperjaar1*VLOOKUP(B8,dagsoorttabel1,2,FALSE))-catfd_1_DHV_40)/catpn_1_DHB_1+catfd_1_DHV_40/catpn_1_DHV_40),0)</f>
        <v>0</v>
      </c>
      <c r="I8" s="20" t="s">
        <v>36</v>
      </c>
      <c r="J8" s="37">
        <f>IF(AND(catpn_1_DHB_1&gt;0,catpn_1_DHV_40&gt;0),(cattf_1_DHB_1*((dagenperjaar1*VLOOKUP(B8,dagsoorttabel1,2,FALSE))-catfd_1_DHV_40)/catpn_1_DHB_1+cattf_1_DHV_40*catfd_1_DHV_40/catpn_1_DHV_40)/(((dagenperjaar1*VLOOKUP(B8,dagsoorttabel1,2,FALSE))-catfd_1_DHV_40)/catpn_1_DHB_1+catfd_1_DHV_40/catpn_1_DH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106</v>
      </c>
      <c r="B9" s="20" t="s">
        <v>11</v>
      </c>
      <c r="C9" s="20" t="s">
        <v>100</v>
      </c>
      <c r="D9" s="20" t="s">
        <v>107</v>
      </c>
      <c r="E9" s="34">
        <v>34.200000000000003</v>
      </c>
      <c r="F9" s="34">
        <f t="shared" si="0"/>
        <v>26.823529411764707</v>
      </c>
      <c r="G9" s="35">
        <f>IF(AND(catpn_1_EZB_1&gt;0,catpn_1_EZV_40&gt;0),(dagenperjaar1*VLOOKUP(B9,dagsoorttabel1,2,FALSE))/(((dagenperjaar1*VLOOKUP(B9,dagsoorttabel1,2,FALSE))-catfd_1_EZV_40)/catpn_1_EZB_1+catfd_1_EZV_40/catpn_1_EZV_40),0)</f>
        <v>0</v>
      </c>
      <c r="H9" s="36">
        <f>IF(AND(catpn_1_EZB_1&gt;0,catpn_1_EZV_40&gt;0),(catdw_1_EZB_1*((dagenperjaar1*VLOOKUP(B9,dagsoorttabel1,2,FALSE))-catfd_1_EZV_40)/catpn_1_EZB_1+catdw_1_EZV_40*catfd_1_EZV_40/catpn_1_EZV_40)/(((dagenperjaar1*VLOOKUP(B9,dagsoorttabel1,2,FALSE))-catfd_1_EZV_40)/catpn_1_EZB_1+catfd_1_EZV_40/catpn_1_EZV_40),0)</f>
        <v>0</v>
      </c>
      <c r="I9" s="20" t="s">
        <v>36</v>
      </c>
      <c r="J9" s="37">
        <f>IF(AND(catpn_1_EZB_1&gt;0,catpn_1_EZV_40&gt;0),(cattf_1_EZB_1*((dagenperjaar1*VLOOKUP(B9,dagsoorttabel1,2,FALSE))-catfd_1_EZV_40)/catpn_1_EZB_1+cattf_1_EZV_40*catfd_1_EZV_40/catpn_1_EZV_40)/(((dagenperjaar1*VLOOKUP(B9,dagsoorttabel1,2,FALSE))-catfd_1_EZV_40)/catpn_1_EZB_1+catfd_1_EZV_40/catpn_1_E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108</v>
      </c>
      <c r="B10" s="20" t="s">
        <v>11</v>
      </c>
      <c r="C10" s="20" t="s">
        <v>100</v>
      </c>
      <c r="D10" s="20" t="s">
        <v>109</v>
      </c>
      <c r="E10" s="34">
        <v>180</v>
      </c>
      <c r="F10" s="34">
        <f t="shared" si="0"/>
        <v>141.1764705882353</v>
      </c>
      <c r="G10" s="35">
        <f>IF(AND(catpn_1_GHB_1&gt;0,catpn_1_GHV_40&gt;0),(dagenperjaar1*VLOOKUP(B10,dagsoorttabel1,2,FALSE))/(((dagenperjaar1*VLOOKUP(B10,dagsoorttabel1,2,FALSE))-catfd_1_GHV_40)/catpn_1_GHB_1+catfd_1_GHV_40/catpn_1_GHV_40),0)</f>
        <v>0</v>
      </c>
      <c r="H10" s="36">
        <f>IF(AND(catpn_1_GHB_1&gt;0,catpn_1_GHV_40&gt;0),(catdw_1_GHB_1*((dagenperjaar1*VLOOKUP(B10,dagsoorttabel1,2,FALSE))-catfd_1_GHV_40)/catpn_1_GHB_1+catdw_1_GHV_40*catfd_1_GHV_40/catpn_1_GHV_40)/(((dagenperjaar1*VLOOKUP(B10,dagsoorttabel1,2,FALSE))-catfd_1_GHV_40)/catpn_1_GHB_1+catfd_1_GHV_40/catpn_1_GHV_40),0)</f>
        <v>0</v>
      </c>
      <c r="I10" s="20" t="s">
        <v>36</v>
      </c>
      <c r="J10" s="37">
        <f>IF(AND(catpn_1_GHB_1&gt;0,catpn_1_GHV_40&gt;0),(cattf_1_GHB_1*((dagenperjaar1*VLOOKUP(B10,dagsoorttabel1,2,FALSE))-catfd_1_GHV_40)/catpn_1_GHB_1+cattf_1_GHV_40*catfd_1_GHV_40/catpn_1_GHV_40)/(((dagenperjaar1*VLOOKUP(B10,dagsoorttabel1,2,FALSE))-catfd_1_GHV_40)/catpn_1_GHB_1+catfd_1_GHV_40/catpn_1_G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110</v>
      </c>
      <c r="B11" s="20" t="s">
        <v>11</v>
      </c>
      <c r="C11" s="20" t="s">
        <v>100</v>
      </c>
      <c r="D11" s="20" t="s">
        <v>111</v>
      </c>
      <c r="E11" s="34">
        <v>1096</v>
      </c>
      <c r="F11" s="34">
        <f t="shared" si="0"/>
        <v>859.60784313725492</v>
      </c>
      <c r="G11" s="35">
        <f>IF(AND(catpn_1_LHB_1&gt;0,catpn_1_LHV_40&gt;0),(dagenperjaar1*VLOOKUP(B11,dagsoorttabel1,2,FALSE))/(((dagenperjaar1*VLOOKUP(B11,dagsoorttabel1,2,FALSE))-catfd_1_LHV_40)/catpn_1_LHB_1+catfd_1_LHV_40/catpn_1_LHV_40),0)</f>
        <v>0</v>
      </c>
      <c r="H11" s="36">
        <f>IF(AND(catpn_1_LHB_1&gt;0,catpn_1_LHV_40&gt;0),(catdw_1_LHB_1*((dagenperjaar1*VLOOKUP(B11,dagsoorttabel1,2,FALSE))-catfd_1_LHV_40)/catpn_1_LHB_1+catdw_1_LHV_40*catfd_1_LHV_40/catpn_1_LHV_40)/(((dagenperjaar1*VLOOKUP(B11,dagsoorttabel1,2,FALSE))-catfd_1_LHV_40)/catpn_1_LHB_1+catfd_1_LHV_40/catpn_1_LHV_40),0)</f>
        <v>0</v>
      </c>
      <c r="I11" s="20" t="s">
        <v>36</v>
      </c>
      <c r="J11" s="37">
        <f>IF(AND(catpn_1_LHB_1&gt;0,catpn_1_LHV_40&gt;0),(cattf_1_LHB_1*((dagenperjaar1*VLOOKUP(B11,dagsoorttabel1,2,FALSE))-catfd_1_LHV_40)/catpn_1_LHB_1+cattf_1_LHV_40*catfd_1_LHV_40/catpn_1_LHV_40)/(((dagenperjaar1*VLOOKUP(B11,dagsoorttabel1,2,FALSE))-catfd_1_LHV_40)/catpn_1_LHB_1+catfd_1_LHV_40/catpn_1_L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112</v>
      </c>
      <c r="B12" s="20" t="s">
        <v>11</v>
      </c>
      <c r="C12" s="20" t="s">
        <v>100</v>
      </c>
      <c r="D12" s="20" t="s">
        <v>113</v>
      </c>
      <c r="E12" s="34">
        <v>62</v>
      </c>
      <c r="F12" s="34">
        <f t="shared" si="0"/>
        <v>48.627450980392155</v>
      </c>
      <c r="G12" s="35">
        <f>IF(AND(catpn_1_MHB_1&gt;0,catpn_1_MHV_40&gt;0),(dagenperjaar1*VLOOKUP(B12,dagsoorttabel1,2,FALSE))/(((dagenperjaar1*VLOOKUP(B12,dagsoorttabel1,2,FALSE))-catfd_1_MHV_40)/catpn_1_MHB_1+catfd_1_MHV_40/catpn_1_MHV_40),0)</f>
        <v>0</v>
      </c>
      <c r="H12" s="36">
        <f>IF(AND(catpn_1_MHB_1&gt;0,catpn_1_MHV_40&gt;0),(catdw_1_MHB_1*((dagenperjaar1*VLOOKUP(B12,dagsoorttabel1,2,FALSE))-catfd_1_MHV_40)/catpn_1_MHB_1+catdw_1_MHV_40*catfd_1_MHV_40/catpn_1_MHV_40)/(((dagenperjaar1*VLOOKUP(B12,dagsoorttabel1,2,FALSE))-catfd_1_MHV_40)/catpn_1_MHB_1+catfd_1_MHV_40/catpn_1_MHV_40),0)</f>
        <v>0</v>
      </c>
      <c r="I12" s="20" t="s">
        <v>36</v>
      </c>
      <c r="J12" s="37">
        <f>IF(AND(catpn_1_MHB_1&gt;0,catpn_1_MHV_40&gt;0),(cattf_1_MHB_1*((dagenperjaar1*VLOOKUP(B12,dagsoorttabel1,2,FALSE))-catfd_1_MHV_40)/catpn_1_MHB_1+cattf_1_MHV_40*catfd_1_MHV_40/catpn_1_MHV_40)/(((dagenperjaar1*VLOOKUP(B12,dagsoorttabel1,2,FALSE))-catfd_1_MHV_40)/catpn_1_MHB_1+catfd_1_MHV_40/catpn_1_M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114</v>
      </c>
      <c r="B13" s="20" t="s">
        <v>17</v>
      </c>
      <c r="C13" s="20" t="s">
        <v>100</v>
      </c>
      <c r="D13" s="20" t="s">
        <v>115</v>
      </c>
      <c r="E13" s="34">
        <v>56.9</v>
      </c>
      <c r="F13" s="34">
        <f t="shared" si="0"/>
        <v>2.6776470588235295</v>
      </c>
      <c r="G13" s="35">
        <f>IF(AND(catpn_1_OHB_1&gt;0,catpn_1_OHV_12&gt;0),(dagenperjaar1*VLOOKUP(B13,dagsoorttabel1,2,FALSE))/(((dagenperjaar1*VLOOKUP(B13,dagsoorttabel1,2,FALSE))-catfd_1_OHV_12)/catpn_1_OHB_1+catfd_1_OHV_12/catpn_1_OHV_12),0)</f>
        <v>0</v>
      </c>
      <c r="H13" s="36">
        <f>IF(AND(catpn_1_OHB_1&gt;0,catpn_1_OHV_12&gt;0),(catdw_1_OHB_1*((dagenperjaar1*VLOOKUP(B13,dagsoorttabel1,2,FALSE))-catfd_1_OHV_12)/catpn_1_OHB_1+catdw_1_OHV_12*catfd_1_OHV_12/catpn_1_OHV_12)/(((dagenperjaar1*VLOOKUP(B13,dagsoorttabel1,2,FALSE))-catfd_1_OHV_12)/catpn_1_OHB_1+catfd_1_OHV_12/catpn_1_OHV_12),0)</f>
        <v>0</v>
      </c>
      <c r="I13" s="20" t="s">
        <v>36</v>
      </c>
      <c r="J13" s="37">
        <f>IF(AND(catpn_1_OHB_1&gt;0,catpn_1_OHV_12&gt;0),(cattf_1_OHB_1*((dagenperjaar1*VLOOKUP(B13,dagsoorttabel1,2,FALSE))-catfd_1_OHV_12)/catpn_1_OHB_1+cattf_1_OHV_12*catfd_1_OHV_12/catpn_1_OHV_12)/(((dagenperjaar1*VLOOKUP(B13,dagsoorttabel1,2,FALSE))-catfd_1_OHV_12)/catpn_1_OHB_1+catfd_1_OHV_12/catpn_1_OHV_12)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116</v>
      </c>
      <c r="B14" s="20" t="s">
        <v>17</v>
      </c>
      <c r="C14" s="20" t="s">
        <v>100</v>
      </c>
      <c r="D14" s="20" t="s">
        <v>117</v>
      </c>
      <c r="E14" s="34">
        <v>3.3</v>
      </c>
      <c r="F14" s="34">
        <f t="shared" si="0"/>
        <v>0.1552941176470588</v>
      </c>
      <c r="G14" s="35">
        <f>catpn_1_OZV_12</f>
        <v>0</v>
      </c>
      <c r="H14" s="36">
        <f>catdw_1_OZV_12</f>
        <v>0</v>
      </c>
      <c r="I14" s="20" t="s">
        <v>36</v>
      </c>
      <c r="J14" s="37">
        <f>cattf_1_OZV_12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118</v>
      </c>
      <c r="B15" s="20" t="s">
        <v>11</v>
      </c>
      <c r="C15" s="20" t="s">
        <v>100</v>
      </c>
      <c r="D15" s="20" t="s">
        <v>119</v>
      </c>
      <c r="E15" s="34">
        <v>9.5</v>
      </c>
      <c r="F15" s="34">
        <f t="shared" si="0"/>
        <v>7.4509803921568629</v>
      </c>
      <c r="G15" s="35">
        <f>IF(AND(catpn_1_PHB_1&gt;0,catpn_1_PHV_40&gt;0),(dagenperjaar1*VLOOKUP(B15,dagsoorttabel1,2,FALSE))/(((dagenperjaar1*VLOOKUP(B15,dagsoorttabel1,2,FALSE))-catfd_1_PHV_40)/catpn_1_PHB_1+catfd_1_PHV_40/catpn_1_PHV_40),0)</f>
        <v>0</v>
      </c>
      <c r="H15" s="36">
        <f>IF(AND(catpn_1_PHB_1&gt;0,catpn_1_PHV_40&gt;0),(catdw_1_PHB_1*((dagenperjaar1*VLOOKUP(B15,dagsoorttabel1,2,FALSE))-catfd_1_PHV_40)/catpn_1_PHB_1+catdw_1_PHV_40*catfd_1_PHV_40/catpn_1_PHV_40)/(((dagenperjaar1*VLOOKUP(B15,dagsoorttabel1,2,FALSE))-catfd_1_PHV_40)/catpn_1_PHB_1+catfd_1_PHV_40/catpn_1_PHV_40),0)</f>
        <v>0</v>
      </c>
      <c r="I15" s="20" t="s">
        <v>36</v>
      </c>
      <c r="J15" s="37">
        <f>IF(AND(catpn_1_PHB_1&gt;0,catpn_1_PHV_40&gt;0),(cattf_1_PHB_1*((dagenperjaar1*VLOOKUP(B15,dagsoorttabel1,2,FALSE))-catfd_1_PHV_40)/catpn_1_PHB_1+cattf_1_PHV_40*catfd_1_PHV_40/catpn_1_PHV_40)/(((dagenperjaar1*VLOOKUP(B15,dagsoorttabel1,2,FALSE))-catfd_1_PHV_40)/catpn_1_PHB_1+catfd_1_PHV_40/catpn_1_P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120</v>
      </c>
      <c r="B16" s="20" t="s">
        <v>11</v>
      </c>
      <c r="C16" s="20" t="s">
        <v>100</v>
      </c>
      <c r="D16" s="20" t="s">
        <v>121</v>
      </c>
      <c r="E16" s="34">
        <v>97</v>
      </c>
      <c r="F16" s="34">
        <f t="shared" si="0"/>
        <v>76.078431372549019</v>
      </c>
      <c r="G16" s="35">
        <f>IF(AND(catpn_1_PUHB_1&gt;0,catpn_1_PUHV_40&gt;0),(dagenperjaar1*VLOOKUP(B16,dagsoorttabel1,2,FALSE))/(((dagenperjaar1*VLOOKUP(B16,dagsoorttabel1,2,FALSE))-catfd_1_PUHV_40)/catpn_1_PUHB_1+catfd_1_PUHV_40/catpn_1_PUHV_40),0)</f>
        <v>0</v>
      </c>
      <c r="H16" s="36">
        <f>IF(AND(catpn_1_PUHB_1&gt;0,catpn_1_PUHV_40&gt;0),(catdw_1_PUHB_1*((dagenperjaar1*VLOOKUP(B16,dagsoorttabel1,2,FALSE))-catfd_1_PUHV_40)/catpn_1_PUHB_1+catdw_1_PUHV_40*catfd_1_PUHV_40/catpn_1_PUHV_40)/(((dagenperjaar1*VLOOKUP(B16,dagsoorttabel1,2,FALSE))-catfd_1_PUHV_40)/catpn_1_PUHB_1+catfd_1_PUHV_40/catpn_1_PUHV_40),0)</f>
        <v>0</v>
      </c>
      <c r="I16" s="20" t="s">
        <v>36</v>
      </c>
      <c r="J16" s="37">
        <f>IF(AND(catpn_1_PUHB_1&gt;0,catpn_1_PUHV_40&gt;0),(cattf_1_PUHB_1*((dagenperjaar1*VLOOKUP(B16,dagsoorttabel1,2,FALSE))-catfd_1_PUHV_40)/catpn_1_PUHB_1+cattf_1_PUHV_40*catfd_1_PUHV_40/catpn_1_PUHV_40)/(((dagenperjaar1*VLOOKUP(B16,dagsoorttabel1,2,FALSE))-catfd_1_PUHV_40)/catpn_1_PUHB_1+catfd_1_PUHV_40/catpn_1_PUH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122</v>
      </c>
      <c r="B17" s="20" t="s">
        <v>11</v>
      </c>
      <c r="C17" s="20" t="s">
        <v>100</v>
      </c>
      <c r="D17" s="20" t="s">
        <v>123</v>
      </c>
      <c r="E17" s="34">
        <v>70.5</v>
      </c>
      <c r="F17" s="34">
        <f t="shared" si="0"/>
        <v>55.294117647058826</v>
      </c>
      <c r="G17" s="35">
        <f>IF(AND(catpn_1_SHB_1&gt;0,catpn_1_SHV_40&gt;0),(dagenperjaar1*VLOOKUP(B17,dagsoorttabel1,2,FALSE))/(((dagenperjaar1*VLOOKUP(B17,dagsoorttabel1,2,FALSE))-catfd_1_SHV_40)/catpn_1_SHB_1+catfd_1_SHV_40/catpn_1_SHV_40),0)</f>
        <v>0</v>
      </c>
      <c r="H17" s="36">
        <f>IF(AND(catpn_1_SHB_1&gt;0,catpn_1_SHV_40&gt;0),(catdw_1_SHB_1*((dagenperjaar1*VLOOKUP(B17,dagsoorttabel1,2,FALSE))-catfd_1_SHV_40)/catpn_1_SHB_1+catdw_1_SHV_40*catfd_1_SHV_40/catpn_1_SHV_40)/(((dagenperjaar1*VLOOKUP(B17,dagsoorttabel1,2,FALSE))-catfd_1_SHV_40)/catpn_1_SHB_1+catfd_1_SHV_40/catpn_1_SHV_40),0)</f>
        <v>0</v>
      </c>
      <c r="I17" s="20" t="s">
        <v>36</v>
      </c>
      <c r="J17" s="37">
        <f>IF(AND(catpn_1_SHB_1&gt;0,catpn_1_SHV_40&gt;0),(cattf_1_SHB_1*((dagenperjaar1*VLOOKUP(B17,dagsoorttabel1,2,FALSE))-catfd_1_SHV_40)/catpn_1_SHB_1+cattf_1_SHV_40*catfd_1_SHV_40/catpn_1_SHV_40)/(((dagenperjaar1*VLOOKUP(B17,dagsoorttabel1,2,FALSE))-catfd_1_SHV_40)/catpn_1_SHB_1+catfd_1_SHV_40/catpn_1_S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124</v>
      </c>
      <c r="B18" s="20" t="s">
        <v>14</v>
      </c>
      <c r="C18" s="20" t="s">
        <v>100</v>
      </c>
      <c r="D18" s="20" t="s">
        <v>123</v>
      </c>
      <c r="E18" s="34">
        <v>67</v>
      </c>
      <c r="F18" s="34">
        <f t="shared" si="0"/>
        <v>21.019607843137255</v>
      </c>
      <c r="G18" s="35">
        <f>catpn_1_SHB_1</f>
        <v>0</v>
      </c>
      <c r="H18" s="36">
        <f>catdw_1_SHB_1</f>
        <v>0</v>
      </c>
      <c r="I18" s="20" t="s">
        <v>36</v>
      </c>
      <c r="J18" s="37">
        <f>cattf_1_SHB_1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125</v>
      </c>
      <c r="B19" s="20" t="s">
        <v>11</v>
      </c>
      <c r="C19" s="20" t="s">
        <v>100</v>
      </c>
      <c r="D19" s="20" t="s">
        <v>126</v>
      </c>
      <c r="E19" s="34">
        <v>53</v>
      </c>
      <c r="F19" s="34">
        <f t="shared" si="0"/>
        <v>41.568627450980394</v>
      </c>
      <c r="G19" s="35">
        <f>IF(AND(catpn_1_VHB_1&gt;0,catpn_1_VHV_40&gt;0),(dagenperjaar1*VLOOKUP(B19,dagsoorttabel1,2,FALSE))/(((dagenperjaar1*VLOOKUP(B19,dagsoorttabel1,2,FALSE))-catfd_1_VHV_40)/catpn_1_VHB_1+catfd_1_VHV_40/catpn_1_VHV_40),0)</f>
        <v>0</v>
      </c>
      <c r="H19" s="36">
        <f>IF(AND(catpn_1_VHB_1&gt;0,catpn_1_VHV_40&gt;0),(catdw_1_VHB_1*((dagenperjaar1*VLOOKUP(B19,dagsoorttabel1,2,FALSE))-catfd_1_VHV_40)/catpn_1_VHB_1+catdw_1_VHV_40*catfd_1_VHV_40/catpn_1_VHV_40)/(((dagenperjaar1*VLOOKUP(B19,dagsoorttabel1,2,FALSE))-catfd_1_VHV_40)/catpn_1_VHB_1+catfd_1_VHV_40/catpn_1_VHV_40),0)</f>
        <v>0</v>
      </c>
      <c r="I19" s="20" t="s">
        <v>36</v>
      </c>
      <c r="J19" s="37">
        <f>IF(AND(catpn_1_VHB_1&gt;0,catpn_1_VHV_40&gt;0),(cattf_1_VHB_1*((dagenperjaar1*VLOOKUP(B19,dagsoorttabel1,2,FALSE))-catfd_1_VHV_40)/catpn_1_VHB_1+cattf_1_VHV_40*catfd_1_VHV_40/catpn_1_VHV_40)/(((dagenperjaar1*VLOOKUP(B19,dagsoorttabel1,2,FALSE))-catfd_1_VHV_40)/catpn_1_VHB_1+catfd_1_VHV_40/catpn_1_V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127</v>
      </c>
      <c r="B20" s="20" t="s">
        <v>23</v>
      </c>
      <c r="C20" s="20" t="s">
        <v>100</v>
      </c>
      <c r="D20" s="20" t="s">
        <v>128</v>
      </c>
      <c r="E20" s="34">
        <v>1872</v>
      </c>
      <c r="F20" s="34">
        <f t="shared" si="0"/>
        <v>7.341176470588235</v>
      </c>
      <c r="G20" s="35">
        <f>catpn_1_XBB_1</f>
        <v>0</v>
      </c>
      <c r="H20" s="36">
        <f>catdw_1_XBB_1</f>
        <v>0</v>
      </c>
      <c r="I20" s="20" t="s">
        <v>36</v>
      </c>
      <c r="J20" s="37">
        <f>cattf_1_XBB_1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5" t="s">
        <v>129</v>
      </c>
      <c r="B21" s="25" t="s">
        <v>23</v>
      </c>
      <c r="C21" s="25" t="s">
        <v>100</v>
      </c>
      <c r="D21" s="25" t="s">
        <v>130</v>
      </c>
      <c r="E21" s="38">
        <v>26</v>
      </c>
      <c r="F21" s="38">
        <f t="shared" si="0"/>
        <v>0.10196078431372549</v>
      </c>
      <c r="G21" s="39"/>
      <c r="H21" s="28"/>
      <c r="I21" s="25" t="s">
        <v>36</v>
      </c>
      <c r="J21" s="29"/>
      <c r="K21" s="38">
        <f t="shared" si="1"/>
        <v>0</v>
      </c>
      <c r="L21" s="40">
        <f t="shared" si="2"/>
        <v>0</v>
      </c>
      <c r="M21" s="38">
        <f t="shared" si="3"/>
        <v>0</v>
      </c>
      <c r="N21" s="40">
        <f t="shared" si="4"/>
        <v>0</v>
      </c>
    </row>
    <row r="22" spans="1:14" x14ac:dyDescent="0.2">
      <c r="A22" s="41" t="s">
        <v>131</v>
      </c>
      <c r="B22" s="42"/>
      <c r="C22" s="42"/>
      <c r="D22" s="42"/>
      <c r="E22" s="42"/>
      <c r="F22" s="42"/>
      <c r="G22" s="42"/>
      <c r="H22" s="42"/>
      <c r="I22" s="42"/>
      <c r="J22" s="42"/>
      <c r="K22" s="43">
        <f>SUM(K6:K21)</f>
        <v>0</v>
      </c>
      <c r="L22" s="44">
        <f>SUM(L6:L21)</f>
        <v>0</v>
      </c>
      <c r="M22" s="43">
        <f>SUM(M6:M21)</f>
        <v>0</v>
      </c>
      <c r="N22" s="45">
        <f>SUM(N6:N21)</f>
        <v>0</v>
      </c>
    </row>
    <row r="23" spans="1:14" x14ac:dyDescent="0.2">
      <c r="A23" s="46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7"/>
    </row>
    <row r="24" spans="1:14" x14ac:dyDescent="0.2">
      <c r="A24" s="41" t="s">
        <v>132</v>
      </c>
      <c r="B24" s="42"/>
      <c r="C24" s="42"/>
      <c r="D24" s="42"/>
      <c r="E24" s="42"/>
      <c r="F24" s="42"/>
      <c r="G24" s="42"/>
      <c r="H24" s="42"/>
      <c r="I24" s="42"/>
      <c r="J24" s="44">
        <f>IF(urenjaar1&gt;0,SUMIF(M6:M21,"&gt;0",N6:N21)/urenjaar1,0)</f>
        <v>0</v>
      </c>
      <c r="K24" s="42"/>
      <c r="L24" s="42"/>
      <c r="M24" s="42"/>
      <c r="N24" s="47"/>
    </row>
    <row r="25" spans="1:14" x14ac:dyDescent="0.2">
      <c r="A25" s="46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7"/>
    </row>
    <row r="27" spans="1:14" x14ac:dyDescent="0.2">
      <c r="A27" s="41" t="s">
        <v>133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>
        <f>urenjaar1</f>
        <v>0</v>
      </c>
      <c r="N27" s="44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68F9-DC8F-4CDD-9BB7-9A6F3579BBA0}">
  <dimension ref="A1:J2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134</v>
      </c>
    </row>
    <row r="3" spans="1:10" x14ac:dyDescent="0.2">
      <c r="A3" s="48" t="s">
        <v>91</v>
      </c>
      <c r="B3" s="48" t="s">
        <v>7</v>
      </c>
      <c r="C3" s="48" t="s">
        <v>135</v>
      </c>
      <c r="D3" s="48" t="s">
        <v>136</v>
      </c>
      <c r="E3" s="48" t="s">
        <v>137</v>
      </c>
      <c r="F3" s="48" t="s">
        <v>138</v>
      </c>
      <c r="G3" s="48" t="s">
        <v>139</v>
      </c>
      <c r="H3" s="48" t="s">
        <v>29</v>
      </c>
      <c r="I3" s="48" t="s">
        <v>140</v>
      </c>
      <c r="J3" s="48" t="s">
        <v>141</v>
      </c>
    </row>
    <row r="4" spans="1:10" x14ac:dyDescent="0.2">
      <c r="A4" s="49"/>
      <c r="B4" s="49"/>
      <c r="C4" s="49"/>
      <c r="D4" s="49"/>
      <c r="E4" s="49"/>
      <c r="F4" s="49"/>
      <c r="G4" s="49"/>
      <c r="H4" s="49"/>
      <c r="I4" s="49"/>
      <c r="J4" s="50" t="s">
        <v>93</v>
      </c>
    </row>
    <row r="5" spans="1:10" x14ac:dyDescent="0.2">
      <c r="A5" s="15" t="s">
        <v>99</v>
      </c>
      <c r="B5" s="15" t="s">
        <v>11</v>
      </c>
      <c r="C5" s="15" t="s">
        <v>142</v>
      </c>
      <c r="D5" s="15" t="s">
        <v>100</v>
      </c>
      <c r="E5" s="30">
        <f t="shared" ref="E5:E20" si="0">IF(B5="","",VLOOKUP(B5,dagsoorttabel1,2,FALSE))</f>
        <v>0.78431372549019607</v>
      </c>
      <c r="F5" s="30">
        <v>1</v>
      </c>
      <c r="G5" s="30">
        <f>IF(prodnorm11&gt;0,1/prodnorm11,0)</f>
        <v>0</v>
      </c>
      <c r="H5" s="32">
        <f>dagwerk11</f>
        <v>0</v>
      </c>
      <c r="I5" s="33">
        <f>uurtarief11</f>
        <v>0</v>
      </c>
      <c r="J5" s="30">
        <v>3.5</v>
      </c>
    </row>
    <row r="6" spans="1:10" x14ac:dyDescent="0.2">
      <c r="A6" s="20" t="s">
        <v>102</v>
      </c>
      <c r="B6" s="20" t="s">
        <v>11</v>
      </c>
      <c r="C6" s="20" t="s">
        <v>142</v>
      </c>
      <c r="D6" s="20" t="s">
        <v>100</v>
      </c>
      <c r="E6" s="34">
        <f t="shared" si="0"/>
        <v>0.78431372549019607</v>
      </c>
      <c r="F6" s="34">
        <v>1</v>
      </c>
      <c r="G6" s="34">
        <f>IF(prodnorm12&gt;0,1/prodnorm12,0)</f>
        <v>0</v>
      </c>
      <c r="H6" s="36">
        <f>dagwerk12</f>
        <v>0</v>
      </c>
      <c r="I6" s="37">
        <f>uurtarief12</f>
        <v>0</v>
      </c>
      <c r="J6" s="34">
        <v>465</v>
      </c>
    </row>
    <row r="7" spans="1:10" x14ac:dyDescent="0.2">
      <c r="A7" s="20" t="s">
        <v>104</v>
      </c>
      <c r="B7" s="20" t="s">
        <v>11</v>
      </c>
      <c r="C7" s="20" t="s">
        <v>142</v>
      </c>
      <c r="D7" s="20" t="s">
        <v>100</v>
      </c>
      <c r="E7" s="34">
        <f t="shared" si="0"/>
        <v>0.78431372549019607</v>
      </c>
      <c r="F7" s="34">
        <v>1</v>
      </c>
      <c r="G7" s="34">
        <f>IF(prodnorm13&gt;0,1/prodnorm13,0)</f>
        <v>0</v>
      </c>
      <c r="H7" s="36">
        <f>dagwerk13</f>
        <v>0</v>
      </c>
      <c r="I7" s="37">
        <f>uurtarief13</f>
        <v>0</v>
      </c>
      <c r="J7" s="34">
        <v>1.5</v>
      </c>
    </row>
    <row r="8" spans="1:10" x14ac:dyDescent="0.2">
      <c r="A8" s="20" t="s">
        <v>106</v>
      </c>
      <c r="B8" s="20" t="s">
        <v>11</v>
      </c>
      <c r="C8" s="20" t="s">
        <v>142</v>
      </c>
      <c r="D8" s="20" t="s">
        <v>100</v>
      </c>
      <c r="E8" s="34">
        <f t="shared" si="0"/>
        <v>0.78431372549019607</v>
      </c>
      <c r="F8" s="34">
        <v>1</v>
      </c>
      <c r="G8" s="34">
        <f>IF(prodnorm14&gt;0,1/prodnorm14,0)</f>
        <v>0</v>
      </c>
      <c r="H8" s="36">
        <f>dagwerk14</f>
        <v>0</v>
      </c>
      <c r="I8" s="37">
        <f>uurtarief14</f>
        <v>0</v>
      </c>
      <c r="J8" s="34">
        <v>34.200000000000003</v>
      </c>
    </row>
    <row r="9" spans="1:10" x14ac:dyDescent="0.2">
      <c r="A9" s="20" t="s">
        <v>108</v>
      </c>
      <c r="B9" s="20" t="s">
        <v>11</v>
      </c>
      <c r="C9" s="20" t="s">
        <v>142</v>
      </c>
      <c r="D9" s="20" t="s">
        <v>100</v>
      </c>
      <c r="E9" s="34">
        <f t="shared" si="0"/>
        <v>0.78431372549019607</v>
      </c>
      <c r="F9" s="34">
        <v>1</v>
      </c>
      <c r="G9" s="34">
        <f>IF(prodnorm15&gt;0,1/prodnorm15,0)</f>
        <v>0</v>
      </c>
      <c r="H9" s="36">
        <f>dagwerk15</f>
        <v>0</v>
      </c>
      <c r="I9" s="37">
        <f>uurtarief15</f>
        <v>0</v>
      </c>
      <c r="J9" s="34">
        <v>180</v>
      </c>
    </row>
    <row r="10" spans="1:10" x14ac:dyDescent="0.2">
      <c r="A10" s="20" t="s">
        <v>110</v>
      </c>
      <c r="B10" s="20" t="s">
        <v>11</v>
      </c>
      <c r="C10" s="20" t="s">
        <v>142</v>
      </c>
      <c r="D10" s="20" t="s">
        <v>100</v>
      </c>
      <c r="E10" s="34">
        <f t="shared" si="0"/>
        <v>0.78431372549019607</v>
      </c>
      <c r="F10" s="34">
        <v>1</v>
      </c>
      <c r="G10" s="34">
        <f>IF(prodnorm16&gt;0,1/prodnorm16,0)</f>
        <v>0</v>
      </c>
      <c r="H10" s="36">
        <f>dagwerk16</f>
        <v>0</v>
      </c>
      <c r="I10" s="37">
        <f>uurtarief16</f>
        <v>0</v>
      </c>
      <c r="J10" s="34">
        <v>1096</v>
      </c>
    </row>
    <row r="11" spans="1:10" x14ac:dyDescent="0.2">
      <c r="A11" s="20" t="s">
        <v>112</v>
      </c>
      <c r="B11" s="20" t="s">
        <v>11</v>
      </c>
      <c r="C11" s="20" t="s">
        <v>142</v>
      </c>
      <c r="D11" s="20" t="s">
        <v>100</v>
      </c>
      <c r="E11" s="34">
        <f t="shared" si="0"/>
        <v>0.78431372549019607</v>
      </c>
      <c r="F11" s="34">
        <v>1</v>
      </c>
      <c r="G11" s="34">
        <f>IF(prodnorm17&gt;0,1/prodnorm17,0)</f>
        <v>0</v>
      </c>
      <c r="H11" s="36">
        <f>dagwerk17</f>
        <v>0</v>
      </c>
      <c r="I11" s="37">
        <f>uurtarief17</f>
        <v>0</v>
      </c>
      <c r="J11" s="34">
        <v>62</v>
      </c>
    </row>
    <row r="12" spans="1:10" x14ac:dyDescent="0.2">
      <c r="A12" s="20" t="s">
        <v>114</v>
      </c>
      <c r="B12" s="20" t="s">
        <v>17</v>
      </c>
      <c r="C12" s="20" t="s">
        <v>142</v>
      </c>
      <c r="D12" s="20" t="s">
        <v>100</v>
      </c>
      <c r="E12" s="34">
        <f t="shared" si="0"/>
        <v>4.7058823529411764E-2</v>
      </c>
      <c r="F12" s="34">
        <v>1</v>
      </c>
      <c r="G12" s="34">
        <f>IF(prodnorm18&gt;0,1/prodnorm18,0)</f>
        <v>0</v>
      </c>
      <c r="H12" s="36">
        <f>dagwerk18</f>
        <v>0</v>
      </c>
      <c r="I12" s="37">
        <f>uurtarief18</f>
        <v>0</v>
      </c>
      <c r="J12" s="34">
        <v>56.9</v>
      </c>
    </row>
    <row r="13" spans="1:10" x14ac:dyDescent="0.2">
      <c r="A13" s="20" t="s">
        <v>116</v>
      </c>
      <c r="B13" s="20" t="s">
        <v>17</v>
      </c>
      <c r="C13" s="20" t="s">
        <v>142</v>
      </c>
      <c r="D13" s="20" t="s">
        <v>100</v>
      </c>
      <c r="E13" s="34">
        <f t="shared" si="0"/>
        <v>4.7058823529411764E-2</v>
      </c>
      <c r="F13" s="34">
        <v>1</v>
      </c>
      <c r="G13" s="34">
        <f>IF(prodnorm19&gt;0,1/prodnorm19,0)</f>
        <v>0</v>
      </c>
      <c r="H13" s="36">
        <f>dagwerk19</f>
        <v>0</v>
      </c>
      <c r="I13" s="37">
        <f>uurtarief19</f>
        <v>0</v>
      </c>
      <c r="J13" s="34">
        <v>3.3</v>
      </c>
    </row>
    <row r="14" spans="1:10" x14ac:dyDescent="0.2">
      <c r="A14" s="20" t="s">
        <v>118</v>
      </c>
      <c r="B14" s="20" t="s">
        <v>11</v>
      </c>
      <c r="C14" s="20" t="s">
        <v>142</v>
      </c>
      <c r="D14" s="20" t="s">
        <v>100</v>
      </c>
      <c r="E14" s="34">
        <f t="shared" si="0"/>
        <v>0.78431372549019607</v>
      </c>
      <c r="F14" s="34">
        <v>1</v>
      </c>
      <c r="G14" s="34">
        <f>IF(prodnorm20&gt;0,1/prodnorm20,0)</f>
        <v>0</v>
      </c>
      <c r="H14" s="36">
        <f>dagwerk20</f>
        <v>0</v>
      </c>
      <c r="I14" s="37">
        <f>uurtarief20</f>
        <v>0</v>
      </c>
      <c r="J14" s="34">
        <v>9.5</v>
      </c>
    </row>
    <row r="15" spans="1:10" x14ac:dyDescent="0.2">
      <c r="A15" s="20" t="s">
        <v>120</v>
      </c>
      <c r="B15" s="20" t="s">
        <v>11</v>
      </c>
      <c r="C15" s="20" t="s">
        <v>142</v>
      </c>
      <c r="D15" s="20" t="s">
        <v>100</v>
      </c>
      <c r="E15" s="34">
        <f t="shared" si="0"/>
        <v>0.78431372549019607</v>
      </c>
      <c r="F15" s="34">
        <v>1</v>
      </c>
      <c r="G15" s="34">
        <f>IF(prodnorm21&gt;0,1/prodnorm21,0)</f>
        <v>0</v>
      </c>
      <c r="H15" s="36">
        <f>dagwerk21</f>
        <v>0</v>
      </c>
      <c r="I15" s="37">
        <f>uurtarief21</f>
        <v>0</v>
      </c>
      <c r="J15" s="34">
        <v>97</v>
      </c>
    </row>
    <row r="16" spans="1:10" x14ac:dyDescent="0.2">
      <c r="A16" s="20" t="s">
        <v>122</v>
      </c>
      <c r="B16" s="20" t="s">
        <v>11</v>
      </c>
      <c r="C16" s="20" t="s">
        <v>142</v>
      </c>
      <c r="D16" s="20" t="s">
        <v>100</v>
      </c>
      <c r="E16" s="34">
        <f t="shared" si="0"/>
        <v>0.78431372549019607</v>
      </c>
      <c r="F16" s="34">
        <v>1</v>
      </c>
      <c r="G16" s="34">
        <f>IF(prodnorm22&gt;0,1/prodnorm22,0)</f>
        <v>0</v>
      </c>
      <c r="H16" s="36">
        <f>dagwerk22</f>
        <v>0</v>
      </c>
      <c r="I16" s="37">
        <f>uurtarief22</f>
        <v>0</v>
      </c>
      <c r="J16" s="34">
        <v>70.5</v>
      </c>
    </row>
    <row r="17" spans="1:10" x14ac:dyDescent="0.2">
      <c r="A17" s="20" t="s">
        <v>124</v>
      </c>
      <c r="B17" s="20" t="s">
        <v>14</v>
      </c>
      <c r="C17" s="20" t="s">
        <v>142</v>
      </c>
      <c r="D17" s="20" t="s">
        <v>100</v>
      </c>
      <c r="E17" s="34">
        <f t="shared" si="0"/>
        <v>0.31372549019607843</v>
      </c>
      <c r="F17" s="34">
        <v>1</v>
      </c>
      <c r="G17" s="34">
        <f>IF(prodnorm23&gt;0,1/prodnorm23,0)</f>
        <v>0</v>
      </c>
      <c r="H17" s="36">
        <f>dagwerk23</f>
        <v>0</v>
      </c>
      <c r="I17" s="37">
        <f>uurtarief23</f>
        <v>0</v>
      </c>
      <c r="J17" s="34">
        <v>67</v>
      </c>
    </row>
    <row r="18" spans="1:10" x14ac:dyDescent="0.2">
      <c r="A18" s="20" t="s">
        <v>125</v>
      </c>
      <c r="B18" s="20" t="s">
        <v>11</v>
      </c>
      <c r="C18" s="20" t="s">
        <v>142</v>
      </c>
      <c r="D18" s="20" t="s">
        <v>100</v>
      </c>
      <c r="E18" s="34">
        <f t="shared" si="0"/>
        <v>0.78431372549019607</v>
      </c>
      <c r="F18" s="34">
        <v>1</v>
      </c>
      <c r="G18" s="34">
        <f>IF(prodnorm24&gt;0,1/prodnorm24,0)</f>
        <v>0</v>
      </c>
      <c r="H18" s="36">
        <f>dagwerk24</f>
        <v>0</v>
      </c>
      <c r="I18" s="37">
        <f>uurtarief24</f>
        <v>0</v>
      </c>
      <c r="J18" s="34">
        <v>53</v>
      </c>
    </row>
    <row r="19" spans="1:10" x14ac:dyDescent="0.2">
      <c r="A19" s="20" t="s">
        <v>127</v>
      </c>
      <c r="B19" s="20" t="s">
        <v>23</v>
      </c>
      <c r="C19" s="20" t="s">
        <v>142</v>
      </c>
      <c r="D19" s="20" t="s">
        <v>100</v>
      </c>
      <c r="E19" s="34">
        <f t="shared" si="0"/>
        <v>3.9215686274509803E-3</v>
      </c>
      <c r="F19" s="34">
        <v>1</v>
      </c>
      <c r="G19" s="34">
        <f>IF(prodnorm25&gt;0,1/prodnorm25,0)</f>
        <v>0</v>
      </c>
      <c r="H19" s="36">
        <f>dagwerk25</f>
        <v>0</v>
      </c>
      <c r="I19" s="37">
        <f>uurtarief25</f>
        <v>0</v>
      </c>
      <c r="J19" s="34">
        <v>1872</v>
      </c>
    </row>
    <row r="20" spans="1:10" x14ac:dyDescent="0.2">
      <c r="A20" s="25" t="s">
        <v>129</v>
      </c>
      <c r="B20" s="25" t="s">
        <v>23</v>
      </c>
      <c r="C20" s="25" t="s">
        <v>142</v>
      </c>
      <c r="D20" s="25" t="s">
        <v>100</v>
      </c>
      <c r="E20" s="38">
        <f t="shared" si="0"/>
        <v>3.9215686274509803E-3</v>
      </c>
      <c r="F20" s="38">
        <v>1</v>
      </c>
      <c r="G20" s="38">
        <f>IF(prodnorm26&gt;0,1/prodnorm26,0)</f>
        <v>0</v>
      </c>
      <c r="H20" s="51">
        <f>dagwerk26</f>
        <v>0</v>
      </c>
      <c r="I20" s="40">
        <f>uurtarief26</f>
        <v>0</v>
      </c>
      <c r="J20" s="38">
        <v>26</v>
      </c>
    </row>
    <row r="21" spans="1:10" x14ac:dyDescent="0.2">
      <c r="A21" s="41" t="s">
        <v>131</v>
      </c>
      <c r="B21" s="42"/>
      <c r="C21" s="42"/>
      <c r="D21" s="42"/>
      <c r="E21" s="42"/>
      <c r="F21" s="42"/>
      <c r="G21" s="42"/>
      <c r="H21" s="42"/>
      <c r="I21" s="42"/>
      <c r="J21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0B9A-EE6E-4875-9FDC-BA0096B71B16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H5.3: ",tabeltype," objecten")</f>
        <v>Bijlage H5.3: Invultabel objecten</v>
      </c>
    </row>
    <row r="3" spans="1:19" ht="51" x14ac:dyDescent="0.2">
      <c r="A3" s="8" t="s">
        <v>143</v>
      </c>
      <c r="B3" s="8" t="s">
        <v>144</v>
      </c>
      <c r="C3" s="8" t="s">
        <v>145</v>
      </c>
      <c r="D3" s="8" t="s">
        <v>146</v>
      </c>
      <c r="E3" s="8" t="s">
        <v>7</v>
      </c>
      <c r="F3" s="8" t="s">
        <v>147</v>
      </c>
      <c r="G3" s="8" t="s">
        <v>148</v>
      </c>
      <c r="H3" s="8" t="s">
        <v>149</v>
      </c>
      <c r="I3" s="8" t="s">
        <v>150</v>
      </c>
      <c r="J3" s="8" t="s">
        <v>151</v>
      </c>
      <c r="K3" s="8" t="s">
        <v>152</v>
      </c>
      <c r="L3" s="8" t="s">
        <v>153</v>
      </c>
      <c r="M3" s="8" t="s">
        <v>154</v>
      </c>
      <c r="N3" s="8" t="s">
        <v>155</v>
      </c>
      <c r="O3" s="8" t="s">
        <v>156</v>
      </c>
      <c r="P3" s="8" t="s">
        <v>157</v>
      </c>
      <c r="Q3" s="8" t="s">
        <v>97</v>
      </c>
      <c r="R3" s="8" t="s">
        <v>158</v>
      </c>
      <c r="S3" s="8" t="s">
        <v>159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160</v>
      </c>
      <c r="B6" s="53" t="s">
        <v>161</v>
      </c>
      <c r="C6" s="53" t="s">
        <v>162</v>
      </c>
      <c r="D6" s="53" t="s">
        <v>163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1" t="s">
        <v>131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>
        <f>SUM(P6:P6)</f>
        <v>0</v>
      </c>
      <c r="Q7" s="43">
        <f>SUM(Q6:Q6)</f>
        <v>0</v>
      </c>
      <c r="R7" s="44">
        <f>SUM(R6:R6)</f>
        <v>0</v>
      </c>
      <c r="S7" s="45">
        <f>SUM(S6:S6)</f>
        <v>0</v>
      </c>
    </row>
    <row r="8" spans="1:19" x14ac:dyDescent="0.2">
      <c r="A8" s="4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7"/>
    </row>
    <row r="10" spans="1:19" x14ac:dyDescent="0.2">
      <c r="A10" s="41" t="s">
        <v>164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>
        <f>urenjaartotaalhf1</f>
        <v>0</v>
      </c>
      <c r="Q10" s="43">
        <f>urenjaartotaal1</f>
        <v>0</v>
      </c>
      <c r="R10" s="44">
        <f>prijsjaartotaal1</f>
        <v>0</v>
      </c>
      <c r="S10" s="44">
        <f>prijsmaandtotaal1</f>
        <v>0</v>
      </c>
    </row>
    <row r="12" spans="1:19" x14ac:dyDescent="0.2">
      <c r="A12" s="41" t="s">
        <v>165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4">
        <f>R10*1.21</f>
        <v>0</v>
      </c>
      <c r="S12" s="44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C0A7-0B7B-4CA6-B0F0-5AB7CD0610A5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H5.4: ",tabeltype," niet-meewerkende objectleiding")</f>
        <v>Bijlage H5.4: Invultabel niet-meewerkende objectleiding</v>
      </c>
    </row>
    <row r="3" spans="1:11" ht="38.25" x14ac:dyDescent="0.2">
      <c r="A3" s="8" t="s">
        <v>166</v>
      </c>
      <c r="B3" s="8" t="s">
        <v>7</v>
      </c>
      <c r="C3" s="8" t="s">
        <v>167</v>
      </c>
      <c r="D3" s="8" t="s">
        <v>168</v>
      </c>
      <c r="E3" s="8" t="s">
        <v>169</v>
      </c>
      <c r="F3" s="8" t="s">
        <v>170</v>
      </c>
      <c r="G3" s="8" t="s">
        <v>171</v>
      </c>
      <c r="H3" s="8" t="s">
        <v>97</v>
      </c>
      <c r="I3" s="8" t="s">
        <v>172</v>
      </c>
      <c r="J3" s="8" t="s">
        <v>173</v>
      </c>
      <c r="K3" s="8" t="s">
        <v>174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175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176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177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178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178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179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179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0">
        <f>IF(ISBLANK(E12),0,E12*H12)</f>
        <v>0</v>
      </c>
      <c r="K12" s="40">
        <f>J12/12</f>
        <v>0</v>
      </c>
    </row>
    <row r="13" spans="1:11" x14ac:dyDescent="0.2">
      <c r="A13" s="72" t="s">
        <v>180</v>
      </c>
      <c r="B13" s="42"/>
      <c r="C13" s="42"/>
      <c r="D13" s="42"/>
      <c r="E13" s="42"/>
      <c r="F13" s="42"/>
      <c r="G13" s="42"/>
      <c r="H13" s="43">
        <f>SUM(H8:H12)</f>
        <v>0</v>
      </c>
      <c r="I13" s="42"/>
      <c r="J13" s="44">
        <f>SUM(J8:J12)</f>
        <v>0</v>
      </c>
      <c r="K13" s="45">
        <f>SUM(K8:K12)</f>
        <v>0</v>
      </c>
    </row>
    <row r="14" spans="1:11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2"/>
      <c r="K14" s="47"/>
    </row>
    <row r="15" spans="1:11" x14ac:dyDescent="0.2">
      <c r="A15" s="41" t="s">
        <v>131</v>
      </c>
      <c r="B15" s="42"/>
      <c r="C15" s="42"/>
      <c r="D15" s="42"/>
      <c r="E15" s="42"/>
      <c r="F15" s="42"/>
      <c r="G15" s="42"/>
      <c r="H15" s="43">
        <f>tzujt1_1</f>
        <v>0</v>
      </c>
      <c r="I15" s="42"/>
      <c r="J15" s="44">
        <f>tzpjt1_1</f>
        <v>0</v>
      </c>
      <c r="K15" s="45">
        <f>tzpmt1_1</f>
        <v>0</v>
      </c>
    </row>
    <row r="16" spans="1:11" x14ac:dyDescent="0.2">
      <c r="A16" s="46"/>
      <c r="B16" s="42"/>
      <c r="C16" s="42"/>
      <c r="D16" s="42"/>
      <c r="E16" s="42"/>
      <c r="F16" s="42"/>
      <c r="G16" s="42"/>
      <c r="H16" s="42"/>
      <c r="I16" s="42"/>
      <c r="J16" s="42"/>
      <c r="K16" s="47"/>
    </row>
    <row r="18" spans="1:11" x14ac:dyDescent="0.2">
      <c r="A18" s="41" t="s">
        <v>181</v>
      </c>
      <c r="B18" s="42"/>
      <c r="C18" s="42"/>
      <c r="D18" s="42"/>
      <c r="E18" s="42"/>
      <c r="F18" s="42"/>
      <c r="G18" s="42"/>
      <c r="H18" s="43">
        <f>tzujt1</f>
        <v>0</v>
      </c>
      <c r="I18" s="42"/>
      <c r="J18" s="44">
        <f>tzpjt1</f>
        <v>0</v>
      </c>
      <c r="K18" s="44">
        <f>tzpmt1</f>
        <v>0</v>
      </c>
    </row>
    <row r="20" spans="1:11" x14ac:dyDescent="0.2">
      <c r="A20" s="41" t="s">
        <v>182</v>
      </c>
      <c r="B20" s="42"/>
      <c r="C20" s="42"/>
      <c r="D20" s="42"/>
      <c r="E20" s="42"/>
      <c r="F20" s="42"/>
      <c r="G20" s="42"/>
      <c r="H20" s="42"/>
      <c r="I20" s="42"/>
      <c r="J20" s="44">
        <f>J18*1.21</f>
        <v>0</v>
      </c>
      <c r="K20" s="44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3CEA-5ECE-49CF-BB7C-6D3F139614DF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H5.5: ",tabeltype," totaalblad objecten")</f>
        <v>Bijlage H5.5: Invultabel totaalblad objecten</v>
      </c>
    </row>
    <row r="3" spans="1:12" ht="38.25" x14ac:dyDescent="0.2">
      <c r="A3" s="8" t="s">
        <v>143</v>
      </c>
      <c r="B3" s="8" t="s">
        <v>144</v>
      </c>
      <c r="C3" s="8" t="s">
        <v>145</v>
      </c>
      <c r="D3" s="8" t="s">
        <v>146</v>
      </c>
      <c r="E3" s="8" t="s">
        <v>157</v>
      </c>
      <c r="F3" s="8" t="s">
        <v>97</v>
      </c>
      <c r="G3" s="8" t="s">
        <v>183</v>
      </c>
      <c r="H3" s="8" t="s">
        <v>184</v>
      </c>
      <c r="I3" s="8" t="s">
        <v>185</v>
      </c>
      <c r="J3" s="8" t="s">
        <v>186</v>
      </c>
      <c r="K3" s="8" t="s">
        <v>187</v>
      </c>
      <c r="L3" s="8" t="s">
        <v>188</v>
      </c>
    </row>
    <row r="4" spans="1:12" x14ac:dyDescent="0.2">
      <c r="A4" s="53" t="s">
        <v>160</v>
      </c>
      <c r="B4" s="53" t="s">
        <v>161</v>
      </c>
      <c r="C4" s="53" t="s">
        <v>162</v>
      </c>
      <c r="D4" s="53" t="s">
        <v>163</v>
      </c>
      <c r="E4" s="57">
        <f>objecturenhf1_1</f>
        <v>0</v>
      </c>
      <c r="F4" s="57">
        <f>objecturen1_1</f>
        <v>0</v>
      </c>
      <c r="G4" s="59">
        <f>objectprijs1_1</f>
        <v>0</v>
      </c>
      <c r="H4" s="57">
        <f>tzujt1_1</f>
        <v>0</v>
      </c>
      <c r="I4" s="59">
        <f>tzpjt1_1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1" t="s">
        <v>189</v>
      </c>
      <c r="B6" s="42"/>
      <c r="C6" s="42"/>
      <c r="D6" s="42"/>
      <c r="E6" s="43">
        <f t="shared" ref="E6:L6" si="0">SUM(E4:E4)</f>
        <v>0</v>
      </c>
      <c r="F6" s="43">
        <f t="shared" si="0"/>
        <v>0</v>
      </c>
      <c r="G6" s="44">
        <f t="shared" si="0"/>
        <v>0</v>
      </c>
      <c r="H6" s="43">
        <f t="shared" si="0"/>
        <v>0</v>
      </c>
      <c r="I6" s="44">
        <f t="shared" si="0"/>
        <v>0</v>
      </c>
      <c r="J6" s="44">
        <f t="shared" si="0"/>
        <v>0</v>
      </c>
      <c r="K6" s="44">
        <f t="shared" si="0"/>
        <v>0</v>
      </c>
      <c r="L6" s="44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3267-3AA4-4173-810E-06F28FA70DF3}">
  <dimension ref="A1:L13"/>
  <sheetViews>
    <sheetView workbookViewId="0">
      <selection activeCell="A11" sqref="A11:XFD12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H5.6: ",tabeltype," afroep")</f>
        <v>Bijlage H5.6: Invultabel afroep</v>
      </c>
    </row>
    <row r="3" spans="1:12" ht="38.25" x14ac:dyDescent="0.2">
      <c r="A3" s="8" t="s">
        <v>190</v>
      </c>
      <c r="B3" s="8" t="s">
        <v>7</v>
      </c>
      <c r="C3" s="8" t="s">
        <v>191</v>
      </c>
      <c r="D3" s="8" t="s">
        <v>27</v>
      </c>
      <c r="E3" s="8" t="s">
        <v>30</v>
      </c>
      <c r="F3" s="8" t="s">
        <v>192</v>
      </c>
      <c r="G3" s="8" t="s">
        <v>193</v>
      </c>
      <c r="H3" s="8" t="s">
        <v>194</v>
      </c>
      <c r="I3" s="8" t="s">
        <v>195</v>
      </c>
      <c r="J3" s="8" t="s">
        <v>196</v>
      </c>
      <c r="K3" s="8" t="s">
        <v>98</v>
      </c>
      <c r="L3" s="8" t="s">
        <v>159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197</v>
      </c>
      <c r="B6" s="15" t="s">
        <v>18</v>
      </c>
      <c r="C6" s="16">
        <f t="shared" ref="C6:C10" si="0">IF(ISBLANK(B6),0,IF(ISERROR(VALUE(B6)),VLOOKUP(B6,dagsoorttabel1,2,FALSE)*dagenperjaar1,VALUE(B6)))</f>
        <v>10</v>
      </c>
      <c r="D6" s="15" t="s">
        <v>198</v>
      </c>
      <c r="E6" s="15" t="s">
        <v>199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0" si="1">C6*J6</f>
        <v>0</v>
      </c>
      <c r="L6" s="33">
        <f t="shared" ref="L6:L11" si="2">K6/12</f>
        <v>0</v>
      </c>
    </row>
    <row r="7" spans="1:12" x14ac:dyDescent="0.2">
      <c r="A7" s="20" t="s">
        <v>200</v>
      </c>
      <c r="B7" s="20" t="s">
        <v>18</v>
      </c>
      <c r="C7" s="21">
        <f t="shared" si="0"/>
        <v>10</v>
      </c>
      <c r="D7" s="20" t="s">
        <v>201</v>
      </c>
      <c r="E7" s="20" t="s">
        <v>199</v>
      </c>
      <c r="F7" s="76">
        <v>4</v>
      </c>
      <c r="G7" s="24"/>
      <c r="H7" s="75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202</v>
      </c>
      <c r="B8" s="20" t="s">
        <v>18</v>
      </c>
      <c r="C8" s="21">
        <f t="shared" si="0"/>
        <v>10</v>
      </c>
      <c r="D8" s="20" t="s">
        <v>203</v>
      </c>
      <c r="E8" s="20" t="s">
        <v>199</v>
      </c>
      <c r="F8" s="76">
        <v>4</v>
      </c>
      <c r="G8" s="24"/>
      <c r="H8" s="75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204</v>
      </c>
      <c r="B9" s="20" t="s">
        <v>18</v>
      </c>
      <c r="C9" s="21">
        <f t="shared" si="0"/>
        <v>10</v>
      </c>
      <c r="D9" s="20" t="s">
        <v>205</v>
      </c>
      <c r="E9" s="20" t="s">
        <v>199</v>
      </c>
      <c r="F9" s="76">
        <v>10</v>
      </c>
      <c r="G9" s="24"/>
      <c r="H9" s="75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206</v>
      </c>
      <c r="B10" s="20" t="s">
        <v>18</v>
      </c>
      <c r="C10" s="21">
        <f t="shared" si="0"/>
        <v>10</v>
      </c>
      <c r="D10" s="20" t="s">
        <v>207</v>
      </c>
      <c r="E10" s="20" t="s">
        <v>199</v>
      </c>
      <c r="F10" s="76">
        <v>4</v>
      </c>
      <c r="G10" s="24"/>
      <c r="H10" s="75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41" t="s">
        <v>131</v>
      </c>
      <c r="B11" s="42"/>
      <c r="C11" s="42"/>
      <c r="D11" s="42"/>
      <c r="E11" s="42"/>
      <c r="F11" s="42"/>
      <c r="G11" s="42"/>
      <c r="H11" s="42"/>
      <c r="I11" s="42"/>
      <c r="J11" s="42"/>
      <c r="K11" s="44">
        <f>SUM(K6:K10)</f>
        <v>0</v>
      </c>
      <c r="L11" s="78">
        <f t="shared" si="2"/>
        <v>0</v>
      </c>
    </row>
    <row r="13" spans="1:12" x14ac:dyDescent="0.2">
      <c r="A13" s="41" t="s">
        <v>209</v>
      </c>
      <c r="B13" s="42"/>
      <c r="C13" s="42"/>
      <c r="D13" s="42"/>
      <c r="E13" s="42"/>
      <c r="F13" s="42"/>
      <c r="G13" s="42"/>
      <c r="H13" s="42"/>
      <c r="I13" s="42"/>
      <c r="J13" s="42"/>
      <c r="K13" s="44">
        <f>prijsjaarafroep1</f>
        <v>0</v>
      </c>
      <c r="L13" s="78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E9A5-9222-4EF1-8360-1D9C3F571A54}">
  <dimension ref="A1:E90"/>
  <sheetViews>
    <sheetView workbookViewId="0">
      <selection activeCell="B18" sqref="B18"/>
    </sheetView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H5.7: ",tabeltype," afroep incidenteel")</f>
        <v>Bijlage H5.7: Invultabel afroep incidenteel</v>
      </c>
    </row>
    <row r="3" spans="1:5" ht="38.25" x14ac:dyDescent="0.2">
      <c r="A3" s="8" t="s">
        <v>190</v>
      </c>
      <c r="B3" s="8" t="s">
        <v>27</v>
      </c>
      <c r="C3" s="8" t="s">
        <v>30</v>
      </c>
      <c r="D3" s="8" t="s">
        <v>210</v>
      </c>
      <c r="E3" s="8" t="s">
        <v>195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211</v>
      </c>
      <c r="B6" s="15" t="s">
        <v>212</v>
      </c>
      <c r="C6" s="15" t="s">
        <v>213</v>
      </c>
      <c r="D6" s="15" t="s">
        <v>214</v>
      </c>
      <c r="E6" s="19"/>
    </row>
    <row r="7" spans="1:5" x14ac:dyDescent="0.2">
      <c r="A7" s="20" t="s">
        <v>215</v>
      </c>
      <c r="B7" s="20" t="s">
        <v>212</v>
      </c>
      <c r="C7" s="20" t="s">
        <v>213</v>
      </c>
      <c r="D7" s="20" t="s">
        <v>216</v>
      </c>
      <c r="E7" s="24"/>
    </row>
    <row r="8" spans="1:5" x14ac:dyDescent="0.2">
      <c r="A8" s="20" t="s">
        <v>217</v>
      </c>
      <c r="B8" s="20" t="s">
        <v>212</v>
      </c>
      <c r="C8" s="20" t="s">
        <v>213</v>
      </c>
      <c r="D8" s="20" t="s">
        <v>218</v>
      </c>
      <c r="E8" s="24"/>
    </row>
    <row r="9" spans="1:5" x14ac:dyDescent="0.2">
      <c r="A9" s="20" t="s">
        <v>219</v>
      </c>
      <c r="B9" s="20" t="s">
        <v>212</v>
      </c>
      <c r="C9" s="20" t="s">
        <v>213</v>
      </c>
      <c r="D9" s="20" t="s">
        <v>220</v>
      </c>
      <c r="E9" s="24"/>
    </row>
    <row r="10" spans="1:5" x14ac:dyDescent="0.2">
      <c r="A10" s="20" t="s">
        <v>221</v>
      </c>
      <c r="B10" s="20" t="s">
        <v>222</v>
      </c>
      <c r="C10" s="20" t="s">
        <v>213</v>
      </c>
      <c r="D10" s="20" t="s">
        <v>214</v>
      </c>
      <c r="E10" s="24"/>
    </row>
    <row r="11" spans="1:5" x14ac:dyDescent="0.2">
      <c r="A11" s="20" t="s">
        <v>223</v>
      </c>
      <c r="B11" s="20" t="s">
        <v>222</v>
      </c>
      <c r="C11" s="20" t="s">
        <v>213</v>
      </c>
      <c r="D11" s="20" t="s">
        <v>216</v>
      </c>
      <c r="E11" s="24"/>
    </row>
    <row r="12" spans="1:5" x14ac:dyDescent="0.2">
      <c r="A12" s="20" t="s">
        <v>224</v>
      </c>
      <c r="B12" s="20" t="s">
        <v>222</v>
      </c>
      <c r="C12" s="20" t="s">
        <v>213</v>
      </c>
      <c r="D12" s="20" t="s">
        <v>218</v>
      </c>
      <c r="E12" s="24"/>
    </row>
    <row r="13" spans="1:5" x14ac:dyDescent="0.2">
      <c r="A13" s="20" t="s">
        <v>225</v>
      </c>
      <c r="B13" s="20" t="s">
        <v>222</v>
      </c>
      <c r="C13" s="20" t="s">
        <v>213</v>
      </c>
      <c r="D13" s="20" t="s">
        <v>220</v>
      </c>
      <c r="E13" s="24"/>
    </row>
    <row r="14" spans="1:5" x14ac:dyDescent="0.2">
      <c r="A14" s="20" t="s">
        <v>226</v>
      </c>
      <c r="B14" s="20" t="s">
        <v>227</v>
      </c>
      <c r="C14" s="20" t="s">
        <v>213</v>
      </c>
      <c r="D14" s="20" t="s">
        <v>214</v>
      </c>
      <c r="E14" s="24"/>
    </row>
    <row r="15" spans="1:5" x14ac:dyDescent="0.2">
      <c r="A15" s="20" t="s">
        <v>228</v>
      </c>
      <c r="B15" s="20" t="s">
        <v>227</v>
      </c>
      <c r="C15" s="20" t="s">
        <v>213</v>
      </c>
      <c r="D15" s="20" t="s">
        <v>216</v>
      </c>
      <c r="E15" s="24"/>
    </row>
    <row r="16" spans="1:5" x14ac:dyDescent="0.2">
      <c r="A16" s="20" t="s">
        <v>229</v>
      </c>
      <c r="B16" s="20" t="s">
        <v>227</v>
      </c>
      <c r="C16" s="20" t="s">
        <v>213</v>
      </c>
      <c r="D16" s="20" t="s">
        <v>218</v>
      </c>
      <c r="E16" s="24"/>
    </row>
    <row r="17" spans="1:5" x14ac:dyDescent="0.2">
      <c r="A17" s="20" t="s">
        <v>230</v>
      </c>
      <c r="B17" s="20" t="s">
        <v>227</v>
      </c>
      <c r="C17" s="20" t="s">
        <v>213</v>
      </c>
      <c r="D17" s="20" t="s">
        <v>220</v>
      </c>
      <c r="E17" s="24"/>
    </row>
    <row r="18" spans="1:5" x14ac:dyDescent="0.2">
      <c r="A18" s="20" t="s">
        <v>231</v>
      </c>
      <c r="B18" s="20" t="s">
        <v>232</v>
      </c>
      <c r="C18" s="20" t="s">
        <v>213</v>
      </c>
      <c r="D18" s="20" t="s">
        <v>214</v>
      </c>
      <c r="E18" s="24"/>
    </row>
    <row r="19" spans="1:5" x14ac:dyDescent="0.2">
      <c r="A19" s="20" t="s">
        <v>233</v>
      </c>
      <c r="B19" s="20" t="s">
        <v>232</v>
      </c>
      <c r="C19" s="20" t="s">
        <v>213</v>
      </c>
      <c r="D19" s="20" t="s">
        <v>216</v>
      </c>
      <c r="E19" s="24"/>
    </row>
    <row r="20" spans="1:5" x14ac:dyDescent="0.2">
      <c r="A20" s="20" t="s">
        <v>234</v>
      </c>
      <c r="B20" s="20" t="s">
        <v>232</v>
      </c>
      <c r="C20" s="20" t="s">
        <v>213</v>
      </c>
      <c r="D20" s="20" t="s">
        <v>218</v>
      </c>
      <c r="E20" s="24"/>
    </row>
    <row r="21" spans="1:5" x14ac:dyDescent="0.2">
      <c r="A21" s="20" t="s">
        <v>235</v>
      </c>
      <c r="B21" s="20" t="s">
        <v>232</v>
      </c>
      <c r="C21" s="20" t="s">
        <v>213</v>
      </c>
      <c r="D21" s="20" t="s">
        <v>220</v>
      </c>
      <c r="E21" s="24"/>
    </row>
    <row r="22" spans="1:5" x14ac:dyDescent="0.2">
      <c r="A22" s="20" t="s">
        <v>236</v>
      </c>
      <c r="B22" s="20" t="s">
        <v>237</v>
      </c>
      <c r="C22" s="20" t="s">
        <v>238</v>
      </c>
      <c r="D22" s="20" t="s">
        <v>239</v>
      </c>
      <c r="E22" s="24"/>
    </row>
    <row r="23" spans="1:5" x14ac:dyDescent="0.2">
      <c r="A23" s="20" t="s">
        <v>240</v>
      </c>
      <c r="B23" s="20" t="s">
        <v>237</v>
      </c>
      <c r="C23" s="20" t="s">
        <v>238</v>
      </c>
      <c r="D23" s="20" t="s">
        <v>241</v>
      </c>
      <c r="E23" s="24"/>
    </row>
    <row r="24" spans="1:5" x14ac:dyDescent="0.2">
      <c r="A24" s="20" t="s">
        <v>242</v>
      </c>
      <c r="B24" s="20" t="s">
        <v>237</v>
      </c>
      <c r="C24" s="20" t="s">
        <v>238</v>
      </c>
      <c r="D24" s="20" t="s">
        <v>243</v>
      </c>
      <c r="E24" s="24"/>
    </row>
    <row r="25" spans="1:5" x14ac:dyDescent="0.2">
      <c r="A25" s="20" t="s">
        <v>244</v>
      </c>
      <c r="B25" s="20" t="s">
        <v>237</v>
      </c>
      <c r="C25" s="20" t="s">
        <v>238</v>
      </c>
      <c r="D25" s="20" t="s">
        <v>245</v>
      </c>
      <c r="E25" s="24"/>
    </row>
    <row r="26" spans="1:5" x14ac:dyDescent="0.2">
      <c r="A26" s="20" t="s">
        <v>246</v>
      </c>
      <c r="B26" s="20" t="s">
        <v>247</v>
      </c>
      <c r="C26" s="20" t="s">
        <v>238</v>
      </c>
      <c r="D26" s="20" t="s">
        <v>239</v>
      </c>
      <c r="E26" s="24"/>
    </row>
    <row r="27" spans="1:5" x14ac:dyDescent="0.2">
      <c r="A27" s="20" t="s">
        <v>248</v>
      </c>
      <c r="B27" s="20" t="s">
        <v>247</v>
      </c>
      <c r="C27" s="20" t="s">
        <v>238</v>
      </c>
      <c r="D27" s="20" t="s">
        <v>241</v>
      </c>
      <c r="E27" s="24"/>
    </row>
    <row r="28" spans="1:5" x14ac:dyDescent="0.2">
      <c r="A28" s="20" t="s">
        <v>249</v>
      </c>
      <c r="B28" s="20" t="s">
        <v>247</v>
      </c>
      <c r="C28" s="20" t="s">
        <v>238</v>
      </c>
      <c r="D28" s="20" t="s">
        <v>243</v>
      </c>
      <c r="E28" s="24"/>
    </row>
    <row r="29" spans="1:5" x14ac:dyDescent="0.2">
      <c r="A29" s="20" t="s">
        <v>250</v>
      </c>
      <c r="B29" s="20" t="s">
        <v>247</v>
      </c>
      <c r="C29" s="20" t="s">
        <v>238</v>
      </c>
      <c r="D29" s="20" t="s">
        <v>245</v>
      </c>
      <c r="E29" s="24"/>
    </row>
    <row r="30" spans="1:5" x14ac:dyDescent="0.2">
      <c r="A30" s="20" t="s">
        <v>251</v>
      </c>
      <c r="B30" s="20" t="s">
        <v>252</v>
      </c>
      <c r="C30" s="20" t="s">
        <v>238</v>
      </c>
      <c r="D30" s="20" t="s">
        <v>239</v>
      </c>
      <c r="E30" s="24"/>
    </row>
    <row r="31" spans="1:5" x14ac:dyDescent="0.2">
      <c r="A31" s="20" t="s">
        <v>253</v>
      </c>
      <c r="B31" s="20" t="s">
        <v>252</v>
      </c>
      <c r="C31" s="20" t="s">
        <v>238</v>
      </c>
      <c r="D31" s="20" t="s">
        <v>241</v>
      </c>
      <c r="E31" s="24"/>
    </row>
    <row r="32" spans="1:5" x14ac:dyDescent="0.2">
      <c r="A32" s="20" t="s">
        <v>254</v>
      </c>
      <c r="B32" s="20" t="s">
        <v>252</v>
      </c>
      <c r="C32" s="20" t="s">
        <v>238</v>
      </c>
      <c r="D32" s="20" t="s">
        <v>243</v>
      </c>
      <c r="E32" s="24"/>
    </row>
    <row r="33" spans="1:5" x14ac:dyDescent="0.2">
      <c r="A33" s="20" t="s">
        <v>255</v>
      </c>
      <c r="B33" s="20" t="s">
        <v>252</v>
      </c>
      <c r="C33" s="20" t="s">
        <v>238</v>
      </c>
      <c r="D33" s="20" t="s">
        <v>245</v>
      </c>
      <c r="E33" s="24"/>
    </row>
    <row r="34" spans="1:5" x14ac:dyDescent="0.2">
      <c r="A34" s="20" t="s">
        <v>256</v>
      </c>
      <c r="B34" s="20" t="s">
        <v>257</v>
      </c>
      <c r="C34" s="20" t="s">
        <v>238</v>
      </c>
      <c r="D34" s="20" t="s">
        <v>239</v>
      </c>
      <c r="E34" s="24"/>
    </row>
    <row r="35" spans="1:5" x14ac:dyDescent="0.2">
      <c r="A35" s="20" t="s">
        <v>258</v>
      </c>
      <c r="B35" s="20" t="s">
        <v>257</v>
      </c>
      <c r="C35" s="20" t="s">
        <v>238</v>
      </c>
      <c r="D35" s="20" t="s">
        <v>241</v>
      </c>
      <c r="E35" s="24"/>
    </row>
    <row r="36" spans="1:5" x14ac:dyDescent="0.2">
      <c r="A36" s="20" t="s">
        <v>259</v>
      </c>
      <c r="B36" s="20" t="s">
        <v>257</v>
      </c>
      <c r="C36" s="20" t="s">
        <v>238</v>
      </c>
      <c r="D36" s="20" t="s">
        <v>243</v>
      </c>
      <c r="E36" s="24"/>
    </row>
    <row r="37" spans="1:5" x14ac:dyDescent="0.2">
      <c r="A37" s="20" t="s">
        <v>260</v>
      </c>
      <c r="B37" s="20" t="s">
        <v>257</v>
      </c>
      <c r="C37" s="20" t="s">
        <v>238</v>
      </c>
      <c r="D37" s="20" t="s">
        <v>245</v>
      </c>
      <c r="E37" s="24"/>
    </row>
    <row r="38" spans="1:5" x14ac:dyDescent="0.2">
      <c r="A38" s="20" t="s">
        <v>261</v>
      </c>
      <c r="B38" s="20" t="s">
        <v>262</v>
      </c>
      <c r="C38" s="20" t="s">
        <v>238</v>
      </c>
      <c r="D38" s="20" t="s">
        <v>239</v>
      </c>
      <c r="E38" s="24"/>
    </row>
    <row r="39" spans="1:5" x14ac:dyDescent="0.2">
      <c r="A39" s="20" t="s">
        <v>263</v>
      </c>
      <c r="B39" s="20" t="s">
        <v>262</v>
      </c>
      <c r="C39" s="20" t="s">
        <v>238</v>
      </c>
      <c r="D39" s="20" t="s">
        <v>241</v>
      </c>
      <c r="E39" s="24"/>
    </row>
    <row r="40" spans="1:5" x14ac:dyDescent="0.2">
      <c r="A40" s="20" t="s">
        <v>264</v>
      </c>
      <c r="B40" s="20" t="s">
        <v>262</v>
      </c>
      <c r="C40" s="20" t="s">
        <v>238</v>
      </c>
      <c r="D40" s="20" t="s">
        <v>243</v>
      </c>
      <c r="E40" s="24"/>
    </row>
    <row r="41" spans="1:5" x14ac:dyDescent="0.2">
      <c r="A41" s="20" t="s">
        <v>265</v>
      </c>
      <c r="B41" s="20" t="s">
        <v>262</v>
      </c>
      <c r="C41" s="20" t="s">
        <v>238</v>
      </c>
      <c r="D41" s="20" t="s">
        <v>245</v>
      </c>
      <c r="E41" s="24"/>
    </row>
    <row r="42" spans="1:5" x14ac:dyDescent="0.2">
      <c r="A42" s="20" t="s">
        <v>266</v>
      </c>
      <c r="B42" s="20" t="s">
        <v>267</v>
      </c>
      <c r="C42" s="20" t="s">
        <v>238</v>
      </c>
      <c r="D42" s="20" t="s">
        <v>239</v>
      </c>
      <c r="E42" s="24"/>
    </row>
    <row r="43" spans="1:5" x14ac:dyDescent="0.2">
      <c r="A43" s="20" t="s">
        <v>268</v>
      </c>
      <c r="B43" s="20" t="s">
        <v>267</v>
      </c>
      <c r="C43" s="20" t="s">
        <v>238</v>
      </c>
      <c r="D43" s="20" t="s">
        <v>241</v>
      </c>
      <c r="E43" s="24"/>
    </row>
    <row r="44" spans="1:5" x14ac:dyDescent="0.2">
      <c r="A44" s="20" t="s">
        <v>269</v>
      </c>
      <c r="B44" s="20" t="s">
        <v>267</v>
      </c>
      <c r="C44" s="20" t="s">
        <v>238</v>
      </c>
      <c r="D44" s="20" t="s">
        <v>243</v>
      </c>
      <c r="E44" s="24"/>
    </row>
    <row r="45" spans="1:5" x14ac:dyDescent="0.2">
      <c r="A45" s="20" t="s">
        <v>270</v>
      </c>
      <c r="B45" s="20" t="s">
        <v>267</v>
      </c>
      <c r="C45" s="20" t="s">
        <v>238</v>
      </c>
      <c r="D45" s="20" t="s">
        <v>245</v>
      </c>
      <c r="E45" s="24"/>
    </row>
    <row r="46" spans="1:5" x14ac:dyDescent="0.2">
      <c r="A46" s="20" t="s">
        <v>271</v>
      </c>
      <c r="B46" s="20" t="s">
        <v>272</v>
      </c>
      <c r="C46" s="20" t="s">
        <v>238</v>
      </c>
      <c r="D46" s="20" t="s">
        <v>239</v>
      </c>
      <c r="E46" s="24"/>
    </row>
    <row r="47" spans="1:5" x14ac:dyDescent="0.2">
      <c r="A47" s="20" t="s">
        <v>273</v>
      </c>
      <c r="B47" s="20" t="s">
        <v>272</v>
      </c>
      <c r="C47" s="20" t="s">
        <v>238</v>
      </c>
      <c r="D47" s="20" t="s">
        <v>241</v>
      </c>
      <c r="E47" s="24"/>
    </row>
    <row r="48" spans="1:5" x14ac:dyDescent="0.2">
      <c r="A48" s="20" t="s">
        <v>274</v>
      </c>
      <c r="B48" s="20" t="s">
        <v>272</v>
      </c>
      <c r="C48" s="20" t="s">
        <v>238</v>
      </c>
      <c r="D48" s="20" t="s">
        <v>243</v>
      </c>
      <c r="E48" s="24"/>
    </row>
    <row r="49" spans="1:5" x14ac:dyDescent="0.2">
      <c r="A49" s="20" t="s">
        <v>275</v>
      </c>
      <c r="B49" s="20" t="s">
        <v>272</v>
      </c>
      <c r="C49" s="20" t="s">
        <v>238</v>
      </c>
      <c r="D49" s="20" t="s">
        <v>245</v>
      </c>
      <c r="E49" s="24"/>
    </row>
    <row r="50" spans="1:5" x14ac:dyDescent="0.2">
      <c r="A50" s="20" t="s">
        <v>276</v>
      </c>
      <c r="B50" s="20" t="s">
        <v>277</v>
      </c>
      <c r="C50" s="20" t="s">
        <v>238</v>
      </c>
      <c r="D50" s="20" t="s">
        <v>278</v>
      </c>
      <c r="E50" s="24"/>
    </row>
    <row r="51" spans="1:5" x14ac:dyDescent="0.2">
      <c r="A51" s="20" t="s">
        <v>279</v>
      </c>
      <c r="B51" s="20" t="s">
        <v>280</v>
      </c>
      <c r="C51" s="20" t="s">
        <v>199</v>
      </c>
      <c r="D51" s="20" t="s">
        <v>278</v>
      </c>
      <c r="E51" s="24"/>
    </row>
    <row r="52" spans="1:5" x14ac:dyDescent="0.2">
      <c r="A52" s="20" t="s">
        <v>281</v>
      </c>
      <c r="B52" s="20" t="s">
        <v>282</v>
      </c>
      <c r="C52" s="20" t="s">
        <v>238</v>
      </c>
      <c r="D52" s="20" t="s">
        <v>283</v>
      </c>
      <c r="E52" s="24"/>
    </row>
    <row r="53" spans="1:5" x14ac:dyDescent="0.2">
      <c r="A53" s="20" t="s">
        <v>284</v>
      </c>
      <c r="B53" s="20" t="s">
        <v>282</v>
      </c>
      <c r="C53" s="20" t="s">
        <v>238</v>
      </c>
      <c r="D53" s="20" t="s">
        <v>285</v>
      </c>
      <c r="E53" s="24"/>
    </row>
    <row r="54" spans="1:5" x14ac:dyDescent="0.2">
      <c r="A54" s="20" t="s">
        <v>286</v>
      </c>
      <c r="B54" s="20" t="s">
        <v>282</v>
      </c>
      <c r="C54" s="20" t="s">
        <v>238</v>
      </c>
      <c r="D54" s="20" t="s">
        <v>287</v>
      </c>
      <c r="E54" s="24"/>
    </row>
    <row r="55" spans="1:5" x14ac:dyDescent="0.2">
      <c r="A55" s="20" t="s">
        <v>288</v>
      </c>
      <c r="B55" s="20" t="s">
        <v>282</v>
      </c>
      <c r="C55" s="20" t="s">
        <v>238</v>
      </c>
      <c r="D55" s="20" t="s">
        <v>289</v>
      </c>
      <c r="E55" s="24"/>
    </row>
    <row r="56" spans="1:5" x14ac:dyDescent="0.2">
      <c r="A56" s="20" t="s">
        <v>290</v>
      </c>
      <c r="B56" s="20" t="s">
        <v>291</v>
      </c>
      <c r="C56" s="20" t="s">
        <v>238</v>
      </c>
      <c r="D56" s="20" t="s">
        <v>283</v>
      </c>
      <c r="E56" s="24"/>
    </row>
    <row r="57" spans="1:5" x14ac:dyDescent="0.2">
      <c r="A57" s="20" t="s">
        <v>292</v>
      </c>
      <c r="B57" s="20" t="s">
        <v>291</v>
      </c>
      <c r="C57" s="20" t="s">
        <v>238</v>
      </c>
      <c r="D57" s="20" t="s">
        <v>285</v>
      </c>
      <c r="E57" s="24"/>
    </row>
    <row r="58" spans="1:5" x14ac:dyDescent="0.2">
      <c r="A58" s="20" t="s">
        <v>293</v>
      </c>
      <c r="B58" s="20" t="s">
        <v>291</v>
      </c>
      <c r="C58" s="20" t="s">
        <v>238</v>
      </c>
      <c r="D58" s="20" t="s">
        <v>287</v>
      </c>
      <c r="E58" s="24"/>
    </row>
    <row r="59" spans="1:5" x14ac:dyDescent="0.2">
      <c r="A59" s="20" t="s">
        <v>294</v>
      </c>
      <c r="B59" s="20" t="s">
        <v>291</v>
      </c>
      <c r="C59" s="20" t="s">
        <v>238</v>
      </c>
      <c r="D59" s="20" t="s">
        <v>289</v>
      </c>
      <c r="E59" s="24"/>
    </row>
    <row r="60" spans="1:5" x14ac:dyDescent="0.2">
      <c r="A60" s="20" t="s">
        <v>295</v>
      </c>
      <c r="B60" s="20" t="s">
        <v>296</v>
      </c>
      <c r="C60" s="20" t="s">
        <v>238</v>
      </c>
      <c r="D60" s="20" t="s">
        <v>283</v>
      </c>
      <c r="E60" s="24"/>
    </row>
    <row r="61" spans="1:5" x14ac:dyDescent="0.2">
      <c r="A61" s="20" t="s">
        <v>297</v>
      </c>
      <c r="B61" s="20" t="s">
        <v>296</v>
      </c>
      <c r="C61" s="20" t="s">
        <v>238</v>
      </c>
      <c r="D61" s="20" t="s">
        <v>285</v>
      </c>
      <c r="E61" s="24"/>
    </row>
    <row r="62" spans="1:5" x14ac:dyDescent="0.2">
      <c r="A62" s="20" t="s">
        <v>298</v>
      </c>
      <c r="B62" s="20" t="s">
        <v>296</v>
      </c>
      <c r="C62" s="20" t="s">
        <v>238</v>
      </c>
      <c r="D62" s="20" t="s">
        <v>287</v>
      </c>
      <c r="E62" s="24"/>
    </row>
    <row r="63" spans="1:5" x14ac:dyDescent="0.2">
      <c r="A63" s="20" t="s">
        <v>299</v>
      </c>
      <c r="B63" s="20" t="s">
        <v>296</v>
      </c>
      <c r="C63" s="20" t="s">
        <v>238</v>
      </c>
      <c r="D63" s="20" t="s">
        <v>289</v>
      </c>
      <c r="E63" s="24"/>
    </row>
    <row r="64" spans="1:5" x14ac:dyDescent="0.2">
      <c r="A64" s="20" t="s">
        <v>300</v>
      </c>
      <c r="B64" s="20" t="s">
        <v>301</v>
      </c>
      <c r="C64" s="20" t="s">
        <v>238</v>
      </c>
      <c r="D64" s="20" t="s">
        <v>283</v>
      </c>
      <c r="E64" s="24"/>
    </row>
    <row r="65" spans="1:5" x14ac:dyDescent="0.2">
      <c r="A65" s="20" t="s">
        <v>302</v>
      </c>
      <c r="B65" s="20" t="s">
        <v>301</v>
      </c>
      <c r="C65" s="20" t="s">
        <v>238</v>
      </c>
      <c r="D65" s="20" t="s">
        <v>285</v>
      </c>
      <c r="E65" s="24"/>
    </row>
    <row r="66" spans="1:5" x14ac:dyDescent="0.2">
      <c r="A66" s="20" t="s">
        <v>303</v>
      </c>
      <c r="B66" s="20" t="s">
        <v>301</v>
      </c>
      <c r="C66" s="20" t="s">
        <v>238</v>
      </c>
      <c r="D66" s="20" t="s">
        <v>287</v>
      </c>
      <c r="E66" s="24"/>
    </row>
    <row r="67" spans="1:5" x14ac:dyDescent="0.2">
      <c r="A67" s="20" t="s">
        <v>304</v>
      </c>
      <c r="B67" s="20" t="s">
        <v>301</v>
      </c>
      <c r="C67" s="20" t="s">
        <v>238</v>
      </c>
      <c r="D67" s="20" t="s">
        <v>289</v>
      </c>
      <c r="E67" s="24"/>
    </row>
    <row r="68" spans="1:5" x14ac:dyDescent="0.2">
      <c r="A68" s="20" t="s">
        <v>305</v>
      </c>
      <c r="B68" s="20" t="s">
        <v>306</v>
      </c>
      <c r="C68" s="20" t="s">
        <v>238</v>
      </c>
      <c r="D68" s="20" t="s">
        <v>283</v>
      </c>
      <c r="E68" s="24"/>
    </row>
    <row r="69" spans="1:5" x14ac:dyDescent="0.2">
      <c r="A69" s="20" t="s">
        <v>307</v>
      </c>
      <c r="B69" s="20" t="s">
        <v>306</v>
      </c>
      <c r="C69" s="20" t="s">
        <v>238</v>
      </c>
      <c r="D69" s="20" t="s">
        <v>285</v>
      </c>
      <c r="E69" s="24"/>
    </row>
    <row r="70" spans="1:5" x14ac:dyDescent="0.2">
      <c r="A70" s="20" t="s">
        <v>308</v>
      </c>
      <c r="B70" s="20" t="s">
        <v>306</v>
      </c>
      <c r="C70" s="20" t="s">
        <v>238</v>
      </c>
      <c r="D70" s="20" t="s">
        <v>287</v>
      </c>
      <c r="E70" s="24"/>
    </row>
    <row r="71" spans="1:5" x14ac:dyDescent="0.2">
      <c r="A71" s="20" t="s">
        <v>309</v>
      </c>
      <c r="B71" s="20" t="s">
        <v>306</v>
      </c>
      <c r="C71" s="20" t="s">
        <v>238</v>
      </c>
      <c r="D71" s="20" t="s">
        <v>289</v>
      </c>
      <c r="E71" s="24"/>
    </row>
    <row r="72" spans="1:5" x14ac:dyDescent="0.2">
      <c r="A72" s="20" t="s">
        <v>310</v>
      </c>
      <c r="B72" s="20" t="s">
        <v>311</v>
      </c>
      <c r="C72" s="20" t="s">
        <v>238</v>
      </c>
      <c r="D72" s="20" t="s">
        <v>283</v>
      </c>
      <c r="E72" s="24"/>
    </row>
    <row r="73" spans="1:5" x14ac:dyDescent="0.2">
      <c r="A73" s="20" t="s">
        <v>312</v>
      </c>
      <c r="B73" s="20" t="s">
        <v>311</v>
      </c>
      <c r="C73" s="20" t="s">
        <v>238</v>
      </c>
      <c r="D73" s="20" t="s">
        <v>285</v>
      </c>
      <c r="E73" s="24"/>
    </row>
    <row r="74" spans="1:5" x14ac:dyDescent="0.2">
      <c r="A74" s="20" t="s">
        <v>313</v>
      </c>
      <c r="B74" s="20" t="s">
        <v>311</v>
      </c>
      <c r="C74" s="20" t="s">
        <v>238</v>
      </c>
      <c r="D74" s="20" t="s">
        <v>287</v>
      </c>
      <c r="E74" s="24"/>
    </row>
    <row r="75" spans="1:5" x14ac:dyDescent="0.2">
      <c r="A75" s="20" t="s">
        <v>314</v>
      </c>
      <c r="B75" s="20" t="s">
        <v>311</v>
      </c>
      <c r="C75" s="20" t="s">
        <v>238</v>
      </c>
      <c r="D75" s="20" t="s">
        <v>289</v>
      </c>
      <c r="E75" s="24"/>
    </row>
    <row r="76" spans="1:5" x14ac:dyDescent="0.2">
      <c r="A76" s="20" t="s">
        <v>315</v>
      </c>
      <c r="B76" s="20" t="s">
        <v>316</v>
      </c>
      <c r="C76" s="20" t="s">
        <v>238</v>
      </c>
      <c r="D76" s="20" t="s">
        <v>283</v>
      </c>
      <c r="E76" s="24"/>
    </row>
    <row r="77" spans="1:5" x14ac:dyDescent="0.2">
      <c r="A77" s="20" t="s">
        <v>317</v>
      </c>
      <c r="B77" s="20" t="s">
        <v>316</v>
      </c>
      <c r="C77" s="20" t="s">
        <v>238</v>
      </c>
      <c r="D77" s="20" t="s">
        <v>285</v>
      </c>
      <c r="E77" s="24"/>
    </row>
    <row r="78" spans="1:5" x14ac:dyDescent="0.2">
      <c r="A78" s="20" t="s">
        <v>318</v>
      </c>
      <c r="B78" s="20" t="s">
        <v>316</v>
      </c>
      <c r="C78" s="20" t="s">
        <v>238</v>
      </c>
      <c r="D78" s="20" t="s">
        <v>287</v>
      </c>
      <c r="E78" s="24"/>
    </row>
    <row r="79" spans="1:5" x14ac:dyDescent="0.2">
      <c r="A79" s="20" t="s">
        <v>319</v>
      </c>
      <c r="B79" s="20" t="s">
        <v>316</v>
      </c>
      <c r="C79" s="20" t="s">
        <v>238</v>
      </c>
      <c r="D79" s="20" t="s">
        <v>289</v>
      </c>
      <c r="E79" s="24"/>
    </row>
    <row r="80" spans="1:5" x14ac:dyDescent="0.2">
      <c r="A80" s="20" t="s">
        <v>320</v>
      </c>
      <c r="B80" s="20" t="s">
        <v>321</v>
      </c>
      <c r="C80" s="20" t="s">
        <v>238</v>
      </c>
      <c r="D80" s="20" t="s">
        <v>283</v>
      </c>
      <c r="E80" s="24"/>
    </row>
    <row r="81" spans="1:5" x14ac:dyDescent="0.2">
      <c r="A81" s="20" t="s">
        <v>322</v>
      </c>
      <c r="B81" s="20" t="s">
        <v>321</v>
      </c>
      <c r="C81" s="20" t="s">
        <v>238</v>
      </c>
      <c r="D81" s="20" t="s">
        <v>285</v>
      </c>
      <c r="E81" s="24"/>
    </row>
    <row r="82" spans="1:5" x14ac:dyDescent="0.2">
      <c r="A82" s="20" t="s">
        <v>323</v>
      </c>
      <c r="B82" s="20" t="s">
        <v>321</v>
      </c>
      <c r="C82" s="20" t="s">
        <v>238</v>
      </c>
      <c r="D82" s="20" t="s">
        <v>287</v>
      </c>
      <c r="E82" s="24"/>
    </row>
    <row r="83" spans="1:5" x14ac:dyDescent="0.2">
      <c r="A83" s="20" t="s">
        <v>324</v>
      </c>
      <c r="B83" s="20" t="s">
        <v>321</v>
      </c>
      <c r="C83" s="20" t="s">
        <v>238</v>
      </c>
      <c r="D83" s="20" t="s">
        <v>289</v>
      </c>
      <c r="E83" s="24"/>
    </row>
    <row r="84" spans="1:5" x14ac:dyDescent="0.2">
      <c r="A84" s="20" t="s">
        <v>325</v>
      </c>
      <c r="B84" s="20" t="s">
        <v>326</v>
      </c>
      <c r="C84" s="20" t="s">
        <v>238</v>
      </c>
      <c r="D84" s="20" t="s">
        <v>283</v>
      </c>
      <c r="E84" s="24"/>
    </row>
    <row r="85" spans="1:5" x14ac:dyDescent="0.2">
      <c r="A85" s="20" t="s">
        <v>327</v>
      </c>
      <c r="B85" s="20" t="s">
        <v>326</v>
      </c>
      <c r="C85" s="20" t="s">
        <v>238</v>
      </c>
      <c r="D85" s="20" t="s">
        <v>285</v>
      </c>
      <c r="E85" s="24"/>
    </row>
    <row r="86" spans="1:5" x14ac:dyDescent="0.2">
      <c r="A86" s="20" t="s">
        <v>328</v>
      </c>
      <c r="B86" s="20" t="s">
        <v>326</v>
      </c>
      <c r="C86" s="20" t="s">
        <v>238</v>
      </c>
      <c r="D86" s="20" t="s">
        <v>287</v>
      </c>
      <c r="E86" s="24"/>
    </row>
    <row r="87" spans="1:5" x14ac:dyDescent="0.2">
      <c r="A87" s="25" t="s">
        <v>329</v>
      </c>
      <c r="B87" s="25" t="s">
        <v>326</v>
      </c>
      <c r="C87" s="25" t="s">
        <v>238</v>
      </c>
      <c r="D87" s="25" t="s">
        <v>289</v>
      </c>
      <c r="E87" s="29"/>
    </row>
    <row r="88" spans="1:5" x14ac:dyDescent="0.2">
      <c r="A88" s="41" t="s">
        <v>131</v>
      </c>
      <c r="B88" s="42"/>
      <c r="C88" s="42"/>
      <c r="D88" s="42"/>
      <c r="E88" s="79"/>
    </row>
    <row r="90" spans="1:5" x14ac:dyDescent="0.2">
      <c r="A90" s="41" t="s">
        <v>330</v>
      </c>
      <c r="B90" s="42"/>
      <c r="C90" s="42"/>
      <c r="D90" s="42"/>
      <c r="E90" s="79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207</vt:i4>
      </vt:variant>
    </vt:vector>
  </HeadingPairs>
  <TitlesOfParts>
    <vt:vector size="219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catdw_1_GHB_1</vt:lpstr>
      <vt:lpstr>catdw_1_GHV_40</vt:lpstr>
      <vt:lpstr>catdw_1_LHB_1</vt:lpstr>
      <vt:lpstr>catdw_1_LHV_40</vt:lpstr>
      <vt:lpstr>catdw_1_MHB_1</vt:lpstr>
      <vt:lpstr>catdw_1_MHV_40</vt:lpstr>
      <vt:lpstr>catdw_1_OHB_1</vt:lpstr>
      <vt:lpstr>catdw_1_OHV_12</vt:lpstr>
      <vt:lpstr>catdw_1_OZV_12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catdw_1_VHB_1</vt:lpstr>
      <vt:lpstr>catdw_1_VHV_40</vt:lpstr>
      <vt:lpstr>catdw_1_XBB_1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catfd_1_GHB_1</vt:lpstr>
      <vt:lpstr>catfd_1_GHV_40</vt:lpstr>
      <vt:lpstr>catfd_1_LHB_1</vt:lpstr>
      <vt:lpstr>catfd_1_LHV_40</vt:lpstr>
      <vt:lpstr>catfd_1_MHB_1</vt:lpstr>
      <vt:lpstr>catfd_1_MHV_40</vt:lpstr>
      <vt:lpstr>catfd_1_OHB_1</vt:lpstr>
      <vt:lpstr>catfd_1_OHV_12</vt:lpstr>
      <vt:lpstr>catfd_1_OZV_12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catfd_1_VHB_1</vt:lpstr>
      <vt:lpstr>catfd_1_VHV_40</vt:lpstr>
      <vt:lpstr>catfd_1_XBB_1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catpn_1_GHB_1</vt:lpstr>
      <vt:lpstr>catpn_1_GHV_40</vt:lpstr>
      <vt:lpstr>catpn_1_LHB_1</vt:lpstr>
      <vt:lpstr>catpn_1_LHV_40</vt:lpstr>
      <vt:lpstr>catpn_1_MHB_1</vt:lpstr>
      <vt:lpstr>catpn_1_MHV_40</vt:lpstr>
      <vt:lpstr>catpn_1_OHB_1</vt:lpstr>
      <vt:lpstr>catpn_1_OHV_12</vt:lpstr>
      <vt:lpstr>catpn_1_OZV_12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catpn_1_VHB_1</vt:lpstr>
      <vt:lpstr>catpn_1_VHV_40</vt:lpstr>
      <vt:lpstr>catpn_1_XBB_1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cattf_1_GHB_1</vt:lpstr>
      <vt:lpstr>cattf_1_GHV_40</vt:lpstr>
      <vt:lpstr>cattf_1_LHB_1</vt:lpstr>
      <vt:lpstr>cattf_1_LHV_40</vt:lpstr>
      <vt:lpstr>cattf_1_MHB_1</vt:lpstr>
      <vt:lpstr>cattf_1_MHV_40</vt:lpstr>
      <vt:lpstr>cattf_1_OHB_1</vt:lpstr>
      <vt:lpstr>cattf_1_OHV_12</vt:lpstr>
      <vt:lpstr>cattf_1_OZV_12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cattf_1_VHB_1</vt:lpstr>
      <vt:lpstr>cattf_1_VHV_40</vt:lpstr>
      <vt:lpstr>cattf_1_XBB_1</vt:lpstr>
      <vt:lpstr>dagenperjaar1</vt:lpstr>
      <vt:lpstr>dagenperweek1</vt:lpstr>
      <vt:lpstr>dagsoorttabel1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2021-12-06T13:28:32Z</dcterms:created>
  <dcterms:modified xsi:type="dcterms:W3CDTF">2021-12-06T13:44:40Z</dcterms:modified>
</cp:coreProperties>
</file>