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ATA\EXTERN\Gewoon Speciaal Onderwijs\Aanbesteding 2021\Uitlever\Concepten\20211103\"/>
    </mc:Choice>
  </mc:AlternateContent>
  <xr:revisionPtr revIDLastSave="0" documentId="13_ncr:1_{AEB03454-F01B-4427-B82D-E0F48901E2C8}" xr6:coauthVersionLast="45" xr6:coauthVersionMax="45" xr10:uidLastSave="{00000000-0000-0000-0000-000000000000}"/>
  <bookViews>
    <workbookView xWindow="-120" yWindow="-120" windowWidth="30960" windowHeight="16920" firstSheet="5" activeTab="11" xr2:uid="{DD0E3FAC-A8A8-45A3-85E0-004A8B291C97}"/>
  </bookViews>
  <sheets>
    <sheet name="Omreken" sheetId="1" r:id="rId1"/>
    <sheet name="Categorienormen" sheetId="2" r:id="rId2"/>
    <sheet name="Regulier werk" sheetId="3" r:id="rId3"/>
    <sheet name="Objectinformatie" sheetId="4" r:id="rId4"/>
    <sheet name="Objecten" sheetId="5" r:id="rId5"/>
    <sheet name="Niet-meewerkende objectleiding" sheetId="6" r:id="rId6"/>
    <sheet name="Totaalblad Objecten" sheetId="7" r:id="rId7"/>
    <sheet name="Afroep" sheetId="8" r:id="rId8"/>
    <sheet name="Afroep incidenteel" sheetId="9" r:id="rId9"/>
    <sheet name="Glas" sheetId="10" r:id="rId10"/>
    <sheet name="Nulbeurt" sheetId="11" r:id="rId11"/>
    <sheet name="Totaal" sheetId="12" r:id="rId12"/>
  </sheets>
  <definedNames>
    <definedName name="_xlnm.Print_Titles" localSheetId="7">Afroep!$1:$3</definedName>
    <definedName name="_xlnm.Print_Titles" localSheetId="8">'Afroep incidenteel'!$1:$3</definedName>
    <definedName name="_xlnm.Print_Titles" localSheetId="1">Categorienormen!$1:$3</definedName>
    <definedName name="_xlnm.Print_Titles" localSheetId="9">Glas!$1:$3</definedName>
    <definedName name="_xlnm.Print_Titles" localSheetId="5">'Niet-meewerkende objectleiding'!$1:$3</definedName>
    <definedName name="_xlnm.Print_Titles" localSheetId="10">Nulbeurt!$1:$3</definedName>
    <definedName name="_xlnm.Print_Titles" localSheetId="4">Objecten!$1:$3</definedName>
    <definedName name="_xlnm.Print_Titles" localSheetId="3">Objectinformatie!$A:$D,Objectinformatie!$1:$4</definedName>
    <definedName name="_xlnm.Print_Titles" localSheetId="2">'Regulier werk'!$1:$3</definedName>
    <definedName name="_xlnm.Print_Titles" localSheetId="11">Totaal!$1:$3</definedName>
    <definedName name="_xlnm.Print_Titles" localSheetId="6">'Totaalblad Objecten'!$1:$3</definedName>
    <definedName name="catdw_1_XBB_1">Categorienormen!$F$6</definedName>
    <definedName name="catdw_1_YBB_1">Categorienormen!$F$7</definedName>
    <definedName name="catfd_1_XBB_1">Categorienormen!$C$6</definedName>
    <definedName name="catfd_1_YBB_1">Categorienormen!$C$7</definedName>
    <definedName name="catpn_1_XBB_1">Categorienormen!$E$6</definedName>
    <definedName name="catpn_1_YBB_1">Categorienormen!$E$7</definedName>
    <definedName name="cattf_1_XBB_1">Categorienormen!$H$6</definedName>
    <definedName name="cattf_1_YBB_1">Categorienormen!$H$7</definedName>
    <definedName name="dagenperjaar1">Omreken!$B$9</definedName>
    <definedName name="dagenperweek1">Omreken!$B$10</definedName>
    <definedName name="dagsoorttabel1">Omreken!$A$13:$B$26</definedName>
    <definedName name="dagwerk10">'Regulier werk'!$H$6</definedName>
    <definedName name="dagwerk11">'Regulier werk'!$H$7</definedName>
    <definedName name="dagwerktabel1">Objectinformatie!$H$5:$H$6</definedName>
    <definedName name="gemuurtarief1">'Regulier werk'!$J$10</definedName>
    <definedName name="kengetaltabel1">Objectinformatie!$G$5:$G$6</definedName>
    <definedName name="object1_opptabel1">Objectinformatie!$J$5:$J$6</definedName>
    <definedName name="objectprijs1_1">Objecten!$R$6</definedName>
    <definedName name="objecturen1_1">Objecten!$Q$6</definedName>
    <definedName name="objecturenhf1_1">Objecten!$P$6</definedName>
    <definedName name="prijsdag1">'Regulier werk'!$L$8</definedName>
    <definedName name="prijsjaar">'Regulier werk'!$N$13</definedName>
    <definedName name="prijsjaar1">'Regulier werk'!$N$8</definedName>
    <definedName name="prijsjaarafroep">Afroep!$K$15</definedName>
    <definedName name="prijsjaarafroep1">Afroep!$K$13</definedName>
    <definedName name="prijsjaarglas">Glas!$K$18</definedName>
    <definedName name="prijsjaarglas1">Glas!$K$16</definedName>
    <definedName name="prijsjaarleveringen">Nulbeurt!$I$13</definedName>
    <definedName name="prijsjaarleveringen1">Nulbeurt!$I$11</definedName>
    <definedName name="prijsjaarnietmeewerkend">'Niet-meewerkende objectleiding'!$J$18</definedName>
    <definedName name="prijsjaartotaal">Objecten!$R$10</definedName>
    <definedName name="prijsjaartotaal1">Objecten!$R$7</definedName>
    <definedName name="prijsjaartotaaloverzicht">'Totaalblad Objecten'!$G$6</definedName>
    <definedName name="prijsmaandtotaal1">Objecten!$S$7</definedName>
    <definedName name="prodnorm10">'Regulier werk'!$G$6</definedName>
    <definedName name="prodnorm11">'Regulier werk'!$G$7</definedName>
    <definedName name="taakfreqtabel1">Objectinformatie!$E$5:$E$6</definedName>
    <definedName name="tabeltype">Omreken!$B$5:$B$5</definedName>
    <definedName name="tarieftabel1">Objectinformatie!$I$5:$I$6</definedName>
    <definedName name="tzpjt1">'Niet-meewerkende objectleiding'!$J$15</definedName>
    <definedName name="tzpjt1_1">'Niet-meewerkende objectleiding'!$J$13</definedName>
    <definedName name="tzpmt1">'Niet-meewerkende objectleiding'!$K$15</definedName>
    <definedName name="tzpmt1_1">'Niet-meewerkende objectleiding'!$K$13</definedName>
    <definedName name="tzujt1">'Niet-meewerkende objectleiding'!$H$15</definedName>
    <definedName name="tzujt1_1">'Niet-meewerkende objectleiding'!$H$13</definedName>
    <definedName name="urendag1">'Regulier werk'!$K$8</definedName>
    <definedName name="urenjaar">'Regulier werk'!$M$13</definedName>
    <definedName name="urenjaar1">'Regulier werk'!$M$8</definedName>
    <definedName name="urenjaarnietmeewerkend">'Niet-meewerkende objectleiding'!$H$18</definedName>
    <definedName name="urenjaartotaal">Objecten!$Q$10</definedName>
    <definedName name="urenjaartotaal1">Objecten!$Q$7</definedName>
    <definedName name="urenjaartotaalhf">Objecten!$P$10</definedName>
    <definedName name="urenjaartotaalhf1">Objecten!$P$7</definedName>
    <definedName name="urenjaartotaaloverzicht">'Totaalblad Objecten'!$F$6</definedName>
    <definedName name="urenjaartotaaloverzichthf">'Totaalblad Objecten'!$E$6</definedName>
    <definedName name="uurfactortabel1">Objectinformatie!$F$5:$F$6</definedName>
    <definedName name="uurtarief10">'Regulier werk'!$J$6</definedName>
    <definedName name="uurtarief11">'Regulier werk'!$J$7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2" l="1"/>
  <c r="E17" i="12"/>
  <c r="A1" i="11" l="1"/>
  <c r="A1" i="12" l="1"/>
  <c r="H10" i="11"/>
  <c r="H9" i="11"/>
  <c r="C9" i="11"/>
  <c r="I9" i="11" s="1"/>
  <c r="H8" i="11"/>
  <c r="C8" i="11"/>
  <c r="I8" i="11" s="1"/>
  <c r="H7" i="11"/>
  <c r="H6" i="11"/>
  <c r="C6" i="11"/>
  <c r="I6" i="11" s="1"/>
  <c r="J15" i="10"/>
  <c r="C15" i="10"/>
  <c r="K15" i="10" s="1"/>
  <c r="L15" i="10" s="1"/>
  <c r="J14" i="10"/>
  <c r="C14" i="10"/>
  <c r="K14" i="10" s="1"/>
  <c r="L14" i="10" s="1"/>
  <c r="J13" i="10"/>
  <c r="C13" i="10"/>
  <c r="K13" i="10" s="1"/>
  <c r="L13" i="10" s="1"/>
  <c r="J12" i="10"/>
  <c r="C12" i="10"/>
  <c r="K12" i="10" s="1"/>
  <c r="L12" i="10" s="1"/>
  <c r="J11" i="10"/>
  <c r="C11" i="10"/>
  <c r="K11" i="10" s="1"/>
  <c r="L11" i="10" s="1"/>
  <c r="J10" i="10"/>
  <c r="C10" i="10"/>
  <c r="K10" i="10" s="1"/>
  <c r="L10" i="10" s="1"/>
  <c r="J9" i="10"/>
  <c r="C9" i="10"/>
  <c r="K9" i="10" s="1"/>
  <c r="L9" i="10" s="1"/>
  <c r="J8" i="10"/>
  <c r="C8" i="10"/>
  <c r="K8" i="10" s="1"/>
  <c r="L8" i="10" s="1"/>
  <c r="J7" i="10"/>
  <c r="C7" i="10"/>
  <c r="K7" i="10" s="1"/>
  <c r="L7" i="10" s="1"/>
  <c r="J6" i="10"/>
  <c r="C6" i="10"/>
  <c r="K6" i="10" s="1"/>
  <c r="A1" i="10"/>
  <c r="A1" i="9"/>
  <c r="J12" i="8"/>
  <c r="C12" i="8"/>
  <c r="K12" i="8" s="1"/>
  <c r="L12" i="8" s="1"/>
  <c r="J11" i="8"/>
  <c r="C11" i="8"/>
  <c r="K11" i="8" s="1"/>
  <c r="L11" i="8" s="1"/>
  <c r="K10" i="8"/>
  <c r="L10" i="8" s="1"/>
  <c r="J10" i="8"/>
  <c r="C10" i="8"/>
  <c r="K9" i="8"/>
  <c r="L9" i="8" s="1"/>
  <c r="J9" i="8"/>
  <c r="C9" i="8"/>
  <c r="J8" i="8"/>
  <c r="C8" i="8"/>
  <c r="K8" i="8" s="1"/>
  <c r="L8" i="8" s="1"/>
  <c r="J7" i="8"/>
  <c r="C7" i="8"/>
  <c r="K7" i="8" s="1"/>
  <c r="L7" i="8" s="1"/>
  <c r="J6" i="8"/>
  <c r="C6" i="8"/>
  <c r="K6" i="8" s="1"/>
  <c r="A1" i="8"/>
  <c r="A1" i="7"/>
  <c r="K12" i="6"/>
  <c r="J12" i="6"/>
  <c r="I12" i="6"/>
  <c r="H12" i="6"/>
  <c r="C12" i="6"/>
  <c r="J11" i="6"/>
  <c r="K11" i="6" s="1"/>
  <c r="H11" i="6"/>
  <c r="C11" i="6"/>
  <c r="I11" i="6" s="1"/>
  <c r="K10" i="6"/>
  <c r="J10" i="6"/>
  <c r="H10" i="6"/>
  <c r="H13" i="6" s="1"/>
  <c r="C10" i="6"/>
  <c r="I10" i="6" s="1"/>
  <c r="J9" i="6"/>
  <c r="K9" i="6" s="1"/>
  <c r="H9" i="6"/>
  <c r="C9" i="6"/>
  <c r="I9" i="6" s="1"/>
  <c r="K8" i="6"/>
  <c r="J8" i="6"/>
  <c r="H8" i="6"/>
  <c r="C8" i="6"/>
  <c r="I8" i="6" s="1"/>
  <c r="A1" i="6"/>
  <c r="A1" i="5"/>
  <c r="J7" i="3"/>
  <c r="I6" i="4" s="1"/>
  <c r="H7" i="3"/>
  <c r="H6" i="4" s="1"/>
  <c r="G7" i="3"/>
  <c r="G6" i="4" s="1"/>
  <c r="J6" i="3"/>
  <c r="I5" i="4" s="1"/>
  <c r="H6" i="3"/>
  <c r="H5" i="4" s="1"/>
  <c r="G6" i="3"/>
  <c r="G5" i="4" s="1"/>
  <c r="F6" i="3"/>
  <c r="A1" i="3"/>
  <c r="A1" i="2"/>
  <c r="B26" i="1"/>
  <c r="C7" i="11" s="1"/>
  <c r="I7" i="11" s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H15" i="6" l="1"/>
  <c r="H18" i="6" s="1"/>
  <c r="D5" i="12" s="1"/>
  <c r="D10" i="12" s="1"/>
  <c r="H4" i="7"/>
  <c r="H6" i="7" s="1"/>
  <c r="L6" i="8"/>
  <c r="K13" i="8"/>
  <c r="K16" i="10"/>
  <c r="L6" i="10"/>
  <c r="K13" i="6"/>
  <c r="K15" i="6" s="1"/>
  <c r="K18" i="6" s="1"/>
  <c r="K20" i="6" s="1"/>
  <c r="K6" i="3"/>
  <c r="C10" i="11"/>
  <c r="I10" i="11" s="1"/>
  <c r="I11" i="11" s="1"/>
  <c r="I13" i="11" s="1"/>
  <c r="E8" i="12" s="1"/>
  <c r="F8" i="12" s="1"/>
  <c r="F7" i="3"/>
  <c r="K7" i="3"/>
  <c r="J13" i="6"/>
  <c r="E5" i="4"/>
  <c r="E6" i="4"/>
  <c r="L7" i="3" l="1"/>
  <c r="M7" i="3"/>
  <c r="N7" i="3" s="1"/>
  <c r="L6" i="3"/>
  <c r="L8" i="3" s="1"/>
  <c r="K8" i="3"/>
  <c r="M6" i="3"/>
  <c r="K15" i="8"/>
  <c r="L13" i="8"/>
  <c r="M6" i="5"/>
  <c r="H6" i="5"/>
  <c r="L6" i="5" s="1"/>
  <c r="Q6" i="5" s="1"/>
  <c r="I4" i="7"/>
  <c r="I6" i="7" s="1"/>
  <c r="J15" i="6"/>
  <c r="J18" i="6" s="1"/>
  <c r="K18" i="10"/>
  <c r="L16" i="10"/>
  <c r="I6" i="5"/>
  <c r="K6" i="5" s="1"/>
  <c r="P6" i="5" s="1"/>
  <c r="J20" i="6" l="1"/>
  <c r="E5" i="12"/>
  <c r="F5" i="12" s="1"/>
  <c r="E4" i="7"/>
  <c r="E6" i="7" s="1"/>
  <c r="C4" i="12" s="1"/>
  <c r="C10" i="12" s="1"/>
  <c r="P7" i="5"/>
  <c r="P10" i="5" s="1"/>
  <c r="L18" i="10"/>
  <c r="E7" i="12"/>
  <c r="F7" i="12" s="1"/>
  <c r="E6" i="12"/>
  <c r="F6" i="12" s="1"/>
  <c r="L15" i="8"/>
  <c r="F4" i="7"/>
  <c r="F6" i="7" s="1"/>
  <c r="B4" i="12" s="1"/>
  <c r="B10" i="12" s="1"/>
  <c r="B12" i="12" s="1"/>
  <c r="Q7" i="5"/>
  <c r="Q10" i="5" s="1"/>
  <c r="M8" i="3"/>
  <c r="N6" i="3"/>
  <c r="N8" i="3" s="1"/>
  <c r="N13" i="3" s="1"/>
  <c r="M13" i="3" l="1"/>
  <c r="J10" i="3"/>
  <c r="F6" i="5" s="1"/>
  <c r="N6" i="5" s="1"/>
  <c r="O6" i="5" s="1"/>
  <c r="R6" i="5" s="1"/>
  <c r="G4" i="7" l="1"/>
  <c r="R7" i="5"/>
  <c r="R10" i="5" s="1"/>
  <c r="R12" i="5" s="1"/>
  <c r="S6" i="5"/>
  <c r="S7" i="5" s="1"/>
  <c r="S10" i="5" s="1"/>
  <c r="S12" i="5" s="1"/>
  <c r="G6" i="7" l="1"/>
  <c r="E4" i="12" s="1"/>
  <c r="J4" i="7"/>
  <c r="J6" i="7" l="1"/>
  <c r="K4" i="7"/>
  <c r="E10" i="12"/>
  <c r="F10" i="12" s="1"/>
  <c r="F4" i="12"/>
  <c r="K6" i="7" l="1"/>
  <c r="L4" i="7"/>
  <c r="L6" i="7" s="1"/>
</calcChain>
</file>

<file path=xl/sharedStrings.xml><?xml version="1.0" encoding="utf-8"?>
<sst xmlns="http://schemas.openxmlformats.org/spreadsheetml/2006/main" count="639" uniqueCount="303">
  <si>
    <t>Blad 'Omreken'</t>
  </si>
  <si>
    <t>Dit blad mag niet worden gewijzigd!</t>
  </si>
  <si>
    <t>Type:</t>
  </si>
  <si>
    <t>Invultabel</t>
  </si>
  <si>
    <t>Werkdagen</t>
  </si>
  <si>
    <t xml:space="preserve">per jaar: </t>
  </si>
  <si>
    <t xml:space="preserve">per week: </t>
  </si>
  <si>
    <t>FREQ</t>
  </si>
  <si>
    <t>FACTOR</t>
  </si>
  <si>
    <t>5W</t>
  </si>
  <si>
    <t>4W</t>
  </si>
  <si>
    <t>200J</t>
  </si>
  <si>
    <t>3W</t>
  </si>
  <si>
    <t>2W</t>
  </si>
  <si>
    <t>1W</t>
  </si>
  <si>
    <t>26J</t>
  </si>
  <si>
    <t>12J</t>
  </si>
  <si>
    <t>10J</t>
  </si>
  <si>
    <t>6J</t>
  </si>
  <si>
    <t>4J</t>
  </si>
  <si>
    <t>3J</t>
  </si>
  <si>
    <t>2J</t>
  </si>
  <si>
    <t>1J</t>
  </si>
  <si>
    <t>NORM-CODE</t>
  </si>
  <si>
    <t>CATEGORIE</t>
  </si>
  <si>
    <t>DAGEN/JAAR</t>
  </si>
  <si>
    <t>OMSCHRIJVING</t>
  </si>
  <si>
    <t>PRODUCTIE-NORM</t>
  </si>
  <si>
    <t>% HOOG-FREQUENT</t>
  </si>
  <si>
    <t>EENHEID</t>
  </si>
  <si>
    <t>TARIEF (EURO)</t>
  </si>
  <si>
    <t xml:space="preserve">WERKDAG             </t>
  </si>
  <si>
    <t>XBB</t>
  </si>
  <si>
    <t xml:space="preserve">X    </t>
  </si>
  <si>
    <t>Periodiek vloeren beschermd (basis)</t>
  </si>
  <si>
    <t>m²/uur</t>
  </si>
  <si>
    <t>YBB</t>
  </si>
  <si>
    <t>Periodiek interieur reinigen ruimten (basis)</t>
  </si>
  <si>
    <t>TAAK</t>
  </si>
  <si>
    <t>WERK- SOORT</t>
  </si>
  <si>
    <t>OPP OF AANTAL</t>
  </si>
  <si>
    <t>OPP OF AANTAL /DAG</t>
  </si>
  <si>
    <t>UREN/ DAG</t>
  </si>
  <si>
    <t>PRIJS/ DAG</t>
  </si>
  <si>
    <t>UREN/ JAAR</t>
  </si>
  <si>
    <t>PRIJS/ JAAR</t>
  </si>
  <si>
    <t>XB</t>
  </si>
  <si>
    <t>interieur</t>
  </si>
  <si>
    <t>Periodiek vloeren beschermd</t>
  </si>
  <si>
    <t>YB</t>
  </si>
  <si>
    <t>Periodek interieur reinigen</t>
  </si>
  <si>
    <t xml:space="preserve">Totaal werkdag             </t>
  </si>
  <si>
    <t xml:space="preserve">Gemiddeld uurtarief werkdag             </t>
  </si>
  <si>
    <t>Totaal regulier werk excl. BTW</t>
  </si>
  <si>
    <t>Omrekentabel t.b.v. Invultabel Objecten (niet afdrukken)</t>
  </si>
  <si>
    <t>DAGSOORT</t>
  </si>
  <si>
    <t>WERKSOORT</t>
  </si>
  <si>
    <t>FREQ DECIMAAL</t>
  </si>
  <si>
    <t>UURFACTOR</t>
  </si>
  <si>
    <t>KENGETAL</t>
  </si>
  <si>
    <t>TARIEF</t>
  </si>
  <si>
    <t xml:space="preserve">     008</t>
  </si>
  <si>
    <t>werkdag</t>
  </si>
  <si>
    <t>OBJECT</t>
  </si>
  <si>
    <t>NAAM</t>
  </si>
  <si>
    <t>ADRES</t>
  </si>
  <si>
    <t>PLAATS</t>
  </si>
  <si>
    <t>BASIS UUR- TARIEF</t>
  </si>
  <si>
    <t>FACTOR UREN</t>
  </si>
  <si>
    <t>UREN/ UITVOERING</t>
  </si>
  <si>
    <t>UREN HOOG-FREQUENT/ UITVOERING</t>
  </si>
  <si>
    <t>UREN HOOG-FREQUENT SUPPLETIE/ UITVOERING</t>
  </si>
  <si>
    <t>UREN HOOG-FREQUENT TOTAAL/ UITVOERING</t>
  </si>
  <si>
    <t>UREN TOTAAL/ UITVOERING</t>
  </si>
  <si>
    <t>PRIJS/ UITVOERING</t>
  </si>
  <si>
    <t>PRIJS SUPPLETIE/ UITVOERING</t>
  </si>
  <si>
    <t>PRIJS TOTAAL/ UITVOERING</t>
  </si>
  <si>
    <t>UREN HOOG-FREQUENT/ JAAR</t>
  </si>
  <si>
    <t>PRIJS/ JAAR (EURO)</t>
  </si>
  <si>
    <t>PRIJS/ MAAND (EURO)</t>
  </si>
  <si>
    <t>008</t>
  </si>
  <si>
    <t>SBO De Kristal</t>
  </si>
  <si>
    <t>Pauwenkamp 347</t>
  </si>
  <si>
    <t>Maarsen</t>
  </si>
  <si>
    <t>Totaal regulier werk incl. suppleties (excl. BTW)</t>
  </si>
  <si>
    <t>Totaal regulier werk incl. suppleties (incl. BTW)</t>
  </si>
  <si>
    <t>CODE</t>
  </si>
  <si>
    <t>FREQ (dagen)</t>
  </si>
  <si>
    <t>FUNCTIENAAM</t>
  </si>
  <si>
    <t>UURTARIEF (euro)</t>
  </si>
  <si>
    <t>PERC. VAN UREN/JAAR REGULIER WERK</t>
  </si>
  <si>
    <t>VASTE UREN/KEER (decimaal)</t>
  </si>
  <si>
    <t>UREN/ KEER</t>
  </si>
  <si>
    <t>PRIJS/ JAAR (euro)</t>
  </si>
  <si>
    <t>PRIJS/ MAAND (euro)</t>
  </si>
  <si>
    <t>008 - SBO De Kristal, Pauwenkamp 347, Maarsen</t>
  </si>
  <si>
    <t>1000</t>
  </si>
  <si>
    <t>Niet meewerkende objectleiding</t>
  </si>
  <si>
    <t>&lt;invullen functie afh. van uren uitvoering per jaar&gt;</t>
  </si>
  <si>
    <t>&lt;invullen functie met vaste uren per dag&gt;</t>
  </si>
  <si>
    <t>Totaal 008 - SBO De Kristal, Pauwenkamp 347, Maarsen</t>
  </si>
  <si>
    <t>Totaal niet-meewerkende objectleiding</t>
  </si>
  <si>
    <t>Totaal niet-meewerkende objectleiding (incl. BTW)</t>
  </si>
  <si>
    <t>PRIJS UITVOEREND/ JAAR</t>
  </si>
  <si>
    <t>UREN LEIDING/ JAAR</t>
  </si>
  <si>
    <t>PRIJS LEIDING/ JAAR</t>
  </si>
  <si>
    <t>PRIJS MET LEIDING/ JAAR</t>
  </si>
  <si>
    <t>PRIJS/ MAAND EXCL.BTW</t>
  </si>
  <si>
    <t>PRIJS/ MAAND INCL.BTW</t>
  </si>
  <si>
    <t>Totaal van alle objecten</t>
  </si>
  <si>
    <t>BEURT</t>
  </si>
  <si>
    <t>FREQ (DAGEN)</t>
  </si>
  <si>
    <t>HOEVEELHEID /KEER</t>
  </si>
  <si>
    <t>UURTARIEF (EURO)</t>
  </si>
  <si>
    <t>NORM</t>
  </si>
  <si>
    <t>PRIJS/ EENHEID (EURO)</t>
  </si>
  <si>
    <t>PRIJS/ KEER</t>
  </si>
  <si>
    <t>9000</t>
  </si>
  <si>
    <t>Medewerker regiewerkzaamheden</t>
  </si>
  <si>
    <t>prijs per uur</t>
  </si>
  <si>
    <t>9050</t>
  </si>
  <si>
    <t>Medewerker regiewerkzaamheden weekend</t>
  </si>
  <si>
    <t>9100</t>
  </si>
  <si>
    <t>Medewerker specialistische werkzaamheden</t>
  </si>
  <si>
    <t>9200</t>
  </si>
  <si>
    <t>Uurtarief vervanging eigen beheer</t>
  </si>
  <si>
    <t>9300</t>
  </si>
  <si>
    <t>Uurtarief glasbewassing</t>
  </si>
  <si>
    <t>9350</t>
  </si>
  <si>
    <t>Dieptereiniging keuken Houten</t>
  </si>
  <si>
    <t>totaalprijs</t>
  </si>
  <si>
    <t>9360</t>
  </si>
  <si>
    <t>Dieptereiniging keuken Bilthoven</t>
  </si>
  <si>
    <t>Totaal afroep excl. BTW</t>
  </si>
  <si>
    <t>STAFFEL</t>
  </si>
  <si>
    <t>2000A</t>
  </si>
  <si>
    <t>Systeemkast/monitor reinigen</t>
  </si>
  <si>
    <t>prijs per stuk</t>
  </si>
  <si>
    <t>&lt; 25 stuks</t>
  </si>
  <si>
    <t>2000B</t>
  </si>
  <si>
    <t>25 tot 100 stuks</t>
  </si>
  <si>
    <t>2000C</t>
  </si>
  <si>
    <t>100 tot 500 stuks</t>
  </si>
  <si>
    <t>2000D</t>
  </si>
  <si>
    <t>&gt;= 500 stuks</t>
  </si>
  <si>
    <t>2010A</t>
  </si>
  <si>
    <t>Printer uitwendig reinigen</t>
  </si>
  <si>
    <t>2010B</t>
  </si>
  <si>
    <t>2010C</t>
  </si>
  <si>
    <t>2010D</t>
  </si>
  <si>
    <t>2020A</t>
  </si>
  <si>
    <t>Fax uitwendig reinigen</t>
  </si>
  <si>
    <t>2020B</t>
  </si>
  <si>
    <t>2020C</t>
  </si>
  <si>
    <t>2020D</t>
  </si>
  <si>
    <t>2030A</t>
  </si>
  <si>
    <t>Toetsenbord reinigen</t>
  </si>
  <si>
    <t>2030B</t>
  </si>
  <si>
    <t>2030C</t>
  </si>
  <si>
    <t>2030D</t>
  </si>
  <si>
    <t>3000A</t>
  </si>
  <si>
    <t>Lamellen (horizontaal) reinigen (alumin)</t>
  </si>
  <si>
    <t>prijs per m²</t>
  </si>
  <si>
    <t>&lt; 5 m²</t>
  </si>
  <si>
    <t>3000B</t>
  </si>
  <si>
    <t>5 &lt; 25 m²</t>
  </si>
  <si>
    <t>3000C</t>
  </si>
  <si>
    <t>25 &lt; 100 m²</t>
  </si>
  <si>
    <t>3000D</t>
  </si>
  <si>
    <t>&gt;=100 m²</t>
  </si>
  <si>
    <t>3001A</t>
  </si>
  <si>
    <t>Lamellen (horizontaal) reinigen (stof)</t>
  </si>
  <si>
    <t>3001B</t>
  </si>
  <si>
    <t>3001C</t>
  </si>
  <si>
    <t>3001D</t>
  </si>
  <si>
    <t>3002A</t>
  </si>
  <si>
    <t>Lamellen (horizontaal) reinigen (kunst)</t>
  </si>
  <si>
    <t>3002B</t>
  </si>
  <si>
    <t>3002C</t>
  </si>
  <si>
    <t>3002D</t>
  </si>
  <si>
    <t>3010A</t>
  </si>
  <si>
    <t>Lamellen (verticaal) reinigen (alumin)</t>
  </si>
  <si>
    <t>3010B</t>
  </si>
  <si>
    <t>3010C</t>
  </si>
  <si>
    <t>3010D</t>
  </si>
  <si>
    <t>3011A</t>
  </si>
  <si>
    <t>Lamellen (verticaal) reinigen (stof)</t>
  </si>
  <si>
    <t>3011B</t>
  </si>
  <si>
    <t>3011C</t>
  </si>
  <si>
    <t>3011D</t>
  </si>
  <si>
    <t>3012A</t>
  </si>
  <si>
    <t>Lamellen (verticaal) reinigen (kunst)</t>
  </si>
  <si>
    <t>3012B</t>
  </si>
  <si>
    <t>3012C</t>
  </si>
  <si>
    <t>3012D</t>
  </si>
  <si>
    <t>3020A</t>
  </si>
  <si>
    <t>Gordijnen reinigen</t>
  </si>
  <si>
    <t>3020B</t>
  </si>
  <si>
    <t>3020C</t>
  </si>
  <si>
    <t>3020D</t>
  </si>
  <si>
    <t>3030</t>
  </si>
  <si>
    <t>Graffiti verwijderen</t>
  </si>
  <si>
    <t/>
  </si>
  <si>
    <t>3040</t>
  </si>
  <si>
    <t>Graffiti verwijderen spec.</t>
  </si>
  <si>
    <t>4000A</t>
  </si>
  <si>
    <t>Vloer schrobben/waterzuigen</t>
  </si>
  <si>
    <t>&lt; 500 m²</t>
  </si>
  <si>
    <t>4000B</t>
  </si>
  <si>
    <t>500 &lt; 1000 m²</t>
  </si>
  <si>
    <t>4000C</t>
  </si>
  <si>
    <t>1000 &lt; 2000 m²</t>
  </si>
  <si>
    <t>4000D</t>
  </si>
  <si>
    <t>&gt;= 2000 m²</t>
  </si>
  <si>
    <t>4010A</t>
  </si>
  <si>
    <t>Sure step vloeren opwrijven</t>
  </si>
  <si>
    <t>4010B</t>
  </si>
  <si>
    <t>4010C</t>
  </si>
  <si>
    <t>4010D</t>
  </si>
  <si>
    <t>4020A</t>
  </si>
  <si>
    <t>Linoleum sprayen /opwrijven</t>
  </si>
  <si>
    <t>4020B</t>
  </si>
  <si>
    <t>4020C</t>
  </si>
  <si>
    <t>4020D</t>
  </si>
  <si>
    <t>4030A</t>
  </si>
  <si>
    <t>Linoleum vloeren strippen/conserveren</t>
  </si>
  <si>
    <t>4030B</t>
  </si>
  <si>
    <t>4030C</t>
  </si>
  <si>
    <t>4030D</t>
  </si>
  <si>
    <t>4040A</t>
  </si>
  <si>
    <t>Tapijt reinigen droge methode (Host)</t>
  </si>
  <si>
    <t>4040B</t>
  </si>
  <si>
    <t>4040C</t>
  </si>
  <si>
    <t>4040D</t>
  </si>
  <si>
    <t>4050A</t>
  </si>
  <si>
    <t>Tapijt reinigen op koolzuur basis</t>
  </si>
  <si>
    <t>4050B</t>
  </si>
  <si>
    <t>4050C</t>
  </si>
  <si>
    <t>4050D</t>
  </si>
  <si>
    <t>4060A</t>
  </si>
  <si>
    <t>Tapijt reinigen sproei/extractie methode</t>
  </si>
  <si>
    <t>4060B</t>
  </si>
  <si>
    <t>4060C</t>
  </si>
  <si>
    <t>4060D</t>
  </si>
  <si>
    <t>4070A</t>
  </si>
  <si>
    <t>Tapijt borstelzuigen</t>
  </si>
  <si>
    <t>4070B</t>
  </si>
  <si>
    <t>4070C</t>
  </si>
  <si>
    <t>4070D</t>
  </si>
  <si>
    <t>4080A</t>
  </si>
  <si>
    <t>Sanitair vloer reinigen d.m.v. "stomen"</t>
  </si>
  <si>
    <t>4080B</t>
  </si>
  <si>
    <t>4080C</t>
  </si>
  <si>
    <t>4080D</t>
  </si>
  <si>
    <t>Totaal afroep incidenteel excl. BTW</t>
  </si>
  <si>
    <t>8000</t>
  </si>
  <si>
    <t>Gevelglas buitenzijde</t>
  </si>
  <si>
    <t>8010</t>
  </si>
  <si>
    <t>Gevelglas binnenzijde</t>
  </si>
  <si>
    <t>8020</t>
  </si>
  <si>
    <t>Separatieglas (m ² is totaal)</t>
  </si>
  <si>
    <t>8030</t>
  </si>
  <si>
    <t>Trespa/hout beplating</t>
  </si>
  <si>
    <t>8040</t>
  </si>
  <si>
    <t>Glazen bouwstenen</t>
  </si>
  <si>
    <t>8050</t>
  </si>
  <si>
    <t>Groene glazen wanden</t>
  </si>
  <si>
    <t>8200</t>
  </si>
  <si>
    <t>Hoogwerker</t>
  </si>
  <si>
    <t>prijs per dag</t>
  </si>
  <si>
    <t>8205</t>
  </si>
  <si>
    <t>Hoogwerker Bilthoven</t>
  </si>
  <si>
    <t>8210</t>
  </si>
  <si>
    <t>Tuckerpool stuifheuvel</t>
  </si>
  <si>
    <t>8215</t>
  </si>
  <si>
    <t>Theaterlift</t>
  </si>
  <si>
    <t>Totaal glas excl. BTW</t>
  </si>
  <si>
    <t>9301</t>
  </si>
  <si>
    <t>Meerkosten periodiek vloeronderhoud linoleum vloeren</t>
  </si>
  <si>
    <t>9302</t>
  </si>
  <si>
    <t>Meerkosten vlekverwijderen tapijt</t>
  </si>
  <si>
    <t>9303</t>
  </si>
  <si>
    <t>Meerkosten verwijderen randvergoring sanitair/keukens</t>
  </si>
  <si>
    <t>9304</t>
  </si>
  <si>
    <t>Meerkosten verwijderen kalkaanslag wastafels, doucheruimten, toiletpot</t>
  </si>
  <si>
    <t>9305</t>
  </si>
  <si>
    <t>Meerkosten op orde brengen overige resultaatniveaus</t>
  </si>
  <si>
    <t>Totaal leveringen excl. BTW</t>
  </si>
  <si>
    <t>Soort werk</t>
  </si>
  <si>
    <t>Uren per jaar uitvoering</t>
  </si>
  <si>
    <t>Uren hoogfrequent per jaar uitvoering</t>
  </si>
  <si>
    <t>Uren per jaar leiding</t>
  </si>
  <si>
    <t>Bedrag per jaar excl. BTW (euro)</t>
  </si>
  <si>
    <t>Bedrag per jaar incl. BTW (euro)</t>
  </si>
  <si>
    <t>Regulier werk</t>
  </si>
  <si>
    <t>Objectleiding</t>
  </si>
  <si>
    <t>Afroepwerk (geschatte frequenties)</t>
  </si>
  <si>
    <t>Glas</t>
  </si>
  <si>
    <t>Totaal generaal</t>
  </si>
  <si>
    <t>Percentage objectleiding</t>
  </si>
  <si>
    <t>Nulbeurt (geschat)</t>
  </si>
  <si>
    <t>BEGROOT BEDRAG REGULIERE WERKZAAMHEDEN EN GLASBEWASSING (NIET HOGER DAN BUDGET)</t>
  </si>
  <si>
    <t>VERGELIJKINGSBEDRAG AFROEP/REGIE WERK (GESCHAT) VOOR PRIJSCRITERIUM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</si>
</sst>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_-[$€-2]\ * #,##0.00\-;_-[$€-2]\ * &quot;-&quot;??_-;_-@_-"/>
    <numFmt numFmtId="165" formatCode="#,##0.0000"/>
  </numFmts>
  <fonts count="4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69696"/>
        <bgColor rgb="FF000000"/>
      </patternFill>
    </fill>
    <fill>
      <patternFill patternType="solid">
        <fgColor rgb="FFCCFFCC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49" fontId="0" fillId="3" borderId="6" xfId="0" applyNumberFormat="1" applyFill="1" applyBorder="1" applyAlignment="1">
      <alignment wrapText="1"/>
    </xf>
    <xf numFmtId="0" fontId="0" fillId="3" borderId="4" xfId="0" applyFill="1" applyBorder="1"/>
    <xf numFmtId="0" fontId="0" fillId="3" borderId="9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13" xfId="0" applyFill="1" applyBorder="1"/>
    <xf numFmtId="0" fontId="0" fillId="3" borderId="8" xfId="0" applyFill="1" applyBorder="1"/>
    <xf numFmtId="49" fontId="0" fillId="2" borderId="14" xfId="0" applyNumberFormat="1" applyFill="1" applyBorder="1"/>
    <xf numFmtId="1" fontId="0" fillId="2" borderId="14" xfId="0" applyNumberFormat="1" applyFill="1" applyBorder="1"/>
    <xf numFmtId="4" fontId="0" fillId="0" borderId="14" xfId="0" applyNumberFormat="1" applyBorder="1" applyProtection="1">
      <protection locked="0"/>
    </xf>
    <xf numFmtId="10" fontId="0" fillId="0" borderId="14" xfId="0" applyNumberFormat="1" applyBorder="1" applyProtection="1">
      <protection locked="0"/>
    </xf>
    <xf numFmtId="164" fontId="0" fillId="0" borderId="14" xfId="0" applyNumberFormat="1" applyBorder="1" applyProtection="1">
      <protection locked="0"/>
    </xf>
    <xf numFmtId="49" fontId="0" fillId="2" borderId="15" xfId="0" applyNumberFormat="1" applyFill="1" applyBorder="1"/>
    <xf numFmtId="1" fontId="0" fillId="2" borderId="15" xfId="0" applyNumberFormat="1" applyFill="1" applyBorder="1"/>
    <xf numFmtId="4" fontId="0" fillId="0" borderId="15" xfId="0" applyNumberFormat="1" applyBorder="1" applyProtection="1">
      <protection locked="0"/>
    </xf>
    <xf numFmtId="10" fontId="0" fillId="0" borderId="15" xfId="0" applyNumberFormat="1" applyBorder="1" applyProtection="1">
      <protection locked="0"/>
    </xf>
    <xf numFmtId="164" fontId="0" fillId="0" borderId="15" xfId="0" applyNumberFormat="1" applyBorder="1" applyProtection="1">
      <protection locked="0"/>
    </xf>
    <xf numFmtId="4" fontId="0" fillId="2" borderId="14" xfId="0" applyNumberFormat="1" applyFill="1" applyBorder="1"/>
    <xf numFmtId="165" fontId="0" fillId="2" borderId="14" xfId="0" applyNumberFormat="1" applyFill="1" applyBorder="1"/>
    <xf numFmtId="10" fontId="0" fillId="2" borderId="14" xfId="0" applyNumberFormat="1" applyFill="1" applyBorder="1"/>
    <xf numFmtId="164" fontId="0" fillId="2" borderId="14" xfId="0" applyNumberFormat="1" applyFill="1" applyBorder="1"/>
    <xf numFmtId="4" fontId="0" fillId="2" borderId="15" xfId="0" applyNumberFormat="1" applyFill="1" applyBorder="1"/>
    <xf numFmtId="165" fontId="0" fillId="2" borderId="15" xfId="0" applyNumberFormat="1" applyFill="1" applyBorder="1"/>
    <xf numFmtId="10" fontId="0" fillId="2" borderId="15" xfId="0" applyNumberFormat="1" applyFill="1" applyBorder="1"/>
    <xf numFmtId="164" fontId="0" fillId="2" borderId="15" xfId="0" applyNumberFormat="1" applyFill="1" applyBorder="1"/>
    <xf numFmtId="49" fontId="0" fillId="3" borderId="10" xfId="0" applyNumberFormat="1" applyFill="1" applyBorder="1"/>
    <xf numFmtId="0" fontId="0" fillId="3" borderId="11" xfId="0" applyFill="1" applyBorder="1"/>
    <xf numFmtId="4" fontId="0" fillId="3" borderId="6" xfId="0" applyNumberFormat="1" applyFill="1" applyBorder="1"/>
    <xf numFmtId="164" fontId="0" fillId="3" borderId="6" xfId="0" applyNumberFormat="1" applyFill="1" applyBorder="1"/>
    <xf numFmtId="164" fontId="0" fillId="3" borderId="16" xfId="0" applyNumberFormat="1" applyFill="1" applyBorder="1"/>
    <xf numFmtId="0" fontId="0" fillId="3" borderId="10" xfId="0" applyFill="1" applyBorder="1"/>
    <xf numFmtId="0" fontId="0" fillId="3" borderId="17" xfId="0" applyFill="1" applyBorder="1"/>
    <xf numFmtId="49" fontId="0" fillId="3" borderId="3" xfId="0" applyNumberFormat="1" applyFill="1" applyBorder="1"/>
    <xf numFmtId="0" fontId="0" fillId="3" borderId="18" xfId="0" applyFill="1" applyBorder="1"/>
    <xf numFmtId="49" fontId="0" fillId="3" borderId="18" xfId="0" applyNumberFormat="1" applyFill="1" applyBorder="1"/>
    <xf numFmtId="0" fontId="0" fillId="3" borderId="6" xfId="0" applyFill="1" applyBorder="1"/>
    <xf numFmtId="49" fontId="0" fillId="2" borderId="6" xfId="0" applyNumberFormat="1" applyFill="1" applyBorder="1"/>
    <xf numFmtId="49" fontId="0" fillId="4" borderId="6" xfId="0" applyNumberFormat="1" applyFill="1" applyBorder="1" applyProtection="1">
      <protection locked="0"/>
    </xf>
    <xf numFmtId="164" fontId="0" fillId="4" borderId="6" xfId="0" applyNumberFormat="1" applyFill="1" applyBorder="1" applyProtection="1">
      <protection locked="0"/>
    </xf>
    <xf numFmtId="4" fontId="0" fillId="0" borderId="6" xfId="0" applyNumberFormat="1" applyBorder="1" applyProtection="1">
      <protection locked="0"/>
    </xf>
    <xf numFmtId="4" fontId="0" fillId="2" borderId="6" xfId="0" applyNumberFormat="1" applyFill="1" applyBorder="1"/>
    <xf numFmtId="4" fontId="0" fillId="0" borderId="6" xfId="0" applyNumberFormat="1" applyBorder="1"/>
    <xf numFmtId="164" fontId="0" fillId="2" borderId="6" xfId="0" applyNumberFormat="1" applyFill="1" applyBorder="1"/>
    <xf numFmtId="0" fontId="0" fillId="0" borderId="4" xfId="0" applyBorder="1"/>
    <xf numFmtId="0" fontId="0" fillId="0" borderId="9" xfId="0" applyBorder="1"/>
    <xf numFmtId="0" fontId="0" fillId="0" borderId="5" xfId="0" applyBorder="1"/>
    <xf numFmtId="0" fontId="0" fillId="3" borderId="7" xfId="0" applyFill="1" applyBorder="1" applyAlignment="1"/>
    <xf numFmtId="4" fontId="0" fillId="3" borderId="14" xfId="0" applyNumberFormat="1" applyFill="1" applyBorder="1"/>
    <xf numFmtId="49" fontId="0" fillId="2" borderId="19" xfId="0" applyNumberFormat="1" applyFill="1" applyBorder="1"/>
    <xf numFmtId="1" fontId="0" fillId="0" borderId="19" xfId="0" applyNumberFormat="1" applyBorder="1"/>
    <xf numFmtId="49" fontId="0" fillId="0" borderId="19" xfId="0" applyNumberFormat="1" applyBorder="1"/>
    <xf numFmtId="164" fontId="0" fillId="0" borderId="19" xfId="0" applyNumberFormat="1" applyBorder="1" applyProtection="1">
      <protection locked="0"/>
    </xf>
    <xf numFmtId="10" fontId="0" fillId="0" borderId="19" xfId="0" applyNumberFormat="1" applyBorder="1" applyProtection="1">
      <protection locked="0"/>
    </xf>
    <xf numFmtId="4" fontId="0" fillId="3" borderId="19" xfId="0" applyNumberFormat="1" applyFill="1" applyBorder="1"/>
    <xf numFmtId="4" fontId="0" fillId="2" borderId="19" xfId="0" applyNumberFormat="1" applyFill="1" applyBorder="1"/>
    <xf numFmtId="164" fontId="0" fillId="2" borderId="19" xfId="0" applyNumberFormat="1" applyFill="1" applyBorder="1"/>
    <xf numFmtId="10" fontId="0" fillId="3" borderId="19" xfId="0" applyNumberFormat="1" applyFill="1" applyBorder="1"/>
    <xf numFmtId="4" fontId="0" fillId="0" borderId="19" xfId="0" applyNumberFormat="1" applyBorder="1" applyProtection="1">
      <protection locked="0"/>
    </xf>
    <xf numFmtId="1" fontId="0" fillId="0" borderId="15" xfId="0" applyNumberFormat="1" applyBorder="1"/>
    <xf numFmtId="49" fontId="0" fillId="0" borderId="15" xfId="0" applyNumberFormat="1" applyBorder="1"/>
    <xf numFmtId="10" fontId="0" fillId="3" borderId="15" xfId="0" applyNumberFormat="1" applyFill="1" applyBorder="1"/>
    <xf numFmtId="49" fontId="0" fillId="3" borderId="10" xfId="0" applyNumberFormat="1" applyFill="1" applyBorder="1" applyAlignment="1"/>
    <xf numFmtId="4" fontId="0" fillId="4" borderId="14" xfId="0" applyNumberFormat="1" applyFill="1" applyBorder="1" applyProtection="1">
      <protection locked="0"/>
    </xf>
    <xf numFmtId="4" fontId="0" fillId="3" borderId="14" xfId="0" applyNumberFormat="1" applyFill="1" applyBorder="1" applyProtection="1">
      <protection locked="0"/>
    </xf>
    <xf numFmtId="1" fontId="0" fillId="2" borderId="19" xfId="0" applyNumberFormat="1" applyFill="1" applyBorder="1"/>
    <xf numFmtId="4" fontId="0" fillId="0" borderId="19" xfId="0" applyNumberFormat="1" applyBorder="1"/>
    <xf numFmtId="4" fontId="0" fillId="3" borderId="19" xfId="0" applyNumberFormat="1" applyFill="1" applyBorder="1" applyProtection="1">
      <protection locked="0"/>
    </xf>
    <xf numFmtId="4" fontId="0" fillId="4" borderId="19" xfId="0" applyNumberFormat="1" applyFill="1" applyBorder="1" applyProtection="1">
      <protection locked="0"/>
    </xf>
    <xf numFmtId="4" fontId="0" fillId="4" borderId="15" xfId="0" applyNumberFormat="1" applyFill="1" applyBorder="1" applyProtection="1">
      <protection locked="0"/>
    </xf>
    <xf numFmtId="4" fontId="0" fillId="3" borderId="15" xfId="0" applyNumberFormat="1" applyFill="1" applyBorder="1" applyProtection="1">
      <protection locked="0"/>
    </xf>
    <xf numFmtId="164" fontId="0" fillId="3" borderId="12" xfId="0" applyNumberFormat="1" applyFill="1" applyBorder="1"/>
    <xf numFmtId="0" fontId="0" fillId="3" borderId="12" xfId="0" applyFill="1" applyBorder="1"/>
    <xf numFmtId="4" fontId="0" fillId="0" borderId="15" xfId="0" applyNumberFormat="1" applyBorder="1"/>
    <xf numFmtId="49" fontId="0" fillId="3" borderId="14" xfId="0" applyNumberFormat="1" applyFill="1" applyBorder="1" applyAlignment="1">
      <alignment wrapText="1"/>
    </xf>
    <xf numFmtId="49" fontId="0" fillId="3" borderId="19" xfId="0" applyNumberFormat="1" applyFill="1" applyBorder="1" applyAlignment="1">
      <alignment wrapText="1"/>
    </xf>
    <xf numFmtId="49" fontId="0" fillId="3" borderId="15" xfId="0" applyNumberFormat="1" applyFill="1" applyBorder="1" applyAlignment="1">
      <alignment wrapText="1"/>
    </xf>
    <xf numFmtId="4" fontId="0" fillId="3" borderId="15" xfId="0" applyNumberFormat="1" applyFill="1" applyBorder="1"/>
    <xf numFmtId="10" fontId="0" fillId="3" borderId="6" xfId="0" applyNumberFormat="1" applyFill="1" applyBorder="1"/>
    <xf numFmtId="0" fontId="2" fillId="5" borderId="16" xfId="0" applyFont="1" applyFill="1" applyBorder="1"/>
    <xf numFmtId="0" fontId="3" fillId="5" borderId="16" xfId="0" applyFont="1" applyFill="1" applyBorder="1"/>
    <xf numFmtId="164" fontId="2" fillId="6" borderId="16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4561C-694A-4370-AF9E-B69BFAEEEC69}">
  <dimension ref="A1:B26"/>
  <sheetViews>
    <sheetView workbookViewId="0"/>
  </sheetViews>
  <sheetFormatPr defaultRowHeight="12.75" x14ac:dyDescent="0.2"/>
  <sheetData>
    <row r="1" spans="1:2" x14ac:dyDescent="0.2">
      <c r="A1" s="1" t="s">
        <v>0</v>
      </c>
    </row>
    <row r="3" spans="1:2" x14ac:dyDescent="0.2">
      <c r="A3" t="s">
        <v>1</v>
      </c>
    </row>
    <row r="5" spans="1:2" x14ac:dyDescent="0.2">
      <c r="A5" t="s">
        <v>2</v>
      </c>
      <c r="B5" t="s">
        <v>3</v>
      </c>
    </row>
    <row r="7" spans="1:2" x14ac:dyDescent="0.2">
      <c r="A7" s="4" t="s">
        <v>4</v>
      </c>
      <c r="B7" s="5"/>
    </row>
    <row r="8" spans="1:2" x14ac:dyDescent="0.2">
      <c r="A8" s="2"/>
      <c r="B8" s="3"/>
    </row>
    <row r="9" spans="1:2" x14ac:dyDescent="0.2">
      <c r="A9" s="2" t="s">
        <v>5</v>
      </c>
      <c r="B9" s="3">
        <v>255</v>
      </c>
    </row>
    <row r="10" spans="1:2" x14ac:dyDescent="0.2">
      <c r="A10" s="2" t="s">
        <v>6</v>
      </c>
      <c r="B10" s="3">
        <v>5</v>
      </c>
    </row>
    <row r="11" spans="1:2" x14ac:dyDescent="0.2">
      <c r="A11" s="2"/>
      <c r="B11" s="3"/>
    </row>
    <row r="12" spans="1:2" x14ac:dyDescent="0.2">
      <c r="A12" s="2" t="s">
        <v>7</v>
      </c>
      <c r="B12" s="3" t="s">
        <v>8</v>
      </c>
    </row>
    <row r="13" spans="1:2" x14ac:dyDescent="0.2">
      <c r="A13" s="2" t="s">
        <v>9</v>
      </c>
      <c r="B13" s="3">
        <f t="shared" ref="B13:B26" si="0">IF(A13="2½W",2.5/dagenperweek1,IF(RIGHT(A13,1)="W",VALUE(LEFT(A13,LEN(A13)-1))/dagenperweek1,IF(RIGHT(A13,1)="J",VALUE(LEFT(A13,LEN(A13)-1))/dagenperjaar1,"handmatig!")))</f>
        <v>1</v>
      </c>
    </row>
    <row r="14" spans="1:2" x14ac:dyDescent="0.2">
      <c r="A14" s="2" t="s">
        <v>10</v>
      </c>
      <c r="B14" s="3">
        <f t="shared" si="0"/>
        <v>0.8</v>
      </c>
    </row>
    <row r="15" spans="1:2" x14ac:dyDescent="0.2">
      <c r="A15" s="2" t="s">
        <v>11</v>
      </c>
      <c r="B15" s="3">
        <f t="shared" si="0"/>
        <v>0.78431372549019607</v>
      </c>
    </row>
    <row r="16" spans="1:2" x14ac:dyDescent="0.2">
      <c r="A16" s="2" t="s">
        <v>12</v>
      </c>
      <c r="B16" s="3">
        <f t="shared" si="0"/>
        <v>0.6</v>
      </c>
    </row>
    <row r="17" spans="1:2" x14ac:dyDescent="0.2">
      <c r="A17" s="2" t="s">
        <v>13</v>
      </c>
      <c r="B17" s="3">
        <f t="shared" si="0"/>
        <v>0.4</v>
      </c>
    </row>
    <row r="18" spans="1:2" x14ac:dyDescent="0.2">
      <c r="A18" s="2" t="s">
        <v>14</v>
      </c>
      <c r="B18" s="3">
        <f t="shared" si="0"/>
        <v>0.2</v>
      </c>
    </row>
    <row r="19" spans="1:2" x14ac:dyDescent="0.2">
      <c r="A19" s="2" t="s">
        <v>15</v>
      </c>
      <c r="B19" s="3">
        <f t="shared" si="0"/>
        <v>0.10196078431372549</v>
      </c>
    </row>
    <row r="20" spans="1:2" x14ac:dyDescent="0.2">
      <c r="A20" s="2" t="s">
        <v>16</v>
      </c>
      <c r="B20" s="3">
        <f t="shared" si="0"/>
        <v>4.7058823529411764E-2</v>
      </c>
    </row>
    <row r="21" spans="1:2" x14ac:dyDescent="0.2">
      <c r="A21" s="2" t="s">
        <v>17</v>
      </c>
      <c r="B21" s="3">
        <f t="shared" si="0"/>
        <v>3.9215686274509803E-2</v>
      </c>
    </row>
    <row r="22" spans="1:2" x14ac:dyDescent="0.2">
      <c r="A22" s="2" t="s">
        <v>18</v>
      </c>
      <c r="B22" s="3">
        <f t="shared" si="0"/>
        <v>2.3529411764705882E-2</v>
      </c>
    </row>
    <row r="23" spans="1:2" x14ac:dyDescent="0.2">
      <c r="A23" s="2" t="s">
        <v>19</v>
      </c>
      <c r="B23" s="3">
        <f t="shared" si="0"/>
        <v>1.5686274509803921E-2</v>
      </c>
    </row>
    <row r="24" spans="1:2" x14ac:dyDescent="0.2">
      <c r="A24" s="2" t="s">
        <v>20</v>
      </c>
      <c r="B24" s="3">
        <f t="shared" si="0"/>
        <v>1.1764705882352941E-2</v>
      </c>
    </row>
    <row r="25" spans="1:2" x14ac:dyDescent="0.2">
      <c r="A25" s="2" t="s">
        <v>21</v>
      </c>
      <c r="B25" s="3">
        <f t="shared" si="0"/>
        <v>7.8431372549019607E-3</v>
      </c>
    </row>
    <row r="26" spans="1:2" x14ac:dyDescent="0.2">
      <c r="A26" s="6" t="s">
        <v>22</v>
      </c>
      <c r="B26" s="7">
        <f t="shared" si="0"/>
        <v>3.9215686274509803E-3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FD6BC-2E44-4F5D-AF50-9AAC051FB9AA}">
  <dimension ref="A1:L18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50.625" customWidth="1"/>
    <col min="5" max="6" width="14.625" customWidth="1"/>
    <col min="7" max="9" width="11.625" customWidth="1"/>
    <col min="10" max="10" width="12.625" customWidth="1"/>
    <col min="11" max="11" width="14.625" customWidth="1"/>
    <col min="12" max="12" width="13.625" customWidth="1"/>
  </cols>
  <sheetData>
    <row r="1" spans="1:12" x14ac:dyDescent="0.2">
      <c r="A1" s="1" t="str">
        <f>CONCATENATE("Bijlage H6.8: ",tabeltype," glas")</f>
        <v>Bijlage H6.8: Invultabel glas</v>
      </c>
    </row>
    <row r="3" spans="1:12" ht="38.25" x14ac:dyDescent="0.2">
      <c r="A3" s="8" t="s">
        <v>110</v>
      </c>
      <c r="B3" s="8" t="s">
        <v>7</v>
      </c>
      <c r="C3" s="8" t="s">
        <v>111</v>
      </c>
      <c r="D3" s="8" t="s">
        <v>26</v>
      </c>
      <c r="E3" s="8" t="s">
        <v>29</v>
      </c>
      <c r="F3" s="8" t="s">
        <v>112</v>
      </c>
      <c r="G3" s="8" t="s">
        <v>113</v>
      </c>
      <c r="H3" s="8" t="s">
        <v>114</v>
      </c>
      <c r="I3" s="8" t="s">
        <v>115</v>
      </c>
      <c r="J3" s="8" t="s">
        <v>116</v>
      </c>
      <c r="K3" s="8" t="s">
        <v>45</v>
      </c>
      <c r="L3" s="8" t="s">
        <v>79</v>
      </c>
    </row>
    <row r="4" spans="1:12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2" x14ac:dyDescent="0.2">
      <c r="A5" s="12" t="s">
        <v>31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x14ac:dyDescent="0.2">
      <c r="A6" s="15" t="s">
        <v>255</v>
      </c>
      <c r="B6" s="15" t="s">
        <v>21</v>
      </c>
      <c r="C6" s="16">
        <f t="shared" ref="C6:C15" si="0">IF(ISBLANK(B6),0,IF(ISERROR(VALUE(B6)),VLOOKUP(B6,dagsoorttabel1,2,FALSE)*dagenperjaar1,VALUE(B6)))</f>
        <v>2</v>
      </c>
      <c r="D6" s="15" t="s">
        <v>256</v>
      </c>
      <c r="E6" s="15" t="s">
        <v>162</v>
      </c>
      <c r="F6" s="70">
        <v>541.4</v>
      </c>
      <c r="G6" s="19"/>
      <c r="H6" s="71"/>
      <c r="I6" s="19"/>
      <c r="J6" s="28">
        <f t="shared" ref="J6:J15" si="1">IF(ISBLANK(F6),0,F6)*I6</f>
        <v>0</v>
      </c>
      <c r="K6" s="28">
        <f t="shared" ref="K6:K15" si="2">C6*J6</f>
        <v>0</v>
      </c>
      <c r="L6" s="28">
        <f t="shared" ref="L6:L16" si="3">K6/12</f>
        <v>0</v>
      </c>
    </row>
    <row r="7" spans="1:12" x14ac:dyDescent="0.2">
      <c r="A7" s="56" t="s">
        <v>257</v>
      </c>
      <c r="B7" s="56" t="s">
        <v>21</v>
      </c>
      <c r="C7" s="72">
        <f t="shared" si="0"/>
        <v>2</v>
      </c>
      <c r="D7" s="56" t="s">
        <v>258</v>
      </c>
      <c r="E7" s="56" t="s">
        <v>162</v>
      </c>
      <c r="F7" s="75">
        <v>541.4</v>
      </c>
      <c r="G7" s="59"/>
      <c r="H7" s="74"/>
      <c r="I7" s="59"/>
      <c r="J7" s="63">
        <f t="shared" si="1"/>
        <v>0</v>
      </c>
      <c r="K7" s="63">
        <f t="shared" si="2"/>
        <v>0</v>
      </c>
      <c r="L7" s="63">
        <f t="shared" si="3"/>
        <v>0</v>
      </c>
    </row>
    <row r="8" spans="1:12" x14ac:dyDescent="0.2">
      <c r="A8" s="56" t="s">
        <v>259</v>
      </c>
      <c r="B8" s="56" t="s">
        <v>21</v>
      </c>
      <c r="C8" s="72">
        <f t="shared" si="0"/>
        <v>2</v>
      </c>
      <c r="D8" s="56" t="s">
        <v>260</v>
      </c>
      <c r="E8" s="56" t="s">
        <v>162</v>
      </c>
      <c r="F8" s="75">
        <v>357.1</v>
      </c>
      <c r="G8" s="59"/>
      <c r="H8" s="74"/>
      <c r="I8" s="59"/>
      <c r="J8" s="63">
        <f t="shared" si="1"/>
        <v>0</v>
      </c>
      <c r="K8" s="63">
        <f t="shared" si="2"/>
        <v>0</v>
      </c>
      <c r="L8" s="63">
        <f t="shared" si="3"/>
        <v>0</v>
      </c>
    </row>
    <row r="9" spans="1:12" x14ac:dyDescent="0.2">
      <c r="A9" s="56" t="s">
        <v>261</v>
      </c>
      <c r="B9" s="56" t="s">
        <v>21</v>
      </c>
      <c r="C9" s="72">
        <f t="shared" si="0"/>
        <v>2</v>
      </c>
      <c r="D9" s="56" t="s">
        <v>262</v>
      </c>
      <c r="E9" s="56" t="s">
        <v>162</v>
      </c>
      <c r="F9" s="73"/>
      <c r="G9" s="59"/>
      <c r="H9" s="74"/>
      <c r="I9" s="59"/>
      <c r="J9" s="63">
        <f t="shared" si="1"/>
        <v>0</v>
      </c>
      <c r="K9" s="63">
        <f t="shared" si="2"/>
        <v>0</v>
      </c>
      <c r="L9" s="63">
        <f t="shared" si="3"/>
        <v>0</v>
      </c>
    </row>
    <row r="10" spans="1:12" x14ac:dyDescent="0.2">
      <c r="A10" s="56" t="s">
        <v>263</v>
      </c>
      <c r="B10" s="56" t="s">
        <v>21</v>
      </c>
      <c r="C10" s="72">
        <f t="shared" si="0"/>
        <v>2</v>
      </c>
      <c r="D10" s="56" t="s">
        <v>264</v>
      </c>
      <c r="E10" s="56" t="s">
        <v>162</v>
      </c>
      <c r="F10" s="73"/>
      <c r="G10" s="59"/>
      <c r="H10" s="74"/>
      <c r="I10" s="59"/>
      <c r="J10" s="63">
        <f t="shared" si="1"/>
        <v>0</v>
      </c>
      <c r="K10" s="63">
        <f t="shared" si="2"/>
        <v>0</v>
      </c>
      <c r="L10" s="63">
        <f t="shared" si="3"/>
        <v>0</v>
      </c>
    </row>
    <row r="11" spans="1:12" x14ac:dyDescent="0.2">
      <c r="A11" s="56" t="s">
        <v>265</v>
      </c>
      <c r="B11" s="56" t="s">
        <v>21</v>
      </c>
      <c r="C11" s="72">
        <f t="shared" si="0"/>
        <v>2</v>
      </c>
      <c r="D11" s="56" t="s">
        <v>266</v>
      </c>
      <c r="E11" s="56" t="s">
        <v>162</v>
      </c>
      <c r="F11" s="73"/>
      <c r="G11" s="59"/>
      <c r="H11" s="74"/>
      <c r="I11" s="59"/>
      <c r="J11" s="63">
        <f t="shared" si="1"/>
        <v>0</v>
      </c>
      <c r="K11" s="63">
        <f t="shared" si="2"/>
        <v>0</v>
      </c>
      <c r="L11" s="63">
        <f t="shared" si="3"/>
        <v>0</v>
      </c>
    </row>
    <row r="12" spans="1:12" x14ac:dyDescent="0.2">
      <c r="A12" s="56" t="s">
        <v>267</v>
      </c>
      <c r="B12" s="56" t="s">
        <v>21</v>
      </c>
      <c r="C12" s="72">
        <f t="shared" si="0"/>
        <v>2</v>
      </c>
      <c r="D12" s="56" t="s">
        <v>268</v>
      </c>
      <c r="E12" s="56" t="s">
        <v>269</v>
      </c>
      <c r="F12" s="73"/>
      <c r="G12" s="59"/>
      <c r="H12" s="74"/>
      <c r="I12" s="59"/>
      <c r="J12" s="63">
        <f t="shared" si="1"/>
        <v>0</v>
      </c>
      <c r="K12" s="63">
        <f t="shared" si="2"/>
        <v>0</v>
      </c>
      <c r="L12" s="63">
        <f t="shared" si="3"/>
        <v>0</v>
      </c>
    </row>
    <row r="13" spans="1:12" x14ac:dyDescent="0.2">
      <c r="A13" s="56" t="s">
        <v>270</v>
      </c>
      <c r="B13" s="56" t="s">
        <v>21</v>
      </c>
      <c r="C13" s="72">
        <f t="shared" si="0"/>
        <v>2</v>
      </c>
      <c r="D13" s="56" t="s">
        <v>271</v>
      </c>
      <c r="E13" s="56" t="s">
        <v>269</v>
      </c>
      <c r="F13" s="73"/>
      <c r="G13" s="59"/>
      <c r="H13" s="74"/>
      <c r="I13" s="59"/>
      <c r="J13" s="63">
        <f t="shared" si="1"/>
        <v>0</v>
      </c>
      <c r="K13" s="63">
        <f t="shared" si="2"/>
        <v>0</v>
      </c>
      <c r="L13" s="63">
        <f t="shared" si="3"/>
        <v>0</v>
      </c>
    </row>
    <row r="14" spans="1:12" x14ac:dyDescent="0.2">
      <c r="A14" s="56" t="s">
        <v>272</v>
      </c>
      <c r="B14" s="56" t="s">
        <v>21</v>
      </c>
      <c r="C14" s="72">
        <f t="shared" si="0"/>
        <v>2</v>
      </c>
      <c r="D14" s="56" t="s">
        <v>273</v>
      </c>
      <c r="E14" s="56" t="s">
        <v>269</v>
      </c>
      <c r="F14" s="73"/>
      <c r="G14" s="59"/>
      <c r="H14" s="74"/>
      <c r="I14" s="59"/>
      <c r="J14" s="63">
        <f t="shared" si="1"/>
        <v>0</v>
      </c>
      <c r="K14" s="63">
        <f t="shared" si="2"/>
        <v>0</v>
      </c>
      <c r="L14" s="63">
        <f t="shared" si="3"/>
        <v>0</v>
      </c>
    </row>
    <row r="15" spans="1:12" x14ac:dyDescent="0.2">
      <c r="A15" s="20" t="s">
        <v>274</v>
      </c>
      <c r="B15" s="20" t="s">
        <v>21</v>
      </c>
      <c r="C15" s="21">
        <f t="shared" si="0"/>
        <v>2</v>
      </c>
      <c r="D15" s="20" t="s">
        <v>275</v>
      </c>
      <c r="E15" s="20" t="s">
        <v>269</v>
      </c>
      <c r="F15" s="80"/>
      <c r="G15" s="24"/>
      <c r="H15" s="77"/>
      <c r="I15" s="24"/>
      <c r="J15" s="32">
        <f t="shared" si="1"/>
        <v>0</v>
      </c>
      <c r="K15" s="32">
        <f t="shared" si="2"/>
        <v>0</v>
      </c>
      <c r="L15" s="32">
        <f t="shared" si="3"/>
        <v>0</v>
      </c>
    </row>
    <row r="16" spans="1:12" x14ac:dyDescent="0.2">
      <c r="A16" s="33" t="s">
        <v>51</v>
      </c>
      <c r="B16" s="34"/>
      <c r="C16" s="34"/>
      <c r="D16" s="34"/>
      <c r="E16" s="34"/>
      <c r="F16" s="34"/>
      <c r="G16" s="34"/>
      <c r="H16" s="34"/>
      <c r="I16" s="34"/>
      <c r="J16" s="34"/>
      <c r="K16" s="36">
        <f>SUM(K6:K15)</f>
        <v>0</v>
      </c>
      <c r="L16" s="78">
        <f t="shared" si="3"/>
        <v>0</v>
      </c>
    </row>
    <row r="18" spans="1:12" x14ac:dyDescent="0.2">
      <c r="A18" s="33" t="s">
        <v>276</v>
      </c>
      <c r="B18" s="34"/>
      <c r="C18" s="34"/>
      <c r="D18" s="34"/>
      <c r="E18" s="34"/>
      <c r="F18" s="34"/>
      <c r="G18" s="34"/>
      <c r="H18" s="34"/>
      <c r="I18" s="34"/>
      <c r="J18" s="34"/>
      <c r="K18" s="36">
        <f>prijsjaarglas1</f>
        <v>0</v>
      </c>
      <c r="L18" s="78">
        <f>K18/12</f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&amp;LGewoon Speciaal Onderwijs                                   &amp;ROpmaakdatum: 03-11-2021
Intexso - De Start 5 - Leusden
+31 (33) 2778485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52369-6655-4A4D-8307-30B58600CFF2}">
  <dimension ref="A1:I13"/>
  <sheetViews>
    <sheetView workbookViewId="0">
      <selection activeCell="A17" sqref="A17:XFD20"/>
    </sheetView>
  </sheetViews>
  <sheetFormatPr defaultRowHeight="12.75" x14ac:dyDescent="0.2"/>
  <cols>
    <col min="1" max="1" width="7.625" customWidth="1"/>
    <col min="2" max="2" width="6.125" customWidth="1"/>
    <col min="3" max="3" width="7.625" customWidth="1"/>
    <col min="4" max="4" width="50.625" customWidth="1"/>
    <col min="5" max="6" width="14.625" customWidth="1"/>
    <col min="7" max="7" width="11.625" customWidth="1"/>
    <col min="8" max="8" width="12.625" customWidth="1"/>
    <col min="9" max="9" width="14.625" customWidth="1"/>
  </cols>
  <sheetData>
    <row r="1" spans="1:9" x14ac:dyDescent="0.2">
      <c r="A1" s="1" t="str">
        <f>CONCATENATE("Bijlage H6.9: ",tabeltype," Nulbeurt")</f>
        <v>Bijlage H6.9: Invultabel Nulbeurt</v>
      </c>
    </row>
    <row r="3" spans="1:9" ht="38.25" x14ac:dyDescent="0.2">
      <c r="A3" s="8" t="s">
        <v>110</v>
      </c>
      <c r="B3" s="8" t="s">
        <v>7</v>
      </c>
      <c r="C3" s="8" t="s">
        <v>111</v>
      </c>
      <c r="D3" s="8" t="s">
        <v>26</v>
      </c>
      <c r="E3" s="8" t="s">
        <v>29</v>
      </c>
      <c r="F3" s="8" t="s">
        <v>112</v>
      </c>
      <c r="G3" s="8" t="s">
        <v>115</v>
      </c>
      <c r="H3" s="8" t="s">
        <v>116</v>
      </c>
      <c r="I3" s="8" t="s">
        <v>45</v>
      </c>
    </row>
    <row r="4" spans="1:9" x14ac:dyDescent="0.2">
      <c r="A4" s="9"/>
      <c r="B4" s="10"/>
      <c r="C4" s="10"/>
      <c r="D4" s="10"/>
      <c r="E4" s="10"/>
      <c r="F4" s="10"/>
      <c r="G4" s="10"/>
      <c r="H4" s="10"/>
      <c r="I4" s="11"/>
    </row>
    <row r="5" spans="1:9" x14ac:dyDescent="0.2">
      <c r="A5" s="12" t="s">
        <v>31</v>
      </c>
      <c r="B5" s="13"/>
      <c r="C5" s="13"/>
      <c r="D5" s="13"/>
      <c r="E5" s="13"/>
      <c r="F5" s="13"/>
      <c r="G5" s="13"/>
      <c r="H5" s="13"/>
      <c r="I5" s="14"/>
    </row>
    <row r="6" spans="1:9" x14ac:dyDescent="0.2">
      <c r="A6" s="15" t="s">
        <v>277</v>
      </c>
      <c r="B6" s="15" t="s">
        <v>22</v>
      </c>
      <c r="C6" s="16">
        <f>IF(ISBLANK(B6),0,IF(ISERROR(VALUE(B6)),VLOOKUP(B6,dagsoorttabel1,2,FALSE)*dagenperjaar1,VALUE(B6)))</f>
        <v>1</v>
      </c>
      <c r="D6" s="15" t="s">
        <v>278</v>
      </c>
      <c r="E6" s="15" t="s">
        <v>130</v>
      </c>
      <c r="F6" s="70">
        <v>1</v>
      </c>
      <c r="G6" s="19"/>
      <c r="H6" s="28">
        <f>IF(ISBLANK(F6),1,F6)*G6</f>
        <v>0</v>
      </c>
      <c r="I6" s="28">
        <f>C6*H6</f>
        <v>0</v>
      </c>
    </row>
    <row r="7" spans="1:9" x14ac:dyDescent="0.2">
      <c r="A7" s="56" t="s">
        <v>279</v>
      </c>
      <c r="B7" s="56" t="s">
        <v>22</v>
      </c>
      <c r="C7" s="72">
        <f>IF(ISBLANK(B7),0,IF(ISERROR(VALUE(B7)),VLOOKUP(B7,dagsoorttabel1,2,FALSE)*dagenperjaar1,VALUE(B7)))</f>
        <v>1</v>
      </c>
      <c r="D7" s="56" t="s">
        <v>280</v>
      </c>
      <c r="E7" s="56" t="s">
        <v>130</v>
      </c>
      <c r="F7" s="75">
        <v>1</v>
      </c>
      <c r="G7" s="59"/>
      <c r="H7" s="63">
        <f>IF(ISBLANK(F7),1,F7)*G7</f>
        <v>0</v>
      </c>
      <c r="I7" s="63">
        <f>C7*H7</f>
        <v>0</v>
      </c>
    </row>
    <row r="8" spans="1:9" x14ac:dyDescent="0.2">
      <c r="A8" s="56" t="s">
        <v>281</v>
      </c>
      <c r="B8" s="56" t="s">
        <v>22</v>
      </c>
      <c r="C8" s="72">
        <f>IF(ISBLANK(B8),0,IF(ISERROR(VALUE(B8)),VLOOKUP(B8,dagsoorttabel1,2,FALSE)*dagenperjaar1,VALUE(B8)))</f>
        <v>1</v>
      </c>
      <c r="D8" s="56" t="s">
        <v>282</v>
      </c>
      <c r="E8" s="56" t="s">
        <v>130</v>
      </c>
      <c r="F8" s="75">
        <v>1</v>
      </c>
      <c r="G8" s="59"/>
      <c r="H8" s="63">
        <f>IF(ISBLANK(F8),1,F8)*G8</f>
        <v>0</v>
      </c>
      <c r="I8" s="63">
        <f>C8*H8</f>
        <v>0</v>
      </c>
    </row>
    <row r="9" spans="1:9" x14ac:dyDescent="0.2">
      <c r="A9" s="56" t="s">
        <v>283</v>
      </c>
      <c r="B9" s="56" t="s">
        <v>22</v>
      </c>
      <c r="C9" s="72">
        <f>IF(ISBLANK(B9),0,IF(ISERROR(VALUE(B9)),VLOOKUP(B9,dagsoorttabel1,2,FALSE)*dagenperjaar1,VALUE(B9)))</f>
        <v>1</v>
      </c>
      <c r="D9" s="56" t="s">
        <v>284</v>
      </c>
      <c r="E9" s="56" t="s">
        <v>130</v>
      </c>
      <c r="F9" s="75">
        <v>1</v>
      </c>
      <c r="G9" s="59"/>
      <c r="H9" s="63">
        <f>IF(ISBLANK(F9),1,F9)*G9</f>
        <v>0</v>
      </c>
      <c r="I9" s="63">
        <f>C9*H9</f>
        <v>0</v>
      </c>
    </row>
    <row r="10" spans="1:9" x14ac:dyDescent="0.2">
      <c r="A10" s="20" t="s">
        <v>285</v>
      </c>
      <c r="B10" s="20" t="s">
        <v>22</v>
      </c>
      <c r="C10" s="21">
        <f>IF(ISBLANK(B10),0,IF(ISERROR(VALUE(B10)),VLOOKUP(B10,dagsoorttabel1,2,FALSE)*dagenperjaar1,VALUE(B10)))</f>
        <v>1</v>
      </c>
      <c r="D10" s="20" t="s">
        <v>286</v>
      </c>
      <c r="E10" s="20" t="s">
        <v>130</v>
      </c>
      <c r="F10" s="76">
        <v>1</v>
      </c>
      <c r="G10" s="24"/>
      <c r="H10" s="32">
        <f>IF(ISBLANK(F10),1,F10)*G10</f>
        <v>0</v>
      </c>
      <c r="I10" s="32">
        <f>C10*H10</f>
        <v>0</v>
      </c>
    </row>
    <row r="11" spans="1:9" x14ac:dyDescent="0.2">
      <c r="A11" s="33" t="s">
        <v>51</v>
      </c>
      <c r="B11" s="34"/>
      <c r="C11" s="34"/>
      <c r="D11" s="34"/>
      <c r="E11" s="34"/>
      <c r="F11" s="34"/>
      <c r="G11" s="34"/>
      <c r="H11" s="34"/>
      <c r="I11" s="36">
        <f>SUM(I6:I10)</f>
        <v>0</v>
      </c>
    </row>
    <row r="13" spans="1:9" x14ac:dyDescent="0.2">
      <c r="A13" s="33" t="s">
        <v>287</v>
      </c>
      <c r="B13" s="34"/>
      <c r="C13" s="34"/>
      <c r="D13" s="34"/>
      <c r="E13" s="34"/>
      <c r="F13" s="34"/>
      <c r="G13" s="34"/>
      <c r="H13" s="34"/>
      <c r="I13" s="36">
        <f>prijsjaarleveringen1</f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&amp;LGewoon Speciaal Onderwijs                                   &amp;ROpmaakdatum: 03-11-2021
Intexso - De Start 5 - Leusden
+31 (33) 2778485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9D2D5-A441-4424-ADF9-4B8DC6351687}">
  <dimension ref="A1:F19"/>
  <sheetViews>
    <sheetView tabSelected="1" workbookViewId="0">
      <selection activeCell="A24" sqref="A24"/>
    </sheetView>
  </sheetViews>
  <sheetFormatPr defaultRowHeight="12.75" x14ac:dyDescent="0.2"/>
  <cols>
    <col min="1" max="1" width="30.625" customWidth="1"/>
    <col min="2" max="6" width="20.625" customWidth="1"/>
  </cols>
  <sheetData>
    <row r="1" spans="1:6" x14ac:dyDescent="0.2">
      <c r="A1" s="1" t="str">
        <f>CONCATENATE("Bijlage H6.10: ",tabeltype," totaalblad schoonmaakwerk")</f>
        <v>Bijlage H6.10: Invultabel totaalblad schoonmaakwerk</v>
      </c>
    </row>
    <row r="3" spans="1:6" ht="25.5" x14ac:dyDescent="0.2">
      <c r="A3" s="8" t="s">
        <v>288</v>
      </c>
      <c r="B3" s="8" t="s">
        <v>289</v>
      </c>
      <c r="C3" s="8" t="s">
        <v>290</v>
      </c>
      <c r="D3" s="8" t="s">
        <v>291</v>
      </c>
      <c r="E3" s="8" t="s">
        <v>292</v>
      </c>
      <c r="F3" s="8" t="s">
        <v>293</v>
      </c>
    </row>
    <row r="4" spans="1:6" x14ac:dyDescent="0.2">
      <c r="A4" s="81" t="s">
        <v>294</v>
      </c>
      <c r="B4" s="25">
        <f>urenjaartotaaloverzicht</f>
        <v>0</v>
      </c>
      <c r="C4" s="25">
        <f>urenjaartotaaloverzichthf</f>
        <v>0</v>
      </c>
      <c r="D4" s="55"/>
      <c r="E4" s="28">
        <f>prijsjaartotaaloverzicht</f>
        <v>0</v>
      </c>
      <c r="F4" s="28">
        <f>E4*1.21</f>
        <v>0</v>
      </c>
    </row>
    <row r="5" spans="1:6" x14ac:dyDescent="0.2">
      <c r="A5" s="82" t="s">
        <v>295</v>
      </c>
      <c r="B5" s="61"/>
      <c r="C5" s="61"/>
      <c r="D5" s="62">
        <f>urenjaarnietmeewerkend</f>
        <v>0</v>
      </c>
      <c r="E5" s="63">
        <f>prijsjaarnietmeewerkend</f>
        <v>0</v>
      </c>
      <c r="F5" s="63">
        <f>E5*1.21</f>
        <v>0</v>
      </c>
    </row>
    <row r="6" spans="1:6" ht="25.5" x14ac:dyDescent="0.2">
      <c r="A6" s="82" t="s">
        <v>296</v>
      </c>
      <c r="B6" s="61"/>
      <c r="C6" s="61"/>
      <c r="D6" s="61"/>
      <c r="E6" s="63">
        <f>prijsjaarafroep</f>
        <v>0</v>
      </c>
      <c r="F6" s="63">
        <f>E6*1.21</f>
        <v>0</v>
      </c>
    </row>
    <row r="7" spans="1:6" x14ac:dyDescent="0.2">
      <c r="A7" s="82" t="s">
        <v>297</v>
      </c>
      <c r="B7" s="61"/>
      <c r="C7" s="61"/>
      <c r="D7" s="61"/>
      <c r="E7" s="63">
        <f>prijsjaarglas</f>
        <v>0</v>
      </c>
      <c r="F7" s="63">
        <f>E7*1.21</f>
        <v>0</v>
      </c>
    </row>
    <row r="8" spans="1:6" x14ac:dyDescent="0.2">
      <c r="A8" s="83" t="s">
        <v>300</v>
      </c>
      <c r="B8" s="84"/>
      <c r="C8" s="84"/>
      <c r="D8" s="84"/>
      <c r="E8" s="32">
        <f>prijsjaarleveringen</f>
        <v>0</v>
      </c>
      <c r="F8" s="32">
        <f>E8*1.21</f>
        <v>0</v>
      </c>
    </row>
    <row r="10" spans="1:6" x14ac:dyDescent="0.2">
      <c r="A10" s="8" t="s">
        <v>298</v>
      </c>
      <c r="B10" s="35">
        <f>SUM(B4:B8)</f>
        <v>0</v>
      </c>
      <c r="C10" s="35">
        <f>SUM(C4:C8)</f>
        <v>0</v>
      </c>
      <c r="D10" s="35">
        <f>SUM(D4:D8)</f>
        <v>0</v>
      </c>
      <c r="E10" s="36">
        <f>SUM(E4:E8)</f>
        <v>0</v>
      </c>
      <c r="F10" s="36">
        <f>E10*1.21</f>
        <v>0</v>
      </c>
    </row>
    <row r="12" spans="1:6" x14ac:dyDescent="0.2">
      <c r="A12" s="8" t="s">
        <v>299</v>
      </c>
      <c r="B12" s="85">
        <f>IF(B10&gt;0,D10/B10,0)</f>
        <v>0</v>
      </c>
    </row>
    <row r="17" spans="1:5" ht="15" x14ac:dyDescent="0.25">
      <c r="A17" s="86" t="s">
        <v>301</v>
      </c>
      <c r="B17" s="87"/>
      <c r="C17" s="87"/>
      <c r="D17" s="87"/>
      <c r="E17" s="88">
        <f>SUM(E4,E5,E7)</f>
        <v>0</v>
      </c>
    </row>
    <row r="18" spans="1:5" ht="15" x14ac:dyDescent="0.25">
      <c r="A18" s="87"/>
      <c r="B18" s="87"/>
      <c r="C18" s="87"/>
      <c r="D18" s="87"/>
      <c r="E18" s="87"/>
    </row>
    <row r="19" spans="1:5" ht="15" x14ac:dyDescent="0.25">
      <c r="A19" s="86" t="s">
        <v>302</v>
      </c>
      <c r="B19" s="87"/>
      <c r="C19" s="87"/>
      <c r="D19" s="87"/>
      <c r="E19" s="88">
        <f>SUM(E6,E8)</f>
        <v>0</v>
      </c>
    </row>
  </sheetData>
  <pageMargins left="0.7" right="0.7" top="0.75" bottom="0.75" header="0.3" footer="0.3"/>
  <pageSetup paperSize="9" scale="70" orientation="landscape" horizontalDpi="4294967295" verticalDpi="4294967295" r:id="rId1"/>
  <headerFooter>
    <oddFooter>&amp;LGewoon Speciaal Onderwijs                                   &amp;ROpmaakdatum: 03-11-2021
Intexso - De Start 5 - Leusden
+31 (33) 2778485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6CE1F-2E59-488E-8868-D5CEFB64D5C7}">
  <dimension ref="A1:H7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4.625" customWidth="1"/>
    <col min="4" max="4" width="50.625" customWidth="1"/>
    <col min="5" max="6" width="11.625" customWidth="1"/>
    <col min="7" max="7" width="9.625" customWidth="1"/>
    <col min="8" max="8" width="11.625" customWidth="1"/>
  </cols>
  <sheetData>
    <row r="1" spans="1:8" x14ac:dyDescent="0.2">
      <c r="A1" s="1" t="str">
        <f>CONCATENATE("Bijlage H6.1: ",tabeltype," categorienormen")</f>
        <v>Bijlage H6.1: Invultabel categorienormen</v>
      </c>
    </row>
    <row r="3" spans="1:8" ht="38.25" x14ac:dyDescent="0.2">
      <c r="A3" s="8" t="s">
        <v>23</v>
      </c>
      <c r="B3" s="8" t="s">
        <v>24</v>
      </c>
      <c r="C3" s="8" t="s">
        <v>25</v>
      </c>
      <c r="D3" s="8" t="s">
        <v>26</v>
      </c>
      <c r="E3" s="8" t="s">
        <v>27</v>
      </c>
      <c r="F3" s="8" t="s">
        <v>28</v>
      </c>
      <c r="G3" s="8" t="s">
        <v>29</v>
      </c>
      <c r="H3" s="8" t="s">
        <v>30</v>
      </c>
    </row>
    <row r="4" spans="1:8" x14ac:dyDescent="0.2">
      <c r="A4" s="9"/>
      <c r="B4" s="10"/>
      <c r="C4" s="10"/>
      <c r="D4" s="10"/>
      <c r="E4" s="10"/>
      <c r="F4" s="10"/>
      <c r="G4" s="10"/>
      <c r="H4" s="11"/>
    </row>
    <row r="5" spans="1:8" x14ac:dyDescent="0.2">
      <c r="A5" s="12" t="s">
        <v>31</v>
      </c>
      <c r="B5" s="13"/>
      <c r="C5" s="13"/>
      <c r="D5" s="13"/>
      <c r="E5" s="13"/>
      <c r="F5" s="13"/>
      <c r="G5" s="13"/>
      <c r="H5" s="14"/>
    </row>
    <row r="6" spans="1:8" x14ac:dyDescent="0.2">
      <c r="A6" s="15" t="s">
        <v>32</v>
      </c>
      <c r="B6" s="16" t="s">
        <v>33</v>
      </c>
      <c r="C6" s="15">
        <v>1</v>
      </c>
      <c r="D6" s="15" t="s">
        <v>34</v>
      </c>
      <c r="E6" s="17"/>
      <c r="F6" s="18"/>
      <c r="G6" s="15" t="s">
        <v>35</v>
      </c>
      <c r="H6" s="19"/>
    </row>
    <row r="7" spans="1:8" x14ac:dyDescent="0.2">
      <c r="A7" s="20" t="s">
        <v>36</v>
      </c>
      <c r="B7" s="21" t="s">
        <v>33</v>
      </c>
      <c r="C7" s="20">
        <v>1</v>
      </c>
      <c r="D7" s="20" t="s">
        <v>37</v>
      </c>
      <c r="E7" s="22"/>
      <c r="F7" s="23"/>
      <c r="G7" s="20" t="s">
        <v>35</v>
      </c>
      <c r="H7" s="24"/>
    </row>
  </sheetData>
  <pageMargins left="0.7" right="0.7" top="0.75" bottom="0.75" header="0.3" footer="0.3"/>
  <pageSetup paperSize="9" scale="70" orientation="landscape" horizontalDpi="4294967295" verticalDpi="4294967295" r:id="rId1"/>
  <headerFooter>
    <oddFooter>&amp;LGewoon Speciaal Onderwijs                                   &amp;ROpmaakdatum: 03-11-2021
Intexso - De Start 5 - Leusden
+31 (33) 2778485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9B088-723D-4881-8AA4-E87FD085E354}">
  <dimension ref="A1:N13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12.625" customWidth="1"/>
    <col min="4" max="4" width="35.625" customWidth="1"/>
    <col min="5" max="5" width="12.625" customWidth="1"/>
    <col min="6" max="8" width="11.625" customWidth="1"/>
    <col min="9" max="9" width="9.625" customWidth="1"/>
    <col min="10" max="12" width="11.625" customWidth="1"/>
    <col min="13" max="13" width="12.625" customWidth="1"/>
    <col min="14" max="14" width="14.625" customWidth="1"/>
  </cols>
  <sheetData>
    <row r="1" spans="1:14" x14ac:dyDescent="0.2">
      <c r="A1" s="1" t="str">
        <f>CONCATENATE("Bijlage H6.2: ",tabeltype," regulier werk")</f>
        <v>Bijlage H6.2: Invultabel regulier werk</v>
      </c>
    </row>
    <row r="3" spans="1:14" ht="38.25" x14ac:dyDescent="0.2">
      <c r="A3" s="8" t="s">
        <v>38</v>
      </c>
      <c r="B3" s="8" t="s">
        <v>7</v>
      </c>
      <c r="C3" s="8" t="s">
        <v>39</v>
      </c>
      <c r="D3" s="8" t="s">
        <v>26</v>
      </c>
      <c r="E3" s="8" t="s">
        <v>40</v>
      </c>
      <c r="F3" s="8" t="s">
        <v>41</v>
      </c>
      <c r="G3" s="8" t="s">
        <v>27</v>
      </c>
      <c r="H3" s="8" t="s">
        <v>28</v>
      </c>
      <c r="I3" s="8" t="s">
        <v>29</v>
      </c>
      <c r="J3" s="8" t="s">
        <v>30</v>
      </c>
      <c r="K3" s="8" t="s">
        <v>42</v>
      </c>
      <c r="L3" s="8" t="s">
        <v>43</v>
      </c>
      <c r="M3" s="8" t="s">
        <v>44</v>
      </c>
      <c r="N3" s="8" t="s">
        <v>45</v>
      </c>
    </row>
    <row r="4" spans="1:14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</row>
    <row r="5" spans="1:14" x14ac:dyDescent="0.2">
      <c r="A5" s="12" t="s">
        <v>31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</row>
    <row r="6" spans="1:14" x14ac:dyDescent="0.2">
      <c r="A6" s="15" t="s">
        <v>46</v>
      </c>
      <c r="B6" s="15" t="s">
        <v>22</v>
      </c>
      <c r="C6" s="15" t="s">
        <v>47</v>
      </c>
      <c r="D6" s="15" t="s">
        <v>48</v>
      </c>
      <c r="E6" s="25">
        <v>831.49999999999989</v>
      </c>
      <c r="F6" s="25">
        <f>E6*VLOOKUP(B6,dagsoorttabel1,2,FALSE)</f>
        <v>3.2607843137254897</v>
      </c>
      <c r="G6" s="26">
        <f>catpn_1_XBB_1</f>
        <v>0</v>
      </c>
      <c r="H6" s="27">
        <f>catdw_1_XBB_1</f>
        <v>0</v>
      </c>
      <c r="I6" s="15" t="s">
        <v>35</v>
      </c>
      <c r="J6" s="28">
        <f>cattf_1_XBB_1</f>
        <v>0</v>
      </c>
      <c r="K6" s="25">
        <f>IF(OR(ISBLANK(G6),G6=0),0,F6/G6)</f>
        <v>0</v>
      </c>
      <c r="L6" s="28">
        <f>J6*K6</f>
        <v>0</v>
      </c>
      <c r="M6" s="25">
        <f>K6*dagenperjaar1</f>
        <v>0</v>
      </c>
      <c r="N6" s="28">
        <f>M6*J6</f>
        <v>0</v>
      </c>
    </row>
    <row r="7" spans="1:14" x14ac:dyDescent="0.2">
      <c r="A7" s="20" t="s">
        <v>49</v>
      </c>
      <c r="B7" s="20" t="s">
        <v>22</v>
      </c>
      <c r="C7" s="20" t="s">
        <v>47</v>
      </c>
      <c r="D7" s="20" t="s">
        <v>50</v>
      </c>
      <c r="E7" s="29">
        <v>1255.7000000000003</v>
      </c>
      <c r="F7" s="29">
        <f>E7*VLOOKUP(B7,dagsoorttabel1,2,FALSE)</f>
        <v>4.9243137254901974</v>
      </c>
      <c r="G7" s="30">
        <f>catpn_1_YBB_1</f>
        <v>0</v>
      </c>
      <c r="H7" s="31">
        <f>catdw_1_YBB_1</f>
        <v>0</v>
      </c>
      <c r="I7" s="20" t="s">
        <v>35</v>
      </c>
      <c r="J7" s="32">
        <f>cattf_1_YBB_1</f>
        <v>0</v>
      </c>
      <c r="K7" s="29">
        <f>IF(OR(ISBLANK(G7),G7=0),0,F7/G7)</f>
        <v>0</v>
      </c>
      <c r="L7" s="32">
        <f>J7*K7</f>
        <v>0</v>
      </c>
      <c r="M7" s="29">
        <f>K7*dagenperjaar1</f>
        <v>0</v>
      </c>
      <c r="N7" s="32">
        <f>M7*J7</f>
        <v>0</v>
      </c>
    </row>
    <row r="8" spans="1:14" x14ac:dyDescent="0.2">
      <c r="A8" s="33" t="s">
        <v>51</v>
      </c>
      <c r="B8" s="34"/>
      <c r="C8" s="34"/>
      <c r="D8" s="34"/>
      <c r="E8" s="34"/>
      <c r="F8" s="34"/>
      <c r="G8" s="34"/>
      <c r="H8" s="34"/>
      <c r="I8" s="34"/>
      <c r="J8" s="34"/>
      <c r="K8" s="35">
        <f>SUM(K6:K7)</f>
        <v>0</v>
      </c>
      <c r="L8" s="36">
        <f>SUM(L6:L7)</f>
        <v>0</v>
      </c>
      <c r="M8" s="35">
        <f>SUM(M6:M7)</f>
        <v>0</v>
      </c>
      <c r="N8" s="37">
        <f>SUM(N6:N7)</f>
        <v>0</v>
      </c>
    </row>
    <row r="9" spans="1:14" x14ac:dyDescent="0.2">
      <c r="A9" s="38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9"/>
    </row>
    <row r="10" spans="1:14" x14ac:dyDescent="0.2">
      <c r="A10" s="33" t="s">
        <v>52</v>
      </c>
      <c r="B10" s="34"/>
      <c r="C10" s="34"/>
      <c r="D10" s="34"/>
      <c r="E10" s="34"/>
      <c r="F10" s="34"/>
      <c r="G10" s="34"/>
      <c r="H10" s="34"/>
      <c r="I10" s="34"/>
      <c r="J10" s="36">
        <f>IF(urenjaar1&gt;0,SUMIF(M6:M7,"&gt;0",N6:N7)/urenjaar1,0)</f>
        <v>0</v>
      </c>
      <c r="K10" s="34"/>
      <c r="L10" s="34"/>
      <c r="M10" s="34"/>
      <c r="N10" s="39"/>
    </row>
    <row r="11" spans="1:14" x14ac:dyDescent="0.2">
      <c r="A11" s="38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9"/>
    </row>
    <row r="13" spans="1:14" x14ac:dyDescent="0.2">
      <c r="A13" s="33" t="s">
        <v>53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5">
        <f>urenjaar1</f>
        <v>0</v>
      </c>
      <c r="N13" s="36">
        <f>prijsjaar1</f>
        <v>0</v>
      </c>
    </row>
  </sheetData>
  <pageMargins left="0.7" right="0.7" top="0.75" bottom="0.75" header="0.3" footer="0.3"/>
  <pageSetup paperSize="9" scale="70" orientation="landscape" horizontalDpi="4294967295" verticalDpi="4294967295" r:id="rId1"/>
  <headerFooter>
    <oddFooter>&amp;LGewoon Speciaal Onderwijs                                   &amp;ROpmaakdatum: 03-11-2021
Intexso - De Start 5 - Leusden
+31 (33) 2778485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722C0-DFB8-4F07-9F59-24C76D98F63B}">
  <dimension ref="A1:J7"/>
  <sheetViews>
    <sheetView workbookViewId="0"/>
  </sheetViews>
  <sheetFormatPr defaultRowHeight="12.75" x14ac:dyDescent="0.2"/>
  <cols>
    <col min="1" max="1" width="5.625" customWidth="1"/>
    <col min="2" max="2" width="6.125" customWidth="1"/>
    <col min="3" max="3" width="11.625" customWidth="1"/>
    <col min="4" max="10" width="12.625" customWidth="1"/>
  </cols>
  <sheetData>
    <row r="1" spans="1:10" x14ac:dyDescent="0.2">
      <c r="A1" s="1" t="s">
        <v>54</v>
      </c>
    </row>
    <row r="3" spans="1:10" x14ac:dyDescent="0.2">
      <c r="A3" s="40" t="s">
        <v>38</v>
      </c>
      <c r="B3" s="40" t="s">
        <v>7</v>
      </c>
      <c r="C3" s="40" t="s">
        <v>55</v>
      </c>
      <c r="D3" s="40" t="s">
        <v>56</v>
      </c>
      <c r="E3" s="40" t="s">
        <v>57</v>
      </c>
      <c r="F3" s="40" t="s">
        <v>58</v>
      </c>
      <c r="G3" s="40" t="s">
        <v>59</v>
      </c>
      <c r="H3" s="40" t="s">
        <v>28</v>
      </c>
      <c r="I3" s="40" t="s">
        <v>60</v>
      </c>
      <c r="J3" s="40" t="s">
        <v>61</v>
      </c>
    </row>
    <row r="4" spans="1:10" x14ac:dyDescent="0.2">
      <c r="A4" s="41"/>
      <c r="B4" s="41"/>
      <c r="C4" s="41"/>
      <c r="D4" s="41"/>
      <c r="E4" s="41"/>
      <c r="F4" s="41"/>
      <c r="G4" s="41"/>
      <c r="H4" s="41"/>
      <c r="I4" s="41"/>
      <c r="J4" s="42" t="s">
        <v>40</v>
      </c>
    </row>
    <row r="5" spans="1:10" x14ac:dyDescent="0.2">
      <c r="A5" s="15" t="s">
        <v>46</v>
      </c>
      <c r="B5" s="15" t="s">
        <v>22</v>
      </c>
      <c r="C5" s="15" t="s">
        <v>62</v>
      </c>
      <c r="D5" s="15" t="s">
        <v>47</v>
      </c>
      <c r="E5" s="25">
        <f>IF(B5="","",VLOOKUP(B5,dagsoorttabel1,2,FALSE))</f>
        <v>3.9215686274509803E-3</v>
      </c>
      <c r="F5" s="25">
        <v>1</v>
      </c>
      <c r="G5" s="25">
        <f>IF(prodnorm10&gt;0,1/prodnorm10,0)</f>
        <v>0</v>
      </c>
      <c r="H5" s="27">
        <f>dagwerk10</f>
        <v>0</v>
      </c>
      <c r="I5" s="28">
        <f>uurtarief10</f>
        <v>0</v>
      </c>
      <c r="J5" s="25">
        <v>831.49999999999989</v>
      </c>
    </row>
    <row r="6" spans="1:10" x14ac:dyDescent="0.2">
      <c r="A6" s="20" t="s">
        <v>49</v>
      </c>
      <c r="B6" s="20" t="s">
        <v>22</v>
      </c>
      <c r="C6" s="20" t="s">
        <v>62</v>
      </c>
      <c r="D6" s="20" t="s">
        <v>47</v>
      </c>
      <c r="E6" s="29">
        <f>IF(B6="","",VLOOKUP(B6,dagsoorttabel1,2,FALSE))</f>
        <v>3.9215686274509803E-3</v>
      </c>
      <c r="F6" s="29">
        <v>1</v>
      </c>
      <c r="G6" s="29">
        <f>IF(prodnorm11&gt;0,1/prodnorm11,0)</f>
        <v>0</v>
      </c>
      <c r="H6" s="31">
        <f>dagwerk11</f>
        <v>0</v>
      </c>
      <c r="I6" s="32">
        <f>uurtarief11</f>
        <v>0</v>
      </c>
      <c r="J6" s="29">
        <v>1255.7000000000003</v>
      </c>
    </row>
    <row r="7" spans="1:10" x14ac:dyDescent="0.2">
      <c r="A7" s="33" t="s">
        <v>51</v>
      </c>
      <c r="B7" s="34"/>
      <c r="C7" s="34"/>
      <c r="D7" s="34"/>
      <c r="E7" s="34"/>
      <c r="F7" s="34"/>
      <c r="G7" s="34"/>
      <c r="H7" s="34"/>
      <c r="I7" s="34"/>
      <c r="J7" s="43"/>
    </row>
  </sheetData>
  <pageMargins left="0.7" right="0.7" top="0.75" bottom="0.75" header="0.3" footer="0.3"/>
  <pageSetup paperSize="9" scale="70" orientation="landscape" horizontalDpi="4294967295" verticalDpi="4294967295" r:id="rId1"/>
  <headerFooter>
    <oddFooter>&amp;LGewoon Speciaal Onderwijs                                   &amp;ROpmaakdatum: 03-11-2021
Intexso - De Start 5 - Leusden
+31 (33) 2778485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D2A51-E155-466E-BE88-52ED1AB23717}">
  <dimension ref="A1:S12"/>
  <sheetViews>
    <sheetView workbookViewId="0"/>
  </sheetViews>
  <sheetFormatPr defaultRowHeight="12.75" x14ac:dyDescent="0.2"/>
  <cols>
    <col min="1" max="1" width="8.625" customWidth="1"/>
    <col min="2" max="2" width="28.625" customWidth="1"/>
    <col min="3" max="4" width="15.625" customWidth="1"/>
    <col min="5" max="5" width="6.125" customWidth="1"/>
    <col min="6" max="6" width="10.625" customWidth="1"/>
    <col min="7" max="7" width="8.625" customWidth="1"/>
    <col min="8" max="15" width="12.125" customWidth="1"/>
    <col min="16" max="17" width="12.625" customWidth="1"/>
    <col min="18" max="19" width="13.625" customWidth="1"/>
  </cols>
  <sheetData>
    <row r="1" spans="1:19" x14ac:dyDescent="0.2">
      <c r="A1" s="1" t="str">
        <f>CONCATENATE("Bijlage H6.3: ",tabeltype," objecten")</f>
        <v>Bijlage H6.3: Invultabel objecten</v>
      </c>
    </row>
    <row r="3" spans="1:19" ht="51" x14ac:dyDescent="0.2">
      <c r="A3" s="8" t="s">
        <v>63</v>
      </c>
      <c r="B3" s="8" t="s">
        <v>64</v>
      </c>
      <c r="C3" s="8" t="s">
        <v>65</v>
      </c>
      <c r="D3" s="8" t="s">
        <v>66</v>
      </c>
      <c r="E3" s="8" t="s">
        <v>7</v>
      </c>
      <c r="F3" s="8" t="s">
        <v>67</v>
      </c>
      <c r="G3" s="8" t="s">
        <v>68</v>
      </c>
      <c r="H3" s="8" t="s">
        <v>69</v>
      </c>
      <c r="I3" s="8" t="s">
        <v>70</v>
      </c>
      <c r="J3" s="8" t="s">
        <v>71</v>
      </c>
      <c r="K3" s="8" t="s">
        <v>72</v>
      </c>
      <c r="L3" s="8" t="s">
        <v>73</v>
      </c>
      <c r="M3" s="8" t="s">
        <v>74</v>
      </c>
      <c r="N3" s="8" t="s">
        <v>75</v>
      </c>
      <c r="O3" s="8" t="s">
        <v>76</v>
      </c>
      <c r="P3" s="8" t="s">
        <v>77</v>
      </c>
      <c r="Q3" s="8" t="s">
        <v>44</v>
      </c>
      <c r="R3" s="8" t="s">
        <v>78</v>
      </c>
      <c r="S3" s="8" t="s">
        <v>79</v>
      </c>
    </row>
    <row r="4" spans="1:19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</row>
    <row r="5" spans="1:19" x14ac:dyDescent="0.2">
      <c r="A5" s="12" t="s">
        <v>31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4"/>
    </row>
    <row r="6" spans="1:19" x14ac:dyDescent="0.2">
      <c r="A6" s="44" t="s">
        <v>80</v>
      </c>
      <c r="B6" s="44" t="s">
        <v>81</v>
      </c>
      <c r="C6" s="44" t="s">
        <v>82</v>
      </c>
      <c r="D6" s="44" t="s">
        <v>83</v>
      </c>
      <c r="E6" s="45" t="s">
        <v>21</v>
      </c>
      <c r="F6" s="46">
        <f>gemuurtarief1</f>
        <v>0</v>
      </c>
      <c r="G6" s="47">
        <v>1</v>
      </c>
      <c r="H6" s="48">
        <f>SUMPRODUCT(taakfreqtabel1,uurfactortabel1,kengetaltabel1,object1_opptabel1)*ROUND(G6,6)*(1/VLOOKUP(E6,dagsoorttabel1,2,FALSE))</f>
        <v>0</v>
      </c>
      <c r="I6" s="48">
        <f>SUMPRODUCT(dagwerktabel1,taakfreqtabel1,uurfactortabel1,kengetaltabel1,object1_opptabel1)*ROUND(G6,6)*(1/VLOOKUP(E6,dagsoorttabel1,2,FALSE))</f>
        <v>0</v>
      </c>
      <c r="J6" s="49"/>
      <c r="K6" s="48">
        <f>I6+J6</f>
        <v>0</v>
      </c>
      <c r="L6" s="48">
        <f>H6+J6</f>
        <v>0</v>
      </c>
      <c r="M6" s="50">
        <f>SUMPRODUCT(taakfreqtabel1,kengetaltabel1,tarieftabel1,object1_opptabel1)*(1/VLOOKUP(E6,dagsoorttabel1,2,FALSE))*ROUND(G6,6)</f>
        <v>0</v>
      </c>
      <c r="N6" s="50">
        <f>F6*J6</f>
        <v>0</v>
      </c>
      <c r="O6" s="50">
        <f>SUM(M6:N6)</f>
        <v>0</v>
      </c>
      <c r="P6" s="48">
        <f>K6*dagenperjaar1*VLOOKUP(E6,dagsoorttabel1,2,FALSE)</f>
        <v>0</v>
      </c>
      <c r="Q6" s="48">
        <f>L6*dagenperjaar1*VLOOKUP(E6,dagsoorttabel1,2,FALSE)</f>
        <v>0</v>
      </c>
      <c r="R6" s="50">
        <f>O6*dagenperjaar1*VLOOKUP(E6,dagsoorttabel1,2,FALSE)</f>
        <v>0</v>
      </c>
      <c r="S6" s="50">
        <f>R6/12</f>
        <v>0</v>
      </c>
    </row>
    <row r="7" spans="1:19" x14ac:dyDescent="0.2">
      <c r="A7" s="33" t="s">
        <v>51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5">
        <f>SUM(P6:P6)</f>
        <v>0</v>
      </c>
      <c r="Q7" s="35">
        <f>SUM(Q6:Q6)</f>
        <v>0</v>
      </c>
      <c r="R7" s="36">
        <f>SUM(R6:R6)</f>
        <v>0</v>
      </c>
      <c r="S7" s="37">
        <f>SUM(S6:S6)</f>
        <v>0</v>
      </c>
    </row>
    <row r="8" spans="1:19" x14ac:dyDescent="0.2">
      <c r="A8" s="38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9"/>
    </row>
    <row r="10" spans="1:19" x14ac:dyDescent="0.2">
      <c r="A10" s="33" t="s">
        <v>84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>
        <f>urenjaartotaalhf1</f>
        <v>0</v>
      </c>
      <c r="Q10" s="35">
        <f>urenjaartotaal1</f>
        <v>0</v>
      </c>
      <c r="R10" s="36">
        <f>prijsjaartotaal1</f>
        <v>0</v>
      </c>
      <c r="S10" s="36">
        <f>prijsmaandtotaal1</f>
        <v>0</v>
      </c>
    </row>
    <row r="12" spans="1:19" x14ac:dyDescent="0.2">
      <c r="A12" s="33" t="s">
        <v>85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6">
        <f>R10*1.21</f>
        <v>0</v>
      </c>
      <c r="S12" s="36">
        <f>S10*1.21</f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&amp;LGewoon Speciaal Onderwijs                                   &amp;ROpmaakdatum: 03-11-2021
Intexso - De Start 5 - Leusden
+31 (33) 2778485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A4DF8-C2E1-4FA4-B5DE-ADCCFD9E666E}">
  <dimension ref="A1:K20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40.625" customWidth="1"/>
    <col min="5" max="5" width="11.625" customWidth="1"/>
    <col min="6" max="7" width="14.625" customWidth="1"/>
    <col min="8" max="8" width="12.625" customWidth="1"/>
    <col min="9" max="10" width="14.625" customWidth="1"/>
    <col min="11" max="11" width="13.625" customWidth="1"/>
  </cols>
  <sheetData>
    <row r="1" spans="1:11" x14ac:dyDescent="0.2">
      <c r="A1" s="1" t="str">
        <f>CONCATENATE("Bijlage H6.4: ",tabeltype," niet-meewerkende objectleiding")</f>
        <v>Bijlage H6.4: Invultabel niet-meewerkende objectleiding</v>
      </c>
    </row>
    <row r="3" spans="1:11" ht="38.25" x14ac:dyDescent="0.2">
      <c r="A3" s="8" t="s">
        <v>86</v>
      </c>
      <c r="B3" s="8" t="s">
        <v>7</v>
      </c>
      <c r="C3" s="8" t="s">
        <v>87</v>
      </c>
      <c r="D3" s="8" t="s">
        <v>88</v>
      </c>
      <c r="E3" s="8" t="s">
        <v>89</v>
      </c>
      <c r="F3" s="8" t="s">
        <v>90</v>
      </c>
      <c r="G3" s="8" t="s">
        <v>91</v>
      </c>
      <c r="H3" s="8" t="s">
        <v>44</v>
      </c>
      <c r="I3" s="8" t="s">
        <v>92</v>
      </c>
      <c r="J3" s="8" t="s">
        <v>93</v>
      </c>
      <c r="K3" s="8" t="s">
        <v>94</v>
      </c>
    </row>
    <row r="4" spans="1:11" x14ac:dyDescent="0.2">
      <c r="A4" s="51"/>
      <c r="B4" s="52"/>
      <c r="C4" s="52"/>
      <c r="D4" s="52"/>
      <c r="E4" s="52"/>
      <c r="F4" s="52"/>
      <c r="G4" s="52"/>
      <c r="H4" s="52"/>
      <c r="I4" s="52"/>
      <c r="J4" s="52"/>
      <c r="K4" s="53"/>
    </row>
    <row r="5" spans="1:11" x14ac:dyDescent="0.2">
      <c r="A5" s="12" t="s">
        <v>31</v>
      </c>
      <c r="B5" s="13"/>
      <c r="C5" s="13"/>
      <c r="D5" s="13"/>
      <c r="E5" s="13"/>
      <c r="F5" s="13"/>
      <c r="G5" s="13"/>
      <c r="H5" s="13"/>
      <c r="I5" s="13"/>
      <c r="J5" s="13"/>
      <c r="K5" s="14"/>
    </row>
    <row r="6" spans="1:1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1"/>
    </row>
    <row r="7" spans="1:11" x14ac:dyDescent="0.2">
      <c r="A7" s="54" t="s">
        <v>95</v>
      </c>
      <c r="B7" s="13"/>
      <c r="C7" s="13"/>
      <c r="D7" s="13"/>
      <c r="E7" s="13"/>
      <c r="F7" s="13"/>
      <c r="G7" s="13"/>
      <c r="H7" s="13"/>
      <c r="I7" s="13"/>
      <c r="J7" s="13"/>
      <c r="K7" s="14"/>
    </row>
    <row r="8" spans="1:11" x14ac:dyDescent="0.2">
      <c r="A8" s="15" t="s">
        <v>96</v>
      </c>
      <c r="B8" s="15" t="s">
        <v>11</v>
      </c>
      <c r="C8" s="16">
        <f>IF(ISBLANK(B8),0,IF(ISERROR(VALUE(B8)),VLOOKUP(B8,dagsoorttabel1,2,FALSE)*dagenperjaar1,VALUE(B8)))</f>
        <v>200</v>
      </c>
      <c r="D8" s="15" t="s">
        <v>97</v>
      </c>
      <c r="E8" s="19"/>
      <c r="F8" s="18"/>
      <c r="G8" s="55"/>
      <c r="H8" s="25">
        <f>IF(ISBLANK(G8),0,G8*C8)+IF(ISBLANK(F8),0,F8*objecturen1_1)</f>
        <v>0</v>
      </c>
      <c r="I8" s="25">
        <f>IF(C8=0,0,H8/C8)</f>
        <v>0</v>
      </c>
      <c r="J8" s="28">
        <f>IF(ISBLANK(E8),0,E8*H8)</f>
        <v>0</v>
      </c>
      <c r="K8" s="28">
        <f>J8/12</f>
        <v>0</v>
      </c>
    </row>
    <row r="9" spans="1:11" x14ac:dyDescent="0.2">
      <c r="A9" s="56"/>
      <c r="B9" s="56"/>
      <c r="C9" s="57">
        <f>dagenperjaar1</f>
        <v>255</v>
      </c>
      <c r="D9" s="58" t="s">
        <v>98</v>
      </c>
      <c r="E9" s="59"/>
      <c r="F9" s="60"/>
      <c r="G9" s="61"/>
      <c r="H9" s="62">
        <f>IF(ISBLANK(G9),0,G9*C9)+IF(ISBLANK(F9),0,F9*objecturen1_1)</f>
        <v>0</v>
      </c>
      <c r="I9" s="62">
        <f>IF(C9=0,0,H9/C9)</f>
        <v>0</v>
      </c>
      <c r="J9" s="63">
        <f>IF(ISBLANK(E9),0,E9*H9)</f>
        <v>0</v>
      </c>
      <c r="K9" s="63">
        <f>J9/12</f>
        <v>0</v>
      </c>
    </row>
    <row r="10" spans="1:11" x14ac:dyDescent="0.2">
      <c r="A10" s="56"/>
      <c r="B10" s="56"/>
      <c r="C10" s="57">
        <f>dagenperjaar1</f>
        <v>255</v>
      </c>
      <c r="D10" s="58" t="s">
        <v>98</v>
      </c>
      <c r="E10" s="59"/>
      <c r="F10" s="60"/>
      <c r="G10" s="61"/>
      <c r="H10" s="62">
        <f>IF(ISBLANK(G10),0,G10*C10)+IF(ISBLANK(F10),0,F10*objecturen1_1)</f>
        <v>0</v>
      </c>
      <c r="I10" s="62">
        <f>IF(C10=0,0,H10/C10)</f>
        <v>0</v>
      </c>
      <c r="J10" s="63">
        <f>IF(ISBLANK(E10),0,E10*H10)</f>
        <v>0</v>
      </c>
      <c r="K10" s="63">
        <f>J10/12</f>
        <v>0</v>
      </c>
    </row>
    <row r="11" spans="1:11" x14ac:dyDescent="0.2">
      <c r="A11" s="56"/>
      <c r="B11" s="56"/>
      <c r="C11" s="57">
        <f>dagenperjaar1</f>
        <v>255</v>
      </c>
      <c r="D11" s="58" t="s">
        <v>99</v>
      </c>
      <c r="E11" s="59"/>
      <c r="F11" s="64"/>
      <c r="G11" s="65"/>
      <c r="H11" s="62">
        <f>IF(ISBLANK(G11),0,G11*C11)+IF(ISBLANK(F11),0,F11*objecturen1_1)</f>
        <v>0</v>
      </c>
      <c r="I11" s="62">
        <f>IF(C11=0,0,H11/C11)</f>
        <v>0</v>
      </c>
      <c r="J11" s="63">
        <f>IF(ISBLANK(E11),0,E11*H11)</f>
        <v>0</v>
      </c>
      <c r="K11" s="63">
        <f>J11/12</f>
        <v>0</v>
      </c>
    </row>
    <row r="12" spans="1:11" x14ac:dyDescent="0.2">
      <c r="A12" s="20"/>
      <c r="B12" s="20"/>
      <c r="C12" s="66">
        <f>dagenperjaar1</f>
        <v>255</v>
      </c>
      <c r="D12" s="67" t="s">
        <v>99</v>
      </c>
      <c r="E12" s="24"/>
      <c r="F12" s="68"/>
      <c r="G12" s="22"/>
      <c r="H12" s="29">
        <f>IF(ISBLANK(G12),0,G12*C12)+IF(ISBLANK(F12),0,F12*objecturen1_1)</f>
        <v>0</v>
      </c>
      <c r="I12" s="29">
        <f>IF(C12=0,0,H12/C12)</f>
        <v>0</v>
      </c>
      <c r="J12" s="32">
        <f>IF(ISBLANK(E12),0,E12*H12)</f>
        <v>0</v>
      </c>
      <c r="K12" s="32">
        <f>J12/12</f>
        <v>0</v>
      </c>
    </row>
    <row r="13" spans="1:11" x14ac:dyDescent="0.2">
      <c r="A13" s="69" t="s">
        <v>100</v>
      </c>
      <c r="B13" s="34"/>
      <c r="C13" s="34"/>
      <c r="D13" s="34"/>
      <c r="E13" s="34"/>
      <c r="F13" s="34"/>
      <c r="G13" s="34"/>
      <c r="H13" s="35">
        <f>SUM(H8:H12)</f>
        <v>0</v>
      </c>
      <c r="I13" s="34"/>
      <c r="J13" s="36">
        <f>SUM(J8:J12)</f>
        <v>0</v>
      </c>
      <c r="K13" s="37">
        <f>SUM(K8:K12)</f>
        <v>0</v>
      </c>
    </row>
    <row r="14" spans="1:11" x14ac:dyDescent="0.2">
      <c r="A14" s="38"/>
      <c r="B14" s="34"/>
      <c r="C14" s="34"/>
      <c r="D14" s="34"/>
      <c r="E14" s="34"/>
      <c r="F14" s="34"/>
      <c r="G14" s="34"/>
      <c r="H14" s="34"/>
      <c r="I14" s="34"/>
      <c r="J14" s="34"/>
      <c r="K14" s="39"/>
    </row>
    <row r="15" spans="1:11" x14ac:dyDescent="0.2">
      <c r="A15" s="33" t="s">
        <v>51</v>
      </c>
      <c r="B15" s="34"/>
      <c r="C15" s="34"/>
      <c r="D15" s="34"/>
      <c r="E15" s="34"/>
      <c r="F15" s="34"/>
      <c r="G15" s="34"/>
      <c r="H15" s="35">
        <f>tzujt1_1</f>
        <v>0</v>
      </c>
      <c r="I15" s="34"/>
      <c r="J15" s="36">
        <f>tzpjt1_1</f>
        <v>0</v>
      </c>
      <c r="K15" s="37">
        <f>tzpmt1_1</f>
        <v>0</v>
      </c>
    </row>
    <row r="16" spans="1:11" x14ac:dyDescent="0.2">
      <c r="A16" s="38"/>
      <c r="B16" s="34"/>
      <c r="C16" s="34"/>
      <c r="D16" s="34"/>
      <c r="E16" s="34"/>
      <c r="F16" s="34"/>
      <c r="G16" s="34"/>
      <c r="H16" s="34"/>
      <c r="I16" s="34"/>
      <c r="J16" s="34"/>
      <c r="K16" s="39"/>
    </row>
    <row r="18" spans="1:11" x14ac:dyDescent="0.2">
      <c r="A18" s="33" t="s">
        <v>101</v>
      </c>
      <c r="B18" s="34"/>
      <c r="C18" s="34"/>
      <c r="D18" s="34"/>
      <c r="E18" s="34"/>
      <c r="F18" s="34"/>
      <c r="G18" s="34"/>
      <c r="H18" s="35">
        <f>tzujt1</f>
        <v>0</v>
      </c>
      <c r="I18" s="34"/>
      <c r="J18" s="36">
        <f>tzpjt1</f>
        <v>0</v>
      </c>
      <c r="K18" s="36">
        <f>tzpmt1</f>
        <v>0</v>
      </c>
    </row>
    <row r="20" spans="1:11" x14ac:dyDescent="0.2">
      <c r="A20" s="33" t="s">
        <v>102</v>
      </c>
      <c r="B20" s="34"/>
      <c r="C20" s="34"/>
      <c r="D20" s="34"/>
      <c r="E20" s="34"/>
      <c r="F20" s="34"/>
      <c r="G20" s="34"/>
      <c r="H20" s="34"/>
      <c r="I20" s="34"/>
      <c r="J20" s="36">
        <f>J18*1.21</f>
        <v>0</v>
      </c>
      <c r="K20" s="36">
        <f>K18*1.21</f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&amp;LGewoon Speciaal Onderwijs                                   &amp;ROpmaakdatum: 03-11-2021
Intexso - De Start 5 - Leusden
+31 (33) 2778485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FF8A8-8096-48EF-A05F-2A6A9AB777C0}">
  <dimension ref="A1:L6"/>
  <sheetViews>
    <sheetView workbookViewId="0"/>
  </sheetViews>
  <sheetFormatPr defaultRowHeight="12.75" x14ac:dyDescent="0.2"/>
  <cols>
    <col min="1" max="1" width="8.625" customWidth="1"/>
    <col min="2" max="2" width="32.625" customWidth="1"/>
    <col min="3" max="3" width="20.625" customWidth="1"/>
    <col min="4" max="4" width="18.625" customWidth="1"/>
    <col min="5" max="6" width="12.625" customWidth="1"/>
    <col min="7" max="12" width="13.625" customWidth="1"/>
  </cols>
  <sheetData>
    <row r="1" spans="1:12" x14ac:dyDescent="0.2">
      <c r="A1" s="1" t="str">
        <f>CONCATENATE("Bijlage H6.5: ",tabeltype," totaalblad objecten")</f>
        <v>Bijlage H6.5: Invultabel totaalblad objecten</v>
      </c>
    </row>
    <row r="3" spans="1:12" ht="38.25" x14ac:dyDescent="0.2">
      <c r="A3" s="8" t="s">
        <v>63</v>
      </c>
      <c r="B3" s="8" t="s">
        <v>64</v>
      </c>
      <c r="C3" s="8" t="s">
        <v>65</v>
      </c>
      <c r="D3" s="8" t="s">
        <v>66</v>
      </c>
      <c r="E3" s="8" t="s">
        <v>77</v>
      </c>
      <c r="F3" s="8" t="s">
        <v>44</v>
      </c>
      <c r="G3" s="8" t="s">
        <v>103</v>
      </c>
      <c r="H3" s="8" t="s">
        <v>104</v>
      </c>
      <c r="I3" s="8" t="s">
        <v>105</v>
      </c>
      <c r="J3" s="8" t="s">
        <v>106</v>
      </c>
      <c r="K3" s="8" t="s">
        <v>107</v>
      </c>
      <c r="L3" s="8" t="s">
        <v>108</v>
      </c>
    </row>
    <row r="4" spans="1:12" x14ac:dyDescent="0.2">
      <c r="A4" s="44" t="s">
        <v>80</v>
      </c>
      <c r="B4" s="44" t="s">
        <v>81</v>
      </c>
      <c r="C4" s="44" t="s">
        <v>82</v>
      </c>
      <c r="D4" s="44" t="s">
        <v>83</v>
      </c>
      <c r="E4" s="48">
        <f>objecturenhf1_1</f>
        <v>0</v>
      </c>
      <c r="F4" s="48">
        <f>objecturen1_1</f>
        <v>0</v>
      </c>
      <c r="G4" s="50">
        <f>objectprijs1_1</f>
        <v>0</v>
      </c>
      <c r="H4" s="48">
        <f>tzujt1_1</f>
        <v>0</v>
      </c>
      <c r="I4" s="50">
        <f>tzpjt1_1</f>
        <v>0</v>
      </c>
      <c r="J4" s="50">
        <f>G4+I4</f>
        <v>0</v>
      </c>
      <c r="K4" s="50">
        <f>J4/12</f>
        <v>0</v>
      </c>
      <c r="L4" s="50">
        <f>K4*1.21</f>
        <v>0</v>
      </c>
    </row>
    <row r="6" spans="1:12" x14ac:dyDescent="0.2">
      <c r="A6" s="33" t="s">
        <v>109</v>
      </c>
      <c r="B6" s="34"/>
      <c r="C6" s="34"/>
      <c r="D6" s="34"/>
      <c r="E6" s="35">
        <f t="shared" ref="E6:L6" si="0">SUM(E4:E4)</f>
        <v>0</v>
      </c>
      <c r="F6" s="35">
        <f t="shared" si="0"/>
        <v>0</v>
      </c>
      <c r="G6" s="36">
        <f t="shared" si="0"/>
        <v>0</v>
      </c>
      <c r="H6" s="35">
        <f t="shared" si="0"/>
        <v>0</v>
      </c>
      <c r="I6" s="36">
        <f t="shared" si="0"/>
        <v>0</v>
      </c>
      <c r="J6" s="36">
        <f t="shared" si="0"/>
        <v>0</v>
      </c>
      <c r="K6" s="36">
        <f t="shared" si="0"/>
        <v>0</v>
      </c>
      <c r="L6" s="36">
        <f t="shared" si="0"/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&amp;LGewoon Speciaal Onderwijs                                   &amp;ROpmaakdatum: 03-11-2021
Intexso - De Start 5 - Leusden
+31 (33) 2778485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D4890-D05C-4991-9FB0-801280A95E34}">
  <dimension ref="A1:L15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50.625" customWidth="1"/>
    <col min="5" max="6" width="14.625" customWidth="1"/>
    <col min="7" max="9" width="11.625" customWidth="1"/>
    <col min="10" max="10" width="12.625" customWidth="1"/>
    <col min="11" max="11" width="14.625" customWidth="1"/>
    <col min="12" max="12" width="13.625" customWidth="1"/>
  </cols>
  <sheetData>
    <row r="1" spans="1:12" x14ac:dyDescent="0.2">
      <c r="A1" s="1" t="str">
        <f>CONCATENATE("Bijlage H6.6: ",tabeltype," afroep")</f>
        <v>Bijlage H6.6: Invultabel afroep</v>
      </c>
    </row>
    <row r="3" spans="1:12" ht="38.25" x14ac:dyDescent="0.2">
      <c r="A3" s="8" t="s">
        <v>110</v>
      </c>
      <c r="B3" s="8" t="s">
        <v>7</v>
      </c>
      <c r="C3" s="8" t="s">
        <v>111</v>
      </c>
      <c r="D3" s="8" t="s">
        <v>26</v>
      </c>
      <c r="E3" s="8" t="s">
        <v>29</v>
      </c>
      <c r="F3" s="8" t="s">
        <v>112</v>
      </c>
      <c r="G3" s="8" t="s">
        <v>113</v>
      </c>
      <c r="H3" s="8" t="s">
        <v>114</v>
      </c>
      <c r="I3" s="8" t="s">
        <v>115</v>
      </c>
      <c r="J3" s="8" t="s">
        <v>116</v>
      </c>
      <c r="K3" s="8" t="s">
        <v>45</v>
      </c>
      <c r="L3" s="8" t="s">
        <v>79</v>
      </c>
    </row>
    <row r="4" spans="1:12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2" x14ac:dyDescent="0.2">
      <c r="A5" s="12" t="s">
        <v>31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x14ac:dyDescent="0.2">
      <c r="A6" s="15" t="s">
        <v>117</v>
      </c>
      <c r="B6" s="15" t="s">
        <v>17</v>
      </c>
      <c r="C6" s="16">
        <f t="shared" ref="C6:C12" si="0">IF(ISBLANK(B6),0,IF(ISERROR(VALUE(B6)),VLOOKUP(B6,dagsoorttabel1,2,FALSE)*dagenperjaar1,VALUE(B6)))</f>
        <v>10</v>
      </c>
      <c r="D6" s="15" t="s">
        <v>118</v>
      </c>
      <c r="E6" s="15" t="s">
        <v>119</v>
      </c>
      <c r="F6" s="70">
        <v>10</v>
      </c>
      <c r="G6" s="19"/>
      <c r="H6" s="71"/>
      <c r="I6" s="19"/>
      <c r="J6" s="28">
        <f>IF(ISBLANK(F6),0,F6)*I6</f>
        <v>0</v>
      </c>
      <c r="K6" s="28">
        <f t="shared" ref="K6:K12" si="1">C6*J6</f>
        <v>0</v>
      </c>
      <c r="L6" s="28">
        <f t="shared" ref="L6:L13" si="2">K6/12</f>
        <v>0</v>
      </c>
    </row>
    <row r="7" spans="1:12" x14ac:dyDescent="0.2">
      <c r="A7" s="56" t="s">
        <v>120</v>
      </c>
      <c r="B7" s="56" t="s">
        <v>17</v>
      </c>
      <c r="C7" s="72">
        <f t="shared" si="0"/>
        <v>10</v>
      </c>
      <c r="D7" s="56" t="s">
        <v>121</v>
      </c>
      <c r="E7" s="56" t="s">
        <v>119</v>
      </c>
      <c r="F7" s="73"/>
      <c r="G7" s="59"/>
      <c r="H7" s="74"/>
      <c r="I7" s="59"/>
      <c r="J7" s="63">
        <f>IF(ISBLANK(F7),0,F7)*I7</f>
        <v>0</v>
      </c>
      <c r="K7" s="63">
        <f t="shared" si="1"/>
        <v>0</v>
      </c>
      <c r="L7" s="63">
        <f t="shared" si="2"/>
        <v>0</v>
      </c>
    </row>
    <row r="8" spans="1:12" x14ac:dyDescent="0.2">
      <c r="A8" s="56" t="s">
        <v>122</v>
      </c>
      <c r="B8" s="56" t="s">
        <v>17</v>
      </c>
      <c r="C8" s="72">
        <f t="shared" si="0"/>
        <v>10</v>
      </c>
      <c r="D8" s="56" t="s">
        <v>123</v>
      </c>
      <c r="E8" s="56" t="s">
        <v>119</v>
      </c>
      <c r="F8" s="75">
        <v>4</v>
      </c>
      <c r="G8" s="59"/>
      <c r="H8" s="74"/>
      <c r="I8" s="59"/>
      <c r="J8" s="63">
        <f>IF(ISBLANK(F8),0,F8)*I8</f>
        <v>0</v>
      </c>
      <c r="K8" s="63">
        <f t="shared" si="1"/>
        <v>0</v>
      </c>
      <c r="L8" s="63">
        <f t="shared" si="2"/>
        <v>0</v>
      </c>
    </row>
    <row r="9" spans="1:12" x14ac:dyDescent="0.2">
      <c r="A9" s="56" t="s">
        <v>124</v>
      </c>
      <c r="B9" s="56" t="s">
        <v>17</v>
      </c>
      <c r="C9" s="72">
        <f t="shared" si="0"/>
        <v>10</v>
      </c>
      <c r="D9" s="56" t="s">
        <v>125</v>
      </c>
      <c r="E9" s="56" t="s">
        <v>119</v>
      </c>
      <c r="F9" s="75">
        <v>10</v>
      </c>
      <c r="G9" s="59"/>
      <c r="H9" s="74"/>
      <c r="I9" s="59"/>
      <c r="J9" s="63">
        <f>IF(ISBLANK(F9),0,F9)*I9</f>
        <v>0</v>
      </c>
      <c r="K9" s="63">
        <f t="shared" si="1"/>
        <v>0</v>
      </c>
      <c r="L9" s="63">
        <f t="shared" si="2"/>
        <v>0</v>
      </c>
    </row>
    <row r="10" spans="1:12" x14ac:dyDescent="0.2">
      <c r="A10" s="56" t="s">
        <v>126</v>
      </c>
      <c r="B10" s="56" t="s">
        <v>17</v>
      </c>
      <c r="C10" s="72">
        <f t="shared" si="0"/>
        <v>10</v>
      </c>
      <c r="D10" s="56" t="s">
        <v>127</v>
      </c>
      <c r="E10" s="56" t="s">
        <v>119</v>
      </c>
      <c r="F10" s="75">
        <v>4</v>
      </c>
      <c r="G10" s="59"/>
      <c r="H10" s="74"/>
      <c r="I10" s="59"/>
      <c r="J10" s="63">
        <f>IF(ISBLANK(F10),0,F10)*I10</f>
        <v>0</v>
      </c>
      <c r="K10" s="63">
        <f t="shared" si="1"/>
        <v>0</v>
      </c>
      <c r="L10" s="63">
        <f t="shared" si="2"/>
        <v>0</v>
      </c>
    </row>
    <row r="11" spans="1:12" x14ac:dyDescent="0.2">
      <c r="A11" s="56" t="s">
        <v>128</v>
      </c>
      <c r="B11" s="56" t="s">
        <v>22</v>
      </c>
      <c r="C11" s="72">
        <f t="shared" si="0"/>
        <v>1</v>
      </c>
      <c r="D11" s="56" t="s">
        <v>129</v>
      </c>
      <c r="E11" s="56" t="s">
        <v>130</v>
      </c>
      <c r="F11" s="75">
        <v>1</v>
      </c>
      <c r="G11" s="59"/>
      <c r="H11" s="74"/>
      <c r="I11" s="59"/>
      <c r="J11" s="63">
        <f>IF(ISBLANK(F11),1,F11)*I11</f>
        <v>0</v>
      </c>
      <c r="K11" s="63">
        <f t="shared" si="1"/>
        <v>0</v>
      </c>
      <c r="L11" s="63">
        <f t="shared" si="2"/>
        <v>0</v>
      </c>
    </row>
    <row r="12" spans="1:12" x14ac:dyDescent="0.2">
      <c r="A12" s="20" t="s">
        <v>131</v>
      </c>
      <c r="B12" s="20" t="s">
        <v>22</v>
      </c>
      <c r="C12" s="21">
        <f t="shared" si="0"/>
        <v>1</v>
      </c>
      <c r="D12" s="20" t="s">
        <v>132</v>
      </c>
      <c r="E12" s="20" t="s">
        <v>130</v>
      </c>
      <c r="F12" s="76">
        <v>1</v>
      </c>
      <c r="G12" s="24"/>
      <c r="H12" s="77"/>
      <c r="I12" s="24"/>
      <c r="J12" s="32">
        <f>IF(ISBLANK(F12),1,F12)*I12</f>
        <v>0</v>
      </c>
      <c r="K12" s="32">
        <f t="shared" si="1"/>
        <v>0</v>
      </c>
      <c r="L12" s="32">
        <f t="shared" si="2"/>
        <v>0</v>
      </c>
    </row>
    <row r="13" spans="1:12" x14ac:dyDescent="0.2">
      <c r="A13" s="33" t="s">
        <v>51</v>
      </c>
      <c r="B13" s="34"/>
      <c r="C13" s="34"/>
      <c r="D13" s="34"/>
      <c r="E13" s="34"/>
      <c r="F13" s="34"/>
      <c r="G13" s="34"/>
      <c r="H13" s="34"/>
      <c r="I13" s="34"/>
      <c r="J13" s="34"/>
      <c r="K13" s="36">
        <f>SUM(K6:K12)</f>
        <v>0</v>
      </c>
      <c r="L13" s="78">
        <f t="shared" si="2"/>
        <v>0</v>
      </c>
    </row>
    <row r="15" spans="1:12" x14ac:dyDescent="0.2">
      <c r="A15" s="33" t="s">
        <v>133</v>
      </c>
      <c r="B15" s="34"/>
      <c r="C15" s="34"/>
      <c r="D15" s="34"/>
      <c r="E15" s="34"/>
      <c r="F15" s="34"/>
      <c r="G15" s="34"/>
      <c r="H15" s="34"/>
      <c r="I15" s="34"/>
      <c r="J15" s="34"/>
      <c r="K15" s="36">
        <f>prijsjaarafroep1</f>
        <v>0</v>
      </c>
      <c r="L15" s="78">
        <f>K15/12</f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&amp;LGewoon Speciaal Onderwijs                                   &amp;ROpmaakdatum: 03-11-2021
Intexso - De Start 5 - Leusden
+31 (33) 2778485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DC34F-3190-4472-AE40-6C8F6A25DCD1}">
  <dimension ref="A1:E90"/>
  <sheetViews>
    <sheetView workbookViewId="0"/>
  </sheetViews>
  <sheetFormatPr defaultRowHeight="12.75" x14ac:dyDescent="0.2"/>
  <cols>
    <col min="1" max="1" width="7.625" customWidth="1"/>
    <col min="2" max="2" width="40.625" customWidth="1"/>
    <col min="3" max="3" width="18.625" customWidth="1"/>
    <col min="4" max="4" width="20.625" customWidth="1"/>
    <col min="5" max="5" width="15.625" customWidth="1"/>
  </cols>
  <sheetData>
    <row r="1" spans="1:5" x14ac:dyDescent="0.2">
      <c r="A1" s="1" t="str">
        <f>CONCATENATE("Bijlage H6.7: ",tabeltype," afroep incidenteel")</f>
        <v>Bijlage H6.7: Invultabel afroep incidenteel</v>
      </c>
    </row>
    <row r="3" spans="1:5" ht="38.25" x14ac:dyDescent="0.2">
      <c r="A3" s="8" t="s">
        <v>110</v>
      </c>
      <c r="B3" s="8" t="s">
        <v>26</v>
      </c>
      <c r="C3" s="8" t="s">
        <v>29</v>
      </c>
      <c r="D3" s="8" t="s">
        <v>134</v>
      </c>
      <c r="E3" s="8" t="s">
        <v>115</v>
      </c>
    </row>
    <row r="4" spans="1:5" x14ac:dyDescent="0.2">
      <c r="A4" s="9"/>
      <c r="B4" s="10"/>
      <c r="C4" s="10"/>
      <c r="D4" s="10"/>
      <c r="E4" s="11"/>
    </row>
    <row r="5" spans="1:5" x14ac:dyDescent="0.2">
      <c r="A5" s="12" t="s">
        <v>31</v>
      </c>
      <c r="B5" s="13"/>
      <c r="C5" s="13"/>
      <c r="D5" s="13"/>
      <c r="E5" s="14"/>
    </row>
    <row r="6" spans="1:5" x14ac:dyDescent="0.2">
      <c r="A6" s="15" t="s">
        <v>135</v>
      </c>
      <c r="B6" s="15" t="s">
        <v>136</v>
      </c>
      <c r="C6" s="15" t="s">
        <v>137</v>
      </c>
      <c r="D6" s="15" t="s">
        <v>138</v>
      </c>
      <c r="E6" s="19"/>
    </row>
    <row r="7" spans="1:5" x14ac:dyDescent="0.2">
      <c r="A7" s="56" t="s">
        <v>139</v>
      </c>
      <c r="B7" s="56" t="s">
        <v>136</v>
      </c>
      <c r="C7" s="56" t="s">
        <v>137</v>
      </c>
      <c r="D7" s="56" t="s">
        <v>140</v>
      </c>
      <c r="E7" s="59"/>
    </row>
    <row r="8" spans="1:5" x14ac:dyDescent="0.2">
      <c r="A8" s="56" t="s">
        <v>141</v>
      </c>
      <c r="B8" s="56" t="s">
        <v>136</v>
      </c>
      <c r="C8" s="56" t="s">
        <v>137</v>
      </c>
      <c r="D8" s="56" t="s">
        <v>142</v>
      </c>
      <c r="E8" s="59"/>
    </row>
    <row r="9" spans="1:5" x14ac:dyDescent="0.2">
      <c r="A9" s="56" t="s">
        <v>143</v>
      </c>
      <c r="B9" s="56" t="s">
        <v>136</v>
      </c>
      <c r="C9" s="56" t="s">
        <v>137</v>
      </c>
      <c r="D9" s="56" t="s">
        <v>144</v>
      </c>
      <c r="E9" s="59"/>
    </row>
    <row r="10" spans="1:5" x14ac:dyDescent="0.2">
      <c r="A10" s="56" t="s">
        <v>145</v>
      </c>
      <c r="B10" s="56" t="s">
        <v>146</v>
      </c>
      <c r="C10" s="56" t="s">
        <v>137</v>
      </c>
      <c r="D10" s="56" t="s">
        <v>138</v>
      </c>
      <c r="E10" s="59"/>
    </row>
    <row r="11" spans="1:5" x14ac:dyDescent="0.2">
      <c r="A11" s="56" t="s">
        <v>147</v>
      </c>
      <c r="B11" s="56" t="s">
        <v>146</v>
      </c>
      <c r="C11" s="56" t="s">
        <v>137</v>
      </c>
      <c r="D11" s="56" t="s">
        <v>140</v>
      </c>
      <c r="E11" s="59"/>
    </row>
    <row r="12" spans="1:5" x14ac:dyDescent="0.2">
      <c r="A12" s="56" t="s">
        <v>148</v>
      </c>
      <c r="B12" s="56" t="s">
        <v>146</v>
      </c>
      <c r="C12" s="56" t="s">
        <v>137</v>
      </c>
      <c r="D12" s="56" t="s">
        <v>142</v>
      </c>
      <c r="E12" s="59"/>
    </row>
    <row r="13" spans="1:5" x14ac:dyDescent="0.2">
      <c r="A13" s="56" t="s">
        <v>149</v>
      </c>
      <c r="B13" s="56" t="s">
        <v>146</v>
      </c>
      <c r="C13" s="56" t="s">
        <v>137</v>
      </c>
      <c r="D13" s="56" t="s">
        <v>144</v>
      </c>
      <c r="E13" s="59"/>
    </row>
    <row r="14" spans="1:5" x14ac:dyDescent="0.2">
      <c r="A14" s="56" t="s">
        <v>150</v>
      </c>
      <c r="B14" s="56" t="s">
        <v>151</v>
      </c>
      <c r="C14" s="56" t="s">
        <v>137</v>
      </c>
      <c r="D14" s="56" t="s">
        <v>138</v>
      </c>
      <c r="E14" s="59"/>
    </row>
    <row r="15" spans="1:5" x14ac:dyDescent="0.2">
      <c r="A15" s="56" t="s">
        <v>152</v>
      </c>
      <c r="B15" s="56" t="s">
        <v>151</v>
      </c>
      <c r="C15" s="56" t="s">
        <v>137</v>
      </c>
      <c r="D15" s="56" t="s">
        <v>140</v>
      </c>
      <c r="E15" s="59"/>
    </row>
    <row r="16" spans="1:5" x14ac:dyDescent="0.2">
      <c r="A16" s="56" t="s">
        <v>153</v>
      </c>
      <c r="B16" s="56" t="s">
        <v>151</v>
      </c>
      <c r="C16" s="56" t="s">
        <v>137</v>
      </c>
      <c r="D16" s="56" t="s">
        <v>142</v>
      </c>
      <c r="E16" s="59"/>
    </row>
    <row r="17" spans="1:5" x14ac:dyDescent="0.2">
      <c r="A17" s="56" t="s">
        <v>154</v>
      </c>
      <c r="B17" s="56" t="s">
        <v>151</v>
      </c>
      <c r="C17" s="56" t="s">
        <v>137</v>
      </c>
      <c r="D17" s="56" t="s">
        <v>144</v>
      </c>
      <c r="E17" s="59"/>
    </row>
    <row r="18" spans="1:5" x14ac:dyDescent="0.2">
      <c r="A18" s="56" t="s">
        <v>155</v>
      </c>
      <c r="B18" s="56" t="s">
        <v>156</v>
      </c>
      <c r="C18" s="56" t="s">
        <v>137</v>
      </c>
      <c r="D18" s="56" t="s">
        <v>138</v>
      </c>
      <c r="E18" s="59"/>
    </row>
    <row r="19" spans="1:5" x14ac:dyDescent="0.2">
      <c r="A19" s="56" t="s">
        <v>157</v>
      </c>
      <c r="B19" s="56" t="s">
        <v>156</v>
      </c>
      <c r="C19" s="56" t="s">
        <v>137</v>
      </c>
      <c r="D19" s="56" t="s">
        <v>140</v>
      </c>
      <c r="E19" s="59"/>
    </row>
    <row r="20" spans="1:5" x14ac:dyDescent="0.2">
      <c r="A20" s="56" t="s">
        <v>158</v>
      </c>
      <c r="B20" s="56" t="s">
        <v>156</v>
      </c>
      <c r="C20" s="56" t="s">
        <v>137</v>
      </c>
      <c r="D20" s="56" t="s">
        <v>142</v>
      </c>
      <c r="E20" s="59"/>
    </row>
    <row r="21" spans="1:5" x14ac:dyDescent="0.2">
      <c r="A21" s="56" t="s">
        <v>159</v>
      </c>
      <c r="B21" s="56" t="s">
        <v>156</v>
      </c>
      <c r="C21" s="56" t="s">
        <v>137</v>
      </c>
      <c r="D21" s="56" t="s">
        <v>144</v>
      </c>
      <c r="E21" s="59"/>
    </row>
    <row r="22" spans="1:5" x14ac:dyDescent="0.2">
      <c r="A22" s="56" t="s">
        <v>160</v>
      </c>
      <c r="B22" s="56" t="s">
        <v>161</v>
      </c>
      <c r="C22" s="56" t="s">
        <v>162</v>
      </c>
      <c r="D22" s="56" t="s">
        <v>163</v>
      </c>
      <c r="E22" s="59"/>
    </row>
    <row r="23" spans="1:5" x14ac:dyDescent="0.2">
      <c r="A23" s="56" t="s">
        <v>164</v>
      </c>
      <c r="B23" s="56" t="s">
        <v>161</v>
      </c>
      <c r="C23" s="56" t="s">
        <v>162</v>
      </c>
      <c r="D23" s="56" t="s">
        <v>165</v>
      </c>
      <c r="E23" s="59"/>
    </row>
    <row r="24" spans="1:5" x14ac:dyDescent="0.2">
      <c r="A24" s="56" t="s">
        <v>166</v>
      </c>
      <c r="B24" s="56" t="s">
        <v>161</v>
      </c>
      <c r="C24" s="56" t="s">
        <v>162</v>
      </c>
      <c r="D24" s="56" t="s">
        <v>167</v>
      </c>
      <c r="E24" s="59"/>
    </row>
    <row r="25" spans="1:5" x14ac:dyDescent="0.2">
      <c r="A25" s="56" t="s">
        <v>168</v>
      </c>
      <c r="B25" s="56" t="s">
        <v>161</v>
      </c>
      <c r="C25" s="56" t="s">
        <v>162</v>
      </c>
      <c r="D25" s="56" t="s">
        <v>169</v>
      </c>
      <c r="E25" s="59"/>
    </row>
    <row r="26" spans="1:5" x14ac:dyDescent="0.2">
      <c r="A26" s="56" t="s">
        <v>170</v>
      </c>
      <c r="B26" s="56" t="s">
        <v>171</v>
      </c>
      <c r="C26" s="56" t="s">
        <v>162</v>
      </c>
      <c r="D26" s="56" t="s">
        <v>163</v>
      </c>
      <c r="E26" s="59"/>
    </row>
    <row r="27" spans="1:5" x14ac:dyDescent="0.2">
      <c r="A27" s="56" t="s">
        <v>172</v>
      </c>
      <c r="B27" s="56" t="s">
        <v>171</v>
      </c>
      <c r="C27" s="56" t="s">
        <v>162</v>
      </c>
      <c r="D27" s="56" t="s">
        <v>165</v>
      </c>
      <c r="E27" s="59"/>
    </row>
    <row r="28" spans="1:5" x14ac:dyDescent="0.2">
      <c r="A28" s="56" t="s">
        <v>173</v>
      </c>
      <c r="B28" s="56" t="s">
        <v>171</v>
      </c>
      <c r="C28" s="56" t="s">
        <v>162</v>
      </c>
      <c r="D28" s="56" t="s">
        <v>167</v>
      </c>
      <c r="E28" s="59"/>
    </row>
    <row r="29" spans="1:5" x14ac:dyDescent="0.2">
      <c r="A29" s="56" t="s">
        <v>174</v>
      </c>
      <c r="B29" s="56" t="s">
        <v>171</v>
      </c>
      <c r="C29" s="56" t="s">
        <v>162</v>
      </c>
      <c r="D29" s="56" t="s">
        <v>169</v>
      </c>
      <c r="E29" s="59"/>
    </row>
    <row r="30" spans="1:5" x14ac:dyDescent="0.2">
      <c r="A30" s="56" t="s">
        <v>175</v>
      </c>
      <c r="B30" s="56" t="s">
        <v>176</v>
      </c>
      <c r="C30" s="56" t="s">
        <v>162</v>
      </c>
      <c r="D30" s="56" t="s">
        <v>163</v>
      </c>
      <c r="E30" s="59"/>
    </row>
    <row r="31" spans="1:5" x14ac:dyDescent="0.2">
      <c r="A31" s="56" t="s">
        <v>177</v>
      </c>
      <c r="B31" s="56" t="s">
        <v>176</v>
      </c>
      <c r="C31" s="56" t="s">
        <v>162</v>
      </c>
      <c r="D31" s="56" t="s">
        <v>165</v>
      </c>
      <c r="E31" s="59"/>
    </row>
    <row r="32" spans="1:5" x14ac:dyDescent="0.2">
      <c r="A32" s="56" t="s">
        <v>178</v>
      </c>
      <c r="B32" s="56" t="s">
        <v>176</v>
      </c>
      <c r="C32" s="56" t="s">
        <v>162</v>
      </c>
      <c r="D32" s="56" t="s">
        <v>167</v>
      </c>
      <c r="E32" s="59"/>
    </row>
    <row r="33" spans="1:5" x14ac:dyDescent="0.2">
      <c r="A33" s="56" t="s">
        <v>179</v>
      </c>
      <c r="B33" s="56" t="s">
        <v>176</v>
      </c>
      <c r="C33" s="56" t="s">
        <v>162</v>
      </c>
      <c r="D33" s="56" t="s">
        <v>169</v>
      </c>
      <c r="E33" s="59"/>
    </row>
    <row r="34" spans="1:5" x14ac:dyDescent="0.2">
      <c r="A34" s="56" t="s">
        <v>180</v>
      </c>
      <c r="B34" s="56" t="s">
        <v>181</v>
      </c>
      <c r="C34" s="56" t="s">
        <v>162</v>
      </c>
      <c r="D34" s="56" t="s">
        <v>163</v>
      </c>
      <c r="E34" s="59"/>
    </row>
    <row r="35" spans="1:5" x14ac:dyDescent="0.2">
      <c r="A35" s="56" t="s">
        <v>182</v>
      </c>
      <c r="B35" s="56" t="s">
        <v>181</v>
      </c>
      <c r="C35" s="56" t="s">
        <v>162</v>
      </c>
      <c r="D35" s="56" t="s">
        <v>165</v>
      </c>
      <c r="E35" s="59"/>
    </row>
    <row r="36" spans="1:5" x14ac:dyDescent="0.2">
      <c r="A36" s="56" t="s">
        <v>183</v>
      </c>
      <c r="B36" s="56" t="s">
        <v>181</v>
      </c>
      <c r="C36" s="56" t="s">
        <v>162</v>
      </c>
      <c r="D36" s="56" t="s">
        <v>167</v>
      </c>
      <c r="E36" s="59"/>
    </row>
    <row r="37" spans="1:5" x14ac:dyDescent="0.2">
      <c r="A37" s="56" t="s">
        <v>184</v>
      </c>
      <c r="B37" s="56" t="s">
        <v>181</v>
      </c>
      <c r="C37" s="56" t="s">
        <v>162</v>
      </c>
      <c r="D37" s="56" t="s">
        <v>169</v>
      </c>
      <c r="E37" s="59"/>
    </row>
    <row r="38" spans="1:5" x14ac:dyDescent="0.2">
      <c r="A38" s="56" t="s">
        <v>185</v>
      </c>
      <c r="B38" s="56" t="s">
        <v>186</v>
      </c>
      <c r="C38" s="56" t="s">
        <v>162</v>
      </c>
      <c r="D38" s="56" t="s">
        <v>163</v>
      </c>
      <c r="E38" s="59"/>
    </row>
    <row r="39" spans="1:5" x14ac:dyDescent="0.2">
      <c r="A39" s="56" t="s">
        <v>187</v>
      </c>
      <c r="B39" s="56" t="s">
        <v>186</v>
      </c>
      <c r="C39" s="56" t="s">
        <v>162</v>
      </c>
      <c r="D39" s="56" t="s">
        <v>165</v>
      </c>
      <c r="E39" s="59"/>
    </row>
    <row r="40" spans="1:5" x14ac:dyDescent="0.2">
      <c r="A40" s="56" t="s">
        <v>188</v>
      </c>
      <c r="B40" s="56" t="s">
        <v>186</v>
      </c>
      <c r="C40" s="56" t="s">
        <v>162</v>
      </c>
      <c r="D40" s="56" t="s">
        <v>167</v>
      </c>
      <c r="E40" s="59"/>
    </row>
    <row r="41" spans="1:5" x14ac:dyDescent="0.2">
      <c r="A41" s="56" t="s">
        <v>189</v>
      </c>
      <c r="B41" s="56" t="s">
        <v>186</v>
      </c>
      <c r="C41" s="56" t="s">
        <v>162</v>
      </c>
      <c r="D41" s="56" t="s">
        <v>169</v>
      </c>
      <c r="E41" s="59"/>
    </row>
    <row r="42" spans="1:5" x14ac:dyDescent="0.2">
      <c r="A42" s="56" t="s">
        <v>190</v>
      </c>
      <c r="B42" s="56" t="s">
        <v>191</v>
      </c>
      <c r="C42" s="56" t="s">
        <v>162</v>
      </c>
      <c r="D42" s="56" t="s">
        <v>163</v>
      </c>
      <c r="E42" s="59"/>
    </row>
    <row r="43" spans="1:5" x14ac:dyDescent="0.2">
      <c r="A43" s="56" t="s">
        <v>192</v>
      </c>
      <c r="B43" s="56" t="s">
        <v>191</v>
      </c>
      <c r="C43" s="56" t="s">
        <v>162</v>
      </c>
      <c r="D43" s="56" t="s">
        <v>165</v>
      </c>
      <c r="E43" s="59"/>
    </row>
    <row r="44" spans="1:5" x14ac:dyDescent="0.2">
      <c r="A44" s="56" t="s">
        <v>193</v>
      </c>
      <c r="B44" s="56" t="s">
        <v>191</v>
      </c>
      <c r="C44" s="56" t="s">
        <v>162</v>
      </c>
      <c r="D44" s="56" t="s">
        <v>167</v>
      </c>
      <c r="E44" s="59"/>
    </row>
    <row r="45" spans="1:5" x14ac:dyDescent="0.2">
      <c r="A45" s="56" t="s">
        <v>194</v>
      </c>
      <c r="B45" s="56" t="s">
        <v>191</v>
      </c>
      <c r="C45" s="56" t="s">
        <v>162</v>
      </c>
      <c r="D45" s="56" t="s">
        <v>169</v>
      </c>
      <c r="E45" s="59"/>
    </row>
    <row r="46" spans="1:5" x14ac:dyDescent="0.2">
      <c r="A46" s="56" t="s">
        <v>195</v>
      </c>
      <c r="B46" s="56" t="s">
        <v>196</v>
      </c>
      <c r="C46" s="56" t="s">
        <v>162</v>
      </c>
      <c r="D46" s="56" t="s">
        <v>163</v>
      </c>
      <c r="E46" s="59"/>
    </row>
    <row r="47" spans="1:5" x14ac:dyDescent="0.2">
      <c r="A47" s="56" t="s">
        <v>197</v>
      </c>
      <c r="B47" s="56" t="s">
        <v>196</v>
      </c>
      <c r="C47" s="56" t="s">
        <v>162</v>
      </c>
      <c r="D47" s="56" t="s">
        <v>165</v>
      </c>
      <c r="E47" s="59"/>
    </row>
    <row r="48" spans="1:5" x14ac:dyDescent="0.2">
      <c r="A48" s="56" t="s">
        <v>198</v>
      </c>
      <c r="B48" s="56" t="s">
        <v>196</v>
      </c>
      <c r="C48" s="56" t="s">
        <v>162</v>
      </c>
      <c r="D48" s="56" t="s">
        <v>167</v>
      </c>
      <c r="E48" s="59"/>
    </row>
    <row r="49" spans="1:5" x14ac:dyDescent="0.2">
      <c r="A49" s="56" t="s">
        <v>199</v>
      </c>
      <c r="B49" s="56" t="s">
        <v>196</v>
      </c>
      <c r="C49" s="56" t="s">
        <v>162</v>
      </c>
      <c r="D49" s="56" t="s">
        <v>169</v>
      </c>
      <c r="E49" s="59"/>
    </row>
    <row r="50" spans="1:5" x14ac:dyDescent="0.2">
      <c r="A50" s="56" t="s">
        <v>200</v>
      </c>
      <c r="B50" s="56" t="s">
        <v>201</v>
      </c>
      <c r="C50" s="56" t="s">
        <v>162</v>
      </c>
      <c r="D50" s="56" t="s">
        <v>202</v>
      </c>
      <c r="E50" s="59"/>
    </row>
    <row r="51" spans="1:5" x14ac:dyDescent="0.2">
      <c r="A51" s="56" t="s">
        <v>203</v>
      </c>
      <c r="B51" s="56" t="s">
        <v>204</v>
      </c>
      <c r="C51" s="56" t="s">
        <v>119</v>
      </c>
      <c r="D51" s="56" t="s">
        <v>202</v>
      </c>
      <c r="E51" s="59"/>
    </row>
    <row r="52" spans="1:5" x14ac:dyDescent="0.2">
      <c r="A52" s="56" t="s">
        <v>205</v>
      </c>
      <c r="B52" s="56" t="s">
        <v>206</v>
      </c>
      <c r="C52" s="56" t="s">
        <v>162</v>
      </c>
      <c r="D52" s="56" t="s">
        <v>207</v>
      </c>
      <c r="E52" s="59"/>
    </row>
    <row r="53" spans="1:5" x14ac:dyDescent="0.2">
      <c r="A53" s="56" t="s">
        <v>208</v>
      </c>
      <c r="B53" s="56" t="s">
        <v>206</v>
      </c>
      <c r="C53" s="56" t="s">
        <v>162</v>
      </c>
      <c r="D53" s="56" t="s">
        <v>209</v>
      </c>
      <c r="E53" s="59"/>
    </row>
    <row r="54" spans="1:5" x14ac:dyDescent="0.2">
      <c r="A54" s="56" t="s">
        <v>210</v>
      </c>
      <c r="B54" s="56" t="s">
        <v>206</v>
      </c>
      <c r="C54" s="56" t="s">
        <v>162</v>
      </c>
      <c r="D54" s="56" t="s">
        <v>211</v>
      </c>
      <c r="E54" s="59"/>
    </row>
    <row r="55" spans="1:5" x14ac:dyDescent="0.2">
      <c r="A55" s="56" t="s">
        <v>212</v>
      </c>
      <c r="B55" s="56" t="s">
        <v>206</v>
      </c>
      <c r="C55" s="56" t="s">
        <v>162</v>
      </c>
      <c r="D55" s="56" t="s">
        <v>213</v>
      </c>
      <c r="E55" s="59"/>
    </row>
    <row r="56" spans="1:5" x14ac:dyDescent="0.2">
      <c r="A56" s="56" t="s">
        <v>214</v>
      </c>
      <c r="B56" s="56" t="s">
        <v>215</v>
      </c>
      <c r="C56" s="56" t="s">
        <v>162</v>
      </c>
      <c r="D56" s="56" t="s">
        <v>207</v>
      </c>
      <c r="E56" s="59"/>
    </row>
    <row r="57" spans="1:5" x14ac:dyDescent="0.2">
      <c r="A57" s="56" t="s">
        <v>216</v>
      </c>
      <c r="B57" s="56" t="s">
        <v>215</v>
      </c>
      <c r="C57" s="56" t="s">
        <v>162</v>
      </c>
      <c r="D57" s="56" t="s">
        <v>209</v>
      </c>
      <c r="E57" s="59"/>
    </row>
    <row r="58" spans="1:5" x14ac:dyDescent="0.2">
      <c r="A58" s="56" t="s">
        <v>217</v>
      </c>
      <c r="B58" s="56" t="s">
        <v>215</v>
      </c>
      <c r="C58" s="56" t="s">
        <v>162</v>
      </c>
      <c r="D58" s="56" t="s">
        <v>211</v>
      </c>
      <c r="E58" s="59"/>
    </row>
    <row r="59" spans="1:5" x14ac:dyDescent="0.2">
      <c r="A59" s="56" t="s">
        <v>218</v>
      </c>
      <c r="B59" s="56" t="s">
        <v>215</v>
      </c>
      <c r="C59" s="56" t="s">
        <v>162</v>
      </c>
      <c r="D59" s="56" t="s">
        <v>213</v>
      </c>
      <c r="E59" s="59"/>
    </row>
    <row r="60" spans="1:5" x14ac:dyDescent="0.2">
      <c r="A60" s="56" t="s">
        <v>219</v>
      </c>
      <c r="B60" s="56" t="s">
        <v>220</v>
      </c>
      <c r="C60" s="56" t="s">
        <v>162</v>
      </c>
      <c r="D60" s="56" t="s">
        <v>207</v>
      </c>
      <c r="E60" s="59"/>
    </row>
    <row r="61" spans="1:5" x14ac:dyDescent="0.2">
      <c r="A61" s="56" t="s">
        <v>221</v>
      </c>
      <c r="B61" s="56" t="s">
        <v>220</v>
      </c>
      <c r="C61" s="56" t="s">
        <v>162</v>
      </c>
      <c r="D61" s="56" t="s">
        <v>209</v>
      </c>
      <c r="E61" s="59"/>
    </row>
    <row r="62" spans="1:5" x14ac:dyDescent="0.2">
      <c r="A62" s="56" t="s">
        <v>222</v>
      </c>
      <c r="B62" s="56" t="s">
        <v>220</v>
      </c>
      <c r="C62" s="56" t="s">
        <v>162</v>
      </c>
      <c r="D62" s="56" t="s">
        <v>211</v>
      </c>
      <c r="E62" s="59"/>
    </row>
    <row r="63" spans="1:5" x14ac:dyDescent="0.2">
      <c r="A63" s="56" t="s">
        <v>223</v>
      </c>
      <c r="B63" s="56" t="s">
        <v>220</v>
      </c>
      <c r="C63" s="56" t="s">
        <v>162</v>
      </c>
      <c r="D63" s="56" t="s">
        <v>213</v>
      </c>
      <c r="E63" s="59"/>
    </row>
    <row r="64" spans="1:5" x14ac:dyDescent="0.2">
      <c r="A64" s="56" t="s">
        <v>224</v>
      </c>
      <c r="B64" s="56" t="s">
        <v>225</v>
      </c>
      <c r="C64" s="56" t="s">
        <v>162</v>
      </c>
      <c r="D64" s="56" t="s">
        <v>207</v>
      </c>
      <c r="E64" s="59"/>
    </row>
    <row r="65" spans="1:5" x14ac:dyDescent="0.2">
      <c r="A65" s="56" t="s">
        <v>226</v>
      </c>
      <c r="B65" s="56" t="s">
        <v>225</v>
      </c>
      <c r="C65" s="56" t="s">
        <v>162</v>
      </c>
      <c r="D65" s="56" t="s">
        <v>209</v>
      </c>
      <c r="E65" s="59"/>
    </row>
    <row r="66" spans="1:5" x14ac:dyDescent="0.2">
      <c r="A66" s="56" t="s">
        <v>227</v>
      </c>
      <c r="B66" s="56" t="s">
        <v>225</v>
      </c>
      <c r="C66" s="56" t="s">
        <v>162</v>
      </c>
      <c r="D66" s="56" t="s">
        <v>211</v>
      </c>
      <c r="E66" s="59"/>
    </row>
    <row r="67" spans="1:5" x14ac:dyDescent="0.2">
      <c r="A67" s="56" t="s">
        <v>228</v>
      </c>
      <c r="B67" s="56" t="s">
        <v>225</v>
      </c>
      <c r="C67" s="56" t="s">
        <v>162</v>
      </c>
      <c r="D67" s="56" t="s">
        <v>213</v>
      </c>
      <c r="E67" s="59"/>
    </row>
    <row r="68" spans="1:5" x14ac:dyDescent="0.2">
      <c r="A68" s="56" t="s">
        <v>229</v>
      </c>
      <c r="B68" s="56" t="s">
        <v>230</v>
      </c>
      <c r="C68" s="56" t="s">
        <v>162</v>
      </c>
      <c r="D68" s="56" t="s">
        <v>207</v>
      </c>
      <c r="E68" s="59"/>
    </row>
    <row r="69" spans="1:5" x14ac:dyDescent="0.2">
      <c r="A69" s="56" t="s">
        <v>231</v>
      </c>
      <c r="B69" s="56" t="s">
        <v>230</v>
      </c>
      <c r="C69" s="56" t="s">
        <v>162</v>
      </c>
      <c r="D69" s="56" t="s">
        <v>209</v>
      </c>
      <c r="E69" s="59"/>
    </row>
    <row r="70" spans="1:5" x14ac:dyDescent="0.2">
      <c r="A70" s="56" t="s">
        <v>232</v>
      </c>
      <c r="B70" s="56" t="s">
        <v>230</v>
      </c>
      <c r="C70" s="56" t="s">
        <v>162</v>
      </c>
      <c r="D70" s="56" t="s">
        <v>211</v>
      </c>
      <c r="E70" s="59"/>
    </row>
    <row r="71" spans="1:5" x14ac:dyDescent="0.2">
      <c r="A71" s="56" t="s">
        <v>233</v>
      </c>
      <c r="B71" s="56" t="s">
        <v>230</v>
      </c>
      <c r="C71" s="56" t="s">
        <v>162</v>
      </c>
      <c r="D71" s="56" t="s">
        <v>213</v>
      </c>
      <c r="E71" s="59"/>
    </row>
    <row r="72" spans="1:5" x14ac:dyDescent="0.2">
      <c r="A72" s="56" t="s">
        <v>234</v>
      </c>
      <c r="B72" s="56" t="s">
        <v>235</v>
      </c>
      <c r="C72" s="56" t="s">
        <v>162</v>
      </c>
      <c r="D72" s="56" t="s">
        <v>207</v>
      </c>
      <c r="E72" s="59"/>
    </row>
    <row r="73" spans="1:5" x14ac:dyDescent="0.2">
      <c r="A73" s="56" t="s">
        <v>236</v>
      </c>
      <c r="B73" s="56" t="s">
        <v>235</v>
      </c>
      <c r="C73" s="56" t="s">
        <v>162</v>
      </c>
      <c r="D73" s="56" t="s">
        <v>209</v>
      </c>
      <c r="E73" s="59"/>
    </row>
    <row r="74" spans="1:5" x14ac:dyDescent="0.2">
      <c r="A74" s="56" t="s">
        <v>237</v>
      </c>
      <c r="B74" s="56" t="s">
        <v>235</v>
      </c>
      <c r="C74" s="56" t="s">
        <v>162</v>
      </c>
      <c r="D74" s="56" t="s">
        <v>211</v>
      </c>
      <c r="E74" s="59"/>
    </row>
    <row r="75" spans="1:5" x14ac:dyDescent="0.2">
      <c r="A75" s="56" t="s">
        <v>238</v>
      </c>
      <c r="B75" s="56" t="s">
        <v>235</v>
      </c>
      <c r="C75" s="56" t="s">
        <v>162</v>
      </c>
      <c r="D75" s="56" t="s">
        <v>213</v>
      </c>
      <c r="E75" s="59"/>
    </row>
    <row r="76" spans="1:5" x14ac:dyDescent="0.2">
      <c r="A76" s="56" t="s">
        <v>239</v>
      </c>
      <c r="B76" s="56" t="s">
        <v>240</v>
      </c>
      <c r="C76" s="56" t="s">
        <v>162</v>
      </c>
      <c r="D76" s="56" t="s">
        <v>207</v>
      </c>
      <c r="E76" s="59"/>
    </row>
    <row r="77" spans="1:5" x14ac:dyDescent="0.2">
      <c r="A77" s="56" t="s">
        <v>241</v>
      </c>
      <c r="B77" s="56" t="s">
        <v>240</v>
      </c>
      <c r="C77" s="56" t="s">
        <v>162</v>
      </c>
      <c r="D77" s="56" t="s">
        <v>209</v>
      </c>
      <c r="E77" s="59"/>
    </row>
    <row r="78" spans="1:5" x14ac:dyDescent="0.2">
      <c r="A78" s="56" t="s">
        <v>242</v>
      </c>
      <c r="B78" s="56" t="s">
        <v>240</v>
      </c>
      <c r="C78" s="56" t="s">
        <v>162</v>
      </c>
      <c r="D78" s="56" t="s">
        <v>211</v>
      </c>
      <c r="E78" s="59"/>
    </row>
    <row r="79" spans="1:5" x14ac:dyDescent="0.2">
      <c r="A79" s="56" t="s">
        <v>243</v>
      </c>
      <c r="B79" s="56" t="s">
        <v>240</v>
      </c>
      <c r="C79" s="56" t="s">
        <v>162</v>
      </c>
      <c r="D79" s="56" t="s">
        <v>213</v>
      </c>
      <c r="E79" s="59"/>
    </row>
    <row r="80" spans="1:5" x14ac:dyDescent="0.2">
      <c r="A80" s="56" t="s">
        <v>244</v>
      </c>
      <c r="B80" s="56" t="s">
        <v>245</v>
      </c>
      <c r="C80" s="56" t="s">
        <v>162</v>
      </c>
      <c r="D80" s="56" t="s">
        <v>207</v>
      </c>
      <c r="E80" s="59"/>
    </row>
    <row r="81" spans="1:5" x14ac:dyDescent="0.2">
      <c r="A81" s="56" t="s">
        <v>246</v>
      </c>
      <c r="B81" s="56" t="s">
        <v>245</v>
      </c>
      <c r="C81" s="56" t="s">
        <v>162</v>
      </c>
      <c r="D81" s="56" t="s">
        <v>209</v>
      </c>
      <c r="E81" s="59"/>
    </row>
    <row r="82" spans="1:5" x14ac:dyDescent="0.2">
      <c r="A82" s="56" t="s">
        <v>247</v>
      </c>
      <c r="B82" s="56" t="s">
        <v>245</v>
      </c>
      <c r="C82" s="56" t="s">
        <v>162</v>
      </c>
      <c r="D82" s="56" t="s">
        <v>211</v>
      </c>
      <c r="E82" s="59"/>
    </row>
    <row r="83" spans="1:5" x14ac:dyDescent="0.2">
      <c r="A83" s="56" t="s">
        <v>248</v>
      </c>
      <c r="B83" s="56" t="s">
        <v>245</v>
      </c>
      <c r="C83" s="56" t="s">
        <v>162</v>
      </c>
      <c r="D83" s="56" t="s">
        <v>213</v>
      </c>
      <c r="E83" s="59"/>
    </row>
    <row r="84" spans="1:5" x14ac:dyDescent="0.2">
      <c r="A84" s="56" t="s">
        <v>249</v>
      </c>
      <c r="B84" s="56" t="s">
        <v>250</v>
      </c>
      <c r="C84" s="56" t="s">
        <v>162</v>
      </c>
      <c r="D84" s="56" t="s">
        <v>207</v>
      </c>
      <c r="E84" s="59"/>
    </row>
    <row r="85" spans="1:5" x14ac:dyDescent="0.2">
      <c r="A85" s="56" t="s">
        <v>251</v>
      </c>
      <c r="B85" s="56" t="s">
        <v>250</v>
      </c>
      <c r="C85" s="56" t="s">
        <v>162</v>
      </c>
      <c r="D85" s="56" t="s">
        <v>209</v>
      </c>
      <c r="E85" s="59"/>
    </row>
    <row r="86" spans="1:5" x14ac:dyDescent="0.2">
      <c r="A86" s="56" t="s">
        <v>252</v>
      </c>
      <c r="B86" s="56" t="s">
        <v>250</v>
      </c>
      <c r="C86" s="56" t="s">
        <v>162</v>
      </c>
      <c r="D86" s="56" t="s">
        <v>211</v>
      </c>
      <c r="E86" s="59"/>
    </row>
    <row r="87" spans="1:5" x14ac:dyDescent="0.2">
      <c r="A87" s="20" t="s">
        <v>253</v>
      </c>
      <c r="B87" s="20" t="s">
        <v>250</v>
      </c>
      <c r="C87" s="20" t="s">
        <v>162</v>
      </c>
      <c r="D87" s="20" t="s">
        <v>213</v>
      </c>
      <c r="E87" s="24"/>
    </row>
    <row r="88" spans="1:5" x14ac:dyDescent="0.2">
      <c r="A88" s="33" t="s">
        <v>51</v>
      </c>
      <c r="B88" s="34"/>
      <c r="C88" s="34"/>
      <c r="D88" s="34"/>
      <c r="E88" s="79"/>
    </row>
    <row r="90" spans="1:5" x14ac:dyDescent="0.2">
      <c r="A90" s="33" t="s">
        <v>254</v>
      </c>
      <c r="B90" s="34"/>
      <c r="C90" s="34"/>
      <c r="D90" s="34"/>
      <c r="E90" s="79"/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&amp;LGewoon Speciaal Onderwijs                                   &amp;ROpmaakdatum: 03-11-2021
Intexso - De Start 5 - Leusden
+31 (33) 2778485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69</vt:i4>
      </vt:variant>
    </vt:vector>
  </HeadingPairs>
  <TitlesOfParts>
    <vt:vector size="81" baseType="lpstr">
      <vt:lpstr>Omreken</vt:lpstr>
      <vt:lpstr>Categorienormen</vt:lpstr>
      <vt:lpstr>Regulier werk</vt:lpstr>
      <vt:lpstr>Objectinformatie</vt:lpstr>
      <vt:lpstr>Objecten</vt:lpstr>
      <vt:lpstr>Niet-meewerkende objectleiding</vt:lpstr>
      <vt:lpstr>Totaalblad Objecten</vt:lpstr>
      <vt:lpstr>Afroep</vt:lpstr>
      <vt:lpstr>Afroep incidenteel</vt:lpstr>
      <vt:lpstr>Glas</vt:lpstr>
      <vt:lpstr>Nulbeurt</vt:lpstr>
      <vt:lpstr>Totaal</vt:lpstr>
      <vt:lpstr>Afroep!Afdruktitels</vt:lpstr>
      <vt:lpstr>'Afroep incidenteel'!Afdruktitels</vt:lpstr>
      <vt:lpstr>Categorienormen!Afdruktitels</vt:lpstr>
      <vt:lpstr>Glas!Afdruktitels</vt:lpstr>
      <vt:lpstr>'Niet-meewerkende objectleiding'!Afdruktitels</vt:lpstr>
      <vt:lpstr>Nulbeurt!Afdruktitels</vt:lpstr>
      <vt:lpstr>Objecten!Afdruktitels</vt:lpstr>
      <vt:lpstr>Objectinformatie!Afdruktitels</vt:lpstr>
      <vt:lpstr>'Regulier werk'!Afdruktitels</vt:lpstr>
      <vt:lpstr>Totaal!Afdruktitels</vt:lpstr>
      <vt:lpstr>'Totaalblad Objecten'!Afdruktitels</vt:lpstr>
      <vt:lpstr>catdw_1_XBB_1</vt:lpstr>
      <vt:lpstr>catdw_1_YBB_1</vt:lpstr>
      <vt:lpstr>catfd_1_XBB_1</vt:lpstr>
      <vt:lpstr>catfd_1_YBB_1</vt:lpstr>
      <vt:lpstr>catpn_1_XBB_1</vt:lpstr>
      <vt:lpstr>catpn_1_YBB_1</vt:lpstr>
      <vt:lpstr>cattf_1_XBB_1</vt:lpstr>
      <vt:lpstr>cattf_1_YBB_1</vt:lpstr>
      <vt:lpstr>dagenperjaar1</vt:lpstr>
      <vt:lpstr>dagenperweek1</vt:lpstr>
      <vt:lpstr>dagsoorttabel1</vt:lpstr>
      <vt:lpstr>dagwerk10</vt:lpstr>
      <vt:lpstr>dagwerk11</vt:lpstr>
      <vt:lpstr>dagwerktabel1</vt:lpstr>
      <vt:lpstr>gemuurtarief1</vt:lpstr>
      <vt:lpstr>kengetaltabel1</vt:lpstr>
      <vt:lpstr>object1_opptabel1</vt:lpstr>
      <vt:lpstr>objectprijs1_1</vt:lpstr>
      <vt:lpstr>objecturen1_1</vt:lpstr>
      <vt:lpstr>objecturenhf1_1</vt:lpstr>
      <vt:lpstr>prijsdag1</vt:lpstr>
      <vt:lpstr>prijsjaar</vt:lpstr>
      <vt:lpstr>prijsjaar1</vt:lpstr>
      <vt:lpstr>prijsjaarafroep</vt:lpstr>
      <vt:lpstr>prijsjaarafroep1</vt:lpstr>
      <vt:lpstr>prijsjaarglas</vt:lpstr>
      <vt:lpstr>prijsjaarglas1</vt:lpstr>
      <vt:lpstr>prijsjaarleveringen</vt:lpstr>
      <vt:lpstr>prijsjaarleveringen1</vt:lpstr>
      <vt:lpstr>prijsjaarnietmeewerkend</vt:lpstr>
      <vt:lpstr>prijsjaartotaal</vt:lpstr>
      <vt:lpstr>prijsjaartotaal1</vt:lpstr>
      <vt:lpstr>prijsjaartotaaloverzicht</vt:lpstr>
      <vt:lpstr>prijsmaandtotaal1</vt:lpstr>
      <vt:lpstr>prodnorm10</vt:lpstr>
      <vt:lpstr>prodnorm11</vt:lpstr>
      <vt:lpstr>taakfreqtabel1</vt:lpstr>
      <vt:lpstr>tabeltype</vt:lpstr>
      <vt:lpstr>tarieftabel1</vt:lpstr>
      <vt:lpstr>tzpjt1</vt:lpstr>
      <vt:lpstr>tzpjt1_1</vt:lpstr>
      <vt:lpstr>tzpmt1</vt:lpstr>
      <vt:lpstr>tzpmt1_1</vt:lpstr>
      <vt:lpstr>tzujt1</vt:lpstr>
      <vt:lpstr>tzujt1_1</vt:lpstr>
      <vt:lpstr>urendag1</vt:lpstr>
      <vt:lpstr>urenjaar</vt:lpstr>
      <vt:lpstr>urenjaar1</vt:lpstr>
      <vt:lpstr>urenjaarnietmeewerkend</vt:lpstr>
      <vt:lpstr>urenjaartotaal</vt:lpstr>
      <vt:lpstr>urenjaartotaal1</vt:lpstr>
      <vt:lpstr>urenjaartotaalhf</vt:lpstr>
      <vt:lpstr>urenjaartotaalhf1</vt:lpstr>
      <vt:lpstr>urenjaartotaaloverzicht</vt:lpstr>
      <vt:lpstr>urenjaartotaaloverzichthf</vt:lpstr>
      <vt:lpstr>uurfactortabel1</vt:lpstr>
      <vt:lpstr>uurtarief10</vt:lpstr>
      <vt:lpstr>uurtarief11</vt:lpstr>
    </vt:vector>
  </TitlesOfParts>
  <Company>Intexso Adviesbureau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Maaike Schmelling</dc:creator>
  <cp:lastModifiedBy>Maaike Schmelling</cp:lastModifiedBy>
  <dcterms:created xsi:type="dcterms:W3CDTF">2021-11-03T13:12:29Z</dcterms:created>
  <dcterms:modified xsi:type="dcterms:W3CDTF">2021-11-03T13:32:42Z</dcterms:modified>
</cp:coreProperties>
</file>