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Gewoon Speciaal Onderwijs\Aanbesteding 2021\Uitlever\Concepten\20211103\"/>
    </mc:Choice>
  </mc:AlternateContent>
  <xr:revisionPtr revIDLastSave="0" documentId="13_ncr:1_{4E9A5493-673D-43A5-9113-891F45551D62}" xr6:coauthVersionLast="45" xr6:coauthVersionMax="45" xr10:uidLastSave="{00000000-0000-0000-0000-000000000000}"/>
  <bookViews>
    <workbookView xWindow="-120" yWindow="-120" windowWidth="30960" windowHeight="16920" firstSheet="6" activeTab="11" xr2:uid="{F2293A15-05BB-4C87-B8A1-DDBD454BD026}"/>
  </bookViews>
  <sheets>
    <sheet name="Omreken" sheetId="1" r:id="rId1"/>
    <sheet name="Categorienormen" sheetId="2" r:id="rId2"/>
    <sheet name="Regulier werk" sheetId="3" r:id="rId3"/>
    <sheet name="Objectinformatie" sheetId="4" r:id="rId4"/>
    <sheet name="Objecten" sheetId="5" r:id="rId5"/>
    <sheet name="Niet-meewerkende objectleiding" sheetId="6" r:id="rId6"/>
    <sheet name="Totaalblad Objecten" sheetId="7" r:id="rId7"/>
    <sheet name="Afroep" sheetId="8" r:id="rId8"/>
    <sheet name="Afroep incidenteel" sheetId="9" r:id="rId9"/>
    <sheet name="Glas" sheetId="10" r:id="rId10"/>
    <sheet name="Nulbeurt" sheetId="11" r:id="rId11"/>
    <sheet name="Totaal" sheetId="12" r:id="rId12"/>
  </sheets>
  <definedNames>
    <definedName name="_xlnm.Print_Titles" localSheetId="7">Afroep!$1:$3</definedName>
    <definedName name="_xlnm.Print_Titles" localSheetId="8">'Afroep incidenteel'!$1:$3</definedName>
    <definedName name="_xlnm.Print_Titles" localSheetId="1">Categorienormen!$1:$3</definedName>
    <definedName name="_xlnm.Print_Titles" localSheetId="9">Glas!$1:$3</definedName>
    <definedName name="_xlnm.Print_Titles" localSheetId="5">'Niet-meewerkende objectleiding'!$1:$3</definedName>
    <definedName name="_xlnm.Print_Titles" localSheetId="10">Nulbeurt!$1:$3</definedName>
    <definedName name="_xlnm.Print_Titles" localSheetId="4">Objecten!$1:$3</definedName>
    <definedName name="_xlnm.Print_Titles" localSheetId="3">Objectinformatie!$A:$D,Objectinformatie!$1:$4</definedName>
    <definedName name="_xlnm.Print_Titles" localSheetId="2">'Regulier werk'!$1:$3</definedName>
    <definedName name="_xlnm.Print_Titles" localSheetId="11">Totaal!$1:$3</definedName>
    <definedName name="_xlnm.Print_Titles" localSheetId="6">'Totaalblad Objecten'!$1:$3</definedName>
    <definedName name="catdw_1_BHB_1">Categorienormen!$F$6</definedName>
    <definedName name="catdw_1_BHV_40">Categorienormen!$F$9</definedName>
    <definedName name="catdw_1_BZB_1">Categorienormen!$F$12</definedName>
    <definedName name="catdw_1_BZV_40">Categorienormen!$F$13</definedName>
    <definedName name="catdw_1_GHB_1">Categorienormen!$F$18</definedName>
    <definedName name="catdw_1_GHV_40">Categorienormen!$F$21</definedName>
    <definedName name="catdw_1_LHB_1">Categorienormen!$F$7</definedName>
    <definedName name="catdw_1_LHV_40">Categorienormen!$F$10</definedName>
    <definedName name="catdw_1_MHB_1">Categorienormen!$F$8</definedName>
    <definedName name="catdw_1_MHV_40">Categorienormen!$F$11</definedName>
    <definedName name="catdw_1_PHB_1">Categorienormen!$F$19</definedName>
    <definedName name="catdw_1_PHV_40">Categorienormen!$F$22</definedName>
    <definedName name="catdw_1_PUHB_1">Categorienormen!$F$14</definedName>
    <definedName name="catdw_1_PUHV_40">Categorienormen!$F$15</definedName>
    <definedName name="catdw_1_SHB_1">Categorienormen!$F$16</definedName>
    <definedName name="catdw_1_SHV_40">Categorienormen!$F$17</definedName>
    <definedName name="catdw_1_UZB_1">Categorienormen!$F$24</definedName>
    <definedName name="catdw_1_UZV_40">Categorienormen!$F$26</definedName>
    <definedName name="catdw_1_VHB_1">Categorienormen!$F$20</definedName>
    <definedName name="catdw_1_VHV_40">Categorienormen!$F$23</definedName>
    <definedName name="catdw_1_VZB_1">Categorienormen!$F$25</definedName>
    <definedName name="catdw_1_VZV_40">Categorienormen!$F$27</definedName>
    <definedName name="catdw_1_XBB_1">Categorienormen!$F$28</definedName>
    <definedName name="catdw_2_VBHB_1">Categorienormen!$F$31</definedName>
    <definedName name="catdw_2_VBHV_10">Categorienormen!$F$32</definedName>
    <definedName name="catdw_2_VBHV_2">Categorienormen!$F$33</definedName>
    <definedName name="catdw_2_VBZB_1">Categorienormen!$F$34</definedName>
    <definedName name="catdw_2_VBZV_10">Categorienormen!$F$37</definedName>
    <definedName name="catdw_2_VBZV_2">Categorienormen!$F$35</definedName>
    <definedName name="catdw_2_VBZV_5">Categorienormen!$F$36</definedName>
    <definedName name="catdw_2_VGHB_1">Categorienormen!$F$46</definedName>
    <definedName name="catdw_2_VGHV_2">Categorienormen!$F$48</definedName>
    <definedName name="catdw_2_VGHV_5">Categorienormen!$F$47</definedName>
    <definedName name="catdw_2_VLHB_1">Categorienormen!$F$38</definedName>
    <definedName name="catdw_2_VLHV_10">Categorienormen!$F$39</definedName>
    <definedName name="catdw_2_VLHV_2">Categorienormen!$F$41</definedName>
    <definedName name="catdw_2_VLHV_5">Categorienormen!$F$40</definedName>
    <definedName name="catdw_2_VPHB_1">Categorienormen!$F$49</definedName>
    <definedName name="catdw_2_VPHV_5">Categorienormen!$F$50</definedName>
    <definedName name="catdw_2_VSHB_1">Categorienormen!$F$42</definedName>
    <definedName name="catdw_2_VSHV_10">Categorienormen!$F$44</definedName>
    <definedName name="catdw_2_VSHV_2">Categorienormen!$F$45</definedName>
    <definedName name="catdw_2_VSHV_5">Categorienormen!$F$43</definedName>
    <definedName name="catdw_2_VUZB_1">Categorienormen!$F$51</definedName>
    <definedName name="catdw_2_VUZV_5">Categorienormen!$F$52</definedName>
    <definedName name="catdw_2_VVHB_1">Categorienormen!$F$53</definedName>
    <definedName name="catdw_2_VVHV_10">Categorienormen!$F$54</definedName>
    <definedName name="catdw_2_VVHV_2">Categorienormen!$F$56</definedName>
    <definedName name="catdw_2_VVHV_5">Categorienormen!$F$55</definedName>
    <definedName name="catdw_2_VVZB_1">Categorienormen!$F$57</definedName>
    <definedName name="catdw_2_VVZV_10">Categorienormen!$F$59</definedName>
    <definedName name="catdw_2_VVZV_2">Categorienormen!$F$58</definedName>
    <definedName name="catfd_1_BHB_1">Categorienormen!$C$6</definedName>
    <definedName name="catfd_1_BHV_40">Categorienormen!$C$9</definedName>
    <definedName name="catfd_1_BZB_1">Categorienormen!$C$12</definedName>
    <definedName name="catfd_1_BZV_40">Categorienormen!$C$13</definedName>
    <definedName name="catfd_1_GHB_1">Categorienormen!$C$18</definedName>
    <definedName name="catfd_1_GHV_40">Categorienormen!$C$21</definedName>
    <definedName name="catfd_1_LHB_1">Categorienormen!$C$7</definedName>
    <definedName name="catfd_1_LHV_40">Categorienormen!$C$10</definedName>
    <definedName name="catfd_1_MHB_1">Categorienormen!$C$8</definedName>
    <definedName name="catfd_1_MHV_40">Categorienormen!$C$11</definedName>
    <definedName name="catfd_1_PHB_1">Categorienormen!$C$19</definedName>
    <definedName name="catfd_1_PHV_40">Categorienormen!$C$22</definedName>
    <definedName name="catfd_1_PUHB_1">Categorienormen!$C$14</definedName>
    <definedName name="catfd_1_PUHV_40">Categorienormen!$C$15</definedName>
    <definedName name="catfd_1_SHB_1">Categorienormen!$C$16</definedName>
    <definedName name="catfd_1_SHV_40">Categorienormen!$C$17</definedName>
    <definedName name="catfd_1_UZB_1">Categorienormen!$C$24</definedName>
    <definedName name="catfd_1_UZV_40">Categorienormen!$C$26</definedName>
    <definedName name="catfd_1_VHB_1">Categorienormen!$C$20</definedName>
    <definedName name="catfd_1_VHV_40">Categorienormen!$C$23</definedName>
    <definedName name="catfd_1_VZB_1">Categorienormen!$C$25</definedName>
    <definedName name="catfd_1_VZV_40">Categorienormen!$C$27</definedName>
    <definedName name="catfd_1_XBB_1">Categorienormen!$C$28</definedName>
    <definedName name="catfd_2_VBHB_1">Categorienormen!$C$31</definedName>
    <definedName name="catfd_2_VBHV_10">Categorienormen!$C$32</definedName>
    <definedName name="catfd_2_VBHV_2">Categorienormen!$C$33</definedName>
    <definedName name="catfd_2_VBZB_1">Categorienormen!$C$34</definedName>
    <definedName name="catfd_2_VBZV_10">Categorienormen!$C$37</definedName>
    <definedName name="catfd_2_VBZV_2">Categorienormen!$C$35</definedName>
    <definedName name="catfd_2_VBZV_5">Categorienormen!$C$36</definedName>
    <definedName name="catfd_2_VGHB_1">Categorienormen!$C$46</definedName>
    <definedName name="catfd_2_VGHV_2">Categorienormen!$C$48</definedName>
    <definedName name="catfd_2_VGHV_5">Categorienormen!$C$47</definedName>
    <definedName name="catfd_2_VLHB_1">Categorienormen!$C$38</definedName>
    <definedName name="catfd_2_VLHV_10">Categorienormen!$C$39</definedName>
    <definedName name="catfd_2_VLHV_2">Categorienormen!$C$41</definedName>
    <definedName name="catfd_2_VLHV_5">Categorienormen!$C$40</definedName>
    <definedName name="catfd_2_VPHB_1">Categorienormen!$C$49</definedName>
    <definedName name="catfd_2_VPHV_5">Categorienormen!$C$50</definedName>
    <definedName name="catfd_2_VSHB_1">Categorienormen!$C$42</definedName>
    <definedName name="catfd_2_VSHV_10">Categorienormen!$C$44</definedName>
    <definedName name="catfd_2_VSHV_2">Categorienormen!$C$45</definedName>
    <definedName name="catfd_2_VSHV_5">Categorienormen!$C$43</definedName>
    <definedName name="catfd_2_VUZB_1">Categorienormen!$C$51</definedName>
    <definedName name="catfd_2_VUZV_5">Categorienormen!$C$52</definedName>
    <definedName name="catfd_2_VVHB_1">Categorienormen!$C$53</definedName>
    <definedName name="catfd_2_VVHV_10">Categorienormen!$C$54</definedName>
    <definedName name="catfd_2_VVHV_2">Categorienormen!$C$56</definedName>
    <definedName name="catfd_2_VVHV_5">Categorienormen!$C$55</definedName>
    <definedName name="catfd_2_VVZB_1">Categorienormen!$C$57</definedName>
    <definedName name="catfd_2_VVZV_10">Categorienormen!$C$59</definedName>
    <definedName name="catfd_2_VVZV_2">Categorienormen!$C$58</definedName>
    <definedName name="catpn_1_BHB_1">Categorienormen!$E$6</definedName>
    <definedName name="catpn_1_BHV_40">Categorienormen!$E$9</definedName>
    <definedName name="catpn_1_BZB_1">Categorienormen!$E$12</definedName>
    <definedName name="catpn_1_BZV_40">Categorienormen!$E$13</definedName>
    <definedName name="catpn_1_GHB_1">Categorienormen!$E$18</definedName>
    <definedName name="catpn_1_GHV_40">Categorienormen!$E$21</definedName>
    <definedName name="catpn_1_LHB_1">Categorienormen!$E$7</definedName>
    <definedName name="catpn_1_LHV_40">Categorienormen!$E$10</definedName>
    <definedName name="catpn_1_MHB_1">Categorienormen!$E$8</definedName>
    <definedName name="catpn_1_MHV_40">Categorienormen!$E$11</definedName>
    <definedName name="catpn_1_PHB_1">Categorienormen!$E$19</definedName>
    <definedName name="catpn_1_PHV_40">Categorienormen!$E$22</definedName>
    <definedName name="catpn_1_PUHB_1">Categorienormen!$E$14</definedName>
    <definedName name="catpn_1_PUHV_40">Categorienormen!$E$15</definedName>
    <definedName name="catpn_1_SHB_1">Categorienormen!$E$16</definedName>
    <definedName name="catpn_1_SHV_40">Categorienormen!$E$17</definedName>
    <definedName name="catpn_1_UZB_1">Categorienormen!$E$24</definedName>
    <definedName name="catpn_1_UZV_40">Categorienormen!$E$26</definedName>
    <definedName name="catpn_1_VHB_1">Categorienormen!$E$20</definedName>
    <definedName name="catpn_1_VHV_40">Categorienormen!$E$23</definedName>
    <definedName name="catpn_1_VZB_1">Categorienormen!$E$25</definedName>
    <definedName name="catpn_1_VZV_40">Categorienormen!$E$27</definedName>
    <definedName name="catpn_1_XBB_1">Categorienormen!$E$28</definedName>
    <definedName name="catpn_2_VBHB_1">Categorienormen!$E$31</definedName>
    <definedName name="catpn_2_VBHV_10">Categorienormen!$E$32</definedName>
    <definedName name="catpn_2_VBHV_2">Categorienormen!$E$33</definedName>
    <definedName name="catpn_2_VBZB_1">Categorienormen!$E$34</definedName>
    <definedName name="catpn_2_VBZV_10">Categorienormen!$E$37</definedName>
    <definedName name="catpn_2_VBZV_2">Categorienormen!$E$35</definedName>
    <definedName name="catpn_2_VBZV_5">Categorienormen!$E$36</definedName>
    <definedName name="catpn_2_VGHB_1">Categorienormen!$E$46</definedName>
    <definedName name="catpn_2_VGHV_2">Categorienormen!$E$48</definedName>
    <definedName name="catpn_2_VGHV_5">Categorienormen!$E$47</definedName>
    <definedName name="catpn_2_VLHB_1">Categorienormen!$E$38</definedName>
    <definedName name="catpn_2_VLHV_10">Categorienormen!$E$39</definedName>
    <definedName name="catpn_2_VLHV_2">Categorienormen!$E$41</definedName>
    <definedName name="catpn_2_VLHV_5">Categorienormen!$E$40</definedName>
    <definedName name="catpn_2_VPHB_1">Categorienormen!$E$49</definedName>
    <definedName name="catpn_2_VPHV_5">Categorienormen!$E$50</definedName>
    <definedName name="catpn_2_VSHB_1">Categorienormen!$E$42</definedName>
    <definedName name="catpn_2_VSHV_10">Categorienormen!$E$44</definedName>
    <definedName name="catpn_2_VSHV_2">Categorienormen!$E$45</definedName>
    <definedName name="catpn_2_VSHV_5">Categorienormen!$E$43</definedName>
    <definedName name="catpn_2_VUZB_1">Categorienormen!$E$51</definedName>
    <definedName name="catpn_2_VUZV_5">Categorienormen!$E$52</definedName>
    <definedName name="catpn_2_VVHB_1">Categorienormen!$E$53</definedName>
    <definedName name="catpn_2_VVHV_10">Categorienormen!$E$54</definedName>
    <definedName name="catpn_2_VVHV_2">Categorienormen!$E$56</definedName>
    <definedName name="catpn_2_VVHV_5">Categorienormen!$E$55</definedName>
    <definedName name="catpn_2_VVZB_1">Categorienormen!$E$57</definedName>
    <definedName name="catpn_2_VVZV_10">Categorienormen!$E$59</definedName>
    <definedName name="catpn_2_VVZV_2">Categorienormen!$E$58</definedName>
    <definedName name="cattf_1_BHB_1">Categorienormen!$H$6</definedName>
    <definedName name="cattf_1_BHV_40">Categorienormen!$H$9</definedName>
    <definedName name="cattf_1_BZB_1">Categorienormen!$H$12</definedName>
    <definedName name="cattf_1_BZV_40">Categorienormen!$H$13</definedName>
    <definedName name="cattf_1_GHB_1">Categorienormen!$H$18</definedName>
    <definedName name="cattf_1_GHV_40">Categorienormen!$H$21</definedName>
    <definedName name="cattf_1_LHB_1">Categorienormen!$H$7</definedName>
    <definedName name="cattf_1_LHV_40">Categorienormen!$H$10</definedName>
    <definedName name="cattf_1_MHB_1">Categorienormen!$H$8</definedName>
    <definedName name="cattf_1_MHV_40">Categorienormen!$H$11</definedName>
    <definedName name="cattf_1_PHB_1">Categorienormen!$H$19</definedName>
    <definedName name="cattf_1_PHV_40">Categorienormen!$H$22</definedName>
    <definedName name="cattf_1_PUHB_1">Categorienormen!$H$14</definedName>
    <definedName name="cattf_1_PUHV_40">Categorienormen!$H$15</definedName>
    <definedName name="cattf_1_SHB_1">Categorienormen!$H$16</definedName>
    <definedName name="cattf_1_SHV_40">Categorienormen!$H$17</definedName>
    <definedName name="cattf_1_UZB_1">Categorienormen!$H$24</definedName>
    <definedName name="cattf_1_UZV_40">Categorienormen!$H$26</definedName>
    <definedName name="cattf_1_VHB_1">Categorienormen!$H$20</definedName>
    <definedName name="cattf_1_VHV_40">Categorienormen!$H$23</definedName>
    <definedName name="cattf_1_VZB_1">Categorienormen!$H$25</definedName>
    <definedName name="cattf_1_VZV_40">Categorienormen!$H$27</definedName>
    <definedName name="cattf_1_XBB_1">Categorienormen!$H$28</definedName>
    <definedName name="cattf_2_VBHB_1">Categorienormen!$H$31</definedName>
    <definedName name="cattf_2_VBHV_10">Categorienormen!$H$32</definedName>
    <definedName name="cattf_2_VBHV_2">Categorienormen!$H$33</definedName>
    <definedName name="cattf_2_VBZB_1">Categorienormen!$H$34</definedName>
    <definedName name="cattf_2_VBZV_10">Categorienormen!$H$37</definedName>
    <definedName name="cattf_2_VBZV_2">Categorienormen!$H$35</definedName>
    <definedName name="cattf_2_VBZV_5">Categorienormen!$H$36</definedName>
    <definedName name="cattf_2_VGHB_1">Categorienormen!$H$46</definedName>
    <definedName name="cattf_2_VGHV_2">Categorienormen!$H$48</definedName>
    <definedName name="cattf_2_VGHV_5">Categorienormen!$H$47</definedName>
    <definedName name="cattf_2_VLHB_1">Categorienormen!$H$38</definedName>
    <definedName name="cattf_2_VLHV_10">Categorienormen!$H$39</definedName>
    <definedName name="cattf_2_VLHV_2">Categorienormen!$H$41</definedName>
    <definedName name="cattf_2_VLHV_5">Categorienormen!$H$40</definedName>
    <definedName name="cattf_2_VPHB_1">Categorienormen!$H$49</definedName>
    <definedName name="cattf_2_VPHV_5">Categorienormen!$H$50</definedName>
    <definedName name="cattf_2_VSHB_1">Categorienormen!$H$42</definedName>
    <definedName name="cattf_2_VSHV_10">Categorienormen!$H$44</definedName>
    <definedName name="cattf_2_VSHV_2">Categorienormen!$H$45</definedName>
    <definedName name="cattf_2_VSHV_5">Categorienormen!$H$43</definedName>
    <definedName name="cattf_2_VUZB_1">Categorienormen!$H$51</definedName>
    <definedName name="cattf_2_VUZV_5">Categorienormen!$H$52</definedName>
    <definedName name="cattf_2_VVHB_1">Categorienormen!$H$53</definedName>
    <definedName name="cattf_2_VVHV_10">Categorienormen!$H$54</definedName>
    <definedName name="cattf_2_VVHV_2">Categorienormen!$H$56</definedName>
    <definedName name="cattf_2_VVHV_5">Categorienormen!$H$55</definedName>
    <definedName name="cattf_2_VVZB_1">Categorienormen!$H$57</definedName>
    <definedName name="cattf_2_VVZV_10">Categorienormen!$H$59</definedName>
    <definedName name="cattf_2_VVZV_2">Categorienormen!$H$58</definedName>
    <definedName name="dagenperjaar1">Omreken!$B$9</definedName>
    <definedName name="dagenperweek1">Omreken!$B$10</definedName>
    <definedName name="dagsoorttabel1">Omreken!$A$13:$B$32</definedName>
    <definedName name="dagwerk10">'Regulier werk'!$H$6</definedName>
    <definedName name="dagwerk11">'Regulier werk'!$H$7</definedName>
    <definedName name="dagwerk12">'Regulier werk'!$H$8</definedName>
    <definedName name="dagwerk13">'Regulier werk'!$H$9</definedName>
    <definedName name="dagwerk14">'Regulier werk'!$H$10</definedName>
    <definedName name="dagwerk15">'Regulier werk'!$H$11</definedName>
    <definedName name="dagwerk16">'Regulier werk'!$H$12</definedName>
    <definedName name="dagwerk17">'Regulier werk'!$H$13</definedName>
    <definedName name="dagwerk18">'Regulier werk'!$H$14</definedName>
    <definedName name="dagwerk19">'Regulier werk'!$H$15</definedName>
    <definedName name="dagwerk20">'Regulier werk'!$H$16</definedName>
    <definedName name="dagwerk21">'Regulier werk'!$H$17</definedName>
    <definedName name="dagwerk22">'Regulier werk'!$H$18</definedName>
    <definedName name="dagwerk23">'Regulier werk'!$H$19</definedName>
    <definedName name="dagwerk27">'Regulier werk'!$H$26</definedName>
    <definedName name="dagwerk28">'Regulier werk'!$H$27</definedName>
    <definedName name="dagwerk29">'Regulier werk'!$H$28</definedName>
    <definedName name="dagwerk30">'Regulier werk'!$H$29</definedName>
    <definedName name="dagwerk31">'Regulier werk'!$H$30</definedName>
    <definedName name="dagwerk32">'Regulier werk'!$H$31</definedName>
    <definedName name="dagwerk33">'Regulier werk'!$H$32</definedName>
    <definedName name="dagwerk34">'Regulier werk'!$H$33</definedName>
    <definedName name="dagwerk35">'Regulier werk'!$H$34</definedName>
    <definedName name="dagwerk36">'Regulier werk'!$H$35</definedName>
    <definedName name="dagwerk37">'Regulier werk'!$H$36</definedName>
    <definedName name="dagwerk38">'Regulier werk'!$H$37</definedName>
    <definedName name="dagwerk39">'Regulier werk'!$H$38</definedName>
    <definedName name="dagwerk40">'Regulier werk'!$H$39</definedName>
    <definedName name="dagwerk41">'Regulier werk'!$H$40</definedName>
    <definedName name="dagwerk42">'Regulier werk'!$H$41</definedName>
    <definedName name="dagwerk43">'Regulier werk'!$H$42</definedName>
    <definedName name="dagwerk44">'Regulier werk'!$H$43</definedName>
    <definedName name="dagwerk45">'Regulier werk'!$H$44</definedName>
    <definedName name="dagwerk46">'Regulier werk'!$H$45</definedName>
    <definedName name="dagwerk47">'Regulier werk'!$H$46</definedName>
    <definedName name="dagwerk48">'Regulier werk'!$H$47</definedName>
    <definedName name="dagwerktabel1">Objectinformatie!$H$5:$H$18</definedName>
    <definedName name="dagwerktabel2">Objectinformatie!$H$21:$H$42</definedName>
    <definedName name="gemuurtarief1">'Regulier werk'!$J$22</definedName>
    <definedName name="gemuurtarief2">'Regulier werk'!$J$50</definedName>
    <definedName name="kengetaltabel1">Objectinformatie!$G$5:$G$18</definedName>
    <definedName name="kengetaltabel2">Objectinformatie!$G$21:$G$42</definedName>
    <definedName name="object1_opptabel1">Objectinformatie!$J$5:$J$18</definedName>
    <definedName name="object1_opptabel2">Objectinformatie!$J$21:$J$42</definedName>
    <definedName name="objectprijs1_1">Objecten!$R$6</definedName>
    <definedName name="objectprijs1_2">Objecten!$R$11</definedName>
    <definedName name="objecturen1_1">Objecten!$Q$6</definedName>
    <definedName name="objecturen1_2">Objecten!$Q$11</definedName>
    <definedName name="objecturenhf1_1">Objecten!$P$6</definedName>
    <definedName name="objecturenhf1_2">Objecten!$P$11</definedName>
    <definedName name="prijsdag1">'Regulier werk'!$L$20</definedName>
    <definedName name="prijsdag2">'Regulier werk'!$L$48</definedName>
    <definedName name="prijsjaar">'Regulier werk'!$N$53</definedName>
    <definedName name="prijsjaar1">'Regulier werk'!$N$20</definedName>
    <definedName name="prijsjaar2">'Regulier werk'!$N$48</definedName>
    <definedName name="prijsjaarafroep">Afroep!$K$15</definedName>
    <definedName name="prijsjaarafroep1">Afroep!$K$13</definedName>
    <definedName name="prijsjaarglas">Glas!$K$18</definedName>
    <definedName name="prijsjaarglas1">Glas!$K$16</definedName>
    <definedName name="prijsjaarleveringen">Nulbeurt!$I$13</definedName>
    <definedName name="prijsjaarleveringen1">Nulbeurt!$I$11</definedName>
    <definedName name="prijsjaarnietmeewerkend">'Niet-meewerkende objectleiding'!$J$33</definedName>
    <definedName name="prijsjaartotaal">Objecten!$R$15</definedName>
    <definedName name="prijsjaartotaal1">Objecten!$R$7</definedName>
    <definedName name="prijsjaartotaal2">Objecten!$R$12</definedName>
    <definedName name="prijsjaartotaaloverzicht">'Totaalblad Objecten'!$G$6</definedName>
    <definedName name="prijsmaandtotaal1">Objecten!$S$7</definedName>
    <definedName name="prijsmaandtotaal2">Objecten!$S$12</definedName>
    <definedName name="prodnorm10">'Regulier werk'!$G$6</definedName>
    <definedName name="prodnorm11">'Regulier werk'!$G$7</definedName>
    <definedName name="prodnorm12">'Regulier werk'!$G$8</definedName>
    <definedName name="prodnorm13">'Regulier werk'!$G$9</definedName>
    <definedName name="prodnorm14">'Regulier werk'!$G$10</definedName>
    <definedName name="prodnorm15">'Regulier werk'!$G$11</definedName>
    <definedName name="prodnorm16">'Regulier werk'!$G$12</definedName>
    <definedName name="prodnorm17">'Regulier werk'!$G$13</definedName>
    <definedName name="prodnorm18">'Regulier werk'!$G$14</definedName>
    <definedName name="prodnorm19">'Regulier werk'!$G$15</definedName>
    <definedName name="prodnorm20">'Regulier werk'!$G$16</definedName>
    <definedName name="prodnorm21">'Regulier werk'!$G$17</definedName>
    <definedName name="prodnorm22">'Regulier werk'!$G$18</definedName>
    <definedName name="prodnorm23">'Regulier werk'!$G$19</definedName>
    <definedName name="prodnorm27">'Regulier werk'!$G$26</definedName>
    <definedName name="prodnorm28">'Regulier werk'!$G$27</definedName>
    <definedName name="prodnorm29">'Regulier werk'!$G$28</definedName>
    <definedName name="prodnorm30">'Regulier werk'!$G$29</definedName>
    <definedName name="prodnorm31">'Regulier werk'!$G$30</definedName>
    <definedName name="prodnorm32">'Regulier werk'!$G$31</definedName>
    <definedName name="prodnorm33">'Regulier werk'!$G$32</definedName>
    <definedName name="prodnorm34">'Regulier werk'!$G$33</definedName>
    <definedName name="prodnorm35">'Regulier werk'!$G$34</definedName>
    <definedName name="prodnorm36">'Regulier werk'!$G$35</definedName>
    <definedName name="prodnorm37">'Regulier werk'!$G$36</definedName>
    <definedName name="prodnorm38">'Regulier werk'!$G$37</definedName>
    <definedName name="prodnorm39">'Regulier werk'!$G$38</definedName>
    <definedName name="prodnorm40">'Regulier werk'!$G$39</definedName>
    <definedName name="prodnorm41">'Regulier werk'!$G$40</definedName>
    <definedName name="prodnorm42">'Regulier werk'!$G$41</definedName>
    <definedName name="prodnorm43">'Regulier werk'!$G$42</definedName>
    <definedName name="prodnorm44">'Regulier werk'!$G$43</definedName>
    <definedName name="prodnorm45">'Regulier werk'!$G$44</definedName>
    <definedName name="prodnorm46">'Regulier werk'!$G$45</definedName>
    <definedName name="prodnorm47">'Regulier werk'!$G$46</definedName>
    <definedName name="prodnorm48">'Regulier werk'!$G$47</definedName>
    <definedName name="taakfreqtabel1">Objectinformatie!$E$5:$E$18</definedName>
    <definedName name="taakfreqtabel2">Objectinformatie!$E$21:$E$42</definedName>
    <definedName name="tabeltype">Omreken!$B$5:$B$5</definedName>
    <definedName name="tarieftabel1">Objectinformatie!$I$5:$I$18</definedName>
    <definedName name="tarieftabel2">Objectinformatie!$I$21:$I$42</definedName>
    <definedName name="tzpjt1">'Niet-meewerkende objectleiding'!$J$15</definedName>
    <definedName name="tzpjt1_1">'Niet-meewerkende objectleiding'!$J$13</definedName>
    <definedName name="tzpjt1_2">'Niet-meewerkende objectleiding'!$J$28</definedName>
    <definedName name="tzpjt2">'Niet-meewerkende objectleiding'!$J$30</definedName>
    <definedName name="tzpmt1">'Niet-meewerkende objectleiding'!$K$15</definedName>
    <definedName name="tzpmt1_1">'Niet-meewerkende objectleiding'!$K$13</definedName>
    <definedName name="tzpmt1_2">'Niet-meewerkende objectleiding'!$K$28</definedName>
    <definedName name="tzpmt2">'Niet-meewerkende objectleiding'!$K$30</definedName>
    <definedName name="tzujt1">'Niet-meewerkende objectleiding'!$H$15</definedName>
    <definedName name="tzujt1_1">'Niet-meewerkende objectleiding'!$H$13</definedName>
    <definedName name="tzujt1_2">'Niet-meewerkende objectleiding'!$H$28</definedName>
    <definedName name="tzujt2">'Niet-meewerkende objectleiding'!$H$30</definedName>
    <definedName name="urendag1">'Regulier werk'!$K$20</definedName>
    <definedName name="urendag2">'Regulier werk'!$K$48</definedName>
    <definedName name="urenjaar">'Regulier werk'!$M$53</definedName>
    <definedName name="urenjaar1">'Regulier werk'!$M$20</definedName>
    <definedName name="urenjaar2">'Regulier werk'!$M$48</definedName>
    <definedName name="urenjaarnietmeewerkend">'Niet-meewerkende objectleiding'!$H$33</definedName>
    <definedName name="urenjaartotaal">Objecten!$Q$15</definedName>
    <definedName name="urenjaartotaal1">Objecten!$Q$7</definedName>
    <definedName name="urenjaartotaal2">Objecten!$Q$12</definedName>
    <definedName name="urenjaartotaalhf">Objecten!$P$15</definedName>
    <definedName name="urenjaartotaalhf1">Objecten!$P$7</definedName>
    <definedName name="urenjaartotaalhf2">Objecten!$P$12</definedName>
    <definedName name="urenjaartotaaloverzicht">'Totaalblad Objecten'!$F$6</definedName>
    <definedName name="urenjaartotaaloverzichthf">'Totaalblad Objecten'!$E$6</definedName>
    <definedName name="uurfactortabel1">Objectinformatie!$F$5:$F$18</definedName>
    <definedName name="uurfactortabel2">Objectinformatie!$F$21:$F$42</definedName>
    <definedName name="uurtarief10">'Regulier werk'!$J$6</definedName>
    <definedName name="uurtarief11">'Regulier werk'!$J$7</definedName>
    <definedName name="uurtarief12">'Regulier werk'!$J$8</definedName>
    <definedName name="uurtarief13">'Regulier werk'!$J$9</definedName>
    <definedName name="uurtarief14">'Regulier werk'!$J$10</definedName>
    <definedName name="uurtarief15">'Regulier werk'!$J$11</definedName>
    <definedName name="uurtarief16">'Regulier werk'!$J$12</definedName>
    <definedName name="uurtarief17">'Regulier werk'!$J$13</definedName>
    <definedName name="uurtarief18">'Regulier werk'!$J$14</definedName>
    <definedName name="uurtarief19">'Regulier werk'!$J$15</definedName>
    <definedName name="uurtarief20">'Regulier werk'!$J$16</definedName>
    <definedName name="uurtarief21">'Regulier werk'!$J$17</definedName>
    <definedName name="uurtarief22">'Regulier werk'!$J$18</definedName>
    <definedName name="uurtarief23">'Regulier werk'!$J$19</definedName>
    <definedName name="uurtarief27">'Regulier werk'!$J$26</definedName>
    <definedName name="uurtarief28">'Regulier werk'!$J$27</definedName>
    <definedName name="uurtarief29">'Regulier werk'!$J$28</definedName>
    <definedName name="uurtarief30">'Regulier werk'!$J$29</definedName>
    <definedName name="uurtarief31">'Regulier werk'!$J$30</definedName>
    <definedName name="uurtarief32">'Regulier werk'!$J$31</definedName>
    <definedName name="uurtarief33">'Regulier werk'!$J$32</definedName>
    <definedName name="uurtarief34">'Regulier werk'!$J$33</definedName>
    <definedName name="uurtarief35">'Regulier werk'!$J$34</definedName>
    <definedName name="uurtarief36">'Regulier werk'!$J$35</definedName>
    <definedName name="uurtarief37">'Regulier werk'!$J$36</definedName>
    <definedName name="uurtarief38">'Regulier werk'!$J$37</definedName>
    <definedName name="uurtarief39">'Regulier werk'!$J$38</definedName>
    <definedName name="uurtarief40">'Regulier werk'!$J$39</definedName>
    <definedName name="uurtarief41">'Regulier werk'!$J$40</definedName>
    <definedName name="uurtarief42">'Regulier werk'!$J$41</definedName>
    <definedName name="uurtarief43">'Regulier werk'!$J$42</definedName>
    <definedName name="uurtarief44">'Regulier werk'!$J$43</definedName>
    <definedName name="uurtarief45">'Regulier werk'!$J$44</definedName>
    <definedName name="uurtarief46">'Regulier werk'!$J$45</definedName>
    <definedName name="uurtarief47">'Regulier werk'!$J$46</definedName>
    <definedName name="uurtarief48">'Regulier werk'!$J$47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2" l="1"/>
  <c r="E17" i="12"/>
  <c r="A1" i="11" l="1"/>
  <c r="A1" i="12" l="1"/>
  <c r="H10" i="11"/>
  <c r="C10" i="11"/>
  <c r="I10" i="11" s="1"/>
  <c r="H9" i="11"/>
  <c r="C9" i="11"/>
  <c r="I9" i="11" s="1"/>
  <c r="H8" i="11"/>
  <c r="C8" i="11"/>
  <c r="I8" i="11" s="1"/>
  <c r="H7" i="11"/>
  <c r="H6" i="11"/>
  <c r="J15" i="10"/>
  <c r="C15" i="10"/>
  <c r="K15" i="10" s="1"/>
  <c r="L15" i="10" s="1"/>
  <c r="J14" i="10"/>
  <c r="J13" i="10"/>
  <c r="C13" i="10"/>
  <c r="K13" i="10" s="1"/>
  <c r="L13" i="10" s="1"/>
  <c r="J12" i="10"/>
  <c r="C12" i="10"/>
  <c r="K12" i="10" s="1"/>
  <c r="L12" i="10" s="1"/>
  <c r="J11" i="10"/>
  <c r="C11" i="10"/>
  <c r="K11" i="10" s="1"/>
  <c r="L11" i="10" s="1"/>
  <c r="J10" i="10"/>
  <c r="C10" i="10"/>
  <c r="K10" i="10" s="1"/>
  <c r="L10" i="10" s="1"/>
  <c r="J9" i="10"/>
  <c r="J8" i="10"/>
  <c r="C8" i="10"/>
  <c r="K8" i="10" s="1"/>
  <c r="L8" i="10" s="1"/>
  <c r="J7" i="10"/>
  <c r="C7" i="10"/>
  <c r="K7" i="10" s="1"/>
  <c r="L7" i="10" s="1"/>
  <c r="J6" i="10"/>
  <c r="C6" i="10"/>
  <c r="K6" i="10" s="1"/>
  <c r="A1" i="10"/>
  <c r="A1" i="9"/>
  <c r="J12" i="8"/>
  <c r="C12" i="8"/>
  <c r="K12" i="8" s="1"/>
  <c r="L12" i="8" s="1"/>
  <c r="J11" i="8"/>
  <c r="J10" i="8"/>
  <c r="J9" i="8"/>
  <c r="J8" i="8"/>
  <c r="J7" i="8"/>
  <c r="J6" i="8"/>
  <c r="A1" i="8"/>
  <c r="A1" i="7"/>
  <c r="J28" i="6"/>
  <c r="J30" i="6" s="1"/>
  <c r="K27" i="6"/>
  <c r="J27" i="6"/>
  <c r="I27" i="6"/>
  <c r="H27" i="6"/>
  <c r="C27" i="6"/>
  <c r="J26" i="6"/>
  <c r="K26" i="6" s="1"/>
  <c r="H26" i="6"/>
  <c r="I26" i="6" s="1"/>
  <c r="C26" i="6"/>
  <c r="K25" i="6"/>
  <c r="J25" i="6"/>
  <c r="H25" i="6"/>
  <c r="I25" i="6" s="1"/>
  <c r="C25" i="6"/>
  <c r="J24" i="6"/>
  <c r="K24" i="6" s="1"/>
  <c r="H24" i="6"/>
  <c r="C24" i="6"/>
  <c r="I24" i="6" s="1"/>
  <c r="K23" i="6"/>
  <c r="J23" i="6"/>
  <c r="H23" i="6"/>
  <c r="C23" i="6"/>
  <c r="I23" i="6" s="1"/>
  <c r="J22" i="6"/>
  <c r="K22" i="6" s="1"/>
  <c r="H22" i="6"/>
  <c r="C22" i="6"/>
  <c r="I22" i="6" s="1"/>
  <c r="K21" i="6"/>
  <c r="K28" i="6" s="1"/>
  <c r="K30" i="6" s="1"/>
  <c r="J21" i="6"/>
  <c r="H21" i="6"/>
  <c r="H28" i="6" s="1"/>
  <c r="H30" i="6" s="1"/>
  <c r="H13" i="6"/>
  <c r="H4" i="7" s="1"/>
  <c r="H6" i="7" s="1"/>
  <c r="J12" i="6"/>
  <c r="K12" i="6" s="1"/>
  <c r="H12" i="6"/>
  <c r="C12" i="6"/>
  <c r="I12" i="6" s="1"/>
  <c r="K11" i="6"/>
  <c r="J11" i="6"/>
  <c r="I11" i="6"/>
  <c r="H11" i="6"/>
  <c r="C11" i="6"/>
  <c r="J10" i="6"/>
  <c r="K10" i="6" s="1"/>
  <c r="H10" i="6"/>
  <c r="I10" i="6" s="1"/>
  <c r="C10" i="6"/>
  <c r="K9" i="6"/>
  <c r="J9" i="6"/>
  <c r="H9" i="6"/>
  <c r="C9" i="6"/>
  <c r="I9" i="6" s="1"/>
  <c r="J8" i="6"/>
  <c r="K8" i="6" s="1"/>
  <c r="K13" i="6" s="1"/>
  <c r="K15" i="6" s="1"/>
  <c r="H8" i="6"/>
  <c r="C8" i="6"/>
  <c r="I8" i="6" s="1"/>
  <c r="A1" i="6"/>
  <c r="A1" i="5"/>
  <c r="I42" i="4"/>
  <c r="H42" i="4"/>
  <c r="G42" i="4"/>
  <c r="E42" i="4"/>
  <c r="G41" i="4"/>
  <c r="G40" i="4"/>
  <c r="G39" i="4"/>
  <c r="I38" i="4"/>
  <c r="G38" i="4"/>
  <c r="G37" i="4"/>
  <c r="E37" i="4"/>
  <c r="I36" i="4"/>
  <c r="G36" i="4"/>
  <c r="G35" i="4"/>
  <c r="I34" i="4"/>
  <c r="H34" i="4"/>
  <c r="G34" i="4"/>
  <c r="G33" i="4"/>
  <c r="G32" i="4"/>
  <c r="G31" i="4"/>
  <c r="E31" i="4"/>
  <c r="I30" i="4"/>
  <c r="G30" i="4"/>
  <c r="G29" i="4"/>
  <c r="E29" i="4"/>
  <c r="I28" i="4"/>
  <c r="G28" i="4"/>
  <c r="G27" i="4"/>
  <c r="I26" i="4"/>
  <c r="G26" i="4"/>
  <c r="E26" i="4"/>
  <c r="G25" i="4"/>
  <c r="G24" i="4"/>
  <c r="E24" i="4"/>
  <c r="G23" i="4"/>
  <c r="I22" i="4"/>
  <c r="G22" i="4"/>
  <c r="E22" i="4"/>
  <c r="G21" i="4"/>
  <c r="I18" i="4"/>
  <c r="H18" i="4"/>
  <c r="H17" i="4"/>
  <c r="G17" i="4"/>
  <c r="E16" i="4"/>
  <c r="I15" i="4"/>
  <c r="G15" i="4"/>
  <c r="H14" i="4"/>
  <c r="G13" i="4"/>
  <c r="E12" i="4"/>
  <c r="I11" i="4"/>
  <c r="E11" i="4"/>
  <c r="I10" i="4"/>
  <c r="H10" i="4"/>
  <c r="H9" i="4"/>
  <c r="G9" i="4"/>
  <c r="E8" i="4"/>
  <c r="I7" i="4"/>
  <c r="G7" i="4"/>
  <c r="H6" i="4"/>
  <c r="G5" i="4"/>
  <c r="J47" i="3"/>
  <c r="H47" i="3"/>
  <c r="G47" i="3"/>
  <c r="K47" i="3" s="1"/>
  <c r="M47" i="3" s="1"/>
  <c r="N47" i="3" s="1"/>
  <c r="F47" i="3"/>
  <c r="M46" i="3"/>
  <c r="N46" i="3" s="1"/>
  <c r="K46" i="3"/>
  <c r="J46" i="3"/>
  <c r="L46" i="3" s="1"/>
  <c r="H46" i="3"/>
  <c r="H41" i="4" s="1"/>
  <c r="G46" i="3"/>
  <c r="K45" i="3"/>
  <c r="M45" i="3" s="1"/>
  <c r="N45" i="3" s="1"/>
  <c r="J45" i="3"/>
  <c r="I40" i="4" s="1"/>
  <c r="H45" i="3"/>
  <c r="H40" i="4" s="1"/>
  <c r="G45" i="3"/>
  <c r="F45" i="3"/>
  <c r="K44" i="3"/>
  <c r="M44" i="3" s="1"/>
  <c r="N44" i="3" s="1"/>
  <c r="J44" i="3"/>
  <c r="I39" i="4" s="1"/>
  <c r="H44" i="3"/>
  <c r="H39" i="4" s="1"/>
  <c r="G44" i="3"/>
  <c r="F44" i="3"/>
  <c r="J43" i="3"/>
  <c r="H43" i="3"/>
  <c r="H38" i="4" s="1"/>
  <c r="G43" i="3"/>
  <c r="K43" i="3" s="1"/>
  <c r="M43" i="3" s="1"/>
  <c r="N43" i="3" s="1"/>
  <c r="M42" i="3"/>
  <c r="N42" i="3" s="1"/>
  <c r="K42" i="3"/>
  <c r="J42" i="3"/>
  <c r="I37" i="4" s="1"/>
  <c r="H42" i="3"/>
  <c r="H37" i="4" s="1"/>
  <c r="G42" i="3"/>
  <c r="F42" i="3"/>
  <c r="K41" i="3"/>
  <c r="L41" i="3" s="1"/>
  <c r="J41" i="3"/>
  <c r="H41" i="3"/>
  <c r="H36" i="4" s="1"/>
  <c r="G41" i="3"/>
  <c r="F41" i="3"/>
  <c r="K40" i="3"/>
  <c r="M40" i="3" s="1"/>
  <c r="N40" i="3" s="1"/>
  <c r="J40" i="3"/>
  <c r="L40" i="3" s="1"/>
  <c r="H40" i="3"/>
  <c r="H35" i="4" s="1"/>
  <c r="G40" i="3"/>
  <c r="F40" i="3"/>
  <c r="J39" i="3"/>
  <c r="H39" i="3"/>
  <c r="G39" i="3"/>
  <c r="K39" i="3" s="1"/>
  <c r="M39" i="3" s="1"/>
  <c r="N39" i="3" s="1"/>
  <c r="M38" i="3"/>
  <c r="N38" i="3" s="1"/>
  <c r="K38" i="3"/>
  <c r="J38" i="3"/>
  <c r="L38" i="3" s="1"/>
  <c r="H38" i="3"/>
  <c r="H33" i="4" s="1"/>
  <c r="G38" i="3"/>
  <c r="F38" i="3"/>
  <c r="K37" i="3"/>
  <c r="M37" i="3" s="1"/>
  <c r="N37" i="3" s="1"/>
  <c r="J37" i="3"/>
  <c r="I32" i="4" s="1"/>
  <c r="H37" i="3"/>
  <c r="H32" i="4" s="1"/>
  <c r="G37" i="3"/>
  <c r="F37" i="3"/>
  <c r="K36" i="3"/>
  <c r="M36" i="3" s="1"/>
  <c r="N36" i="3" s="1"/>
  <c r="J36" i="3"/>
  <c r="I31" i="4" s="1"/>
  <c r="H36" i="3"/>
  <c r="H31" i="4" s="1"/>
  <c r="G36" i="3"/>
  <c r="F36" i="3"/>
  <c r="J35" i="3"/>
  <c r="H35" i="3"/>
  <c r="H30" i="4" s="1"/>
  <c r="G35" i="3"/>
  <c r="K35" i="3" s="1"/>
  <c r="M35" i="3" s="1"/>
  <c r="N35" i="3" s="1"/>
  <c r="M34" i="3"/>
  <c r="N34" i="3" s="1"/>
  <c r="K34" i="3"/>
  <c r="J34" i="3"/>
  <c r="I29" i="4" s="1"/>
  <c r="H34" i="3"/>
  <c r="H29" i="4" s="1"/>
  <c r="G34" i="3"/>
  <c r="F34" i="3"/>
  <c r="K33" i="3"/>
  <c r="L33" i="3" s="1"/>
  <c r="J33" i="3"/>
  <c r="H33" i="3"/>
  <c r="H28" i="4" s="1"/>
  <c r="G33" i="3"/>
  <c r="K32" i="3"/>
  <c r="M32" i="3" s="1"/>
  <c r="N32" i="3" s="1"/>
  <c r="J32" i="3"/>
  <c r="L32" i="3" s="1"/>
  <c r="H32" i="3"/>
  <c r="H27" i="4" s="1"/>
  <c r="G32" i="3"/>
  <c r="J31" i="3"/>
  <c r="H31" i="3"/>
  <c r="H26" i="4" s="1"/>
  <c r="G31" i="3"/>
  <c r="K31" i="3" s="1"/>
  <c r="M31" i="3" s="1"/>
  <c r="N31" i="3" s="1"/>
  <c r="F31" i="3"/>
  <c r="M30" i="3"/>
  <c r="N30" i="3" s="1"/>
  <c r="K30" i="3"/>
  <c r="J30" i="3"/>
  <c r="L30" i="3" s="1"/>
  <c r="H30" i="3"/>
  <c r="H25" i="4" s="1"/>
  <c r="G30" i="3"/>
  <c r="K29" i="3"/>
  <c r="M29" i="3" s="1"/>
  <c r="N29" i="3" s="1"/>
  <c r="J29" i="3"/>
  <c r="I24" i="4" s="1"/>
  <c r="H29" i="3"/>
  <c r="H24" i="4" s="1"/>
  <c r="G29" i="3"/>
  <c r="F29" i="3"/>
  <c r="K28" i="3"/>
  <c r="M28" i="3" s="1"/>
  <c r="N28" i="3" s="1"/>
  <c r="J28" i="3"/>
  <c r="I23" i="4" s="1"/>
  <c r="H28" i="3"/>
  <c r="H23" i="4" s="1"/>
  <c r="G28" i="3"/>
  <c r="J27" i="3"/>
  <c r="H27" i="3"/>
  <c r="H22" i="4" s="1"/>
  <c r="G27" i="3"/>
  <c r="K27" i="3" s="1"/>
  <c r="M27" i="3" s="1"/>
  <c r="N27" i="3" s="1"/>
  <c r="F27" i="3"/>
  <c r="M26" i="3"/>
  <c r="K26" i="3"/>
  <c r="J26" i="3"/>
  <c r="I21" i="4" s="1"/>
  <c r="H26" i="3"/>
  <c r="H21" i="4" s="1"/>
  <c r="G26" i="3"/>
  <c r="J19" i="3"/>
  <c r="H19" i="3"/>
  <c r="G19" i="3"/>
  <c r="K19" i="3" s="1"/>
  <c r="K18" i="3"/>
  <c r="M18" i="3" s="1"/>
  <c r="N18" i="3" s="1"/>
  <c r="J18" i="3"/>
  <c r="L18" i="3" s="1"/>
  <c r="H18" i="3"/>
  <c r="G18" i="3"/>
  <c r="J17" i="3"/>
  <c r="I16" i="4" s="1"/>
  <c r="H17" i="3"/>
  <c r="H16" i="4" s="1"/>
  <c r="G17" i="3"/>
  <c r="K17" i="3" s="1"/>
  <c r="M17" i="3" s="1"/>
  <c r="N17" i="3" s="1"/>
  <c r="F17" i="3"/>
  <c r="J16" i="3"/>
  <c r="H16" i="3"/>
  <c r="H15" i="4" s="1"/>
  <c r="G16" i="3"/>
  <c r="K16" i="3" s="1"/>
  <c r="J15" i="3"/>
  <c r="I14" i="4" s="1"/>
  <c r="H15" i="3"/>
  <c r="G15" i="3"/>
  <c r="G14" i="4" s="1"/>
  <c r="F15" i="3"/>
  <c r="K14" i="3"/>
  <c r="M14" i="3" s="1"/>
  <c r="N14" i="3" s="1"/>
  <c r="J14" i="3"/>
  <c r="I13" i="4" s="1"/>
  <c r="H14" i="3"/>
  <c r="H13" i="4" s="1"/>
  <c r="G14" i="3"/>
  <c r="J13" i="3"/>
  <c r="I12" i="4" s="1"/>
  <c r="H13" i="3"/>
  <c r="H12" i="4" s="1"/>
  <c r="G13" i="3"/>
  <c r="G12" i="4" s="1"/>
  <c r="F13" i="3"/>
  <c r="J12" i="3"/>
  <c r="H12" i="3"/>
  <c r="H11" i="4" s="1"/>
  <c r="G12" i="3"/>
  <c r="K12" i="3" s="1"/>
  <c r="J11" i="3"/>
  <c r="H11" i="3"/>
  <c r="G11" i="3"/>
  <c r="K11" i="3" s="1"/>
  <c r="F11" i="3"/>
  <c r="K10" i="3"/>
  <c r="M10" i="3" s="1"/>
  <c r="N10" i="3" s="1"/>
  <c r="J10" i="3"/>
  <c r="L10" i="3" s="1"/>
  <c r="H10" i="3"/>
  <c r="G10" i="3"/>
  <c r="J9" i="3"/>
  <c r="H9" i="3"/>
  <c r="H8" i="4" s="1"/>
  <c r="G9" i="3"/>
  <c r="K9" i="3" s="1"/>
  <c r="M9" i="3" s="1"/>
  <c r="N9" i="3" s="1"/>
  <c r="F9" i="3"/>
  <c r="J8" i="3"/>
  <c r="H8" i="3"/>
  <c r="H7" i="4" s="1"/>
  <c r="G8" i="3"/>
  <c r="K8" i="3" s="1"/>
  <c r="J7" i="3"/>
  <c r="I6" i="4" s="1"/>
  <c r="H7" i="3"/>
  <c r="G7" i="3"/>
  <c r="G6" i="4" s="1"/>
  <c r="F7" i="3"/>
  <c r="K6" i="3"/>
  <c r="J6" i="3"/>
  <c r="I5" i="4" s="1"/>
  <c r="H6" i="3"/>
  <c r="H5" i="4" s="1"/>
  <c r="G6" i="3"/>
  <c r="A1" i="3"/>
  <c r="A1" i="2"/>
  <c r="B32" i="1"/>
  <c r="C7" i="11" s="1"/>
  <c r="I7" i="11" s="1"/>
  <c r="B31" i="1"/>
  <c r="C9" i="10" s="1"/>
  <c r="K9" i="10" s="1"/>
  <c r="L9" i="10" s="1"/>
  <c r="B30" i="1"/>
  <c r="B29" i="1"/>
  <c r="B28" i="1"/>
  <c r="E23" i="4" s="1"/>
  <c r="B27" i="1"/>
  <c r="F46" i="3" s="1"/>
  <c r="B26" i="1"/>
  <c r="B25" i="1"/>
  <c r="B24" i="1"/>
  <c r="F30" i="3" s="1"/>
  <c r="B23" i="1"/>
  <c r="E33" i="4" s="1"/>
  <c r="B22" i="1"/>
  <c r="B21" i="1"/>
  <c r="B20" i="1"/>
  <c r="E40" i="4" s="1"/>
  <c r="B19" i="1"/>
  <c r="B18" i="1"/>
  <c r="B17" i="1"/>
  <c r="E15" i="4" s="1"/>
  <c r="B16" i="1"/>
  <c r="B15" i="1"/>
  <c r="E14" i="4" s="1"/>
  <c r="B14" i="1"/>
  <c r="B13" i="1"/>
  <c r="L39" i="3" l="1"/>
  <c r="L31" i="3"/>
  <c r="L11" i="3"/>
  <c r="M11" i="3"/>
  <c r="N11" i="3" s="1"/>
  <c r="L35" i="3"/>
  <c r="L6" i="10"/>
  <c r="M12" i="3"/>
  <c r="N12" i="3" s="1"/>
  <c r="L12" i="3"/>
  <c r="L47" i="3"/>
  <c r="K48" i="3"/>
  <c r="L27" i="3"/>
  <c r="L9" i="3"/>
  <c r="L19" i="3"/>
  <c r="M19" i="3"/>
  <c r="N19" i="3" s="1"/>
  <c r="L43" i="3"/>
  <c r="K33" i="6"/>
  <c r="K35" i="6" s="1"/>
  <c r="M8" i="3"/>
  <c r="N8" i="3" s="1"/>
  <c r="L8" i="3"/>
  <c r="K20" i="3"/>
  <c r="M16" i="3"/>
  <c r="N16" i="3" s="1"/>
  <c r="L16" i="3"/>
  <c r="F26" i="3"/>
  <c r="I25" i="4"/>
  <c r="I33" i="4"/>
  <c r="I41" i="4"/>
  <c r="C11" i="8"/>
  <c r="K11" i="8" s="1"/>
  <c r="L11" i="8" s="1"/>
  <c r="E34" i="4"/>
  <c r="G8" i="4"/>
  <c r="G16" i="4"/>
  <c r="L26" i="3"/>
  <c r="L34" i="3"/>
  <c r="L42" i="3"/>
  <c r="K13" i="3"/>
  <c r="M13" i="3" s="1"/>
  <c r="N13" i="3" s="1"/>
  <c r="N26" i="3"/>
  <c r="N48" i="3" s="1"/>
  <c r="E9" i="4"/>
  <c r="E17" i="4"/>
  <c r="E27" i="4"/>
  <c r="E35" i="4"/>
  <c r="I8" i="4"/>
  <c r="F39" i="3"/>
  <c r="J13" i="6"/>
  <c r="I9" i="4"/>
  <c r="I17" i="4"/>
  <c r="I27" i="4"/>
  <c r="I35" i="4"/>
  <c r="L13" i="3"/>
  <c r="L17" i="3"/>
  <c r="F35" i="3"/>
  <c r="F6" i="3"/>
  <c r="F10" i="3"/>
  <c r="F14" i="3"/>
  <c r="F18" i="3"/>
  <c r="E10" i="4"/>
  <c r="E18" i="4"/>
  <c r="E28" i="4"/>
  <c r="I11" i="5" s="1"/>
  <c r="K11" i="5" s="1"/>
  <c r="P11" i="5" s="1"/>
  <c r="P12" i="5" s="1"/>
  <c r="E36" i="4"/>
  <c r="H15" i="6"/>
  <c r="H33" i="6" s="1"/>
  <c r="D5" i="12" s="1"/>
  <c r="D10" i="12" s="1"/>
  <c r="F43" i="3"/>
  <c r="G10" i="4"/>
  <c r="G18" i="4"/>
  <c r="C21" i="6"/>
  <c r="I21" i="6" s="1"/>
  <c r="C6" i="8"/>
  <c r="K6" i="8" s="1"/>
  <c r="E21" i="4"/>
  <c r="L6" i="3"/>
  <c r="L14" i="3"/>
  <c r="F28" i="3"/>
  <c r="F32" i="3"/>
  <c r="G11" i="4"/>
  <c r="C14" i="10"/>
  <c r="K14" i="10" s="1"/>
  <c r="L14" i="10" s="1"/>
  <c r="M6" i="3"/>
  <c r="C7" i="8"/>
  <c r="K7" i="8" s="1"/>
  <c r="L7" i="8" s="1"/>
  <c r="F19" i="3"/>
  <c r="E30" i="4"/>
  <c r="E38" i="4"/>
  <c r="L28" i="3"/>
  <c r="L36" i="3"/>
  <c r="L44" i="3"/>
  <c r="C8" i="8"/>
  <c r="K8" i="8" s="1"/>
  <c r="L8" i="8" s="1"/>
  <c r="K7" i="3"/>
  <c r="K15" i="3"/>
  <c r="E5" i="4"/>
  <c r="E13" i="4"/>
  <c r="E39" i="4"/>
  <c r="F33" i="3"/>
  <c r="C9" i="8"/>
  <c r="K9" i="8" s="1"/>
  <c r="L9" i="8" s="1"/>
  <c r="F8" i="3"/>
  <c r="F12" i="3"/>
  <c r="F16" i="3"/>
  <c r="E6" i="4"/>
  <c r="E32" i="4"/>
  <c r="C6" i="11"/>
  <c r="I6" i="11" s="1"/>
  <c r="I11" i="11" s="1"/>
  <c r="I13" i="11" s="1"/>
  <c r="E8" i="12" s="1"/>
  <c r="F8" i="12" s="1"/>
  <c r="L29" i="3"/>
  <c r="L37" i="3"/>
  <c r="L45" i="3"/>
  <c r="M33" i="3"/>
  <c r="N33" i="3" s="1"/>
  <c r="M41" i="3"/>
  <c r="N41" i="3" s="1"/>
  <c r="C10" i="8"/>
  <c r="K10" i="8" s="1"/>
  <c r="L10" i="8" s="1"/>
  <c r="E7" i="4"/>
  <c r="E25" i="4"/>
  <c r="M11" i="5" s="1"/>
  <c r="E41" i="4"/>
  <c r="I4" i="7" l="1"/>
  <c r="I6" i="7" s="1"/>
  <c r="J15" i="6"/>
  <c r="J33" i="6" s="1"/>
  <c r="L7" i="3"/>
  <c r="M7" i="3"/>
  <c r="N7" i="3" s="1"/>
  <c r="N6" i="3"/>
  <c r="M6" i="5"/>
  <c r="H6" i="5"/>
  <c r="L6" i="5" s="1"/>
  <c r="Q6" i="5" s="1"/>
  <c r="L15" i="3"/>
  <c r="M15" i="3"/>
  <c r="N15" i="3" s="1"/>
  <c r="K16" i="10"/>
  <c r="L20" i="3"/>
  <c r="M48" i="3"/>
  <c r="J50" i="3" s="1"/>
  <c r="F11" i="5" s="1"/>
  <c r="N11" i="5" s="1"/>
  <c r="O11" i="5" s="1"/>
  <c r="R11" i="5" s="1"/>
  <c r="H11" i="5"/>
  <c r="L11" i="5" s="1"/>
  <c r="Q11" i="5" s="1"/>
  <c r="Q12" i="5" s="1"/>
  <c r="I6" i="5"/>
  <c r="K6" i="5" s="1"/>
  <c r="P6" i="5" s="1"/>
  <c r="L6" i="8"/>
  <c r="K13" i="8"/>
  <c r="L48" i="3"/>
  <c r="S11" i="5" l="1"/>
  <c r="S12" i="5" s="1"/>
  <c r="R12" i="5"/>
  <c r="K15" i="8"/>
  <c r="L13" i="8"/>
  <c r="F4" i="7"/>
  <c r="F6" i="7" s="1"/>
  <c r="B4" i="12" s="1"/>
  <c r="B10" i="12" s="1"/>
  <c r="B12" i="12" s="1"/>
  <c r="Q7" i="5"/>
  <c r="Q15" i="5" s="1"/>
  <c r="K18" i="10"/>
  <c r="L16" i="10"/>
  <c r="E4" i="7"/>
  <c r="E6" i="7" s="1"/>
  <c r="C4" i="12" s="1"/>
  <c r="C10" i="12" s="1"/>
  <c r="P7" i="5"/>
  <c r="P15" i="5" s="1"/>
  <c r="N20" i="3"/>
  <c r="N53" i="3" s="1"/>
  <c r="M20" i="3"/>
  <c r="J35" i="6"/>
  <c r="E5" i="12"/>
  <c r="F5" i="12" s="1"/>
  <c r="L18" i="10" l="1"/>
  <c r="E7" i="12"/>
  <c r="F7" i="12" s="1"/>
  <c r="E6" i="12"/>
  <c r="F6" i="12" s="1"/>
  <c r="L15" i="8"/>
  <c r="J22" i="3"/>
  <c r="F6" i="5" s="1"/>
  <c r="N6" i="5" s="1"/>
  <c r="O6" i="5" s="1"/>
  <c r="R6" i="5" s="1"/>
  <c r="M53" i="3"/>
  <c r="G4" i="7" l="1"/>
  <c r="R7" i="5"/>
  <c r="R15" i="5" s="1"/>
  <c r="R17" i="5" s="1"/>
  <c r="S6" i="5"/>
  <c r="S7" i="5" s="1"/>
  <c r="S15" i="5" s="1"/>
  <c r="S17" i="5" s="1"/>
  <c r="G6" i="7" l="1"/>
  <c r="E4" i="12" s="1"/>
  <c r="J4" i="7"/>
  <c r="K4" i="7" l="1"/>
  <c r="J6" i="7"/>
  <c r="E10" i="12"/>
  <c r="F10" i="12" s="1"/>
  <c r="F4" i="12"/>
  <c r="K6" i="7" l="1"/>
  <c r="L4" i="7"/>
  <c r="L6" i="7" s="1"/>
</calcChain>
</file>

<file path=xl/sharedStrings.xml><?xml version="1.0" encoding="utf-8"?>
<sst xmlns="http://schemas.openxmlformats.org/spreadsheetml/2006/main" count="1180" uniqueCount="408">
  <si>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</si>
  <si>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</si>
  <si>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</si>
  <si>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</si>
  <si>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</si>
  <si>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</si>
  <si>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</si>
  <si>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</si>
  <si>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</si>
  <si>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</si>
  <si>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</si>
  <si>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200J</t>
  </si>
  <si>
    <t>3W</t>
  </si>
  <si>
    <t>120J</t>
  </si>
  <si>
    <t>2W</t>
  </si>
  <si>
    <t>1W</t>
  </si>
  <si>
    <t>50J</t>
  </si>
  <si>
    <t>30J</t>
  </si>
  <si>
    <t>26J</t>
  </si>
  <si>
    <t>25J</t>
  </si>
  <si>
    <t>20J</t>
  </si>
  <si>
    <t>15J</t>
  </si>
  <si>
    <t>12J</t>
  </si>
  <si>
    <t>10J</t>
  </si>
  <si>
    <t>6J</t>
  </si>
  <si>
    <t>4J</t>
  </si>
  <si>
    <t>3J</t>
  </si>
  <si>
    <t>2J</t>
  </si>
  <si>
    <t>1J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</si>
  <si>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</si>
  <si>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</si>
  <si>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</si>
  <si>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</si>
  <si>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</si>
  <si>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</si>
  <si>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</si>
  <si>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</si>
  <si>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</si>
  <si>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BHB</t>
  </si>
  <si>
    <t xml:space="preserve">B    </t>
  </si>
  <si>
    <t>Kantoor-/personeels-/vergaderruimte - harde vloeren (basis)</t>
  </si>
  <si>
    <t>m²/uur</t>
  </si>
  <si>
    <t>LHB</t>
  </si>
  <si>
    <t>Leslokalen/studieruimte - harde vloeren (basis)</t>
  </si>
  <si>
    <t>MHB</t>
  </si>
  <si>
    <t>Mediatheek/bibliotheek - harde vloeren (basis)</t>
  </si>
  <si>
    <t>BHV</t>
  </si>
  <si>
    <t>Kantoor-/personeels-/vergaderruimte - harde vloeren (volledig)</t>
  </si>
  <si>
    <t>LHV</t>
  </si>
  <si>
    <t>Leslokalen/studieruimte - harde vloeren (volledig)</t>
  </si>
  <si>
    <t>MHV</t>
  </si>
  <si>
    <t>Mediatheek/bibliotheek - harde vloeren (volledig)</t>
  </si>
  <si>
    <t>BZB</t>
  </si>
  <si>
    <t>Kantoor-/personeels-/vergaderruimte - zachte vloeren (basis)</t>
  </si>
  <si>
    <t>BZV</t>
  </si>
  <si>
    <t>Kantoor-/personeels-/vergaderruimte - zachte vloeren (volledig)</t>
  </si>
  <si>
    <t>PUHB</t>
  </si>
  <si>
    <t xml:space="preserve">PU   </t>
  </si>
  <si>
    <t>Praktijklokaal uitgebreid - harde vloeren (basis)</t>
  </si>
  <si>
    <t>PUHV</t>
  </si>
  <si>
    <t>Praktijklokaal uitgebreid - harde vloeren (volledig)</t>
  </si>
  <si>
    <t>SHB</t>
  </si>
  <si>
    <t xml:space="preserve">S    </t>
  </si>
  <si>
    <t>Sanitaire ruimte/toiletgroep - harde vloeren (basis)</t>
  </si>
  <si>
    <t>SHV</t>
  </si>
  <si>
    <t>Sanitaire ruimte/toiletgroep - harde vloeren (volledig)</t>
  </si>
  <si>
    <t>GHB</t>
  </si>
  <si>
    <t xml:space="preserve">V    </t>
  </si>
  <si>
    <t>Gym-/speelzaal/multifunc ruimte - harde vloeren (basis)</t>
  </si>
  <si>
    <t>PHB</t>
  </si>
  <si>
    <t>Pantry/keuken - harde vloeren (basis)</t>
  </si>
  <si>
    <t>VHB</t>
  </si>
  <si>
    <t>Verkeersruimte/garderobe/reprografie - harde vloeren (basis)</t>
  </si>
  <si>
    <t>GHV</t>
  </si>
  <si>
    <t>Gym-l/speelzaal/multifunc ruimte - harde vloeren (volledig)</t>
  </si>
  <si>
    <t>PHV</t>
  </si>
  <si>
    <t>Pantry/keuken - harde vloeren (volledig)</t>
  </si>
  <si>
    <t>VHV</t>
  </si>
  <si>
    <t>Verkeersruimte/garderobe/reprografie - harde vloeren (volledig)</t>
  </si>
  <si>
    <t>UZB</t>
  </si>
  <si>
    <t>Slaapkamer - zacht (basis)</t>
  </si>
  <si>
    <t>VZB</t>
  </si>
  <si>
    <t>Verkeersruimte/garderobe/reprografie - zachte vloeren (basis)</t>
  </si>
  <si>
    <t>UZV</t>
  </si>
  <si>
    <t>Slaapkamer - zacht (volledig)</t>
  </si>
  <si>
    <t>VZV</t>
  </si>
  <si>
    <t>Verkeersruimte/garderobe/reprografie - zachte vloeren (volledig)</t>
  </si>
  <si>
    <t>XBB</t>
  </si>
  <si>
    <t xml:space="preserve">X    </t>
  </si>
  <si>
    <t>Periodiek vloeren beschermd (basis)</t>
  </si>
  <si>
    <t xml:space="preserve">WERKDAG VAKANTIE    </t>
  </si>
  <si>
    <t>VBHB</t>
  </si>
  <si>
    <t>VBHV</t>
  </si>
  <si>
    <t>VBZB</t>
  </si>
  <si>
    <t>VBZV</t>
  </si>
  <si>
    <t>VLHB</t>
  </si>
  <si>
    <t>VLHV</t>
  </si>
  <si>
    <t>VSHB</t>
  </si>
  <si>
    <t>VSHV</t>
  </si>
  <si>
    <t>VGHB</t>
  </si>
  <si>
    <t>VGHV</t>
  </si>
  <si>
    <t>VPHB</t>
  </si>
  <si>
    <t>VPHV</t>
  </si>
  <si>
    <t>VUZB</t>
  </si>
  <si>
    <t>VUZV</t>
  </si>
  <si>
    <t>VVHB</t>
  </si>
  <si>
    <t>VVHV</t>
  </si>
  <si>
    <t>VVZB</t>
  </si>
  <si>
    <t>VVZV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</si>
  <si>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</si>
  <si>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</si>
  <si>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</si>
  <si>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</si>
  <si>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</si>
  <si>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</si>
  <si>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</si>
  <si>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</si>
  <si>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BH</t>
  </si>
  <si>
    <t>interieur</t>
  </si>
  <si>
    <t>Kantoor/personeels-/vergaderrruimte - harde vloeren</t>
  </si>
  <si>
    <t>BZ</t>
  </si>
  <si>
    <t>Kantoor/personeels-/vergaderrruimte - zachte vloeren</t>
  </si>
  <si>
    <t>GH</t>
  </si>
  <si>
    <t>Gymzaal/sportruimte/toestelberging - harde vloeren</t>
  </si>
  <si>
    <t>LH</t>
  </si>
  <si>
    <t>Leslokaal/studieruimte - harde vloeren</t>
  </si>
  <si>
    <t>MH</t>
  </si>
  <si>
    <t>Media-/bibliotheek - harde vloeren</t>
  </si>
  <si>
    <t>PH</t>
  </si>
  <si>
    <t>Pantry/keuken - harde vloeren</t>
  </si>
  <si>
    <t>PUH</t>
  </si>
  <si>
    <t>Praktijklokaal uitgebreid - harde vloeren</t>
  </si>
  <si>
    <t>SH</t>
  </si>
  <si>
    <t>Sanitaire ruimte/toiletten - harde vloeren</t>
  </si>
  <si>
    <t>UZ</t>
  </si>
  <si>
    <t>Slaapkamer - zacht</t>
  </si>
  <si>
    <t>VH</t>
  </si>
  <si>
    <t>Verkeersruimte/garderobe/reprografie - harde vloeren</t>
  </si>
  <si>
    <t>VZ</t>
  </si>
  <si>
    <t>Verkeersruimte/garderobe/reprografie - zachte vloeren</t>
  </si>
  <si>
    <t>XB</t>
  </si>
  <si>
    <t>Periodiek vloeren beschermd</t>
  </si>
  <si>
    <t xml:space="preserve">Totaal werkdag             </t>
  </si>
  <si>
    <t xml:space="preserve">Gemiddeld uurtarief werkdag             </t>
  </si>
  <si>
    <t>VBH</t>
  </si>
  <si>
    <t>extra</t>
  </si>
  <si>
    <t>VBZ</t>
  </si>
  <si>
    <t>VGH</t>
  </si>
  <si>
    <t>VLH</t>
  </si>
  <si>
    <t>VPH</t>
  </si>
  <si>
    <t>VSH</t>
  </si>
  <si>
    <t>VUZ</t>
  </si>
  <si>
    <t>VVH</t>
  </si>
  <si>
    <t>VVZ</t>
  </si>
  <si>
    <t xml:space="preserve">Totaal werkdag vakantie    </t>
  </si>
  <si>
    <t xml:space="preserve">Gemiddeld uurtarief werkdag vakantie    </t>
  </si>
  <si>
    <t>Totaal regulier werk excl. BTW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</si>
  <si>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</si>
  <si>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</si>
  <si>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</si>
  <si>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</si>
  <si>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</si>
  <si>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</si>
  <si>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</si>
  <si>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 011</t>
  </si>
  <si>
    <t>werkdag</t>
  </si>
  <si>
    <t>werkdag vakantie</t>
  </si>
  <si>
    <t>OBJECT</t>
  </si>
  <si>
    <t>NAAM</t>
  </si>
  <si>
    <t>ADRES</t>
  </si>
  <si>
    <t>PLAATS</t>
  </si>
  <si>
    <t>BASIS UUR- TARIEF</t>
  </si>
  <si>
    <t>FACTOR UREN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</si>
  <si>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</si>
  <si>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</si>
  <si>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</si>
  <si>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</si>
  <si>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</si>
  <si>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</si>
  <si>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</si>
  <si>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</si>
  <si>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</si>
  <si>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JAAR (EURO)</t>
  </si>
  <si>
    <t>PRIJS/ MAAND (EURO)</t>
  </si>
  <si>
    <t>011</t>
  </si>
  <si>
    <t>SBO De Wissel</t>
  </si>
  <si>
    <t>Galerijmuur 51</t>
  </si>
  <si>
    <t>Houten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</si>
  <si>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</si>
  <si>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</si>
  <si>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</si>
  <si>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</si>
  <si>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</si>
  <si>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</si>
  <si>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</si>
  <si>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</si>
  <si>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</si>
  <si>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(euro)</t>
  </si>
  <si>
    <t>PRIJS/ MAAND (euro)</t>
  </si>
  <si>
    <t>011 - SBO De Wissel, Galerijmuur 51, Houten</t>
  </si>
  <si>
    <t>1000</t>
  </si>
  <si>
    <t>Niet meewerkende objectleiding</t>
  </si>
  <si>
    <t>&lt;invullen functie afh. van uren uitvoering per jaar&gt;</t>
  </si>
  <si>
    <t>&lt;invullen functie met vaste uren per dag&gt;</t>
  </si>
  <si>
    <t>Totaal 011 - SBO De Wissel, Galerijmuur 51, Houten</t>
  </si>
  <si>
    <t>V1000</t>
  </si>
  <si>
    <t>Totaal niet-meewerkende objectleiding</t>
  </si>
  <si>
    <t>Totaal niet-meewerkende objectleiding (incl. BTW)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</si>
  <si>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</si>
  <si>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</si>
  <si>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</si>
  <si>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</si>
  <si>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</si>
  <si>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</si>
  <si>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</si>
  <si>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</si>
  <si>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</si>
  <si>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</si>
  <si>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</si>
  <si>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</si>
  <si>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</si>
  <si>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</si>
  <si>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9000</t>
  </si>
  <si>
    <t>Medewerker regiewerkzaamheden</t>
  </si>
  <si>
    <t>prijs per uur</t>
  </si>
  <si>
    <t>9050</t>
  </si>
  <si>
    <t>Medewerker regiewerkzaamheden weekend</t>
  </si>
  <si>
    <t>9100</t>
  </si>
  <si>
    <t>Medewerker specialistische werkzaamheden</t>
  </si>
  <si>
    <t>9200</t>
  </si>
  <si>
    <t>Uurtarief vervanging eigen beheer</t>
  </si>
  <si>
    <t>9300</t>
  </si>
  <si>
    <t>Uurtarief glasbewassing</t>
  </si>
  <si>
    <t>9350</t>
  </si>
  <si>
    <t>Dieptereiniging keuken Houten</t>
  </si>
  <si>
    <t>totaalprijs</t>
  </si>
  <si>
    <t>9360</t>
  </si>
  <si>
    <t>Dieptereiniging keuken Bilthoven</t>
  </si>
  <si>
    <t>Totaal afroep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</si>
  <si>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</si>
  <si>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</si>
  <si>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</si>
  <si>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</si>
  <si>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</si>
  <si>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</si>
  <si>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</si>
  <si>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</si>
  <si>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</si>
  <si>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</si>
  <si>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</si>
  <si>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</si>
  <si>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</si>
  <si>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</si>
  <si>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</si>
  <si>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</si>
  <si>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2020A</t>
  </si>
  <si>
    <t>Fax uitwendig reinigen</t>
  </si>
  <si>
    <t>2020B</t>
  </si>
  <si>
    <t>2020C</t>
  </si>
  <si>
    <t>2020D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</si>
  <si>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</si>
  <si>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</si>
  <si>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</si>
  <si>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</si>
  <si>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</si>
  <si>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</si>
  <si>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</si>
  <si>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</si>
  <si>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</si>
  <si>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</si>
  <si>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</si>
  <si>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</si>
  <si>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</si>
  <si>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</si>
  <si>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</si>
  <si>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</si>
  <si>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</si>
  <si>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</si>
  <si>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</si>
  <si>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</si>
  <si>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</si>
  <si>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</si>
  <si>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</si>
  <si>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</si>
  <si>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</si>
  <si>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</si>
  <si>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</si>
  <si>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</si>
  <si>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</si>
  <si>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</si>
  <si>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</si>
  <si>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</si>
  <si>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</si>
  <si>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</si>
  <si>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</si>
  <si>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</si>
  <si>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</si>
  <si>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</si>
  <si>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</si>
  <si>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</si>
  <si>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</si>
  <si>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</si>
  <si>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</si>
  <si>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</si>
  <si>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</si>
  <si>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</si>
  <si>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</si>
  <si>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/>
  </si>
  <si>
    <t>3040</t>
  </si>
  <si>
    <t>Graffiti verwijderen spec.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</si>
  <si>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</si>
  <si>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</si>
  <si>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</si>
  <si>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</si>
  <si>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</si>
  <si>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</si>
  <si>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</si>
  <si>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</si>
  <si>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</si>
  <si>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</si>
  <si>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</si>
  <si>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</si>
  <si>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</si>
  <si>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</si>
  <si>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</si>
  <si>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</si>
  <si>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</si>
  <si>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</si>
  <si>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</si>
  <si>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</si>
  <si>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</si>
  <si>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</si>
  <si>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</si>
  <si>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</si>
  <si>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</si>
  <si>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</si>
  <si>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</si>
  <si>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</si>
  <si>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</si>
  <si>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</si>
  <si>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</si>
  <si>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</si>
  <si>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</si>
  <si>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</si>
  <si>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</si>
  <si>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</si>
  <si>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</si>
  <si>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</si>
  <si>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</si>
  <si>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</si>
  <si>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</si>
  <si>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</si>
  <si>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</si>
  <si>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</si>
  <si>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</si>
  <si>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</si>
  <si>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</si>
  <si>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</si>
  <si>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</si>
  <si>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Totaal afroep incidenteel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</si>
  <si>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</si>
  <si>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</si>
  <si>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</si>
  <si>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</si>
  <si>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</si>
  <si>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</si>
  <si>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8030</t>
  </si>
  <si>
    <t>Trespa/hout beplating</t>
  </si>
  <si>
    <t>8040</t>
  </si>
  <si>
    <t>Glazen bouwstenen</t>
  </si>
  <si>
    <t>8050</t>
  </si>
  <si>
    <t>Groene glazen wanden</t>
  </si>
  <si>
    <t>8200</t>
  </si>
  <si>
    <t>Hoogwerker</t>
  </si>
  <si>
    <t>prijs per dag</t>
  </si>
  <si>
    <t>8205</t>
  </si>
  <si>
    <t>Hoogwerker Bilthoven</t>
  </si>
  <si>
    <t>8210</t>
  </si>
  <si>
    <t>Tuckerpool stuifheuvel</t>
  </si>
  <si>
    <t>8215</t>
  </si>
  <si>
    <t>Theaterlift</t>
  </si>
  <si>
    <t>Totaal glas excl. BTW</t>
  </si>
  <si>
    <t>9301</t>
  </si>
  <si>
    <t>Meerkosten periodiek vloeronderhoud linoleum vloeren</t>
  </si>
  <si>
    <t>9302</t>
  </si>
  <si>
    <t>Meerkosten vlekverwijderen tapijt</t>
  </si>
  <si>
    <t>9303</t>
  </si>
  <si>
    <t>Meerkosten verwijderen randvergoring sanitair/keukens</t>
  </si>
  <si>
    <t>9304</t>
  </si>
  <si>
    <t>Meerkosten verwijderen kalkaanslag wastafels, doucheruimten, toiletpot</t>
  </si>
  <si>
    <t>9305</t>
  </si>
  <si>
    <t>Meerkosten op orde brengen overige resultaatniveaus</t>
  </si>
  <si>
    <t>Totaal leveringen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</si>
  <si>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</si>
  <si>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</si>
  <si>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</si>
  <si>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</si>
  <si>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</si>
  <si>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Bedrag per jaar incl. BTW (euro)</t>
  </si>
  <si>
    <t>Regulier werk</t>
  </si>
  <si>
    <t>Objectleiding</t>
  </si>
  <si>
    <t>Afroepwerk (geschatte frequenties)</t>
  </si>
  <si>
    <t>Glas</t>
  </si>
  <si>
    <t>Totaal generaal</t>
  </si>
  <si>
    <t>Percentage objectleiding</t>
  </si>
  <si>
    <t>Nulbeurt (geschat)</t>
  </si>
  <si>
    <t>BEGROOT BEDRAG REGULIERE WERKZAAMHEDEN EN GLASBEWASSING (NIET HOGER DAN BUDGET)</t>
  </si>
  <si>
    <t>VERGELIJKINGSBEDRAG AFROEP/REGIE WERK (GESCHAT) VOOR PRIJSCRITERIUM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</si>
</sst>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9" fontId="0" fillId="2" borderId="16" xfId="0" applyNumberFormat="1" applyFill="1" applyBorder="1"/>
    <xf numFmtId="1" fontId="0" fillId="2" borderId="16" xfId="0" applyNumberFormat="1" applyFill="1" applyBorder="1"/>
    <xf numFmtId="4" fontId="0" fillId="0" borderId="16" xfId="0" applyNumberFormat="1" applyBorder="1" applyProtection="1">
      <protection locked="0"/>
    </xf>
    <xf numFmtId="10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0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0" fontId="0" fillId="2" borderId="15" xfId="0" applyNumberFormat="1" applyFill="1" applyBorder="1"/>
    <xf numFmtId="164" fontId="0" fillId="2" borderId="15" xfId="0" applyNumberFormat="1" applyFill="1" applyBorder="1"/>
    <xf numFmtId="4" fontId="0" fillId="2" borderId="16" xfId="0" applyNumberFormat="1" applyFill="1" applyBorder="1"/>
    <xf numFmtId="165" fontId="0" fillId="2" borderId="16" xfId="0" applyNumberFormat="1" applyFill="1" applyBorder="1"/>
    <xf numFmtId="10" fontId="0" fillId="2" borderId="16" xfId="0" applyNumberFormat="1" applyFill="1" applyBorder="1"/>
    <xf numFmtId="164" fontId="0" fillId="2" borderId="16" xfId="0" applyNumberFormat="1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7" xfId="0" applyNumberFormat="1" applyFill="1" applyBorder="1"/>
    <xf numFmtId="0" fontId="0" fillId="3" borderId="10" xfId="0" applyFill="1" applyBorder="1"/>
    <xf numFmtId="0" fontId="0" fillId="3" borderId="18" xfId="0" applyFill="1" applyBorder="1"/>
    <xf numFmtId="49" fontId="0" fillId="3" borderId="3" xfId="0" applyNumberFormat="1" applyFill="1" applyBorder="1"/>
    <xf numFmtId="0" fontId="0" fillId="3" borderId="19" xfId="0" applyFill="1" applyBorder="1"/>
    <xf numFmtId="49" fontId="0" fillId="3" borderId="19" xfId="0" applyNumberFormat="1" applyFill="1" applyBorder="1"/>
    <xf numFmtId="0" fontId="0" fillId="3" borderId="6" xfId="0" applyFill="1" applyBorder="1"/>
    <xf numFmtId="49" fontId="0" fillId="2" borderId="6" xfId="0" applyNumberFormat="1" applyFill="1" applyBorder="1"/>
    <xf numFmtId="49" fontId="0" fillId="4" borderId="6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2" borderId="6" xfId="0" applyNumberFormat="1" applyFill="1" applyBorder="1"/>
    <xf numFmtId="4" fontId="0" fillId="0" borderId="6" xfId="0" applyNumberFormat="1" applyBorder="1"/>
    <xf numFmtId="164" fontId="0" fillId="2" borderId="6" xfId="0" applyNumberFormat="1" applyFill="1" applyBorder="1"/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3" borderId="7" xfId="0" applyFill="1" applyBorder="1" applyAlignment="1"/>
    <xf numFmtId="4" fontId="0" fillId="3" borderId="14" xfId="0" applyNumberFormat="1" applyFill="1" applyBorder="1"/>
    <xf numFmtId="1" fontId="0" fillId="0" borderId="15" xfId="0" applyNumberFormat="1" applyBorder="1"/>
    <xf numFmtId="49" fontId="0" fillId="0" borderId="15" xfId="0" applyNumberFormat="1" applyBorder="1"/>
    <xf numFmtId="4" fontId="0" fillId="3" borderId="15" xfId="0" applyNumberFormat="1" applyFill="1" applyBorder="1"/>
    <xf numFmtId="10" fontId="0" fillId="3" borderId="15" xfId="0" applyNumberFormat="1" applyFill="1" applyBorder="1"/>
    <xf numFmtId="1" fontId="0" fillId="0" borderId="16" xfId="0" applyNumberFormat="1" applyBorder="1"/>
    <xf numFmtId="49" fontId="0" fillId="0" borderId="16" xfId="0" applyNumberFormat="1" applyBorder="1"/>
    <xf numFmtId="10" fontId="0" fillId="3" borderId="16" xfId="0" applyNumberFormat="1" applyFill="1" applyBorder="1"/>
    <xf numFmtId="49" fontId="0" fillId="3" borderId="10" xfId="0" applyNumberFormat="1" applyFill="1" applyBorder="1" applyAlignment="1"/>
    <xf numFmtId="4" fontId="0" fillId="4" borderId="14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4" fontId="0" fillId="0" borderId="15" xfId="0" applyNumberFormat="1" applyBorder="1"/>
    <xf numFmtId="4" fontId="0" fillId="3" borderId="15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164" fontId="0" fillId="3" borderId="12" xfId="0" applyNumberFormat="1" applyFill="1" applyBorder="1"/>
    <xf numFmtId="0" fontId="0" fillId="3" borderId="12" xfId="0" applyFill="1" applyBorder="1"/>
    <xf numFmtId="4" fontId="0" fillId="0" borderId="16" xfId="0" applyNumberFormat="1" applyBorder="1"/>
    <xf numFmtId="49" fontId="0" fillId="3" borderId="14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6" xfId="0" applyNumberFormat="1" applyFill="1" applyBorder="1" applyAlignment="1">
      <alignment wrapText="1"/>
    </xf>
    <xf numFmtId="4" fontId="0" fillId="3" borderId="16" xfId="0" applyNumberFormat="1" applyFill="1" applyBorder="1"/>
    <xf numFmtId="10" fontId="0" fillId="3" borderId="6" xfId="0" applyNumberFormat="1" applyFill="1" applyBorder="1"/>
    <xf numFmtId="0" fontId="2" fillId="5" borderId="17" xfId="0" applyFont="1" applyFill="1" applyBorder="1"/>
    <xf numFmtId="0" fontId="3" fillId="5" borderId="17" xfId="0" applyFont="1" applyFill="1" applyBorder="1"/>
    <xf numFmtId="164" fontId="2" fillId="6" borderId="17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1D6D-D426-433A-B6A8-6C6205E6ACE1}">
  <dimension ref="A1:B32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255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 t="shared" ref="B13:B32" si="0">IF(A13="2½W",2.5/dagenperweek1,IF(RIGHT(A13,1)="W",VALUE(LEFT(A13,LEN(A13)-1))/dagenperweek1,IF(RIGHT(A13,1)="J",VALUE(LEFT(A13,LEN(A13)-1))/dagenperjaar1,"handmatig!")))</f>
        <v>1</v>
      </c>
    </row>
    <row r="14" spans="1:2" x14ac:dyDescent="0.2">
      <c r="A14" s="2" t="s">
        <v>10</v>
      </c>
      <c r="B14" s="3">
        <f t="shared" si="0"/>
        <v>0.8</v>
      </c>
    </row>
    <row r="15" spans="1:2" x14ac:dyDescent="0.2">
      <c r="A15" s="2" t="s">
        <v>11</v>
      </c>
      <c r="B15" s="3">
        <f t="shared" si="0"/>
        <v>0.78431372549019607</v>
      </c>
    </row>
    <row r="16" spans="1:2" x14ac:dyDescent="0.2">
      <c r="A16" s="2" t="s">
        <v>12</v>
      </c>
      <c r="B16" s="3">
        <f t="shared" si="0"/>
        <v>0.6</v>
      </c>
    </row>
    <row r="17" spans="1:2" x14ac:dyDescent="0.2">
      <c r="A17" s="2" t="s">
        <v>13</v>
      </c>
      <c r="B17" s="3">
        <f t="shared" si="0"/>
        <v>0.47058823529411764</v>
      </c>
    </row>
    <row r="18" spans="1:2" x14ac:dyDescent="0.2">
      <c r="A18" s="2" t="s">
        <v>14</v>
      </c>
      <c r="B18" s="3">
        <f t="shared" si="0"/>
        <v>0.4</v>
      </c>
    </row>
    <row r="19" spans="1:2" x14ac:dyDescent="0.2">
      <c r="A19" s="2" t="s">
        <v>15</v>
      </c>
      <c r="B19" s="3">
        <f t="shared" si="0"/>
        <v>0.2</v>
      </c>
    </row>
    <row r="20" spans="1:2" x14ac:dyDescent="0.2">
      <c r="A20" s="2" t="s">
        <v>16</v>
      </c>
      <c r="B20" s="3">
        <f t="shared" si="0"/>
        <v>0.19607843137254902</v>
      </c>
    </row>
    <row r="21" spans="1:2" x14ac:dyDescent="0.2">
      <c r="A21" s="2" t="s">
        <v>17</v>
      </c>
      <c r="B21" s="3">
        <f t="shared" si="0"/>
        <v>0.11764705882352941</v>
      </c>
    </row>
    <row r="22" spans="1:2" x14ac:dyDescent="0.2">
      <c r="A22" s="2" t="s">
        <v>18</v>
      </c>
      <c r="B22" s="3">
        <f t="shared" si="0"/>
        <v>0.10196078431372549</v>
      </c>
    </row>
    <row r="23" spans="1:2" x14ac:dyDescent="0.2">
      <c r="A23" s="2" t="s">
        <v>19</v>
      </c>
      <c r="B23" s="3">
        <f t="shared" si="0"/>
        <v>9.8039215686274508E-2</v>
      </c>
    </row>
    <row r="24" spans="1:2" x14ac:dyDescent="0.2">
      <c r="A24" s="2" t="s">
        <v>20</v>
      </c>
      <c r="B24" s="3">
        <f t="shared" si="0"/>
        <v>7.8431372549019607E-2</v>
      </c>
    </row>
    <row r="25" spans="1:2" x14ac:dyDescent="0.2">
      <c r="A25" s="2" t="s">
        <v>21</v>
      </c>
      <c r="B25" s="3">
        <f t="shared" si="0"/>
        <v>5.8823529411764705E-2</v>
      </c>
    </row>
    <row r="26" spans="1:2" x14ac:dyDescent="0.2">
      <c r="A26" s="2" t="s">
        <v>22</v>
      </c>
      <c r="B26" s="3">
        <f t="shared" si="0"/>
        <v>4.7058823529411764E-2</v>
      </c>
    </row>
    <row r="27" spans="1:2" x14ac:dyDescent="0.2">
      <c r="A27" s="2" t="s">
        <v>23</v>
      </c>
      <c r="B27" s="3">
        <f t="shared" si="0"/>
        <v>3.9215686274509803E-2</v>
      </c>
    </row>
    <row r="28" spans="1:2" x14ac:dyDescent="0.2">
      <c r="A28" s="2" t="s">
        <v>24</v>
      </c>
      <c r="B28" s="3">
        <f t="shared" si="0"/>
        <v>2.3529411764705882E-2</v>
      </c>
    </row>
    <row r="29" spans="1:2" x14ac:dyDescent="0.2">
      <c r="A29" s="2" t="s">
        <v>25</v>
      </c>
      <c r="B29" s="3">
        <f t="shared" si="0"/>
        <v>1.5686274509803921E-2</v>
      </c>
    </row>
    <row r="30" spans="1:2" x14ac:dyDescent="0.2">
      <c r="A30" s="2" t="s">
        <v>26</v>
      </c>
      <c r="B30" s="3">
        <f t="shared" si="0"/>
        <v>1.1764705882352941E-2</v>
      </c>
    </row>
    <row r="31" spans="1:2" x14ac:dyDescent="0.2">
      <c r="A31" s="2" t="s">
        <v>27</v>
      </c>
      <c r="B31" s="3">
        <f t="shared" si="0"/>
        <v>7.8431372549019607E-3</v>
      </c>
    </row>
    <row r="32" spans="1:2" x14ac:dyDescent="0.2">
      <c r="A32" s="6" t="s">
        <v>28</v>
      </c>
      <c r="B32" s="7">
        <f t="shared" si="0"/>
        <v>3.9215686274509803E-3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858A-72D4-4CE3-87F4-393D8C6397D0}">
  <dimension ref="A1:L18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H3.8: ",tabeltype," glas")</f>
        <v>Bijlage H3.8: Invultabel glas</v>
      </c>
    </row>
    <row r="3" spans="1:12" ht="38.25" x14ac:dyDescent="0.2">
      <c r="A3" s="8" t="s">
        <v>215</v>
      </c>
      <c r="B3" s="8" t="s">
        <v>7</v>
      </c>
      <c r="C3" s="8" t="s">
        <v>216</v>
      </c>
      <c r="D3" s="8" t="s">
        <v>32</v>
      </c>
      <c r="E3" s="8" t="s">
        <v>35</v>
      </c>
      <c r="F3" s="8" t="s">
        <v>217</v>
      </c>
      <c r="G3" s="8" t="s">
        <v>218</v>
      </c>
      <c r="H3" s="8" t="s">
        <v>219</v>
      </c>
      <c r="I3" s="8" t="s">
        <v>220</v>
      </c>
      <c r="J3" s="8" t="s">
        <v>221</v>
      </c>
      <c r="K3" s="8" t="s">
        <v>116</v>
      </c>
      <c r="L3" s="8" t="s">
        <v>183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360</v>
      </c>
      <c r="B6" s="15" t="s">
        <v>27</v>
      </c>
      <c r="C6" s="16">
        <f t="shared" ref="C6:C15" si="0">IF(ISBLANK(B6),0,IF(ISERROR(VALUE(B6)),VLOOKUP(B6,dagsoorttabel1,2,FALSE)*dagenperjaar1,VALUE(B6)))</f>
        <v>2</v>
      </c>
      <c r="D6" s="15" t="s">
        <v>361</v>
      </c>
      <c r="E6" s="15" t="s">
        <v>267</v>
      </c>
      <c r="F6" s="73">
        <v>348.96</v>
      </c>
      <c r="G6" s="19"/>
      <c r="H6" s="74"/>
      <c r="I6" s="19"/>
      <c r="J6" s="33">
        <f t="shared" ref="J6:J15" si="1">IF(ISBLANK(F6),0,F6)*I6</f>
        <v>0</v>
      </c>
      <c r="K6" s="33">
        <f t="shared" ref="K6:K15" si="2">C6*J6</f>
        <v>0</v>
      </c>
      <c r="L6" s="33">
        <f t="shared" ref="L6:L16" si="3">K6/12</f>
        <v>0</v>
      </c>
    </row>
    <row r="7" spans="1:12" x14ac:dyDescent="0.2">
      <c r="A7" s="20" t="s">
        <v>362</v>
      </c>
      <c r="B7" s="20" t="s">
        <v>27</v>
      </c>
      <c r="C7" s="21">
        <f t="shared" si="0"/>
        <v>2</v>
      </c>
      <c r="D7" s="20" t="s">
        <v>363</v>
      </c>
      <c r="E7" s="20" t="s">
        <v>267</v>
      </c>
      <c r="F7" s="77">
        <v>348.96</v>
      </c>
      <c r="G7" s="24"/>
      <c r="H7" s="76"/>
      <c r="I7" s="24"/>
      <c r="J7" s="37">
        <f t="shared" si="1"/>
        <v>0</v>
      </c>
      <c r="K7" s="37">
        <f t="shared" si="2"/>
        <v>0</v>
      </c>
      <c r="L7" s="37">
        <f t="shared" si="3"/>
        <v>0</v>
      </c>
    </row>
    <row r="8" spans="1:12" x14ac:dyDescent="0.2">
      <c r="A8" s="20" t="s">
        <v>364</v>
      </c>
      <c r="B8" s="20" t="s">
        <v>27</v>
      </c>
      <c r="C8" s="21">
        <f t="shared" si="0"/>
        <v>2</v>
      </c>
      <c r="D8" s="20" t="s">
        <v>365</v>
      </c>
      <c r="E8" s="20" t="s">
        <v>267</v>
      </c>
      <c r="F8" s="77">
        <v>252.96</v>
      </c>
      <c r="G8" s="24"/>
      <c r="H8" s="76"/>
      <c r="I8" s="24"/>
      <c r="J8" s="37">
        <f t="shared" si="1"/>
        <v>0</v>
      </c>
      <c r="K8" s="37">
        <f t="shared" si="2"/>
        <v>0</v>
      </c>
      <c r="L8" s="37">
        <f t="shared" si="3"/>
        <v>0</v>
      </c>
    </row>
    <row r="9" spans="1:12" x14ac:dyDescent="0.2">
      <c r="A9" s="20" t="s">
        <v>366</v>
      </c>
      <c r="B9" s="20" t="s">
        <v>27</v>
      </c>
      <c r="C9" s="21">
        <f t="shared" si="0"/>
        <v>2</v>
      </c>
      <c r="D9" s="20" t="s">
        <v>367</v>
      </c>
      <c r="E9" s="20" t="s">
        <v>267</v>
      </c>
      <c r="F9" s="75"/>
      <c r="G9" s="24"/>
      <c r="H9" s="76"/>
      <c r="I9" s="24"/>
      <c r="J9" s="37">
        <f t="shared" si="1"/>
        <v>0</v>
      </c>
      <c r="K9" s="37">
        <f t="shared" si="2"/>
        <v>0</v>
      </c>
      <c r="L9" s="37">
        <f t="shared" si="3"/>
        <v>0</v>
      </c>
    </row>
    <row r="10" spans="1:12" x14ac:dyDescent="0.2">
      <c r="A10" s="20" t="s">
        <v>368</v>
      </c>
      <c r="B10" s="20" t="s">
        <v>27</v>
      </c>
      <c r="C10" s="21">
        <f t="shared" si="0"/>
        <v>2</v>
      </c>
      <c r="D10" s="20" t="s">
        <v>369</v>
      </c>
      <c r="E10" s="20" t="s">
        <v>267</v>
      </c>
      <c r="F10" s="75"/>
      <c r="G10" s="24"/>
      <c r="H10" s="76"/>
      <c r="I10" s="24"/>
      <c r="J10" s="37">
        <f t="shared" si="1"/>
        <v>0</v>
      </c>
      <c r="K10" s="37">
        <f t="shared" si="2"/>
        <v>0</v>
      </c>
      <c r="L10" s="37">
        <f t="shared" si="3"/>
        <v>0</v>
      </c>
    </row>
    <row r="11" spans="1:12" x14ac:dyDescent="0.2">
      <c r="A11" s="20" t="s">
        <v>370</v>
      </c>
      <c r="B11" s="20" t="s">
        <v>27</v>
      </c>
      <c r="C11" s="21">
        <f t="shared" si="0"/>
        <v>2</v>
      </c>
      <c r="D11" s="20" t="s">
        <v>371</v>
      </c>
      <c r="E11" s="20" t="s">
        <v>267</v>
      </c>
      <c r="F11" s="75"/>
      <c r="G11" s="24"/>
      <c r="H11" s="76"/>
      <c r="I11" s="24"/>
      <c r="J11" s="37">
        <f t="shared" si="1"/>
        <v>0</v>
      </c>
      <c r="K11" s="37">
        <f t="shared" si="2"/>
        <v>0</v>
      </c>
      <c r="L11" s="37">
        <f t="shared" si="3"/>
        <v>0</v>
      </c>
    </row>
    <row r="12" spans="1:12" x14ac:dyDescent="0.2">
      <c r="A12" s="20" t="s">
        <v>372</v>
      </c>
      <c r="B12" s="20" t="s">
        <v>27</v>
      </c>
      <c r="C12" s="21">
        <f t="shared" si="0"/>
        <v>2</v>
      </c>
      <c r="D12" s="20" t="s">
        <v>373</v>
      </c>
      <c r="E12" s="20" t="s">
        <v>374</v>
      </c>
      <c r="F12" s="75"/>
      <c r="G12" s="24"/>
      <c r="H12" s="76"/>
      <c r="I12" s="24"/>
      <c r="J12" s="37">
        <f t="shared" si="1"/>
        <v>0</v>
      </c>
      <c r="K12" s="37">
        <f t="shared" si="2"/>
        <v>0</v>
      </c>
      <c r="L12" s="37">
        <f t="shared" si="3"/>
        <v>0</v>
      </c>
    </row>
    <row r="13" spans="1:12" x14ac:dyDescent="0.2">
      <c r="A13" s="20" t="s">
        <v>375</v>
      </c>
      <c r="B13" s="20" t="s">
        <v>27</v>
      </c>
      <c r="C13" s="21">
        <f t="shared" si="0"/>
        <v>2</v>
      </c>
      <c r="D13" s="20" t="s">
        <v>376</v>
      </c>
      <c r="E13" s="20" t="s">
        <v>374</v>
      </c>
      <c r="F13" s="75"/>
      <c r="G13" s="24"/>
      <c r="H13" s="76"/>
      <c r="I13" s="24"/>
      <c r="J13" s="37">
        <f t="shared" si="1"/>
        <v>0</v>
      </c>
      <c r="K13" s="37">
        <f t="shared" si="2"/>
        <v>0</v>
      </c>
      <c r="L13" s="37">
        <f t="shared" si="3"/>
        <v>0</v>
      </c>
    </row>
    <row r="14" spans="1:12" x14ac:dyDescent="0.2">
      <c r="A14" s="20" t="s">
        <v>377</v>
      </c>
      <c r="B14" s="20" t="s">
        <v>27</v>
      </c>
      <c r="C14" s="21">
        <f t="shared" si="0"/>
        <v>2</v>
      </c>
      <c r="D14" s="20" t="s">
        <v>378</v>
      </c>
      <c r="E14" s="20" t="s">
        <v>374</v>
      </c>
      <c r="F14" s="75"/>
      <c r="G14" s="24"/>
      <c r="H14" s="76"/>
      <c r="I14" s="24"/>
      <c r="J14" s="37">
        <f t="shared" si="1"/>
        <v>0</v>
      </c>
      <c r="K14" s="37">
        <f t="shared" si="2"/>
        <v>0</v>
      </c>
      <c r="L14" s="37">
        <f t="shared" si="3"/>
        <v>0</v>
      </c>
    </row>
    <row r="15" spans="1:12" x14ac:dyDescent="0.2">
      <c r="A15" s="25" t="s">
        <v>379</v>
      </c>
      <c r="B15" s="25" t="s">
        <v>27</v>
      </c>
      <c r="C15" s="26">
        <f t="shared" si="0"/>
        <v>2</v>
      </c>
      <c r="D15" s="25" t="s">
        <v>380</v>
      </c>
      <c r="E15" s="25" t="s">
        <v>374</v>
      </c>
      <c r="F15" s="82"/>
      <c r="G15" s="29"/>
      <c r="H15" s="79"/>
      <c r="I15" s="29"/>
      <c r="J15" s="41">
        <f t="shared" si="1"/>
        <v>0</v>
      </c>
      <c r="K15" s="41">
        <f t="shared" si="2"/>
        <v>0</v>
      </c>
      <c r="L15" s="41">
        <f t="shared" si="3"/>
        <v>0</v>
      </c>
    </row>
    <row r="16" spans="1:12" x14ac:dyDescent="0.2">
      <c r="A16" s="42" t="s">
        <v>142</v>
      </c>
      <c r="B16" s="43"/>
      <c r="C16" s="43"/>
      <c r="D16" s="43"/>
      <c r="E16" s="43"/>
      <c r="F16" s="43"/>
      <c r="G16" s="43"/>
      <c r="H16" s="43"/>
      <c r="I16" s="43"/>
      <c r="J16" s="43"/>
      <c r="K16" s="45">
        <f>SUM(K6:K15)</f>
        <v>0</v>
      </c>
      <c r="L16" s="80">
        <f t="shared" si="3"/>
        <v>0</v>
      </c>
    </row>
    <row r="18" spans="1:12" x14ac:dyDescent="0.2">
      <c r="A18" s="42" t="s">
        <v>381</v>
      </c>
      <c r="B18" s="43"/>
      <c r="C18" s="43"/>
      <c r="D18" s="43"/>
      <c r="E18" s="43"/>
      <c r="F18" s="43"/>
      <c r="G18" s="43"/>
      <c r="H18" s="43"/>
      <c r="I18" s="43"/>
      <c r="J18" s="43"/>
      <c r="K18" s="45">
        <f>prijsjaarglas1</f>
        <v>0</v>
      </c>
      <c r="L18" s="80">
        <f>K18/12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7EC2-24C2-4578-9FBE-0D29C8C17056}">
  <dimension ref="A1:I13"/>
  <sheetViews>
    <sheetView workbookViewId="0">
      <selection activeCell="D1" sqref="D1"/>
    </sheetView>
  </sheetViews>
  <sheetFormatPr defaultRowHeight="12.75" x14ac:dyDescent="0.2"/>
  <cols>
    <col min="1" max="1" width="7.625" customWidth="1"/>
    <col min="2" max="2" width="6.125" customWidth="1"/>
    <col min="3" max="3" width="7.625" customWidth="1"/>
    <col min="4" max="4" width="50.625" customWidth="1"/>
    <col min="5" max="6" width="14.625" customWidth="1"/>
    <col min="7" max="7" width="11.625" customWidth="1"/>
    <col min="8" max="8" width="12.625" customWidth="1"/>
    <col min="9" max="9" width="14.625" customWidth="1"/>
  </cols>
  <sheetData>
    <row r="1" spans="1:9" x14ac:dyDescent="0.2">
      <c r="A1" s="1" t="str">
        <f>CONCATENATE("Bijlage H3.9: ",tabeltype," nulbeurt")</f>
        <v>Bijlage H3.9: Invultabel nulbeurt</v>
      </c>
    </row>
    <row r="3" spans="1:9" ht="38.25" x14ac:dyDescent="0.2">
      <c r="A3" s="8" t="s">
        <v>215</v>
      </c>
      <c r="B3" s="8" t="s">
        <v>7</v>
      </c>
      <c r="C3" s="8" t="s">
        <v>216</v>
      </c>
      <c r="D3" s="8" t="s">
        <v>32</v>
      </c>
      <c r="E3" s="8" t="s">
        <v>35</v>
      </c>
      <c r="F3" s="8" t="s">
        <v>217</v>
      </c>
      <c r="G3" s="8" t="s">
        <v>220</v>
      </c>
      <c r="H3" s="8" t="s">
        <v>221</v>
      </c>
      <c r="I3" s="8" t="s">
        <v>116</v>
      </c>
    </row>
    <row r="4" spans="1:9" x14ac:dyDescent="0.2">
      <c r="A4" s="9"/>
      <c r="B4" s="10"/>
      <c r="C4" s="10"/>
      <c r="D4" s="10"/>
      <c r="E4" s="10"/>
      <c r="F4" s="10"/>
      <c r="G4" s="10"/>
      <c r="H4" s="10"/>
      <c r="I4" s="11"/>
    </row>
    <row r="5" spans="1:9" x14ac:dyDescent="0.2">
      <c r="A5" s="12" t="s">
        <v>37</v>
      </c>
      <c r="B5" s="13"/>
      <c r="C5" s="13"/>
      <c r="D5" s="13"/>
      <c r="E5" s="13"/>
      <c r="F5" s="13"/>
      <c r="G5" s="13"/>
      <c r="H5" s="13"/>
      <c r="I5" s="14"/>
    </row>
    <row r="6" spans="1:9" x14ac:dyDescent="0.2">
      <c r="A6" s="15" t="s">
        <v>382</v>
      </c>
      <c r="B6" s="15" t="s">
        <v>28</v>
      </c>
      <c r="C6" s="16">
        <f>IF(ISBLANK(B6),0,IF(ISERROR(VALUE(B6)),VLOOKUP(B6,dagsoorttabel1,2,FALSE)*dagenperjaar1,VALUE(B6)))</f>
        <v>1</v>
      </c>
      <c r="D6" s="15" t="s">
        <v>383</v>
      </c>
      <c r="E6" s="15" t="s">
        <v>235</v>
      </c>
      <c r="F6" s="73">
        <v>1</v>
      </c>
      <c r="G6" s="19"/>
      <c r="H6" s="33">
        <f>IF(ISBLANK(F6),1,F6)*G6</f>
        <v>0</v>
      </c>
      <c r="I6" s="33">
        <f>C6*H6</f>
        <v>0</v>
      </c>
    </row>
    <row r="7" spans="1:9" x14ac:dyDescent="0.2">
      <c r="A7" s="20" t="s">
        <v>384</v>
      </c>
      <c r="B7" s="20" t="s">
        <v>28</v>
      </c>
      <c r="C7" s="21">
        <f>IF(ISBLANK(B7),0,IF(ISERROR(VALUE(B7)),VLOOKUP(B7,dagsoorttabel1,2,FALSE)*dagenperjaar1,VALUE(B7)))</f>
        <v>1</v>
      </c>
      <c r="D7" s="20" t="s">
        <v>385</v>
      </c>
      <c r="E7" s="20" t="s">
        <v>235</v>
      </c>
      <c r="F7" s="77">
        <v>1</v>
      </c>
      <c r="G7" s="24"/>
      <c r="H7" s="37">
        <f>IF(ISBLANK(F7),1,F7)*G7</f>
        <v>0</v>
      </c>
      <c r="I7" s="37">
        <f>C7*H7</f>
        <v>0</v>
      </c>
    </row>
    <row r="8" spans="1:9" x14ac:dyDescent="0.2">
      <c r="A8" s="20" t="s">
        <v>386</v>
      </c>
      <c r="B8" s="20" t="s">
        <v>28</v>
      </c>
      <c r="C8" s="21">
        <f>IF(ISBLANK(B8),0,IF(ISERROR(VALUE(B8)),VLOOKUP(B8,dagsoorttabel1,2,FALSE)*dagenperjaar1,VALUE(B8)))</f>
        <v>1</v>
      </c>
      <c r="D8" s="20" t="s">
        <v>387</v>
      </c>
      <c r="E8" s="20" t="s">
        <v>235</v>
      </c>
      <c r="F8" s="77">
        <v>1</v>
      </c>
      <c r="G8" s="24"/>
      <c r="H8" s="37">
        <f>IF(ISBLANK(F8),1,F8)*G8</f>
        <v>0</v>
      </c>
      <c r="I8" s="37">
        <f>C8*H8</f>
        <v>0</v>
      </c>
    </row>
    <row r="9" spans="1:9" x14ac:dyDescent="0.2">
      <c r="A9" s="20" t="s">
        <v>388</v>
      </c>
      <c r="B9" s="20" t="s">
        <v>28</v>
      </c>
      <c r="C9" s="21">
        <f>IF(ISBLANK(B9),0,IF(ISERROR(VALUE(B9)),VLOOKUP(B9,dagsoorttabel1,2,FALSE)*dagenperjaar1,VALUE(B9)))</f>
        <v>1</v>
      </c>
      <c r="D9" s="20" t="s">
        <v>389</v>
      </c>
      <c r="E9" s="20" t="s">
        <v>235</v>
      </c>
      <c r="F9" s="77">
        <v>1</v>
      </c>
      <c r="G9" s="24"/>
      <c r="H9" s="37">
        <f>IF(ISBLANK(F9),1,F9)*G9</f>
        <v>0</v>
      </c>
      <c r="I9" s="37">
        <f>C9*H9</f>
        <v>0</v>
      </c>
    </row>
    <row r="10" spans="1:9" x14ac:dyDescent="0.2">
      <c r="A10" s="25" t="s">
        <v>390</v>
      </c>
      <c r="B10" s="25" t="s">
        <v>28</v>
      </c>
      <c r="C10" s="26">
        <f>IF(ISBLANK(B10),0,IF(ISERROR(VALUE(B10)),VLOOKUP(B10,dagsoorttabel1,2,FALSE)*dagenperjaar1,VALUE(B10)))</f>
        <v>1</v>
      </c>
      <c r="D10" s="25" t="s">
        <v>391</v>
      </c>
      <c r="E10" s="25" t="s">
        <v>235</v>
      </c>
      <c r="F10" s="78">
        <v>1</v>
      </c>
      <c r="G10" s="29"/>
      <c r="H10" s="41">
        <f>IF(ISBLANK(F10),1,F10)*G10</f>
        <v>0</v>
      </c>
      <c r="I10" s="41">
        <f>C10*H10</f>
        <v>0</v>
      </c>
    </row>
    <row r="11" spans="1:9" x14ac:dyDescent="0.2">
      <c r="A11" s="42" t="s">
        <v>142</v>
      </c>
      <c r="B11" s="43"/>
      <c r="C11" s="43"/>
      <c r="D11" s="43"/>
      <c r="E11" s="43"/>
      <c r="F11" s="43"/>
      <c r="G11" s="43"/>
      <c r="H11" s="43"/>
      <c r="I11" s="45">
        <f>SUM(I6:I10)</f>
        <v>0</v>
      </c>
    </row>
    <row r="13" spans="1:9" x14ac:dyDescent="0.2">
      <c r="A13" s="42" t="s">
        <v>392</v>
      </c>
      <c r="B13" s="43"/>
      <c r="C13" s="43"/>
      <c r="D13" s="43"/>
      <c r="E13" s="43"/>
      <c r="F13" s="43"/>
      <c r="G13" s="43"/>
      <c r="H13" s="43"/>
      <c r="I13" s="45">
        <f>prijsjaarleveringen1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79D7-5E76-4DCA-B75E-A896D24AD124}">
  <dimension ref="A1:F19"/>
  <sheetViews>
    <sheetView tabSelected="1" workbookViewId="0">
      <selection activeCell="A17" sqref="A17:XFD20"/>
    </sheetView>
  </sheetViews>
  <sheetFormatPr defaultRowHeight="12.75" x14ac:dyDescent="0.2"/>
  <cols>
    <col min="1" max="1" width="30.625" customWidth="1"/>
    <col min="2" max="6" width="20.625" customWidth="1"/>
  </cols>
  <sheetData>
    <row r="1" spans="1:6" x14ac:dyDescent="0.2">
      <c r="A1" s="1" t="str">
        <f>CONCATENATE("Bijlage H3.10: ",tabeltype," totaalblad schoonmaakwerk")</f>
        <v>Bijlage H3.10: Invultabel totaalblad schoonmaakwerk</v>
      </c>
    </row>
    <row r="3" spans="1:6" ht="25.5" x14ac:dyDescent="0.2">
      <c r="A3" s="8" t="s">
        <v>393</v>
      </c>
      <c r="B3" s="8" t="s">
        <v>394</v>
      </c>
      <c r="C3" s="8" t="s">
        <v>395</v>
      </c>
      <c r="D3" s="8" t="s">
        <v>396</v>
      </c>
      <c r="E3" s="8" t="s">
        <v>397</v>
      </c>
      <c r="F3" s="8" t="s">
        <v>398</v>
      </c>
    </row>
    <row r="4" spans="1:6" x14ac:dyDescent="0.2">
      <c r="A4" s="83" t="s">
        <v>399</v>
      </c>
      <c r="B4" s="30">
        <f>urenjaartotaaloverzicht</f>
        <v>0</v>
      </c>
      <c r="C4" s="30">
        <f>urenjaartotaaloverzichthf</f>
        <v>0</v>
      </c>
      <c r="D4" s="64"/>
      <c r="E4" s="33">
        <f>prijsjaartotaaloverzicht</f>
        <v>0</v>
      </c>
      <c r="F4" s="33">
        <f>E4*1.21</f>
        <v>0</v>
      </c>
    </row>
    <row r="5" spans="1:6" x14ac:dyDescent="0.2">
      <c r="A5" s="84" t="s">
        <v>400</v>
      </c>
      <c r="B5" s="67"/>
      <c r="C5" s="67"/>
      <c r="D5" s="34">
        <f>urenjaarnietmeewerkend</f>
        <v>0</v>
      </c>
      <c r="E5" s="37">
        <f>prijsjaarnietmeewerkend</f>
        <v>0</v>
      </c>
      <c r="F5" s="37">
        <f>E5*1.21</f>
        <v>0</v>
      </c>
    </row>
    <row r="6" spans="1:6" ht="25.5" x14ac:dyDescent="0.2">
      <c r="A6" s="84" t="s">
        <v>401</v>
      </c>
      <c r="B6" s="67"/>
      <c r="C6" s="67"/>
      <c r="D6" s="67"/>
      <c r="E6" s="37">
        <f>prijsjaarafroep</f>
        <v>0</v>
      </c>
      <c r="F6" s="37">
        <f>E6*1.21</f>
        <v>0</v>
      </c>
    </row>
    <row r="7" spans="1:6" x14ac:dyDescent="0.2">
      <c r="A7" s="84" t="s">
        <v>402</v>
      </c>
      <c r="B7" s="67"/>
      <c r="C7" s="67"/>
      <c r="D7" s="67"/>
      <c r="E7" s="37">
        <f>prijsjaarglas</f>
        <v>0</v>
      </c>
      <c r="F7" s="37">
        <f>E7*1.21</f>
        <v>0</v>
      </c>
    </row>
    <row r="8" spans="1:6" x14ac:dyDescent="0.2">
      <c r="A8" s="85" t="s">
        <v>405</v>
      </c>
      <c r="B8" s="86"/>
      <c r="C8" s="86"/>
      <c r="D8" s="86"/>
      <c r="E8" s="41">
        <f>prijsjaarleveringen</f>
        <v>0</v>
      </c>
      <c r="F8" s="41">
        <f>E8*1.21</f>
        <v>0</v>
      </c>
    </row>
    <row r="10" spans="1:6" x14ac:dyDescent="0.2">
      <c r="A10" s="8" t="s">
        <v>403</v>
      </c>
      <c r="B10" s="44">
        <f>SUM(B4:B8)</f>
        <v>0</v>
      </c>
      <c r="C10" s="44">
        <f>SUM(C4:C8)</f>
        <v>0</v>
      </c>
      <c r="D10" s="44">
        <f>SUM(D4:D8)</f>
        <v>0</v>
      </c>
      <c r="E10" s="45">
        <f>SUM(E4:E8)</f>
        <v>0</v>
      </c>
      <c r="F10" s="45">
        <f>E10*1.21</f>
        <v>0</v>
      </c>
    </row>
    <row r="12" spans="1:6" x14ac:dyDescent="0.2">
      <c r="A12" s="8" t="s">
        <v>404</v>
      </c>
      <c r="B12" s="87">
        <f>IF(B10&gt;0,D10/B10,0)</f>
        <v>0</v>
      </c>
    </row>
    <row r="17" spans="1:5" ht="15" x14ac:dyDescent="0.25">
      <c r="A17" s="88" t="s">
        <v>406</v>
      </c>
      <c r="B17" s="89"/>
      <c r="C17" s="89"/>
      <c r="D17" s="89"/>
      <c r="E17" s="90">
        <f>SUM(E4,E5,E7)</f>
        <v>0</v>
      </c>
    </row>
    <row r="18" spans="1:5" ht="15" x14ac:dyDescent="0.25">
      <c r="A18" s="89"/>
      <c r="B18" s="89"/>
      <c r="C18" s="89"/>
      <c r="D18" s="89"/>
      <c r="E18" s="89"/>
    </row>
    <row r="19" spans="1:5" ht="15" x14ac:dyDescent="0.25">
      <c r="A19" s="88" t="s">
        <v>407</v>
      </c>
      <c r="B19" s="89"/>
      <c r="C19" s="89"/>
      <c r="D19" s="89"/>
      <c r="E19" s="90">
        <f>SUM(E6,E8)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C61A-F4B1-4CCA-BE6C-C59B14AAB6F9}">
  <dimension ref="A1:H59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4.625" customWidth="1"/>
    <col min="4" max="4" width="50.625" customWidth="1"/>
    <col min="5" max="6" width="11.625" customWidth="1"/>
    <col min="7" max="7" width="9.625" customWidth="1"/>
    <col min="8" max="8" width="11.625" customWidth="1"/>
  </cols>
  <sheetData>
    <row r="1" spans="1:8" x14ac:dyDescent="0.2">
      <c r="A1" s="1" t="str">
        <f>CONCATENATE("Bijlage H3.1: ",tabeltype," categorienormen")</f>
        <v>Bijlage H3.1: Invultabel categorienormen</v>
      </c>
    </row>
    <row r="3" spans="1:8" ht="38.25" x14ac:dyDescent="0.2">
      <c r="A3" s="8" t="s">
        <v>29</v>
      </c>
      <c r="B3" s="8" t="s">
        <v>30</v>
      </c>
      <c r="C3" s="8" t="s">
        <v>31</v>
      </c>
      <c r="D3" s="8" t="s">
        <v>32</v>
      </c>
      <c r="E3" s="8" t="s">
        <v>33</v>
      </c>
      <c r="F3" s="8" t="s">
        <v>34</v>
      </c>
      <c r="G3" s="8" t="s">
        <v>35</v>
      </c>
      <c r="H3" s="8" t="s">
        <v>36</v>
      </c>
    </row>
    <row r="4" spans="1:8" x14ac:dyDescent="0.2">
      <c r="A4" s="9"/>
      <c r="B4" s="10"/>
      <c r="C4" s="10"/>
      <c r="D4" s="10"/>
      <c r="E4" s="10"/>
      <c r="F4" s="10"/>
      <c r="G4" s="10"/>
      <c r="H4" s="11"/>
    </row>
    <row r="5" spans="1:8" x14ac:dyDescent="0.2">
      <c r="A5" s="12" t="s">
        <v>37</v>
      </c>
      <c r="B5" s="13"/>
      <c r="C5" s="13"/>
      <c r="D5" s="13"/>
      <c r="E5" s="13"/>
      <c r="F5" s="13"/>
      <c r="G5" s="13"/>
      <c r="H5" s="14"/>
    </row>
    <row r="6" spans="1:8" x14ac:dyDescent="0.2">
      <c r="A6" s="15" t="s">
        <v>38</v>
      </c>
      <c r="B6" s="16" t="s">
        <v>39</v>
      </c>
      <c r="C6" s="15">
        <v>1</v>
      </c>
      <c r="D6" s="15" t="s">
        <v>40</v>
      </c>
      <c r="E6" s="17"/>
      <c r="F6" s="18"/>
      <c r="G6" s="15" t="s">
        <v>41</v>
      </c>
      <c r="H6" s="19"/>
    </row>
    <row r="7" spans="1:8" x14ac:dyDescent="0.2">
      <c r="A7" s="20" t="s">
        <v>42</v>
      </c>
      <c r="B7" s="21" t="s">
        <v>39</v>
      </c>
      <c r="C7" s="20">
        <v>1</v>
      </c>
      <c r="D7" s="20" t="s">
        <v>43</v>
      </c>
      <c r="E7" s="22"/>
      <c r="F7" s="23"/>
      <c r="G7" s="20" t="s">
        <v>41</v>
      </c>
      <c r="H7" s="24"/>
    </row>
    <row r="8" spans="1:8" x14ac:dyDescent="0.2">
      <c r="A8" s="20" t="s">
        <v>44</v>
      </c>
      <c r="B8" s="21" t="s">
        <v>39</v>
      </c>
      <c r="C8" s="20">
        <v>1</v>
      </c>
      <c r="D8" s="20" t="s">
        <v>45</v>
      </c>
      <c r="E8" s="22"/>
      <c r="F8" s="23"/>
      <c r="G8" s="20" t="s">
        <v>41</v>
      </c>
      <c r="H8" s="24"/>
    </row>
    <row r="9" spans="1:8" x14ac:dyDescent="0.2">
      <c r="A9" s="20" t="s">
        <v>46</v>
      </c>
      <c r="B9" s="21" t="s">
        <v>39</v>
      </c>
      <c r="C9" s="20">
        <v>40</v>
      </c>
      <c r="D9" s="20" t="s">
        <v>47</v>
      </c>
      <c r="E9" s="22"/>
      <c r="F9" s="23"/>
      <c r="G9" s="20" t="s">
        <v>41</v>
      </c>
      <c r="H9" s="24"/>
    </row>
    <row r="10" spans="1:8" x14ac:dyDescent="0.2">
      <c r="A10" s="20" t="s">
        <v>48</v>
      </c>
      <c r="B10" s="21" t="s">
        <v>39</v>
      </c>
      <c r="C10" s="20">
        <v>40</v>
      </c>
      <c r="D10" s="20" t="s">
        <v>49</v>
      </c>
      <c r="E10" s="22"/>
      <c r="F10" s="23"/>
      <c r="G10" s="20" t="s">
        <v>41</v>
      </c>
      <c r="H10" s="24"/>
    </row>
    <row r="11" spans="1:8" x14ac:dyDescent="0.2">
      <c r="A11" s="20" t="s">
        <v>50</v>
      </c>
      <c r="B11" s="21" t="s">
        <v>39</v>
      </c>
      <c r="C11" s="20">
        <v>40</v>
      </c>
      <c r="D11" s="20" t="s">
        <v>51</v>
      </c>
      <c r="E11" s="22"/>
      <c r="F11" s="23"/>
      <c r="G11" s="20" t="s">
        <v>41</v>
      </c>
      <c r="H11" s="24"/>
    </row>
    <row r="12" spans="1:8" x14ac:dyDescent="0.2">
      <c r="A12" s="20" t="s">
        <v>52</v>
      </c>
      <c r="B12" s="21" t="s">
        <v>39</v>
      </c>
      <c r="C12" s="20">
        <v>1</v>
      </c>
      <c r="D12" s="20" t="s">
        <v>53</v>
      </c>
      <c r="E12" s="22"/>
      <c r="F12" s="23"/>
      <c r="G12" s="20" t="s">
        <v>41</v>
      </c>
      <c r="H12" s="24"/>
    </row>
    <row r="13" spans="1:8" x14ac:dyDescent="0.2">
      <c r="A13" s="20" t="s">
        <v>54</v>
      </c>
      <c r="B13" s="21" t="s">
        <v>39</v>
      </c>
      <c r="C13" s="20">
        <v>40</v>
      </c>
      <c r="D13" s="20" t="s">
        <v>55</v>
      </c>
      <c r="E13" s="22"/>
      <c r="F13" s="23"/>
      <c r="G13" s="20" t="s">
        <v>41</v>
      </c>
      <c r="H13" s="24"/>
    </row>
    <row r="14" spans="1:8" x14ac:dyDescent="0.2">
      <c r="A14" s="20" t="s">
        <v>56</v>
      </c>
      <c r="B14" s="21" t="s">
        <v>57</v>
      </c>
      <c r="C14" s="20">
        <v>1</v>
      </c>
      <c r="D14" s="20" t="s">
        <v>58</v>
      </c>
      <c r="E14" s="22"/>
      <c r="F14" s="23"/>
      <c r="G14" s="20" t="s">
        <v>41</v>
      </c>
      <c r="H14" s="24"/>
    </row>
    <row r="15" spans="1:8" x14ac:dyDescent="0.2">
      <c r="A15" s="20" t="s">
        <v>59</v>
      </c>
      <c r="B15" s="21" t="s">
        <v>57</v>
      </c>
      <c r="C15" s="20">
        <v>40</v>
      </c>
      <c r="D15" s="20" t="s">
        <v>60</v>
      </c>
      <c r="E15" s="22"/>
      <c r="F15" s="23"/>
      <c r="G15" s="20" t="s">
        <v>41</v>
      </c>
      <c r="H15" s="24"/>
    </row>
    <row r="16" spans="1:8" x14ac:dyDescent="0.2">
      <c r="A16" s="20" t="s">
        <v>61</v>
      </c>
      <c r="B16" s="21" t="s">
        <v>62</v>
      </c>
      <c r="C16" s="20">
        <v>1</v>
      </c>
      <c r="D16" s="20" t="s">
        <v>63</v>
      </c>
      <c r="E16" s="22"/>
      <c r="F16" s="23"/>
      <c r="G16" s="20" t="s">
        <v>41</v>
      </c>
      <c r="H16" s="24"/>
    </row>
    <row r="17" spans="1:8" x14ac:dyDescent="0.2">
      <c r="A17" s="20" t="s">
        <v>64</v>
      </c>
      <c r="B17" s="21" t="s">
        <v>62</v>
      </c>
      <c r="C17" s="20">
        <v>40</v>
      </c>
      <c r="D17" s="20" t="s">
        <v>65</v>
      </c>
      <c r="E17" s="22"/>
      <c r="F17" s="23"/>
      <c r="G17" s="20" t="s">
        <v>41</v>
      </c>
      <c r="H17" s="24"/>
    </row>
    <row r="18" spans="1:8" x14ac:dyDescent="0.2">
      <c r="A18" s="20" t="s">
        <v>66</v>
      </c>
      <c r="B18" s="21" t="s">
        <v>67</v>
      </c>
      <c r="C18" s="20">
        <v>1</v>
      </c>
      <c r="D18" s="20" t="s">
        <v>68</v>
      </c>
      <c r="E18" s="22"/>
      <c r="F18" s="23"/>
      <c r="G18" s="20" t="s">
        <v>41</v>
      </c>
      <c r="H18" s="24"/>
    </row>
    <row r="19" spans="1:8" x14ac:dyDescent="0.2">
      <c r="A19" s="20" t="s">
        <v>69</v>
      </c>
      <c r="B19" s="21" t="s">
        <v>67</v>
      </c>
      <c r="C19" s="20">
        <v>1</v>
      </c>
      <c r="D19" s="20" t="s">
        <v>70</v>
      </c>
      <c r="E19" s="22"/>
      <c r="F19" s="23"/>
      <c r="G19" s="20" t="s">
        <v>41</v>
      </c>
      <c r="H19" s="24"/>
    </row>
    <row r="20" spans="1:8" x14ac:dyDescent="0.2">
      <c r="A20" s="20" t="s">
        <v>71</v>
      </c>
      <c r="B20" s="21" t="s">
        <v>67</v>
      </c>
      <c r="C20" s="20">
        <v>1</v>
      </c>
      <c r="D20" s="20" t="s">
        <v>72</v>
      </c>
      <c r="E20" s="22"/>
      <c r="F20" s="23"/>
      <c r="G20" s="20" t="s">
        <v>41</v>
      </c>
      <c r="H20" s="24"/>
    </row>
    <row r="21" spans="1:8" x14ac:dyDescent="0.2">
      <c r="A21" s="20" t="s">
        <v>73</v>
      </c>
      <c r="B21" s="21" t="s">
        <v>67</v>
      </c>
      <c r="C21" s="20">
        <v>40</v>
      </c>
      <c r="D21" s="20" t="s">
        <v>74</v>
      </c>
      <c r="E21" s="22"/>
      <c r="F21" s="23"/>
      <c r="G21" s="20" t="s">
        <v>41</v>
      </c>
      <c r="H21" s="24"/>
    </row>
    <row r="22" spans="1:8" x14ac:dyDescent="0.2">
      <c r="A22" s="20" t="s">
        <v>75</v>
      </c>
      <c r="B22" s="21" t="s">
        <v>67</v>
      </c>
      <c r="C22" s="20">
        <v>40</v>
      </c>
      <c r="D22" s="20" t="s">
        <v>76</v>
      </c>
      <c r="E22" s="22"/>
      <c r="F22" s="23"/>
      <c r="G22" s="20" t="s">
        <v>41</v>
      </c>
      <c r="H22" s="24"/>
    </row>
    <row r="23" spans="1:8" x14ac:dyDescent="0.2">
      <c r="A23" s="20" t="s">
        <v>77</v>
      </c>
      <c r="B23" s="21" t="s">
        <v>67</v>
      </c>
      <c r="C23" s="20">
        <v>40</v>
      </c>
      <c r="D23" s="20" t="s">
        <v>78</v>
      </c>
      <c r="E23" s="22"/>
      <c r="F23" s="23"/>
      <c r="G23" s="20" t="s">
        <v>41</v>
      </c>
      <c r="H23" s="24"/>
    </row>
    <row r="24" spans="1:8" x14ac:dyDescent="0.2">
      <c r="A24" s="20" t="s">
        <v>79</v>
      </c>
      <c r="B24" s="21" t="s">
        <v>67</v>
      </c>
      <c r="C24" s="20">
        <v>1</v>
      </c>
      <c r="D24" s="20" t="s">
        <v>80</v>
      </c>
      <c r="E24" s="22"/>
      <c r="F24" s="23"/>
      <c r="G24" s="20" t="s">
        <v>41</v>
      </c>
      <c r="H24" s="24"/>
    </row>
    <row r="25" spans="1:8" x14ac:dyDescent="0.2">
      <c r="A25" s="20" t="s">
        <v>81</v>
      </c>
      <c r="B25" s="21" t="s">
        <v>67</v>
      </c>
      <c r="C25" s="20">
        <v>1</v>
      </c>
      <c r="D25" s="20" t="s">
        <v>82</v>
      </c>
      <c r="E25" s="22"/>
      <c r="F25" s="23"/>
      <c r="G25" s="20" t="s">
        <v>41</v>
      </c>
      <c r="H25" s="24"/>
    </row>
    <row r="26" spans="1:8" x14ac:dyDescent="0.2">
      <c r="A26" s="20" t="s">
        <v>83</v>
      </c>
      <c r="B26" s="21" t="s">
        <v>67</v>
      </c>
      <c r="C26" s="20">
        <v>40</v>
      </c>
      <c r="D26" s="20" t="s">
        <v>84</v>
      </c>
      <c r="E26" s="22"/>
      <c r="F26" s="23"/>
      <c r="G26" s="20" t="s">
        <v>41</v>
      </c>
      <c r="H26" s="24"/>
    </row>
    <row r="27" spans="1:8" x14ac:dyDescent="0.2">
      <c r="A27" s="20" t="s">
        <v>85</v>
      </c>
      <c r="B27" s="21" t="s">
        <v>67</v>
      </c>
      <c r="C27" s="20">
        <v>40</v>
      </c>
      <c r="D27" s="20" t="s">
        <v>86</v>
      </c>
      <c r="E27" s="22"/>
      <c r="F27" s="23"/>
      <c r="G27" s="20" t="s">
        <v>41</v>
      </c>
      <c r="H27" s="24"/>
    </row>
    <row r="28" spans="1:8" x14ac:dyDescent="0.2">
      <c r="A28" s="25" t="s">
        <v>87</v>
      </c>
      <c r="B28" s="26" t="s">
        <v>88</v>
      </c>
      <c r="C28" s="25">
        <v>1</v>
      </c>
      <c r="D28" s="25" t="s">
        <v>89</v>
      </c>
      <c r="E28" s="27"/>
      <c r="F28" s="28"/>
      <c r="G28" s="25" t="s">
        <v>41</v>
      </c>
      <c r="H28" s="29"/>
    </row>
    <row r="29" spans="1:8" x14ac:dyDescent="0.2">
      <c r="A29" s="9"/>
      <c r="B29" s="10"/>
      <c r="C29" s="10"/>
      <c r="D29" s="10"/>
      <c r="E29" s="10"/>
      <c r="F29" s="10"/>
      <c r="G29" s="10"/>
      <c r="H29" s="11"/>
    </row>
    <row r="30" spans="1:8" x14ac:dyDescent="0.2">
      <c r="A30" s="12" t="s">
        <v>90</v>
      </c>
      <c r="B30" s="13"/>
      <c r="C30" s="13"/>
      <c r="D30" s="13"/>
      <c r="E30" s="13"/>
      <c r="F30" s="13"/>
      <c r="G30" s="13"/>
      <c r="H30" s="14"/>
    </row>
    <row r="31" spans="1:8" x14ac:dyDescent="0.2">
      <c r="A31" s="15" t="s">
        <v>91</v>
      </c>
      <c r="B31" s="16" t="s">
        <v>39</v>
      </c>
      <c r="C31" s="15">
        <v>1</v>
      </c>
      <c r="D31" s="15" t="s">
        <v>40</v>
      </c>
      <c r="E31" s="17"/>
      <c r="F31" s="18"/>
      <c r="G31" s="15" t="s">
        <v>41</v>
      </c>
      <c r="H31" s="19"/>
    </row>
    <row r="32" spans="1:8" x14ac:dyDescent="0.2">
      <c r="A32" s="20" t="s">
        <v>92</v>
      </c>
      <c r="B32" s="21" t="s">
        <v>39</v>
      </c>
      <c r="C32" s="20">
        <v>10</v>
      </c>
      <c r="D32" s="20" t="s">
        <v>47</v>
      </c>
      <c r="E32" s="22"/>
      <c r="F32" s="23"/>
      <c r="G32" s="20" t="s">
        <v>41</v>
      </c>
      <c r="H32" s="24"/>
    </row>
    <row r="33" spans="1:8" x14ac:dyDescent="0.2">
      <c r="A33" s="20" t="s">
        <v>92</v>
      </c>
      <c r="B33" s="21" t="s">
        <v>39</v>
      </c>
      <c r="C33" s="20">
        <v>2</v>
      </c>
      <c r="D33" s="20" t="s">
        <v>47</v>
      </c>
      <c r="E33" s="22"/>
      <c r="F33" s="23"/>
      <c r="G33" s="20" t="s">
        <v>41</v>
      </c>
      <c r="H33" s="24"/>
    </row>
    <row r="34" spans="1:8" x14ac:dyDescent="0.2">
      <c r="A34" s="20" t="s">
        <v>93</v>
      </c>
      <c r="B34" s="21" t="s">
        <v>39</v>
      </c>
      <c r="C34" s="20">
        <v>1</v>
      </c>
      <c r="D34" s="20" t="s">
        <v>53</v>
      </c>
      <c r="E34" s="22"/>
      <c r="F34" s="23"/>
      <c r="G34" s="20" t="s">
        <v>41</v>
      </c>
      <c r="H34" s="24"/>
    </row>
    <row r="35" spans="1:8" x14ac:dyDescent="0.2">
      <c r="A35" s="20" t="s">
        <v>94</v>
      </c>
      <c r="B35" s="21" t="s">
        <v>39</v>
      </c>
      <c r="C35" s="20">
        <v>2</v>
      </c>
      <c r="D35" s="20" t="s">
        <v>55</v>
      </c>
      <c r="E35" s="22"/>
      <c r="F35" s="23"/>
      <c r="G35" s="20" t="s">
        <v>41</v>
      </c>
      <c r="H35" s="24"/>
    </row>
    <row r="36" spans="1:8" x14ac:dyDescent="0.2">
      <c r="A36" s="20" t="s">
        <v>94</v>
      </c>
      <c r="B36" s="21" t="s">
        <v>39</v>
      </c>
      <c r="C36" s="20">
        <v>5</v>
      </c>
      <c r="D36" s="20" t="s">
        <v>55</v>
      </c>
      <c r="E36" s="22"/>
      <c r="F36" s="23"/>
      <c r="G36" s="20" t="s">
        <v>41</v>
      </c>
      <c r="H36" s="24"/>
    </row>
    <row r="37" spans="1:8" x14ac:dyDescent="0.2">
      <c r="A37" s="20" t="s">
        <v>94</v>
      </c>
      <c r="B37" s="21" t="s">
        <v>39</v>
      </c>
      <c r="C37" s="20">
        <v>10</v>
      </c>
      <c r="D37" s="20" t="s">
        <v>55</v>
      </c>
      <c r="E37" s="22"/>
      <c r="F37" s="23"/>
      <c r="G37" s="20" t="s">
        <v>41</v>
      </c>
      <c r="H37" s="24"/>
    </row>
    <row r="38" spans="1:8" x14ac:dyDescent="0.2">
      <c r="A38" s="20" t="s">
        <v>95</v>
      </c>
      <c r="B38" s="21" t="s">
        <v>39</v>
      </c>
      <c r="C38" s="20">
        <v>1</v>
      </c>
      <c r="D38" s="20" t="s">
        <v>43</v>
      </c>
      <c r="E38" s="22"/>
      <c r="F38" s="23"/>
      <c r="G38" s="20" t="s">
        <v>41</v>
      </c>
      <c r="H38" s="24"/>
    </row>
    <row r="39" spans="1:8" x14ac:dyDescent="0.2">
      <c r="A39" s="20" t="s">
        <v>96</v>
      </c>
      <c r="B39" s="21" t="s">
        <v>39</v>
      </c>
      <c r="C39" s="20">
        <v>10</v>
      </c>
      <c r="D39" s="20" t="s">
        <v>49</v>
      </c>
      <c r="E39" s="22"/>
      <c r="F39" s="23"/>
      <c r="G39" s="20" t="s">
        <v>41</v>
      </c>
      <c r="H39" s="24"/>
    </row>
    <row r="40" spans="1:8" x14ac:dyDescent="0.2">
      <c r="A40" s="20" t="s">
        <v>96</v>
      </c>
      <c r="B40" s="21" t="s">
        <v>39</v>
      </c>
      <c r="C40" s="20">
        <v>5</v>
      </c>
      <c r="D40" s="20" t="s">
        <v>49</v>
      </c>
      <c r="E40" s="22"/>
      <c r="F40" s="23"/>
      <c r="G40" s="20" t="s">
        <v>41</v>
      </c>
      <c r="H40" s="24"/>
    </row>
    <row r="41" spans="1:8" x14ac:dyDescent="0.2">
      <c r="A41" s="20" t="s">
        <v>96</v>
      </c>
      <c r="B41" s="21" t="s">
        <v>39</v>
      </c>
      <c r="C41" s="20">
        <v>2</v>
      </c>
      <c r="D41" s="20" t="s">
        <v>49</v>
      </c>
      <c r="E41" s="22"/>
      <c r="F41" s="23"/>
      <c r="G41" s="20" t="s">
        <v>41</v>
      </c>
      <c r="H41" s="24"/>
    </row>
    <row r="42" spans="1:8" x14ac:dyDescent="0.2">
      <c r="A42" s="20" t="s">
        <v>97</v>
      </c>
      <c r="B42" s="21" t="s">
        <v>62</v>
      </c>
      <c r="C42" s="20">
        <v>1</v>
      </c>
      <c r="D42" s="20" t="s">
        <v>63</v>
      </c>
      <c r="E42" s="22"/>
      <c r="F42" s="23"/>
      <c r="G42" s="20" t="s">
        <v>41</v>
      </c>
      <c r="H42" s="24"/>
    </row>
    <row r="43" spans="1:8" x14ac:dyDescent="0.2">
      <c r="A43" s="20" t="s">
        <v>98</v>
      </c>
      <c r="B43" s="21" t="s">
        <v>62</v>
      </c>
      <c r="C43" s="20">
        <v>5</v>
      </c>
      <c r="D43" s="20" t="s">
        <v>65</v>
      </c>
      <c r="E43" s="22"/>
      <c r="F43" s="23"/>
      <c r="G43" s="20" t="s">
        <v>41</v>
      </c>
      <c r="H43" s="24"/>
    </row>
    <row r="44" spans="1:8" x14ac:dyDescent="0.2">
      <c r="A44" s="20" t="s">
        <v>98</v>
      </c>
      <c r="B44" s="21" t="s">
        <v>62</v>
      </c>
      <c r="C44" s="20">
        <v>10</v>
      </c>
      <c r="D44" s="20" t="s">
        <v>65</v>
      </c>
      <c r="E44" s="22"/>
      <c r="F44" s="23"/>
      <c r="G44" s="20" t="s">
        <v>41</v>
      </c>
      <c r="H44" s="24"/>
    </row>
    <row r="45" spans="1:8" x14ac:dyDescent="0.2">
      <c r="A45" s="20" t="s">
        <v>98</v>
      </c>
      <c r="B45" s="21" t="s">
        <v>62</v>
      </c>
      <c r="C45" s="20">
        <v>2</v>
      </c>
      <c r="D45" s="20" t="s">
        <v>65</v>
      </c>
      <c r="E45" s="22"/>
      <c r="F45" s="23"/>
      <c r="G45" s="20" t="s">
        <v>41</v>
      </c>
      <c r="H45" s="24"/>
    </row>
    <row r="46" spans="1:8" x14ac:dyDescent="0.2">
      <c r="A46" s="20" t="s">
        <v>99</v>
      </c>
      <c r="B46" s="21" t="s">
        <v>67</v>
      </c>
      <c r="C46" s="20">
        <v>1</v>
      </c>
      <c r="D46" s="20" t="s">
        <v>68</v>
      </c>
      <c r="E46" s="22"/>
      <c r="F46" s="23"/>
      <c r="G46" s="20" t="s">
        <v>41</v>
      </c>
      <c r="H46" s="24"/>
    </row>
    <row r="47" spans="1:8" x14ac:dyDescent="0.2">
      <c r="A47" s="20" t="s">
        <v>100</v>
      </c>
      <c r="B47" s="21" t="s">
        <v>67</v>
      </c>
      <c r="C47" s="20">
        <v>5</v>
      </c>
      <c r="D47" s="20" t="s">
        <v>74</v>
      </c>
      <c r="E47" s="22"/>
      <c r="F47" s="23"/>
      <c r="G47" s="20" t="s">
        <v>41</v>
      </c>
      <c r="H47" s="24"/>
    </row>
    <row r="48" spans="1:8" x14ac:dyDescent="0.2">
      <c r="A48" s="20" t="s">
        <v>100</v>
      </c>
      <c r="B48" s="21" t="s">
        <v>67</v>
      </c>
      <c r="C48" s="20">
        <v>2</v>
      </c>
      <c r="D48" s="20" t="s">
        <v>74</v>
      </c>
      <c r="E48" s="22"/>
      <c r="F48" s="23"/>
      <c r="G48" s="20" t="s">
        <v>41</v>
      </c>
      <c r="H48" s="24"/>
    </row>
    <row r="49" spans="1:8" x14ac:dyDescent="0.2">
      <c r="A49" s="20" t="s">
        <v>101</v>
      </c>
      <c r="B49" s="21" t="s">
        <v>67</v>
      </c>
      <c r="C49" s="20">
        <v>1</v>
      </c>
      <c r="D49" s="20" t="s">
        <v>70</v>
      </c>
      <c r="E49" s="22"/>
      <c r="F49" s="23"/>
      <c r="G49" s="20" t="s">
        <v>41</v>
      </c>
      <c r="H49" s="24"/>
    </row>
    <row r="50" spans="1:8" x14ac:dyDescent="0.2">
      <c r="A50" s="20" t="s">
        <v>102</v>
      </c>
      <c r="B50" s="21" t="s">
        <v>67</v>
      </c>
      <c r="C50" s="20">
        <v>5</v>
      </c>
      <c r="D50" s="20" t="s">
        <v>76</v>
      </c>
      <c r="E50" s="22"/>
      <c r="F50" s="23"/>
      <c r="G50" s="20" t="s">
        <v>41</v>
      </c>
      <c r="H50" s="24"/>
    </row>
    <row r="51" spans="1:8" x14ac:dyDescent="0.2">
      <c r="A51" s="20" t="s">
        <v>103</v>
      </c>
      <c r="B51" s="21" t="s">
        <v>67</v>
      </c>
      <c r="C51" s="20">
        <v>1</v>
      </c>
      <c r="D51" s="20" t="s">
        <v>80</v>
      </c>
      <c r="E51" s="22"/>
      <c r="F51" s="23"/>
      <c r="G51" s="20" t="s">
        <v>41</v>
      </c>
      <c r="H51" s="24"/>
    </row>
    <row r="52" spans="1:8" x14ac:dyDescent="0.2">
      <c r="A52" s="20" t="s">
        <v>104</v>
      </c>
      <c r="B52" s="21" t="s">
        <v>67</v>
      </c>
      <c r="C52" s="20">
        <v>5</v>
      </c>
      <c r="D52" s="20" t="s">
        <v>84</v>
      </c>
      <c r="E52" s="22"/>
      <c r="F52" s="23"/>
      <c r="G52" s="20" t="s">
        <v>41</v>
      </c>
      <c r="H52" s="24"/>
    </row>
    <row r="53" spans="1:8" x14ac:dyDescent="0.2">
      <c r="A53" s="20" t="s">
        <v>105</v>
      </c>
      <c r="B53" s="21" t="s">
        <v>67</v>
      </c>
      <c r="C53" s="20">
        <v>1</v>
      </c>
      <c r="D53" s="20" t="s">
        <v>72</v>
      </c>
      <c r="E53" s="22"/>
      <c r="F53" s="23"/>
      <c r="G53" s="20" t="s">
        <v>41</v>
      </c>
      <c r="H53" s="24"/>
    </row>
    <row r="54" spans="1:8" x14ac:dyDescent="0.2">
      <c r="A54" s="20" t="s">
        <v>106</v>
      </c>
      <c r="B54" s="21" t="s">
        <v>67</v>
      </c>
      <c r="C54" s="20">
        <v>10</v>
      </c>
      <c r="D54" s="20" t="s">
        <v>78</v>
      </c>
      <c r="E54" s="22"/>
      <c r="F54" s="23"/>
      <c r="G54" s="20" t="s">
        <v>41</v>
      </c>
      <c r="H54" s="24"/>
    </row>
    <row r="55" spans="1:8" x14ac:dyDescent="0.2">
      <c r="A55" s="20" t="s">
        <v>106</v>
      </c>
      <c r="B55" s="21" t="s">
        <v>67</v>
      </c>
      <c r="C55" s="20">
        <v>5</v>
      </c>
      <c r="D55" s="20" t="s">
        <v>78</v>
      </c>
      <c r="E55" s="22"/>
      <c r="F55" s="23"/>
      <c r="G55" s="20" t="s">
        <v>41</v>
      </c>
      <c r="H55" s="24"/>
    </row>
    <row r="56" spans="1:8" x14ac:dyDescent="0.2">
      <c r="A56" s="20" t="s">
        <v>106</v>
      </c>
      <c r="B56" s="21" t="s">
        <v>67</v>
      </c>
      <c r="C56" s="20">
        <v>2</v>
      </c>
      <c r="D56" s="20" t="s">
        <v>78</v>
      </c>
      <c r="E56" s="22"/>
      <c r="F56" s="23"/>
      <c r="G56" s="20" t="s">
        <v>41</v>
      </c>
      <c r="H56" s="24"/>
    </row>
    <row r="57" spans="1:8" x14ac:dyDescent="0.2">
      <c r="A57" s="20" t="s">
        <v>107</v>
      </c>
      <c r="B57" s="21" t="s">
        <v>67</v>
      </c>
      <c r="C57" s="20">
        <v>1</v>
      </c>
      <c r="D57" s="20" t="s">
        <v>82</v>
      </c>
      <c r="E57" s="22"/>
      <c r="F57" s="23"/>
      <c r="G57" s="20" t="s">
        <v>41</v>
      </c>
      <c r="H57" s="24"/>
    </row>
    <row r="58" spans="1:8" x14ac:dyDescent="0.2">
      <c r="A58" s="20" t="s">
        <v>108</v>
      </c>
      <c r="B58" s="21" t="s">
        <v>67</v>
      </c>
      <c r="C58" s="20">
        <v>2</v>
      </c>
      <c r="D58" s="20" t="s">
        <v>86</v>
      </c>
      <c r="E58" s="22"/>
      <c r="F58" s="23"/>
      <c r="G58" s="20" t="s">
        <v>41</v>
      </c>
      <c r="H58" s="24"/>
    </row>
    <row r="59" spans="1:8" x14ac:dyDescent="0.2">
      <c r="A59" s="25" t="s">
        <v>108</v>
      </c>
      <c r="B59" s="26" t="s">
        <v>67</v>
      </c>
      <c r="C59" s="25">
        <v>10</v>
      </c>
      <c r="D59" s="25" t="s">
        <v>86</v>
      </c>
      <c r="E59" s="27"/>
      <c r="F59" s="28"/>
      <c r="G59" s="25" t="s">
        <v>41</v>
      </c>
      <c r="H59" s="29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EA15-8CFD-44C7-8FB7-C4638B530CB3}">
  <dimension ref="A1:N53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12.625" customWidth="1"/>
    <col min="4" max="4" width="35.625" customWidth="1"/>
    <col min="5" max="5" width="12.625" customWidth="1"/>
    <col min="6" max="8" width="11.625" customWidth="1"/>
    <col min="9" max="9" width="9.625" customWidth="1"/>
    <col min="10" max="12" width="11.625" customWidth="1"/>
    <col min="13" max="13" width="12.625" customWidth="1"/>
    <col min="14" max="14" width="14.625" customWidth="1"/>
  </cols>
  <sheetData>
    <row r="1" spans="1:14" x14ac:dyDescent="0.2">
      <c r="A1" s="1" t="str">
        <f>CONCATENATE("Bijlage H3.2: ",tabeltype," regulier werk")</f>
        <v>Bijlage H3.2: Invultabel regulier werk</v>
      </c>
    </row>
    <row r="3" spans="1:14" ht="38.25" x14ac:dyDescent="0.2">
      <c r="A3" s="8" t="s">
        <v>109</v>
      </c>
      <c r="B3" s="8" t="s">
        <v>7</v>
      </c>
      <c r="C3" s="8" t="s">
        <v>110</v>
      </c>
      <c r="D3" s="8" t="s">
        <v>32</v>
      </c>
      <c r="E3" s="8" t="s">
        <v>111</v>
      </c>
      <c r="F3" s="8" t="s">
        <v>112</v>
      </c>
      <c r="G3" s="8" t="s">
        <v>33</v>
      </c>
      <c r="H3" s="8" t="s">
        <v>34</v>
      </c>
      <c r="I3" s="8" t="s">
        <v>35</v>
      </c>
      <c r="J3" s="8" t="s">
        <v>36</v>
      </c>
      <c r="K3" s="8" t="s">
        <v>113</v>
      </c>
      <c r="L3" s="8" t="s">
        <v>114</v>
      </c>
      <c r="M3" s="8" t="s">
        <v>115</v>
      </c>
      <c r="N3" s="8" t="s">
        <v>116</v>
      </c>
    </row>
    <row r="4" spans="1:14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x14ac:dyDescent="0.2">
      <c r="A6" s="15" t="s">
        <v>117</v>
      </c>
      <c r="B6" s="15" t="s">
        <v>13</v>
      </c>
      <c r="C6" s="15" t="s">
        <v>118</v>
      </c>
      <c r="D6" s="15" t="s">
        <v>119</v>
      </c>
      <c r="E6" s="30">
        <v>37.159999999999997</v>
      </c>
      <c r="F6" s="30">
        <f t="shared" ref="F6:F19" si="0">E6*VLOOKUP(B6,dagsoorttabel1,2,FALSE)</f>
        <v>17.487058823529409</v>
      </c>
      <c r="G6" s="31">
        <f>IF(AND(catpn_1_BHB_1&gt;0,catpn_1_BHV_40&gt;0),(dagenperjaar1*VLOOKUP(B6,dagsoorttabel1,2,FALSE))/(((dagenperjaar1*VLOOKUP(B6,dagsoorttabel1,2,FALSE))-catfd_1_BHV_40)/catpn_1_BHB_1+catfd_1_BHV_40/catpn_1_BHV_40),0)</f>
        <v>0</v>
      </c>
      <c r="H6" s="32">
        <f>IF(AND(catpn_1_BHB_1&gt;0,catpn_1_BHV_40&gt;0),(catdw_1_BHB_1*((dagenperjaar1*VLOOKUP(B6,dagsoorttabel1,2,FALSE))-catfd_1_BHV_40)/catpn_1_BHB_1+catdw_1_BHV_40*catfd_1_BHV_40/catpn_1_BHV_40)/(((dagenperjaar1*VLOOKUP(B6,dagsoorttabel1,2,FALSE))-catfd_1_BHV_40)/catpn_1_BHB_1+catfd_1_BHV_40/catpn_1_BHV_40),0)</f>
        <v>0</v>
      </c>
      <c r="I6" s="15" t="s">
        <v>41</v>
      </c>
      <c r="J6" s="33">
        <f>IF(AND(catpn_1_BHB_1&gt;0,catpn_1_BHV_40&gt;0),(cattf_1_BHB_1*((dagenperjaar1*VLOOKUP(B6,dagsoorttabel1,2,FALSE))-catfd_1_BHV_40)/catpn_1_BHB_1+cattf_1_BHV_40*catfd_1_BHV_40/catpn_1_BHV_40)/(((dagenperjaar1*VLOOKUP(B6,dagsoorttabel1,2,FALSE))-catfd_1_BHV_40)/catpn_1_BHB_1+catfd_1_BHV_40/catpn_1_BHV_40),0)</f>
        <v>0</v>
      </c>
      <c r="K6" s="30">
        <f t="shared" ref="K6:K19" si="1">IF(OR(ISBLANK(G6),G6=0),0,F6/G6)</f>
        <v>0</v>
      </c>
      <c r="L6" s="33">
        <f t="shared" ref="L6:L19" si="2">J6*K6</f>
        <v>0</v>
      </c>
      <c r="M6" s="30">
        <f t="shared" ref="M6:M19" si="3">K6*dagenperjaar1</f>
        <v>0</v>
      </c>
      <c r="N6" s="33">
        <f t="shared" ref="N6:N19" si="4">M6*J6</f>
        <v>0</v>
      </c>
    </row>
    <row r="7" spans="1:14" x14ac:dyDescent="0.2">
      <c r="A7" s="20" t="s">
        <v>117</v>
      </c>
      <c r="B7" s="20" t="s">
        <v>11</v>
      </c>
      <c r="C7" s="20" t="s">
        <v>118</v>
      </c>
      <c r="D7" s="20" t="s">
        <v>119</v>
      </c>
      <c r="E7" s="34">
        <v>53.08</v>
      </c>
      <c r="F7" s="34">
        <f t="shared" si="0"/>
        <v>41.631372549019609</v>
      </c>
      <c r="G7" s="35">
        <f>IF(AND(catpn_1_BHB_1&gt;0,catpn_1_BHV_40&gt;0),(dagenperjaar1*VLOOKUP(B7,dagsoorttabel1,2,FALSE))/(((dagenperjaar1*VLOOKUP(B7,dagsoorttabel1,2,FALSE))-catfd_1_BHV_40)/catpn_1_BHB_1+catfd_1_BHV_40/catpn_1_BHV_40),0)</f>
        <v>0</v>
      </c>
      <c r="H7" s="36">
        <f>IF(AND(catpn_1_BHB_1&gt;0,catpn_1_BHV_40&gt;0),(catdw_1_BHB_1*((dagenperjaar1*VLOOKUP(B7,dagsoorttabel1,2,FALSE))-catfd_1_BHV_40)/catpn_1_BHB_1+catdw_1_BHV_40*catfd_1_BHV_40/catpn_1_BHV_40)/(((dagenperjaar1*VLOOKUP(B7,dagsoorttabel1,2,FALSE))-catfd_1_BHV_40)/catpn_1_BHB_1+catfd_1_BHV_40/catpn_1_BHV_40),0)</f>
        <v>0</v>
      </c>
      <c r="I7" s="20" t="s">
        <v>41</v>
      </c>
      <c r="J7" s="37">
        <f>IF(AND(catpn_1_BHB_1&gt;0,catpn_1_BHV_40&gt;0),(cattf_1_BHB_1*((dagenperjaar1*VLOOKUP(B7,dagsoorttabel1,2,FALSE))-catfd_1_BHV_40)/catpn_1_BHB_1+cattf_1_BHV_40*catfd_1_BHV_40/catpn_1_BHV_40)/(((dagenperjaar1*VLOOKUP(B7,dagsoorttabel1,2,FALSE))-catfd_1_BHV_40)/catpn_1_BHB_1+catfd_1_BHV_40/catpn_1_BHV_40),0)</f>
        <v>0</v>
      </c>
      <c r="K7" s="34">
        <f t="shared" si="1"/>
        <v>0</v>
      </c>
      <c r="L7" s="37">
        <f t="shared" si="2"/>
        <v>0</v>
      </c>
      <c r="M7" s="34">
        <f t="shared" si="3"/>
        <v>0</v>
      </c>
      <c r="N7" s="37">
        <f t="shared" si="4"/>
        <v>0</v>
      </c>
    </row>
    <row r="8" spans="1:14" x14ac:dyDescent="0.2">
      <c r="A8" s="20" t="s">
        <v>120</v>
      </c>
      <c r="B8" s="20" t="s">
        <v>13</v>
      </c>
      <c r="C8" s="20" t="s">
        <v>118</v>
      </c>
      <c r="D8" s="20" t="s">
        <v>121</v>
      </c>
      <c r="E8" s="34">
        <v>248.54999999999993</v>
      </c>
      <c r="F8" s="34">
        <f t="shared" si="0"/>
        <v>116.9647058823529</v>
      </c>
      <c r="G8" s="35">
        <f>IF(AND(catpn_1_BZB_1&gt;0,catpn_1_BZV_40&gt;0),(dagenperjaar1*VLOOKUP(B8,dagsoorttabel1,2,FALSE))/(((dagenperjaar1*VLOOKUP(B8,dagsoorttabel1,2,FALSE))-catfd_1_BZV_40)/catpn_1_BZB_1+catfd_1_BZV_40/catpn_1_BZV_40),0)</f>
        <v>0</v>
      </c>
      <c r="H8" s="36">
        <f>IF(AND(catpn_1_BZB_1&gt;0,catpn_1_BZV_40&gt;0),(catdw_1_BZB_1*((dagenperjaar1*VLOOKUP(B8,dagsoorttabel1,2,FALSE))-catfd_1_BZV_40)/catpn_1_BZB_1+catdw_1_BZV_40*catfd_1_BZV_40/catpn_1_BZV_40)/(((dagenperjaar1*VLOOKUP(B8,dagsoorttabel1,2,FALSE))-catfd_1_BZV_40)/catpn_1_BZB_1+catfd_1_BZV_40/catpn_1_BZV_40),0)</f>
        <v>0</v>
      </c>
      <c r="I8" s="20" t="s">
        <v>41</v>
      </c>
      <c r="J8" s="37">
        <f>IF(AND(catpn_1_BZB_1&gt;0,catpn_1_BZV_40&gt;0),(cattf_1_BZB_1*((dagenperjaar1*VLOOKUP(B8,dagsoorttabel1,2,FALSE))-catfd_1_BZV_40)/catpn_1_BZB_1+cattf_1_BZV_40*catfd_1_BZV_40/catpn_1_BZV_40)/(((dagenperjaar1*VLOOKUP(B8,dagsoorttabel1,2,FALSE))-catfd_1_BZV_40)/catpn_1_BZB_1+catfd_1_BZV_40/catpn_1_BZV_40),0)</f>
        <v>0</v>
      </c>
      <c r="K8" s="34">
        <f t="shared" si="1"/>
        <v>0</v>
      </c>
      <c r="L8" s="37">
        <f t="shared" si="2"/>
        <v>0</v>
      </c>
      <c r="M8" s="34">
        <f t="shared" si="3"/>
        <v>0</v>
      </c>
      <c r="N8" s="37">
        <f t="shared" si="4"/>
        <v>0</v>
      </c>
    </row>
    <row r="9" spans="1:14" x14ac:dyDescent="0.2">
      <c r="A9" s="20" t="s">
        <v>122</v>
      </c>
      <c r="B9" s="20" t="s">
        <v>11</v>
      </c>
      <c r="C9" s="20" t="s">
        <v>118</v>
      </c>
      <c r="D9" s="20" t="s">
        <v>123</v>
      </c>
      <c r="E9" s="34">
        <v>159.04</v>
      </c>
      <c r="F9" s="34">
        <f t="shared" si="0"/>
        <v>124.73725490196078</v>
      </c>
      <c r="G9" s="35">
        <f>IF(AND(catpn_1_GHB_1&gt;0,catpn_1_GHV_40&gt;0),(dagenperjaar1*VLOOKUP(B9,dagsoorttabel1,2,FALSE))/(((dagenperjaar1*VLOOKUP(B9,dagsoorttabel1,2,FALSE))-catfd_1_GHV_40)/catpn_1_GHB_1+catfd_1_GHV_40/catpn_1_GHV_40),0)</f>
        <v>0</v>
      </c>
      <c r="H9" s="36">
        <f>IF(AND(catpn_1_GHB_1&gt;0,catpn_1_GHV_40&gt;0),(catdw_1_GHB_1*((dagenperjaar1*VLOOKUP(B9,dagsoorttabel1,2,FALSE))-catfd_1_GHV_40)/catpn_1_GHB_1+catdw_1_GHV_40*catfd_1_GHV_40/catpn_1_GHV_40)/(((dagenperjaar1*VLOOKUP(B9,dagsoorttabel1,2,FALSE))-catfd_1_GHV_40)/catpn_1_GHB_1+catfd_1_GHV_40/catpn_1_GHV_40),0)</f>
        <v>0</v>
      </c>
      <c r="I9" s="20" t="s">
        <v>41</v>
      </c>
      <c r="J9" s="37">
        <f>IF(AND(catpn_1_GHB_1&gt;0,catpn_1_GHV_40&gt;0),(cattf_1_GHB_1*((dagenperjaar1*VLOOKUP(B9,dagsoorttabel1,2,FALSE))-catfd_1_GHV_40)/catpn_1_GHB_1+cattf_1_GHV_40*catfd_1_GHV_40/catpn_1_GHV_40)/(((dagenperjaar1*VLOOKUP(B9,dagsoorttabel1,2,FALSE))-catfd_1_GHV_40)/catpn_1_GHB_1+catfd_1_GHV_40/catpn_1_GHV_40),0)</f>
        <v>0</v>
      </c>
      <c r="K9" s="34">
        <f t="shared" si="1"/>
        <v>0</v>
      </c>
      <c r="L9" s="37">
        <f t="shared" si="2"/>
        <v>0</v>
      </c>
      <c r="M9" s="34">
        <f t="shared" si="3"/>
        <v>0</v>
      </c>
      <c r="N9" s="37">
        <f t="shared" si="4"/>
        <v>0</v>
      </c>
    </row>
    <row r="10" spans="1:14" x14ac:dyDescent="0.2">
      <c r="A10" s="20" t="s">
        <v>124</v>
      </c>
      <c r="B10" s="20" t="s">
        <v>13</v>
      </c>
      <c r="C10" s="20" t="s">
        <v>118</v>
      </c>
      <c r="D10" s="20" t="s">
        <v>125</v>
      </c>
      <c r="E10" s="34">
        <v>106.16</v>
      </c>
      <c r="F10" s="34">
        <f t="shared" si="0"/>
        <v>49.957647058823525</v>
      </c>
      <c r="G10" s="35">
        <f>IF(AND(catpn_1_LHB_1&gt;0,catpn_1_LHV_40&gt;0),(dagenperjaar1*VLOOKUP(B10,dagsoorttabel1,2,FALSE))/(((dagenperjaar1*VLOOKUP(B10,dagsoorttabel1,2,FALSE))-catfd_1_LHV_40)/catpn_1_LHB_1+catfd_1_LHV_40/catpn_1_LHV_40),0)</f>
        <v>0</v>
      </c>
      <c r="H10" s="36">
        <f>IF(AND(catpn_1_LHB_1&gt;0,catpn_1_LHV_40&gt;0),(catdw_1_LHB_1*((dagenperjaar1*VLOOKUP(B10,dagsoorttabel1,2,FALSE))-catfd_1_LHV_40)/catpn_1_LHB_1+catdw_1_LHV_40*catfd_1_LHV_40/catpn_1_LHV_40)/(((dagenperjaar1*VLOOKUP(B10,dagsoorttabel1,2,FALSE))-catfd_1_LHV_40)/catpn_1_LHB_1+catfd_1_LHV_40/catpn_1_LHV_40),0)</f>
        <v>0</v>
      </c>
      <c r="I10" s="20" t="s">
        <v>41</v>
      </c>
      <c r="J10" s="37">
        <f>IF(AND(catpn_1_LHB_1&gt;0,catpn_1_LHV_40&gt;0),(cattf_1_LHB_1*((dagenperjaar1*VLOOKUP(B10,dagsoorttabel1,2,FALSE))-catfd_1_LHV_40)/catpn_1_LHB_1+cattf_1_LHV_40*catfd_1_LHV_40/catpn_1_LHV_40)/(((dagenperjaar1*VLOOKUP(B10,dagsoorttabel1,2,FALSE))-catfd_1_LHV_40)/catpn_1_LHB_1+catfd_1_LHV_40/catpn_1_LHV_40),0)</f>
        <v>0</v>
      </c>
      <c r="K10" s="34">
        <f t="shared" si="1"/>
        <v>0</v>
      </c>
      <c r="L10" s="37">
        <f t="shared" si="2"/>
        <v>0</v>
      </c>
      <c r="M10" s="34">
        <f t="shared" si="3"/>
        <v>0</v>
      </c>
      <c r="N10" s="37">
        <f t="shared" si="4"/>
        <v>0</v>
      </c>
    </row>
    <row r="11" spans="1:14" x14ac:dyDescent="0.2">
      <c r="A11" s="20" t="s">
        <v>124</v>
      </c>
      <c r="B11" s="20" t="s">
        <v>11</v>
      </c>
      <c r="C11" s="20" t="s">
        <v>118</v>
      </c>
      <c r="D11" s="20" t="s">
        <v>125</v>
      </c>
      <c r="E11" s="34">
        <v>580.54</v>
      </c>
      <c r="F11" s="34">
        <f t="shared" si="0"/>
        <v>455.32549019607842</v>
      </c>
      <c r="G11" s="35">
        <f>IF(AND(catpn_1_LHB_1&gt;0,catpn_1_LHV_40&gt;0),(dagenperjaar1*VLOOKUP(B11,dagsoorttabel1,2,FALSE))/(((dagenperjaar1*VLOOKUP(B11,dagsoorttabel1,2,FALSE))-catfd_1_LHV_40)/catpn_1_LHB_1+catfd_1_LHV_40/catpn_1_LHV_40),0)</f>
        <v>0</v>
      </c>
      <c r="H11" s="36">
        <f>IF(AND(catpn_1_LHB_1&gt;0,catpn_1_LHV_40&gt;0),(catdw_1_LHB_1*((dagenperjaar1*VLOOKUP(B11,dagsoorttabel1,2,FALSE))-catfd_1_LHV_40)/catpn_1_LHB_1+catdw_1_LHV_40*catfd_1_LHV_40/catpn_1_LHV_40)/(((dagenperjaar1*VLOOKUP(B11,dagsoorttabel1,2,FALSE))-catfd_1_LHV_40)/catpn_1_LHB_1+catfd_1_LHV_40/catpn_1_LHV_40),0)</f>
        <v>0</v>
      </c>
      <c r="I11" s="20" t="s">
        <v>41</v>
      </c>
      <c r="J11" s="37">
        <f>IF(AND(catpn_1_LHB_1&gt;0,catpn_1_LHV_40&gt;0),(cattf_1_LHB_1*((dagenperjaar1*VLOOKUP(B11,dagsoorttabel1,2,FALSE))-catfd_1_LHV_40)/catpn_1_LHB_1+cattf_1_LHV_40*catfd_1_LHV_40/catpn_1_LHV_40)/(((dagenperjaar1*VLOOKUP(B11,dagsoorttabel1,2,FALSE))-catfd_1_LHV_40)/catpn_1_LHB_1+catfd_1_LHV_40/catpn_1_LHV_40),0)</f>
        <v>0</v>
      </c>
      <c r="K11" s="34">
        <f t="shared" si="1"/>
        <v>0</v>
      </c>
      <c r="L11" s="37">
        <f t="shared" si="2"/>
        <v>0</v>
      </c>
      <c r="M11" s="34">
        <f t="shared" si="3"/>
        <v>0</v>
      </c>
      <c r="N11" s="37">
        <f t="shared" si="4"/>
        <v>0</v>
      </c>
    </row>
    <row r="12" spans="1:14" x14ac:dyDescent="0.2">
      <c r="A12" s="20" t="s">
        <v>126</v>
      </c>
      <c r="B12" s="20" t="s">
        <v>11</v>
      </c>
      <c r="C12" s="20" t="s">
        <v>118</v>
      </c>
      <c r="D12" s="20" t="s">
        <v>127</v>
      </c>
      <c r="E12" s="34">
        <v>37.17</v>
      </c>
      <c r="F12" s="34">
        <f t="shared" si="0"/>
        <v>29.152941176470588</v>
      </c>
      <c r="G12" s="35">
        <f>IF(AND(catpn_1_MHB_1&gt;0,catpn_1_MHV_40&gt;0),(dagenperjaar1*VLOOKUP(B12,dagsoorttabel1,2,FALSE))/(((dagenperjaar1*VLOOKUP(B12,dagsoorttabel1,2,FALSE))-catfd_1_MHV_40)/catpn_1_MHB_1+catfd_1_MHV_40/catpn_1_MHV_40),0)</f>
        <v>0</v>
      </c>
      <c r="H12" s="36">
        <f>IF(AND(catpn_1_MHB_1&gt;0,catpn_1_MHV_40&gt;0),(catdw_1_MHB_1*((dagenperjaar1*VLOOKUP(B12,dagsoorttabel1,2,FALSE))-catfd_1_MHV_40)/catpn_1_MHB_1+catdw_1_MHV_40*catfd_1_MHV_40/catpn_1_MHV_40)/(((dagenperjaar1*VLOOKUP(B12,dagsoorttabel1,2,FALSE))-catfd_1_MHV_40)/catpn_1_MHB_1+catfd_1_MHV_40/catpn_1_MHV_40),0)</f>
        <v>0</v>
      </c>
      <c r="I12" s="20" t="s">
        <v>41</v>
      </c>
      <c r="J12" s="37">
        <f>IF(AND(catpn_1_MHB_1&gt;0,catpn_1_MHV_40&gt;0),(cattf_1_MHB_1*((dagenperjaar1*VLOOKUP(B12,dagsoorttabel1,2,FALSE))-catfd_1_MHV_40)/catpn_1_MHB_1+cattf_1_MHV_40*catfd_1_MHV_40/catpn_1_MHV_40)/(((dagenperjaar1*VLOOKUP(B12,dagsoorttabel1,2,FALSE))-catfd_1_MHV_40)/catpn_1_MHB_1+catfd_1_MHV_40/catpn_1_MHV_40),0)</f>
        <v>0</v>
      </c>
      <c r="K12" s="34">
        <f t="shared" si="1"/>
        <v>0</v>
      </c>
      <c r="L12" s="37">
        <f t="shared" si="2"/>
        <v>0</v>
      </c>
      <c r="M12" s="34">
        <f t="shared" si="3"/>
        <v>0</v>
      </c>
      <c r="N12" s="37">
        <f t="shared" si="4"/>
        <v>0</v>
      </c>
    </row>
    <row r="13" spans="1:14" x14ac:dyDescent="0.2">
      <c r="A13" s="20" t="s">
        <v>128</v>
      </c>
      <c r="B13" s="20" t="s">
        <v>11</v>
      </c>
      <c r="C13" s="20" t="s">
        <v>118</v>
      </c>
      <c r="D13" s="20" t="s">
        <v>129</v>
      </c>
      <c r="E13" s="34">
        <v>12.5</v>
      </c>
      <c r="F13" s="34">
        <f t="shared" si="0"/>
        <v>9.8039215686274517</v>
      </c>
      <c r="G13" s="35">
        <f>IF(AND(catpn_1_PHB_1&gt;0,catpn_1_PHV_40&gt;0),(dagenperjaar1*VLOOKUP(B13,dagsoorttabel1,2,FALSE))/(((dagenperjaar1*VLOOKUP(B13,dagsoorttabel1,2,FALSE))-catfd_1_PHV_40)/catpn_1_PHB_1+catfd_1_PHV_40/catpn_1_PHV_40),0)</f>
        <v>0</v>
      </c>
      <c r="H13" s="36">
        <f>IF(AND(catpn_1_PHB_1&gt;0,catpn_1_PHV_40&gt;0),(catdw_1_PHB_1*((dagenperjaar1*VLOOKUP(B13,dagsoorttabel1,2,FALSE))-catfd_1_PHV_40)/catpn_1_PHB_1+catdw_1_PHV_40*catfd_1_PHV_40/catpn_1_PHV_40)/(((dagenperjaar1*VLOOKUP(B13,dagsoorttabel1,2,FALSE))-catfd_1_PHV_40)/catpn_1_PHB_1+catfd_1_PHV_40/catpn_1_PHV_40),0)</f>
        <v>0</v>
      </c>
      <c r="I13" s="20" t="s">
        <v>41</v>
      </c>
      <c r="J13" s="37">
        <f>IF(AND(catpn_1_PHB_1&gt;0,catpn_1_PHV_40&gt;0),(cattf_1_PHB_1*((dagenperjaar1*VLOOKUP(B13,dagsoorttabel1,2,FALSE))-catfd_1_PHV_40)/catpn_1_PHB_1+cattf_1_PHV_40*catfd_1_PHV_40/catpn_1_PHV_40)/(((dagenperjaar1*VLOOKUP(B13,dagsoorttabel1,2,FALSE))-catfd_1_PHV_40)/catpn_1_PHB_1+catfd_1_PHV_40/catpn_1_PHV_40),0)</f>
        <v>0</v>
      </c>
      <c r="K13" s="34">
        <f t="shared" si="1"/>
        <v>0</v>
      </c>
      <c r="L13" s="37">
        <f t="shared" si="2"/>
        <v>0</v>
      </c>
      <c r="M13" s="34">
        <f t="shared" si="3"/>
        <v>0</v>
      </c>
      <c r="N13" s="37">
        <f t="shared" si="4"/>
        <v>0</v>
      </c>
    </row>
    <row r="14" spans="1:14" x14ac:dyDescent="0.2">
      <c r="A14" s="20" t="s">
        <v>130</v>
      </c>
      <c r="B14" s="20" t="s">
        <v>11</v>
      </c>
      <c r="C14" s="20" t="s">
        <v>118</v>
      </c>
      <c r="D14" s="20" t="s">
        <v>131</v>
      </c>
      <c r="E14" s="34">
        <v>95.53</v>
      </c>
      <c r="F14" s="34">
        <f t="shared" si="0"/>
        <v>74.925490196078428</v>
      </c>
      <c r="G14" s="35">
        <f>IF(AND(catpn_1_PUHB_1&gt;0,catpn_1_PUHV_40&gt;0),(dagenperjaar1*VLOOKUP(B14,dagsoorttabel1,2,FALSE))/(((dagenperjaar1*VLOOKUP(B14,dagsoorttabel1,2,FALSE))-catfd_1_PUHV_40)/catpn_1_PUHB_1+catfd_1_PUHV_40/catpn_1_PUHV_40),0)</f>
        <v>0</v>
      </c>
      <c r="H14" s="36">
        <f>IF(AND(catpn_1_PUHB_1&gt;0,catpn_1_PUHV_40&gt;0),(catdw_1_PUHB_1*((dagenperjaar1*VLOOKUP(B14,dagsoorttabel1,2,FALSE))-catfd_1_PUHV_40)/catpn_1_PUHB_1+catdw_1_PUHV_40*catfd_1_PUHV_40/catpn_1_PUHV_40)/(((dagenperjaar1*VLOOKUP(B14,dagsoorttabel1,2,FALSE))-catfd_1_PUHV_40)/catpn_1_PUHB_1+catfd_1_PUHV_40/catpn_1_PUHV_40),0)</f>
        <v>0</v>
      </c>
      <c r="I14" s="20" t="s">
        <v>41</v>
      </c>
      <c r="J14" s="37">
        <f>IF(AND(catpn_1_PUHB_1&gt;0,catpn_1_PUHV_40&gt;0),(cattf_1_PUHB_1*((dagenperjaar1*VLOOKUP(B14,dagsoorttabel1,2,FALSE))-catfd_1_PUHV_40)/catpn_1_PUHB_1+cattf_1_PUHV_40*catfd_1_PUHV_40/catpn_1_PUHV_40)/(((dagenperjaar1*VLOOKUP(B14,dagsoorttabel1,2,FALSE))-catfd_1_PUHV_40)/catpn_1_PUHB_1+catfd_1_PUHV_40/catpn_1_PUHV_40),0)</f>
        <v>0</v>
      </c>
      <c r="K14" s="34">
        <f t="shared" si="1"/>
        <v>0</v>
      </c>
      <c r="L14" s="37">
        <f t="shared" si="2"/>
        <v>0</v>
      </c>
      <c r="M14" s="34">
        <f t="shared" si="3"/>
        <v>0</v>
      </c>
      <c r="N14" s="37">
        <f t="shared" si="4"/>
        <v>0</v>
      </c>
    </row>
    <row r="15" spans="1:14" x14ac:dyDescent="0.2">
      <c r="A15" s="20" t="s">
        <v>132</v>
      </c>
      <c r="B15" s="20" t="s">
        <v>11</v>
      </c>
      <c r="C15" s="20" t="s">
        <v>118</v>
      </c>
      <c r="D15" s="20" t="s">
        <v>133</v>
      </c>
      <c r="E15" s="34">
        <v>43.22</v>
      </c>
      <c r="F15" s="34">
        <f t="shared" si="0"/>
        <v>33.898039215686275</v>
      </c>
      <c r="G15" s="35">
        <f>IF(AND(catpn_1_SHB_1&gt;0,catpn_1_SHV_40&gt;0),(dagenperjaar1*VLOOKUP(B15,dagsoorttabel1,2,FALSE))/(((dagenperjaar1*VLOOKUP(B15,dagsoorttabel1,2,FALSE))-catfd_1_SHV_40)/catpn_1_SHB_1+catfd_1_SHV_40/catpn_1_SHV_40),0)</f>
        <v>0</v>
      </c>
      <c r="H15" s="36">
        <f>IF(AND(catpn_1_SHB_1&gt;0,catpn_1_SHV_40&gt;0),(catdw_1_SHB_1*((dagenperjaar1*VLOOKUP(B15,dagsoorttabel1,2,FALSE))-catfd_1_SHV_40)/catpn_1_SHB_1+catdw_1_SHV_40*catfd_1_SHV_40/catpn_1_SHV_40)/(((dagenperjaar1*VLOOKUP(B15,dagsoorttabel1,2,FALSE))-catfd_1_SHV_40)/catpn_1_SHB_1+catfd_1_SHV_40/catpn_1_SHV_40),0)</f>
        <v>0</v>
      </c>
      <c r="I15" s="20" t="s">
        <v>41</v>
      </c>
      <c r="J15" s="37">
        <f>IF(AND(catpn_1_SHB_1&gt;0,catpn_1_SHV_40&gt;0),(cattf_1_SHB_1*((dagenperjaar1*VLOOKUP(B15,dagsoorttabel1,2,FALSE))-catfd_1_SHV_40)/catpn_1_SHB_1+cattf_1_SHV_40*catfd_1_SHV_40/catpn_1_SHV_40)/(((dagenperjaar1*VLOOKUP(B15,dagsoorttabel1,2,FALSE))-catfd_1_SHV_40)/catpn_1_SHB_1+catfd_1_SHV_40/catpn_1_SHV_40),0)</f>
        <v>0</v>
      </c>
      <c r="K15" s="34">
        <f t="shared" si="1"/>
        <v>0</v>
      </c>
      <c r="L15" s="37">
        <f t="shared" si="2"/>
        <v>0</v>
      </c>
      <c r="M15" s="34">
        <f t="shared" si="3"/>
        <v>0</v>
      </c>
      <c r="N15" s="37">
        <f t="shared" si="4"/>
        <v>0</v>
      </c>
    </row>
    <row r="16" spans="1:14" x14ac:dyDescent="0.2">
      <c r="A16" s="20" t="s">
        <v>134</v>
      </c>
      <c r="B16" s="20" t="s">
        <v>13</v>
      </c>
      <c r="C16" s="20" t="s">
        <v>118</v>
      </c>
      <c r="D16" s="20" t="s">
        <v>135</v>
      </c>
      <c r="E16" s="34">
        <v>25.45</v>
      </c>
      <c r="F16" s="34">
        <f t="shared" si="0"/>
        <v>11.976470588235294</v>
      </c>
      <c r="G16" s="35">
        <f>IF(AND(catpn_1_UZB_1&gt;0,catpn_1_UZV_40&gt;0),(dagenperjaar1*VLOOKUP(B16,dagsoorttabel1,2,FALSE))/(((dagenperjaar1*VLOOKUP(B16,dagsoorttabel1,2,FALSE))-catfd_1_UZV_40)/catpn_1_UZB_1+catfd_1_UZV_40/catpn_1_UZV_40),0)</f>
        <v>0</v>
      </c>
      <c r="H16" s="36">
        <f>IF(AND(catpn_1_UZB_1&gt;0,catpn_1_UZV_40&gt;0),(catdw_1_UZB_1*((dagenperjaar1*VLOOKUP(B16,dagsoorttabel1,2,FALSE))-catfd_1_UZV_40)/catpn_1_UZB_1+catdw_1_UZV_40*catfd_1_UZV_40/catpn_1_UZV_40)/(((dagenperjaar1*VLOOKUP(B16,dagsoorttabel1,2,FALSE))-catfd_1_UZV_40)/catpn_1_UZB_1+catfd_1_UZV_40/catpn_1_UZV_40),0)</f>
        <v>0</v>
      </c>
      <c r="I16" s="20" t="s">
        <v>41</v>
      </c>
      <c r="J16" s="37">
        <f>IF(AND(catpn_1_UZB_1&gt;0,catpn_1_UZV_40&gt;0),(cattf_1_UZB_1*((dagenperjaar1*VLOOKUP(B16,dagsoorttabel1,2,FALSE))-catfd_1_UZV_40)/catpn_1_UZB_1+cattf_1_UZV_40*catfd_1_UZV_40/catpn_1_UZV_40)/(((dagenperjaar1*VLOOKUP(B16,dagsoorttabel1,2,FALSE))-catfd_1_UZV_40)/catpn_1_UZB_1+catfd_1_UZV_40/catpn_1_UZV_40),0)</f>
        <v>0</v>
      </c>
      <c r="K16" s="34">
        <f t="shared" si="1"/>
        <v>0</v>
      </c>
      <c r="L16" s="37">
        <f t="shared" si="2"/>
        <v>0</v>
      </c>
      <c r="M16" s="34">
        <f t="shared" si="3"/>
        <v>0</v>
      </c>
      <c r="N16" s="37">
        <f t="shared" si="4"/>
        <v>0</v>
      </c>
    </row>
    <row r="17" spans="1:14" x14ac:dyDescent="0.2">
      <c r="A17" s="20" t="s">
        <v>136</v>
      </c>
      <c r="B17" s="20" t="s">
        <v>11</v>
      </c>
      <c r="C17" s="20" t="s">
        <v>118</v>
      </c>
      <c r="D17" s="20" t="s">
        <v>137</v>
      </c>
      <c r="E17" s="34">
        <v>462.42</v>
      </c>
      <c r="F17" s="34">
        <f t="shared" si="0"/>
        <v>362.68235294117648</v>
      </c>
      <c r="G17" s="35">
        <f>IF(AND(catpn_1_VHB_1&gt;0,catpn_1_VHV_40&gt;0),(dagenperjaar1*VLOOKUP(B17,dagsoorttabel1,2,FALSE))/(((dagenperjaar1*VLOOKUP(B17,dagsoorttabel1,2,FALSE))-catfd_1_VHV_40)/catpn_1_VHB_1+catfd_1_VHV_40/catpn_1_VHV_40),0)</f>
        <v>0</v>
      </c>
      <c r="H17" s="36">
        <f>IF(AND(catpn_1_VHB_1&gt;0,catpn_1_VHV_40&gt;0),(catdw_1_VHB_1*((dagenperjaar1*VLOOKUP(B17,dagsoorttabel1,2,FALSE))-catfd_1_VHV_40)/catpn_1_VHB_1+catdw_1_VHV_40*catfd_1_VHV_40/catpn_1_VHV_40)/(((dagenperjaar1*VLOOKUP(B17,dagsoorttabel1,2,FALSE))-catfd_1_VHV_40)/catpn_1_VHB_1+catfd_1_VHV_40/catpn_1_VHV_40),0)</f>
        <v>0</v>
      </c>
      <c r="I17" s="20" t="s">
        <v>41</v>
      </c>
      <c r="J17" s="37">
        <f>IF(AND(catpn_1_VHB_1&gt;0,catpn_1_VHV_40&gt;0),(cattf_1_VHB_1*((dagenperjaar1*VLOOKUP(B17,dagsoorttabel1,2,FALSE))-catfd_1_VHV_40)/catpn_1_VHB_1+cattf_1_VHV_40*catfd_1_VHV_40/catpn_1_VHV_40)/(((dagenperjaar1*VLOOKUP(B17,dagsoorttabel1,2,FALSE))-catfd_1_VHV_40)/catpn_1_VHB_1+catfd_1_VHV_40/catpn_1_VHV_40),0)</f>
        <v>0</v>
      </c>
      <c r="K17" s="34">
        <f t="shared" si="1"/>
        <v>0</v>
      </c>
      <c r="L17" s="37">
        <f t="shared" si="2"/>
        <v>0</v>
      </c>
      <c r="M17" s="34">
        <f t="shared" si="3"/>
        <v>0</v>
      </c>
      <c r="N17" s="37">
        <f t="shared" si="4"/>
        <v>0</v>
      </c>
    </row>
    <row r="18" spans="1:14" x14ac:dyDescent="0.2">
      <c r="A18" s="20" t="s">
        <v>138</v>
      </c>
      <c r="B18" s="20" t="s">
        <v>11</v>
      </c>
      <c r="C18" s="20" t="s">
        <v>118</v>
      </c>
      <c r="D18" s="20" t="s">
        <v>139</v>
      </c>
      <c r="E18" s="34">
        <v>24.68</v>
      </c>
      <c r="F18" s="34">
        <f t="shared" si="0"/>
        <v>19.356862745098038</v>
      </c>
      <c r="G18" s="35">
        <f>IF(AND(catpn_1_VZB_1&gt;0,catpn_1_VZV_40&gt;0),(dagenperjaar1*VLOOKUP(B18,dagsoorttabel1,2,FALSE))/(((dagenperjaar1*VLOOKUP(B18,dagsoorttabel1,2,FALSE))-catfd_1_VZV_40)/catpn_1_VZB_1+catfd_1_VZV_40/catpn_1_VZV_40),0)</f>
        <v>0</v>
      </c>
      <c r="H18" s="36">
        <f>IF(AND(catpn_1_VZB_1&gt;0,catpn_1_VZV_40&gt;0),(catdw_1_VZB_1*((dagenperjaar1*VLOOKUP(B18,dagsoorttabel1,2,FALSE))-catfd_1_VZV_40)/catpn_1_VZB_1+catdw_1_VZV_40*catfd_1_VZV_40/catpn_1_VZV_40)/(((dagenperjaar1*VLOOKUP(B18,dagsoorttabel1,2,FALSE))-catfd_1_VZV_40)/catpn_1_VZB_1+catfd_1_VZV_40/catpn_1_VZV_40),0)</f>
        <v>0</v>
      </c>
      <c r="I18" s="20" t="s">
        <v>41</v>
      </c>
      <c r="J18" s="37">
        <f>IF(AND(catpn_1_VZB_1&gt;0,catpn_1_VZV_40&gt;0),(cattf_1_VZB_1*((dagenperjaar1*VLOOKUP(B18,dagsoorttabel1,2,FALSE))-catfd_1_VZV_40)/catpn_1_VZB_1+cattf_1_VZV_40*catfd_1_VZV_40/catpn_1_VZV_40)/(((dagenperjaar1*VLOOKUP(B18,dagsoorttabel1,2,FALSE))-catfd_1_VZV_40)/catpn_1_VZB_1+catfd_1_VZV_40/catpn_1_VZV_40),0)</f>
        <v>0</v>
      </c>
      <c r="K18" s="34">
        <f t="shared" si="1"/>
        <v>0</v>
      </c>
      <c r="L18" s="37">
        <f t="shared" si="2"/>
        <v>0</v>
      </c>
      <c r="M18" s="34">
        <f t="shared" si="3"/>
        <v>0</v>
      </c>
      <c r="N18" s="37">
        <f t="shared" si="4"/>
        <v>0</v>
      </c>
    </row>
    <row r="19" spans="1:14" x14ac:dyDescent="0.2">
      <c r="A19" s="25" t="s">
        <v>140</v>
      </c>
      <c r="B19" s="25" t="s">
        <v>28</v>
      </c>
      <c r="C19" s="25" t="s">
        <v>118</v>
      </c>
      <c r="D19" s="25" t="s">
        <v>141</v>
      </c>
      <c r="E19" s="38">
        <v>1384.56</v>
      </c>
      <c r="F19" s="38">
        <f t="shared" si="0"/>
        <v>5.4296470588235293</v>
      </c>
      <c r="G19" s="39">
        <f>catpn_1_XBB_1</f>
        <v>0</v>
      </c>
      <c r="H19" s="40">
        <f>catdw_1_XBB_1</f>
        <v>0</v>
      </c>
      <c r="I19" s="25" t="s">
        <v>41</v>
      </c>
      <c r="J19" s="41">
        <f>cattf_1_XBB_1</f>
        <v>0</v>
      </c>
      <c r="K19" s="38">
        <f t="shared" si="1"/>
        <v>0</v>
      </c>
      <c r="L19" s="41">
        <f t="shared" si="2"/>
        <v>0</v>
      </c>
      <c r="M19" s="38">
        <f t="shared" si="3"/>
        <v>0</v>
      </c>
      <c r="N19" s="41">
        <f t="shared" si="4"/>
        <v>0</v>
      </c>
    </row>
    <row r="20" spans="1:14" x14ac:dyDescent="0.2">
      <c r="A20" s="42" t="s">
        <v>142</v>
      </c>
      <c r="B20" s="43"/>
      <c r="C20" s="43"/>
      <c r="D20" s="43"/>
      <c r="E20" s="43"/>
      <c r="F20" s="43"/>
      <c r="G20" s="43"/>
      <c r="H20" s="43"/>
      <c r="I20" s="43"/>
      <c r="J20" s="43"/>
      <c r="K20" s="44">
        <f>SUM(K6:K19)</f>
        <v>0</v>
      </c>
      <c r="L20" s="45">
        <f>SUM(L6:L19)</f>
        <v>0</v>
      </c>
      <c r="M20" s="44">
        <f>SUM(M6:M19)</f>
        <v>0</v>
      </c>
      <c r="N20" s="46">
        <f>SUM(N6:N19)</f>
        <v>0</v>
      </c>
    </row>
    <row r="21" spans="1:14" x14ac:dyDescent="0.2">
      <c r="A21" s="47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8"/>
    </row>
    <row r="22" spans="1:14" x14ac:dyDescent="0.2">
      <c r="A22" s="42" t="s">
        <v>143</v>
      </c>
      <c r="B22" s="43"/>
      <c r="C22" s="43"/>
      <c r="D22" s="43"/>
      <c r="E22" s="43"/>
      <c r="F22" s="43"/>
      <c r="G22" s="43"/>
      <c r="H22" s="43"/>
      <c r="I22" s="43"/>
      <c r="J22" s="45">
        <f>IF(urenjaar1&gt;0,SUMIF(M6:M19,"&gt;0",N6:N19)/urenjaar1,0)</f>
        <v>0</v>
      </c>
      <c r="K22" s="43"/>
      <c r="L22" s="43"/>
      <c r="M22" s="43"/>
      <c r="N22" s="48"/>
    </row>
    <row r="23" spans="1:14" x14ac:dyDescent="0.2">
      <c r="A23" s="47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8"/>
    </row>
    <row r="24" spans="1:14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</row>
    <row r="25" spans="1:14" x14ac:dyDescent="0.2">
      <c r="A25" s="12" t="s">
        <v>90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4"/>
    </row>
    <row r="26" spans="1:14" x14ac:dyDescent="0.2">
      <c r="A26" s="15" t="s">
        <v>144</v>
      </c>
      <c r="B26" s="15" t="s">
        <v>20</v>
      </c>
      <c r="C26" s="15" t="s">
        <v>145</v>
      </c>
      <c r="D26" s="15" t="s">
        <v>119</v>
      </c>
      <c r="E26" s="30">
        <v>29.27</v>
      </c>
      <c r="F26" s="30">
        <f t="shared" ref="F26:F47" si="5">E26*VLOOKUP(B26,dagsoorttabel1,2,FALSE)</f>
        <v>2.2956862745098037</v>
      </c>
      <c r="G26" s="31">
        <f>IF(AND(catpn_2_VBHB_1&gt;0,catpn_2_VBHV_10&gt;0),(dagenperjaar1*VLOOKUP(B26,dagsoorttabel1,2,FALSE))/(((dagenperjaar1*VLOOKUP(B26,dagsoorttabel1,2,FALSE))-catfd_2_VBHV_10)/catpn_2_VBHB_1+catfd_2_VBHV_10/catpn_2_VBHV_10),0)</f>
        <v>0</v>
      </c>
      <c r="H26" s="32">
        <f>IF(AND(catpn_2_VBHB_1&gt;0,catpn_2_VBHV_10&gt;0),(catdw_2_VBHB_1*((dagenperjaar1*VLOOKUP(B26,dagsoorttabel1,2,FALSE))-catfd_2_VBHV_10)/catpn_2_VBHB_1+catdw_2_VBHV_10*catfd_2_VBHV_10/catpn_2_VBHV_10)/(((dagenperjaar1*VLOOKUP(B26,dagsoorttabel1,2,FALSE))-catfd_2_VBHV_10)/catpn_2_VBHB_1+catfd_2_VBHV_10/catpn_2_VBHV_10),0)</f>
        <v>0</v>
      </c>
      <c r="I26" s="15" t="s">
        <v>41</v>
      </c>
      <c r="J26" s="33">
        <f>IF(AND(catpn_2_VBHB_1&gt;0,catpn_2_VBHV_10&gt;0),(cattf_2_VBHB_1*((dagenperjaar1*VLOOKUP(B26,dagsoorttabel1,2,FALSE))-catfd_2_VBHV_10)/catpn_2_VBHB_1+cattf_2_VBHV_10*catfd_2_VBHV_10/catpn_2_VBHV_10)/(((dagenperjaar1*VLOOKUP(B26,dagsoorttabel1,2,FALSE))-catfd_2_VBHV_10)/catpn_2_VBHB_1+catfd_2_VBHV_10/catpn_2_VBHV_10),0)</f>
        <v>0</v>
      </c>
      <c r="K26" s="30">
        <f t="shared" ref="K26:K47" si="6">IF(OR(ISBLANK(G26),G26=0),0,F26/G26)</f>
        <v>0</v>
      </c>
      <c r="L26" s="33">
        <f t="shared" ref="L26:L47" si="7">J26*K26</f>
        <v>0</v>
      </c>
      <c r="M26" s="30">
        <f t="shared" ref="M26:M47" si="8">K26*dagenperjaar1</f>
        <v>0</v>
      </c>
      <c r="N26" s="33">
        <f t="shared" ref="N26:N47" si="9">M26*J26</f>
        <v>0</v>
      </c>
    </row>
    <row r="27" spans="1:14" x14ac:dyDescent="0.2">
      <c r="A27" s="20" t="s">
        <v>144</v>
      </c>
      <c r="B27" s="20" t="s">
        <v>17</v>
      </c>
      <c r="C27" s="20" t="s">
        <v>145</v>
      </c>
      <c r="D27" s="20" t="s">
        <v>119</v>
      </c>
      <c r="E27" s="34">
        <v>53.08</v>
      </c>
      <c r="F27" s="34">
        <f t="shared" si="5"/>
        <v>6.2447058823529407</v>
      </c>
      <c r="G27" s="35">
        <f>IF(AND(catpn_2_VBHB_1&gt;0,catpn_2_VBHV_10&gt;0),(dagenperjaar1*VLOOKUP(B27,dagsoorttabel1,2,FALSE))/(((dagenperjaar1*VLOOKUP(B27,dagsoorttabel1,2,FALSE))-catfd_2_VBHV_10)/catpn_2_VBHB_1+catfd_2_VBHV_10/catpn_2_VBHV_10),0)</f>
        <v>0</v>
      </c>
      <c r="H27" s="36">
        <f>IF(AND(catpn_2_VBHB_1&gt;0,catpn_2_VBHV_10&gt;0),(catdw_2_VBHB_1*((dagenperjaar1*VLOOKUP(B27,dagsoorttabel1,2,FALSE))-catfd_2_VBHV_10)/catpn_2_VBHB_1+catdw_2_VBHV_10*catfd_2_VBHV_10/catpn_2_VBHV_10)/(((dagenperjaar1*VLOOKUP(B27,dagsoorttabel1,2,FALSE))-catfd_2_VBHV_10)/catpn_2_VBHB_1+catfd_2_VBHV_10/catpn_2_VBHV_10),0)</f>
        <v>0</v>
      </c>
      <c r="I27" s="20" t="s">
        <v>41</v>
      </c>
      <c r="J27" s="37">
        <f>IF(AND(catpn_2_VBHB_1&gt;0,catpn_2_VBHV_10&gt;0),(cattf_2_VBHB_1*((dagenperjaar1*VLOOKUP(B27,dagsoorttabel1,2,FALSE))-catfd_2_VBHV_10)/catpn_2_VBHB_1+cattf_2_VBHV_10*catfd_2_VBHV_10/catpn_2_VBHV_10)/(((dagenperjaar1*VLOOKUP(B27,dagsoorttabel1,2,FALSE))-catfd_2_VBHV_10)/catpn_2_VBHB_1+catfd_2_VBHV_10/catpn_2_VBHV_10),0)</f>
        <v>0</v>
      </c>
      <c r="K27" s="34">
        <f t="shared" si="6"/>
        <v>0</v>
      </c>
      <c r="L27" s="37">
        <f t="shared" si="7"/>
        <v>0</v>
      </c>
      <c r="M27" s="34">
        <f t="shared" si="8"/>
        <v>0</v>
      </c>
      <c r="N27" s="37">
        <f t="shared" si="9"/>
        <v>0</v>
      </c>
    </row>
    <row r="28" spans="1:14" x14ac:dyDescent="0.2">
      <c r="A28" s="20" t="s">
        <v>144</v>
      </c>
      <c r="B28" s="20" t="s">
        <v>24</v>
      </c>
      <c r="C28" s="20" t="s">
        <v>145</v>
      </c>
      <c r="D28" s="20" t="s">
        <v>119</v>
      </c>
      <c r="E28" s="34">
        <v>11.4</v>
      </c>
      <c r="F28" s="34">
        <f t="shared" si="5"/>
        <v>0.26823529411764707</v>
      </c>
      <c r="G28" s="35">
        <f>IF(AND(catpn_2_VBHB_1&gt;0,catpn_2_VBHV_2&gt;0),(dagenperjaar1*VLOOKUP(B28,dagsoorttabel1,2,FALSE))/(((dagenperjaar1*VLOOKUP(B28,dagsoorttabel1,2,FALSE))-catfd_2_VBHV_2)/catpn_2_VBHB_1+catfd_2_VBHV_2/catpn_2_VBHV_2),0)</f>
        <v>0</v>
      </c>
      <c r="H28" s="36">
        <f>IF(AND(catpn_2_VBHB_1&gt;0,catpn_2_VBHV_2&gt;0),(catdw_2_VBHB_1*((dagenperjaar1*VLOOKUP(B28,dagsoorttabel1,2,FALSE))-catfd_2_VBHV_2)/catpn_2_VBHB_1+catdw_2_VBHV_2*catfd_2_VBHV_2/catpn_2_VBHV_2)/(((dagenperjaar1*VLOOKUP(B28,dagsoorttabel1,2,FALSE))-catfd_2_VBHV_2)/catpn_2_VBHB_1+catfd_2_VBHV_2/catpn_2_VBHV_2),0)</f>
        <v>0</v>
      </c>
      <c r="I28" s="20" t="s">
        <v>41</v>
      </c>
      <c r="J28" s="37">
        <f>IF(AND(catpn_2_VBHB_1&gt;0,catpn_2_VBHV_2&gt;0),(cattf_2_VBHB_1*((dagenperjaar1*VLOOKUP(B28,dagsoorttabel1,2,FALSE))-catfd_2_VBHV_2)/catpn_2_VBHB_1+cattf_2_VBHV_2*catfd_2_VBHV_2/catpn_2_VBHV_2)/(((dagenperjaar1*VLOOKUP(B28,dagsoorttabel1,2,FALSE))-catfd_2_VBHV_2)/catpn_2_VBHB_1+catfd_2_VBHV_2/catpn_2_VBHV_2),0)</f>
        <v>0</v>
      </c>
      <c r="K28" s="34">
        <f t="shared" si="6"/>
        <v>0</v>
      </c>
      <c r="L28" s="37">
        <f t="shared" si="7"/>
        <v>0</v>
      </c>
      <c r="M28" s="34">
        <f t="shared" si="8"/>
        <v>0</v>
      </c>
      <c r="N28" s="37">
        <f t="shared" si="9"/>
        <v>0</v>
      </c>
    </row>
    <row r="29" spans="1:14" x14ac:dyDescent="0.2">
      <c r="A29" s="20" t="s">
        <v>146</v>
      </c>
      <c r="B29" s="20" t="s">
        <v>21</v>
      </c>
      <c r="C29" s="20" t="s">
        <v>145</v>
      </c>
      <c r="D29" s="20" t="s">
        <v>121</v>
      </c>
      <c r="E29" s="34">
        <v>101.89000000000001</v>
      </c>
      <c r="F29" s="34">
        <f t="shared" si="5"/>
        <v>5.9935294117647064</v>
      </c>
      <c r="G29" s="35">
        <f>IF(AND(catpn_2_VBZB_1&gt;0,catpn_2_VBZV_5&gt;0),(dagenperjaar1*VLOOKUP(B29,dagsoorttabel1,2,FALSE))/(((dagenperjaar1*VLOOKUP(B29,dagsoorttabel1,2,FALSE))-catfd_2_VBZV_5)/catpn_2_VBZB_1+catfd_2_VBZV_5/catpn_2_VBZV_5),0)</f>
        <v>0</v>
      </c>
      <c r="H29" s="36">
        <f>IF(AND(catpn_2_VBZB_1&gt;0,catpn_2_VBZV_5&gt;0),(catdw_2_VBZB_1*((dagenperjaar1*VLOOKUP(B29,dagsoorttabel1,2,FALSE))-catfd_2_VBZV_5)/catpn_2_VBZB_1+catdw_2_VBZV_5*catfd_2_VBZV_5/catpn_2_VBZV_5)/(((dagenperjaar1*VLOOKUP(B29,dagsoorttabel1,2,FALSE))-catfd_2_VBZV_5)/catpn_2_VBZB_1+catfd_2_VBZV_5/catpn_2_VBZV_5),0)</f>
        <v>0</v>
      </c>
      <c r="I29" s="20" t="s">
        <v>41</v>
      </c>
      <c r="J29" s="37">
        <f>IF(AND(catpn_2_VBZB_1&gt;0,catpn_2_VBZV_5&gt;0),(cattf_2_VBZB_1*((dagenperjaar1*VLOOKUP(B29,dagsoorttabel1,2,FALSE))-catfd_2_VBZV_5)/catpn_2_VBZB_1+cattf_2_VBZV_5*catfd_2_VBZV_5/catpn_2_VBZV_5)/(((dagenperjaar1*VLOOKUP(B29,dagsoorttabel1,2,FALSE))-catfd_2_VBZV_5)/catpn_2_VBZB_1+catfd_2_VBZV_5/catpn_2_VBZV_5),0)</f>
        <v>0</v>
      </c>
      <c r="K29" s="34">
        <f t="shared" si="6"/>
        <v>0</v>
      </c>
      <c r="L29" s="37">
        <f t="shared" si="7"/>
        <v>0</v>
      </c>
      <c r="M29" s="34">
        <f t="shared" si="8"/>
        <v>0</v>
      </c>
      <c r="N29" s="37">
        <f t="shared" si="9"/>
        <v>0</v>
      </c>
    </row>
    <row r="30" spans="1:14" x14ac:dyDescent="0.2">
      <c r="A30" s="20" t="s">
        <v>146</v>
      </c>
      <c r="B30" s="20" t="s">
        <v>20</v>
      </c>
      <c r="C30" s="20" t="s">
        <v>145</v>
      </c>
      <c r="D30" s="20" t="s">
        <v>121</v>
      </c>
      <c r="E30" s="34">
        <v>15.4</v>
      </c>
      <c r="F30" s="34">
        <f t="shared" si="5"/>
        <v>1.2078431372549019</v>
      </c>
      <c r="G30" s="35">
        <f>IF(AND(catpn_2_VBZB_1&gt;0,catpn_2_VBZV_10&gt;0),(dagenperjaar1*VLOOKUP(B30,dagsoorttabel1,2,FALSE))/(((dagenperjaar1*VLOOKUP(B30,dagsoorttabel1,2,FALSE))-catfd_2_VBZV_10)/catpn_2_VBZB_1+catfd_2_VBZV_10/catpn_2_VBZV_10),0)</f>
        <v>0</v>
      </c>
      <c r="H30" s="36">
        <f>IF(AND(catpn_2_VBZB_1&gt;0,catpn_2_VBZV_10&gt;0),(catdw_2_VBZB_1*((dagenperjaar1*VLOOKUP(B30,dagsoorttabel1,2,FALSE))-catfd_2_VBZV_10)/catpn_2_VBZB_1+catdw_2_VBZV_10*catfd_2_VBZV_10/catpn_2_VBZV_10)/(((dagenperjaar1*VLOOKUP(B30,dagsoorttabel1,2,FALSE))-catfd_2_VBZV_10)/catpn_2_VBZB_1+catfd_2_VBZV_10/catpn_2_VBZV_10),0)</f>
        <v>0</v>
      </c>
      <c r="I30" s="20" t="s">
        <v>41</v>
      </c>
      <c r="J30" s="37">
        <f>IF(AND(catpn_2_VBZB_1&gt;0,catpn_2_VBZV_10&gt;0),(cattf_2_VBZB_1*((dagenperjaar1*VLOOKUP(B30,dagsoorttabel1,2,FALSE))-catfd_2_VBZV_10)/catpn_2_VBZB_1+cattf_2_VBZV_10*catfd_2_VBZV_10/catpn_2_VBZV_10)/(((dagenperjaar1*VLOOKUP(B30,dagsoorttabel1,2,FALSE))-catfd_2_VBZV_10)/catpn_2_VBZB_1+catfd_2_VBZV_10/catpn_2_VBZV_10),0)</f>
        <v>0</v>
      </c>
      <c r="K30" s="34">
        <f t="shared" si="6"/>
        <v>0</v>
      </c>
      <c r="L30" s="37">
        <f t="shared" si="7"/>
        <v>0</v>
      </c>
      <c r="M30" s="34">
        <f t="shared" si="8"/>
        <v>0</v>
      </c>
      <c r="N30" s="37">
        <f t="shared" si="9"/>
        <v>0</v>
      </c>
    </row>
    <row r="31" spans="1:14" x14ac:dyDescent="0.2">
      <c r="A31" s="20" t="s">
        <v>146</v>
      </c>
      <c r="B31" s="20" t="s">
        <v>17</v>
      </c>
      <c r="C31" s="20" t="s">
        <v>145</v>
      </c>
      <c r="D31" s="20" t="s">
        <v>121</v>
      </c>
      <c r="E31" s="34">
        <v>16.45</v>
      </c>
      <c r="F31" s="34">
        <f t="shared" si="5"/>
        <v>1.9352941176470586</v>
      </c>
      <c r="G31" s="35">
        <f>IF(AND(catpn_2_VBZB_1&gt;0,catpn_2_VBZV_10&gt;0),(dagenperjaar1*VLOOKUP(B31,dagsoorttabel1,2,FALSE))/(((dagenperjaar1*VLOOKUP(B31,dagsoorttabel1,2,FALSE))-catfd_2_VBZV_10)/catpn_2_VBZB_1+catfd_2_VBZV_10/catpn_2_VBZV_10),0)</f>
        <v>0</v>
      </c>
      <c r="H31" s="36">
        <f>IF(AND(catpn_2_VBZB_1&gt;0,catpn_2_VBZV_10&gt;0),(catdw_2_VBZB_1*((dagenperjaar1*VLOOKUP(B31,dagsoorttabel1,2,FALSE))-catfd_2_VBZV_10)/catpn_2_VBZB_1+catdw_2_VBZV_10*catfd_2_VBZV_10/catpn_2_VBZV_10)/(((dagenperjaar1*VLOOKUP(B31,dagsoorttabel1,2,FALSE))-catfd_2_VBZV_10)/catpn_2_VBZB_1+catfd_2_VBZV_10/catpn_2_VBZV_10),0)</f>
        <v>0</v>
      </c>
      <c r="I31" s="20" t="s">
        <v>41</v>
      </c>
      <c r="J31" s="37">
        <f>IF(AND(catpn_2_VBZB_1&gt;0,catpn_2_VBZV_10&gt;0),(cattf_2_VBZB_1*((dagenperjaar1*VLOOKUP(B31,dagsoorttabel1,2,FALSE))-catfd_2_VBZV_10)/catpn_2_VBZB_1+cattf_2_VBZV_10*catfd_2_VBZV_10/catpn_2_VBZV_10)/(((dagenperjaar1*VLOOKUP(B31,dagsoorttabel1,2,FALSE))-catfd_2_VBZV_10)/catpn_2_VBZB_1+catfd_2_VBZV_10/catpn_2_VBZV_10),0)</f>
        <v>0</v>
      </c>
      <c r="K31" s="34">
        <f t="shared" si="6"/>
        <v>0</v>
      </c>
      <c r="L31" s="37">
        <f t="shared" si="7"/>
        <v>0</v>
      </c>
      <c r="M31" s="34">
        <f t="shared" si="8"/>
        <v>0</v>
      </c>
      <c r="N31" s="37">
        <f t="shared" si="9"/>
        <v>0</v>
      </c>
    </row>
    <row r="32" spans="1:14" x14ac:dyDescent="0.2">
      <c r="A32" s="20" t="s">
        <v>146</v>
      </c>
      <c r="B32" s="20" t="s">
        <v>24</v>
      </c>
      <c r="C32" s="20" t="s">
        <v>145</v>
      </c>
      <c r="D32" s="20" t="s">
        <v>121</v>
      </c>
      <c r="E32" s="34">
        <v>16.100000000000001</v>
      </c>
      <c r="F32" s="34">
        <f t="shared" si="5"/>
        <v>0.37882352941176473</v>
      </c>
      <c r="G32" s="35">
        <f>IF(AND(catpn_2_VBZB_1&gt;0,catpn_2_VBZV_2&gt;0),(dagenperjaar1*VLOOKUP(B32,dagsoorttabel1,2,FALSE))/(((dagenperjaar1*VLOOKUP(B32,dagsoorttabel1,2,FALSE))-catfd_2_VBZV_2)/catpn_2_VBZB_1+catfd_2_VBZV_2/catpn_2_VBZV_2),0)</f>
        <v>0</v>
      </c>
      <c r="H32" s="36">
        <f>IF(AND(catpn_2_VBZB_1&gt;0,catpn_2_VBZV_2&gt;0),(catdw_2_VBZB_1*((dagenperjaar1*VLOOKUP(B32,dagsoorttabel1,2,FALSE))-catfd_2_VBZV_2)/catpn_2_VBZB_1+catdw_2_VBZV_2*catfd_2_VBZV_2/catpn_2_VBZV_2)/(((dagenperjaar1*VLOOKUP(B32,dagsoorttabel1,2,FALSE))-catfd_2_VBZV_2)/catpn_2_VBZB_1+catfd_2_VBZV_2/catpn_2_VBZV_2),0)</f>
        <v>0</v>
      </c>
      <c r="I32" s="20" t="s">
        <v>41</v>
      </c>
      <c r="J32" s="37">
        <f>IF(AND(catpn_2_VBZB_1&gt;0,catpn_2_VBZV_2&gt;0),(cattf_2_VBZB_1*((dagenperjaar1*VLOOKUP(B32,dagsoorttabel1,2,FALSE))-catfd_2_VBZV_2)/catpn_2_VBZB_1+cattf_2_VBZV_2*catfd_2_VBZV_2/catpn_2_VBZV_2)/(((dagenperjaar1*VLOOKUP(B32,dagsoorttabel1,2,FALSE))-catfd_2_VBZV_2)/catpn_2_VBZB_1+catfd_2_VBZV_2/catpn_2_VBZV_2),0)</f>
        <v>0</v>
      </c>
      <c r="K32" s="34">
        <f t="shared" si="6"/>
        <v>0</v>
      </c>
      <c r="L32" s="37">
        <f t="shared" si="7"/>
        <v>0</v>
      </c>
      <c r="M32" s="34">
        <f t="shared" si="8"/>
        <v>0</v>
      </c>
      <c r="N32" s="37">
        <f t="shared" si="9"/>
        <v>0</v>
      </c>
    </row>
    <row r="33" spans="1:14" x14ac:dyDescent="0.2">
      <c r="A33" s="20" t="s">
        <v>147</v>
      </c>
      <c r="B33" s="20" t="s">
        <v>23</v>
      </c>
      <c r="C33" s="20" t="s">
        <v>145</v>
      </c>
      <c r="D33" s="20" t="s">
        <v>123</v>
      </c>
      <c r="E33" s="34">
        <v>159.05000000000001</v>
      </c>
      <c r="F33" s="34">
        <f t="shared" si="5"/>
        <v>6.2372549019607844</v>
      </c>
      <c r="G33" s="35">
        <f>IF(AND(catpn_2_VGHB_1&gt;0,catpn_2_VGHV_2&gt;0),(dagenperjaar1*VLOOKUP(B33,dagsoorttabel1,2,FALSE))/(((dagenperjaar1*VLOOKUP(B33,dagsoorttabel1,2,FALSE))-catfd_2_VGHV_2)/catpn_2_VGHB_1+catfd_2_VGHV_2/catpn_2_VGHV_2),0)</f>
        <v>0</v>
      </c>
      <c r="H33" s="36">
        <f>IF(AND(catpn_2_VGHB_1&gt;0,catpn_2_VGHV_2&gt;0),(catdw_2_VGHB_1*((dagenperjaar1*VLOOKUP(B33,dagsoorttabel1,2,FALSE))-catfd_2_VGHV_2)/catpn_2_VGHB_1+catdw_2_VGHV_2*catfd_2_VGHV_2/catpn_2_VGHV_2)/(((dagenperjaar1*VLOOKUP(B33,dagsoorttabel1,2,FALSE))-catfd_2_VGHV_2)/catpn_2_VGHB_1+catfd_2_VGHV_2/catpn_2_VGHV_2),0)</f>
        <v>0</v>
      </c>
      <c r="I33" s="20" t="s">
        <v>41</v>
      </c>
      <c r="J33" s="37">
        <f>IF(AND(catpn_2_VGHB_1&gt;0,catpn_2_VGHV_2&gt;0),(cattf_2_VGHB_1*((dagenperjaar1*VLOOKUP(B33,dagsoorttabel1,2,FALSE))-catfd_2_VGHV_2)/catpn_2_VGHB_1+cattf_2_VGHV_2*catfd_2_VGHV_2/catpn_2_VGHV_2)/(((dagenperjaar1*VLOOKUP(B33,dagsoorttabel1,2,FALSE))-catfd_2_VGHV_2)/catpn_2_VGHB_1+catfd_2_VGHV_2/catpn_2_VGHV_2),0)</f>
        <v>0</v>
      </c>
      <c r="K33" s="34">
        <f t="shared" si="6"/>
        <v>0</v>
      </c>
      <c r="L33" s="37">
        <f t="shared" si="7"/>
        <v>0</v>
      </c>
      <c r="M33" s="34">
        <f t="shared" si="8"/>
        <v>0</v>
      </c>
      <c r="N33" s="37">
        <f t="shared" si="9"/>
        <v>0</v>
      </c>
    </row>
    <row r="34" spans="1:14" x14ac:dyDescent="0.2">
      <c r="A34" s="20" t="s">
        <v>147</v>
      </c>
      <c r="B34" s="20" t="s">
        <v>19</v>
      </c>
      <c r="C34" s="20" t="s">
        <v>145</v>
      </c>
      <c r="D34" s="20" t="s">
        <v>123</v>
      </c>
      <c r="E34" s="34">
        <v>318.08</v>
      </c>
      <c r="F34" s="34">
        <f t="shared" si="5"/>
        <v>31.184313725490195</v>
      </c>
      <c r="G34" s="35">
        <f>IF(AND(catpn_2_VGHB_1&gt;0,catpn_2_VGHV_5&gt;0),(dagenperjaar1*VLOOKUP(B34,dagsoorttabel1,2,FALSE))/(((dagenperjaar1*VLOOKUP(B34,dagsoorttabel1,2,FALSE))-catfd_2_VGHV_5)/catpn_2_VGHB_1+catfd_2_VGHV_5/catpn_2_VGHV_5),0)</f>
        <v>0</v>
      </c>
      <c r="H34" s="36">
        <f>IF(AND(catpn_2_VGHB_1&gt;0,catpn_2_VGHV_5&gt;0),(catdw_2_VGHB_1*((dagenperjaar1*VLOOKUP(B34,dagsoorttabel1,2,FALSE))-catfd_2_VGHV_5)/catpn_2_VGHB_1+catdw_2_VGHV_5*catfd_2_VGHV_5/catpn_2_VGHV_5)/(((dagenperjaar1*VLOOKUP(B34,dagsoorttabel1,2,FALSE))-catfd_2_VGHV_5)/catpn_2_VGHB_1+catfd_2_VGHV_5/catpn_2_VGHV_5),0)</f>
        <v>0</v>
      </c>
      <c r="I34" s="20" t="s">
        <v>41</v>
      </c>
      <c r="J34" s="37">
        <f>IF(AND(catpn_2_VGHB_1&gt;0,catpn_2_VGHV_5&gt;0),(cattf_2_VGHB_1*((dagenperjaar1*VLOOKUP(B34,dagsoorttabel1,2,FALSE))-catfd_2_VGHV_5)/catpn_2_VGHB_1+cattf_2_VGHV_5*catfd_2_VGHV_5/catpn_2_VGHV_5)/(((dagenperjaar1*VLOOKUP(B34,dagsoorttabel1,2,FALSE))-catfd_2_VGHV_5)/catpn_2_VGHB_1+catfd_2_VGHV_5/catpn_2_VGHV_5),0)</f>
        <v>0</v>
      </c>
      <c r="K34" s="34">
        <f t="shared" si="6"/>
        <v>0</v>
      </c>
      <c r="L34" s="37">
        <f t="shared" si="7"/>
        <v>0</v>
      </c>
      <c r="M34" s="34">
        <f t="shared" si="8"/>
        <v>0</v>
      </c>
      <c r="N34" s="37">
        <f t="shared" si="9"/>
        <v>0</v>
      </c>
    </row>
    <row r="35" spans="1:14" x14ac:dyDescent="0.2">
      <c r="A35" s="20" t="s">
        <v>148</v>
      </c>
      <c r="B35" s="20" t="s">
        <v>23</v>
      </c>
      <c r="C35" s="20" t="s">
        <v>145</v>
      </c>
      <c r="D35" s="20" t="s">
        <v>125</v>
      </c>
      <c r="E35" s="34">
        <v>475.81999999999988</v>
      </c>
      <c r="F35" s="34">
        <f t="shared" si="5"/>
        <v>18.659607843137248</v>
      </c>
      <c r="G35" s="35">
        <f>IF(AND(catpn_2_VLHB_1&gt;0,catpn_2_VLHV_2&gt;0),(dagenperjaar1*VLOOKUP(B35,dagsoorttabel1,2,FALSE))/(((dagenperjaar1*VLOOKUP(B35,dagsoorttabel1,2,FALSE))-catfd_2_VLHV_2)/catpn_2_VLHB_1+catfd_2_VLHV_2/catpn_2_VLHV_2),0)</f>
        <v>0</v>
      </c>
      <c r="H35" s="36">
        <f>IF(AND(catpn_2_VLHB_1&gt;0,catpn_2_VLHV_2&gt;0),(catdw_2_VLHB_1*((dagenperjaar1*VLOOKUP(B35,dagsoorttabel1,2,FALSE))-catfd_2_VLHV_2)/catpn_2_VLHB_1+catdw_2_VLHV_2*catfd_2_VLHV_2/catpn_2_VLHV_2)/(((dagenperjaar1*VLOOKUP(B35,dagsoorttabel1,2,FALSE))-catfd_2_VLHV_2)/catpn_2_VLHB_1+catfd_2_VLHV_2/catpn_2_VLHV_2),0)</f>
        <v>0</v>
      </c>
      <c r="I35" s="20" t="s">
        <v>41</v>
      </c>
      <c r="J35" s="37">
        <f>IF(AND(catpn_2_VLHB_1&gt;0,catpn_2_VLHV_2&gt;0),(cattf_2_VLHB_1*((dagenperjaar1*VLOOKUP(B35,dagsoorttabel1,2,FALSE))-catfd_2_VLHV_2)/catpn_2_VLHB_1+cattf_2_VLHV_2*catfd_2_VLHV_2/catpn_2_VLHV_2)/(((dagenperjaar1*VLOOKUP(B35,dagsoorttabel1,2,FALSE))-catfd_2_VLHV_2)/catpn_2_VLHB_1+catfd_2_VLHV_2/catpn_2_VLHV_2),0)</f>
        <v>0</v>
      </c>
      <c r="K35" s="34">
        <f t="shared" si="6"/>
        <v>0</v>
      </c>
      <c r="L35" s="37">
        <f t="shared" si="7"/>
        <v>0</v>
      </c>
      <c r="M35" s="34">
        <f t="shared" si="8"/>
        <v>0</v>
      </c>
      <c r="N35" s="37">
        <f t="shared" si="9"/>
        <v>0</v>
      </c>
    </row>
    <row r="36" spans="1:14" x14ac:dyDescent="0.2">
      <c r="A36" s="20" t="s">
        <v>148</v>
      </c>
      <c r="B36" s="20" t="s">
        <v>21</v>
      </c>
      <c r="C36" s="20" t="s">
        <v>145</v>
      </c>
      <c r="D36" s="20" t="s">
        <v>125</v>
      </c>
      <c r="E36" s="34">
        <v>106.16</v>
      </c>
      <c r="F36" s="34">
        <f t="shared" si="5"/>
        <v>6.2447058823529407</v>
      </c>
      <c r="G36" s="35">
        <f>IF(AND(catpn_2_VLHB_1&gt;0,catpn_2_VLHV_5&gt;0),(dagenperjaar1*VLOOKUP(B36,dagsoorttabel1,2,FALSE))/(((dagenperjaar1*VLOOKUP(B36,dagsoorttabel1,2,FALSE))-catfd_2_VLHV_5)/catpn_2_VLHB_1+catfd_2_VLHV_5/catpn_2_VLHV_5),0)</f>
        <v>0</v>
      </c>
      <c r="H36" s="36">
        <f>IF(AND(catpn_2_VLHB_1&gt;0,catpn_2_VLHV_5&gt;0),(catdw_2_VLHB_1*((dagenperjaar1*VLOOKUP(B36,dagsoorttabel1,2,FALSE))-catfd_2_VLHV_5)/catpn_2_VLHB_1+catdw_2_VLHV_5*catfd_2_VLHV_5/catpn_2_VLHV_5)/(((dagenperjaar1*VLOOKUP(B36,dagsoorttabel1,2,FALSE))-catfd_2_VLHV_5)/catpn_2_VLHB_1+catfd_2_VLHV_5/catpn_2_VLHV_5),0)</f>
        <v>0</v>
      </c>
      <c r="I36" s="20" t="s">
        <v>41</v>
      </c>
      <c r="J36" s="37">
        <f>IF(AND(catpn_2_VLHB_1&gt;0,catpn_2_VLHV_5&gt;0),(cattf_2_VLHB_1*((dagenperjaar1*VLOOKUP(B36,dagsoorttabel1,2,FALSE))-catfd_2_VLHV_5)/catpn_2_VLHB_1+cattf_2_VLHV_5*catfd_2_VLHV_5/catpn_2_VLHV_5)/(((dagenperjaar1*VLOOKUP(B36,dagsoorttabel1,2,FALSE))-catfd_2_VLHV_5)/catpn_2_VLHB_1+catfd_2_VLHV_5/catpn_2_VLHV_5),0)</f>
        <v>0</v>
      </c>
      <c r="K36" s="34">
        <f t="shared" si="6"/>
        <v>0</v>
      </c>
      <c r="L36" s="37">
        <f t="shared" si="7"/>
        <v>0</v>
      </c>
      <c r="M36" s="34">
        <f t="shared" si="8"/>
        <v>0</v>
      </c>
      <c r="N36" s="37">
        <f t="shared" si="9"/>
        <v>0</v>
      </c>
    </row>
    <row r="37" spans="1:14" x14ac:dyDescent="0.2">
      <c r="A37" s="20" t="s">
        <v>148</v>
      </c>
      <c r="B37" s="20" t="s">
        <v>16</v>
      </c>
      <c r="C37" s="20" t="s">
        <v>145</v>
      </c>
      <c r="D37" s="20" t="s">
        <v>125</v>
      </c>
      <c r="E37" s="34">
        <v>53.08</v>
      </c>
      <c r="F37" s="34">
        <f t="shared" si="5"/>
        <v>10.407843137254902</v>
      </c>
      <c r="G37" s="35">
        <f>IF(AND(catpn_2_VLHB_1&gt;0,catpn_2_VLHV_10&gt;0),(dagenperjaar1*VLOOKUP(B37,dagsoorttabel1,2,FALSE))/(((dagenperjaar1*VLOOKUP(B37,dagsoorttabel1,2,FALSE))-catfd_2_VLHV_10)/catpn_2_VLHB_1+catfd_2_VLHV_10/catpn_2_VLHV_10),0)</f>
        <v>0</v>
      </c>
      <c r="H37" s="36">
        <f>IF(AND(catpn_2_VLHB_1&gt;0,catpn_2_VLHV_10&gt;0),(catdw_2_VLHB_1*((dagenperjaar1*VLOOKUP(B37,dagsoorttabel1,2,FALSE))-catfd_2_VLHV_10)/catpn_2_VLHB_1+catdw_2_VLHV_10*catfd_2_VLHV_10/catpn_2_VLHV_10)/(((dagenperjaar1*VLOOKUP(B37,dagsoorttabel1,2,FALSE))-catfd_2_VLHV_10)/catpn_2_VLHB_1+catfd_2_VLHV_10/catpn_2_VLHV_10),0)</f>
        <v>0</v>
      </c>
      <c r="I37" s="20" t="s">
        <v>41</v>
      </c>
      <c r="J37" s="37">
        <f>IF(AND(catpn_2_VLHB_1&gt;0,catpn_2_VLHV_10&gt;0),(cattf_2_VLHB_1*((dagenperjaar1*VLOOKUP(B37,dagsoorttabel1,2,FALSE))-catfd_2_VLHV_10)/catpn_2_VLHB_1+cattf_2_VLHV_10*catfd_2_VLHV_10/catpn_2_VLHV_10)/(((dagenperjaar1*VLOOKUP(B37,dagsoorttabel1,2,FALSE))-catfd_2_VLHV_10)/catpn_2_VLHB_1+catfd_2_VLHV_10/catpn_2_VLHV_10),0)</f>
        <v>0</v>
      </c>
      <c r="K37" s="34">
        <f t="shared" si="6"/>
        <v>0</v>
      </c>
      <c r="L37" s="37">
        <f t="shared" si="7"/>
        <v>0</v>
      </c>
      <c r="M37" s="34">
        <f t="shared" si="8"/>
        <v>0</v>
      </c>
      <c r="N37" s="37">
        <f t="shared" si="9"/>
        <v>0</v>
      </c>
    </row>
    <row r="38" spans="1:14" x14ac:dyDescent="0.2">
      <c r="A38" s="20" t="s">
        <v>149</v>
      </c>
      <c r="B38" s="20" t="s">
        <v>19</v>
      </c>
      <c r="C38" s="20" t="s">
        <v>145</v>
      </c>
      <c r="D38" s="20" t="s">
        <v>129</v>
      </c>
      <c r="E38" s="34">
        <v>25</v>
      </c>
      <c r="F38" s="34">
        <f t="shared" si="5"/>
        <v>2.4509803921568629</v>
      </c>
      <c r="G38" s="35">
        <f>IF(AND(catpn_2_VPHB_1&gt;0,catpn_2_VPHV_5&gt;0),(dagenperjaar1*VLOOKUP(B38,dagsoorttabel1,2,FALSE))/(((dagenperjaar1*VLOOKUP(B38,dagsoorttabel1,2,FALSE))-catfd_2_VPHV_5)/catpn_2_VPHB_1+catfd_2_VPHV_5/catpn_2_VPHV_5),0)</f>
        <v>0</v>
      </c>
      <c r="H38" s="36">
        <f>IF(AND(catpn_2_VPHB_1&gt;0,catpn_2_VPHV_5&gt;0),(catdw_2_VPHB_1*((dagenperjaar1*VLOOKUP(B38,dagsoorttabel1,2,FALSE))-catfd_2_VPHV_5)/catpn_2_VPHB_1+catdw_2_VPHV_5*catfd_2_VPHV_5/catpn_2_VPHV_5)/(((dagenperjaar1*VLOOKUP(B38,dagsoorttabel1,2,FALSE))-catfd_2_VPHV_5)/catpn_2_VPHB_1+catfd_2_VPHV_5/catpn_2_VPHV_5),0)</f>
        <v>0</v>
      </c>
      <c r="I38" s="20" t="s">
        <v>41</v>
      </c>
      <c r="J38" s="37">
        <f>IF(AND(catpn_2_VPHB_1&gt;0,catpn_2_VPHV_5&gt;0),(cattf_2_VPHB_1*((dagenperjaar1*VLOOKUP(B38,dagsoorttabel1,2,FALSE))-catfd_2_VPHV_5)/catpn_2_VPHB_1+cattf_2_VPHV_5*catfd_2_VPHV_5/catpn_2_VPHV_5)/(((dagenperjaar1*VLOOKUP(B38,dagsoorttabel1,2,FALSE))-catfd_2_VPHV_5)/catpn_2_VPHB_1+catfd_2_VPHV_5/catpn_2_VPHV_5),0)</f>
        <v>0</v>
      </c>
      <c r="K38" s="34">
        <f t="shared" si="6"/>
        <v>0</v>
      </c>
      <c r="L38" s="37">
        <f t="shared" si="7"/>
        <v>0</v>
      </c>
      <c r="M38" s="34">
        <f t="shared" si="8"/>
        <v>0</v>
      </c>
      <c r="N38" s="37">
        <f t="shared" si="9"/>
        <v>0</v>
      </c>
    </row>
    <row r="39" spans="1:14" x14ac:dyDescent="0.2">
      <c r="A39" s="20" t="s">
        <v>150</v>
      </c>
      <c r="B39" s="20" t="s">
        <v>23</v>
      </c>
      <c r="C39" s="20" t="s">
        <v>145</v>
      </c>
      <c r="D39" s="20" t="s">
        <v>133</v>
      </c>
      <c r="E39" s="34">
        <v>80.100000000000009</v>
      </c>
      <c r="F39" s="34">
        <f t="shared" si="5"/>
        <v>3.1411764705882357</v>
      </c>
      <c r="G39" s="35">
        <f>IF(AND(catpn_2_VSHB_1&gt;0,catpn_2_VSHV_2&gt;0),(dagenperjaar1*VLOOKUP(B39,dagsoorttabel1,2,FALSE))/(((dagenperjaar1*VLOOKUP(B39,dagsoorttabel1,2,FALSE))-catfd_2_VSHV_2)/catpn_2_VSHB_1+catfd_2_VSHV_2/catpn_2_VSHV_2),0)</f>
        <v>0</v>
      </c>
      <c r="H39" s="36">
        <f>IF(AND(catpn_2_VSHB_1&gt;0,catpn_2_VSHV_2&gt;0),(catdw_2_VSHB_1*((dagenperjaar1*VLOOKUP(B39,dagsoorttabel1,2,FALSE))-catfd_2_VSHV_2)/catpn_2_VSHB_1+catdw_2_VSHV_2*catfd_2_VSHV_2/catpn_2_VSHV_2)/(((dagenperjaar1*VLOOKUP(B39,dagsoorttabel1,2,FALSE))-catfd_2_VSHV_2)/catpn_2_VSHB_1+catfd_2_VSHV_2/catpn_2_VSHV_2),0)</f>
        <v>0</v>
      </c>
      <c r="I39" s="20" t="s">
        <v>41</v>
      </c>
      <c r="J39" s="37">
        <f>IF(AND(catpn_2_VSHB_1&gt;0,catpn_2_VSHV_2&gt;0),(cattf_2_VSHB_1*((dagenperjaar1*VLOOKUP(B39,dagsoorttabel1,2,FALSE))-catfd_2_VSHV_2)/catpn_2_VSHB_1+cattf_2_VSHV_2*catfd_2_VSHV_2/catpn_2_VSHV_2)/(((dagenperjaar1*VLOOKUP(B39,dagsoorttabel1,2,FALSE))-catfd_2_VSHV_2)/catpn_2_VSHB_1+catfd_2_VSHV_2/catpn_2_VSHV_2),0)</f>
        <v>0</v>
      </c>
      <c r="K39" s="34">
        <f t="shared" si="6"/>
        <v>0</v>
      </c>
      <c r="L39" s="37">
        <f t="shared" si="7"/>
        <v>0</v>
      </c>
      <c r="M39" s="34">
        <f t="shared" si="8"/>
        <v>0</v>
      </c>
      <c r="N39" s="37">
        <f t="shared" si="9"/>
        <v>0</v>
      </c>
    </row>
    <row r="40" spans="1:14" x14ac:dyDescent="0.2">
      <c r="A40" s="20" t="s">
        <v>150</v>
      </c>
      <c r="B40" s="20" t="s">
        <v>19</v>
      </c>
      <c r="C40" s="20" t="s">
        <v>145</v>
      </c>
      <c r="D40" s="20" t="s">
        <v>133</v>
      </c>
      <c r="E40" s="34">
        <v>5.6</v>
      </c>
      <c r="F40" s="34">
        <f t="shared" si="5"/>
        <v>0.54901960784313719</v>
      </c>
      <c r="G40" s="35">
        <f>IF(AND(catpn_2_VSHB_1&gt;0,catpn_2_VSHV_5&gt;0),(dagenperjaar1*VLOOKUP(B40,dagsoorttabel1,2,FALSE))/(((dagenperjaar1*VLOOKUP(B40,dagsoorttabel1,2,FALSE))-catfd_2_VSHV_5)/catpn_2_VSHB_1+catfd_2_VSHV_5/catpn_2_VSHV_5),0)</f>
        <v>0</v>
      </c>
      <c r="H40" s="36">
        <f>IF(AND(catpn_2_VSHB_1&gt;0,catpn_2_VSHV_5&gt;0),(catdw_2_VSHB_1*((dagenperjaar1*VLOOKUP(B40,dagsoorttabel1,2,FALSE))-catfd_2_VSHV_5)/catpn_2_VSHB_1+catdw_2_VSHV_5*catfd_2_VSHV_5/catpn_2_VSHV_5)/(((dagenperjaar1*VLOOKUP(B40,dagsoorttabel1,2,FALSE))-catfd_2_VSHV_5)/catpn_2_VSHB_1+catfd_2_VSHV_5/catpn_2_VSHV_5),0)</f>
        <v>0</v>
      </c>
      <c r="I40" s="20" t="s">
        <v>41</v>
      </c>
      <c r="J40" s="37">
        <f>IF(AND(catpn_2_VSHB_1&gt;0,catpn_2_VSHV_5&gt;0),(cattf_2_VSHB_1*((dagenperjaar1*VLOOKUP(B40,dagsoorttabel1,2,FALSE))-catfd_2_VSHV_5)/catpn_2_VSHB_1+cattf_2_VSHV_5*catfd_2_VSHV_5/catpn_2_VSHV_5)/(((dagenperjaar1*VLOOKUP(B40,dagsoorttabel1,2,FALSE))-catfd_2_VSHV_5)/catpn_2_VSHB_1+catfd_2_VSHV_5/catpn_2_VSHV_5),0)</f>
        <v>0</v>
      </c>
      <c r="K40" s="34">
        <f t="shared" si="6"/>
        <v>0</v>
      </c>
      <c r="L40" s="37">
        <f t="shared" si="7"/>
        <v>0</v>
      </c>
      <c r="M40" s="34">
        <f t="shared" si="8"/>
        <v>0</v>
      </c>
      <c r="N40" s="37">
        <f t="shared" si="9"/>
        <v>0</v>
      </c>
    </row>
    <row r="41" spans="1:14" x14ac:dyDescent="0.2">
      <c r="A41" s="20" t="s">
        <v>150</v>
      </c>
      <c r="B41" s="20" t="s">
        <v>16</v>
      </c>
      <c r="C41" s="20" t="s">
        <v>145</v>
      </c>
      <c r="D41" s="20" t="s">
        <v>133</v>
      </c>
      <c r="E41" s="34">
        <v>13.399999999999999</v>
      </c>
      <c r="F41" s="34">
        <f t="shared" si="5"/>
        <v>2.6274509803921564</v>
      </c>
      <c r="G41" s="35">
        <f>IF(AND(catpn_2_VSHB_1&gt;0,catpn_2_VSHV_10&gt;0),(dagenperjaar1*VLOOKUP(B41,dagsoorttabel1,2,FALSE))/(((dagenperjaar1*VLOOKUP(B41,dagsoorttabel1,2,FALSE))-catfd_2_VSHV_10)/catpn_2_VSHB_1+catfd_2_VSHV_10/catpn_2_VSHV_10),0)</f>
        <v>0</v>
      </c>
      <c r="H41" s="36">
        <f>IF(AND(catpn_2_VSHB_1&gt;0,catpn_2_VSHV_10&gt;0),(catdw_2_VSHB_1*((dagenperjaar1*VLOOKUP(B41,dagsoorttabel1,2,FALSE))-catfd_2_VSHV_10)/catpn_2_VSHB_1+catdw_2_VSHV_10*catfd_2_VSHV_10/catpn_2_VSHV_10)/(((dagenperjaar1*VLOOKUP(B41,dagsoorttabel1,2,FALSE))-catfd_2_VSHV_10)/catpn_2_VSHB_1+catfd_2_VSHV_10/catpn_2_VSHV_10),0)</f>
        <v>0</v>
      </c>
      <c r="I41" s="20" t="s">
        <v>41</v>
      </c>
      <c r="J41" s="37">
        <f>IF(AND(catpn_2_VSHB_1&gt;0,catpn_2_VSHV_10&gt;0),(cattf_2_VSHB_1*((dagenperjaar1*VLOOKUP(B41,dagsoorttabel1,2,FALSE))-catfd_2_VSHV_10)/catpn_2_VSHB_1+cattf_2_VSHV_10*catfd_2_VSHV_10/catpn_2_VSHV_10)/(((dagenperjaar1*VLOOKUP(B41,dagsoorttabel1,2,FALSE))-catfd_2_VSHV_10)/catpn_2_VSHB_1+catfd_2_VSHV_10/catpn_2_VSHV_10),0)</f>
        <v>0</v>
      </c>
      <c r="K41" s="34">
        <f t="shared" si="6"/>
        <v>0</v>
      </c>
      <c r="L41" s="37">
        <f t="shared" si="7"/>
        <v>0</v>
      </c>
      <c r="M41" s="34">
        <f t="shared" si="8"/>
        <v>0</v>
      </c>
      <c r="N41" s="37">
        <f t="shared" si="9"/>
        <v>0</v>
      </c>
    </row>
    <row r="42" spans="1:14" x14ac:dyDescent="0.2">
      <c r="A42" s="20" t="s">
        <v>151</v>
      </c>
      <c r="B42" s="20" t="s">
        <v>21</v>
      </c>
      <c r="C42" s="20" t="s">
        <v>145</v>
      </c>
      <c r="D42" s="20" t="s">
        <v>135</v>
      </c>
      <c r="E42" s="34">
        <v>25.45</v>
      </c>
      <c r="F42" s="34">
        <f t="shared" si="5"/>
        <v>1.4970588235294118</v>
      </c>
      <c r="G42" s="35">
        <f>IF(AND(catpn_2_VUZB_1&gt;0,catpn_2_VUZV_5&gt;0),(dagenperjaar1*VLOOKUP(B42,dagsoorttabel1,2,FALSE))/(((dagenperjaar1*VLOOKUP(B42,dagsoorttabel1,2,FALSE))-catfd_2_VUZV_5)/catpn_2_VUZB_1+catfd_2_VUZV_5/catpn_2_VUZV_5),0)</f>
        <v>0</v>
      </c>
      <c r="H42" s="36">
        <f>IF(AND(catpn_2_VUZB_1&gt;0,catpn_2_VUZV_5&gt;0),(catdw_2_VUZB_1*((dagenperjaar1*VLOOKUP(B42,dagsoorttabel1,2,FALSE))-catfd_2_VUZV_5)/catpn_2_VUZB_1+catdw_2_VUZV_5*catfd_2_VUZV_5/catpn_2_VUZV_5)/(((dagenperjaar1*VLOOKUP(B42,dagsoorttabel1,2,FALSE))-catfd_2_VUZV_5)/catpn_2_VUZB_1+catfd_2_VUZV_5/catpn_2_VUZV_5),0)</f>
        <v>0</v>
      </c>
      <c r="I42" s="20" t="s">
        <v>41</v>
      </c>
      <c r="J42" s="37">
        <f>IF(AND(catpn_2_VUZB_1&gt;0,catpn_2_VUZV_5&gt;0),(cattf_2_VUZB_1*((dagenperjaar1*VLOOKUP(B42,dagsoorttabel1,2,FALSE))-catfd_2_VUZV_5)/catpn_2_VUZB_1+cattf_2_VUZV_5*catfd_2_VUZV_5/catpn_2_VUZV_5)/(((dagenperjaar1*VLOOKUP(B42,dagsoorttabel1,2,FALSE))-catfd_2_VUZV_5)/catpn_2_VUZB_1+catfd_2_VUZV_5/catpn_2_VUZV_5),0)</f>
        <v>0</v>
      </c>
      <c r="K42" s="34">
        <f t="shared" si="6"/>
        <v>0</v>
      </c>
      <c r="L42" s="37">
        <f t="shared" si="7"/>
        <v>0</v>
      </c>
      <c r="M42" s="34">
        <f t="shared" si="8"/>
        <v>0</v>
      </c>
      <c r="N42" s="37">
        <f t="shared" si="9"/>
        <v>0</v>
      </c>
    </row>
    <row r="43" spans="1:14" x14ac:dyDescent="0.2">
      <c r="A43" s="20" t="s">
        <v>152</v>
      </c>
      <c r="B43" s="20" t="s">
        <v>23</v>
      </c>
      <c r="C43" s="20" t="s">
        <v>145</v>
      </c>
      <c r="D43" s="20" t="s">
        <v>137</v>
      </c>
      <c r="E43" s="34">
        <v>236.1</v>
      </c>
      <c r="F43" s="34">
        <f t="shared" si="5"/>
        <v>9.2588235294117638</v>
      </c>
      <c r="G43" s="35">
        <f>IF(AND(catpn_2_VVHB_1&gt;0,catpn_2_VVHV_2&gt;0),(dagenperjaar1*VLOOKUP(B43,dagsoorttabel1,2,FALSE))/(((dagenperjaar1*VLOOKUP(B43,dagsoorttabel1,2,FALSE))-catfd_2_VVHV_2)/catpn_2_VVHB_1+catfd_2_VVHV_2/catpn_2_VVHV_2),0)</f>
        <v>0</v>
      </c>
      <c r="H43" s="36">
        <f>IF(AND(catpn_2_VVHB_1&gt;0,catpn_2_VVHV_2&gt;0),(catdw_2_VVHB_1*((dagenperjaar1*VLOOKUP(B43,dagsoorttabel1,2,FALSE))-catfd_2_VVHV_2)/catpn_2_VVHB_1+catdw_2_VVHV_2*catfd_2_VVHV_2/catpn_2_VVHV_2)/(((dagenperjaar1*VLOOKUP(B43,dagsoorttabel1,2,FALSE))-catfd_2_VVHV_2)/catpn_2_VVHB_1+catfd_2_VVHV_2/catpn_2_VVHV_2),0)</f>
        <v>0</v>
      </c>
      <c r="I43" s="20" t="s">
        <v>41</v>
      </c>
      <c r="J43" s="37">
        <f>IF(AND(catpn_2_VVHB_1&gt;0,catpn_2_VVHV_2&gt;0),(cattf_2_VVHB_1*((dagenperjaar1*VLOOKUP(B43,dagsoorttabel1,2,FALSE))-catfd_2_VVHV_2)/catpn_2_VVHB_1+cattf_2_VVHV_2*catfd_2_VVHV_2/catpn_2_VVHV_2)/(((dagenperjaar1*VLOOKUP(B43,dagsoorttabel1,2,FALSE))-catfd_2_VVHV_2)/catpn_2_VVHB_1+catfd_2_VVHV_2/catpn_2_VVHV_2),0)</f>
        <v>0</v>
      </c>
      <c r="K43" s="34">
        <f t="shared" si="6"/>
        <v>0</v>
      </c>
      <c r="L43" s="37">
        <f t="shared" si="7"/>
        <v>0</v>
      </c>
      <c r="M43" s="34">
        <f t="shared" si="8"/>
        <v>0</v>
      </c>
      <c r="N43" s="37">
        <f t="shared" si="9"/>
        <v>0</v>
      </c>
    </row>
    <row r="44" spans="1:14" x14ac:dyDescent="0.2">
      <c r="A44" s="20" t="s">
        <v>152</v>
      </c>
      <c r="B44" s="20" t="s">
        <v>19</v>
      </c>
      <c r="C44" s="20" t="s">
        <v>145</v>
      </c>
      <c r="D44" s="20" t="s">
        <v>137</v>
      </c>
      <c r="E44" s="34">
        <v>200</v>
      </c>
      <c r="F44" s="34">
        <f t="shared" si="5"/>
        <v>19.607843137254903</v>
      </c>
      <c r="G44" s="35">
        <f>IF(AND(catpn_2_VVHB_1&gt;0,catpn_2_VVHV_5&gt;0),(dagenperjaar1*VLOOKUP(B44,dagsoorttabel1,2,FALSE))/(((dagenperjaar1*VLOOKUP(B44,dagsoorttabel1,2,FALSE))-catfd_2_VVHV_5)/catpn_2_VVHB_1+catfd_2_VVHV_5/catpn_2_VVHV_5),0)</f>
        <v>0</v>
      </c>
      <c r="H44" s="36">
        <f>IF(AND(catpn_2_VVHB_1&gt;0,catpn_2_VVHV_5&gt;0),(catdw_2_VVHB_1*((dagenperjaar1*VLOOKUP(B44,dagsoorttabel1,2,FALSE))-catfd_2_VVHV_5)/catpn_2_VVHB_1+catdw_2_VVHV_5*catfd_2_VVHV_5/catpn_2_VVHV_5)/(((dagenperjaar1*VLOOKUP(B44,dagsoorttabel1,2,FALSE))-catfd_2_VVHV_5)/catpn_2_VVHB_1+catfd_2_VVHV_5/catpn_2_VVHV_5),0)</f>
        <v>0</v>
      </c>
      <c r="I44" s="20" t="s">
        <v>41</v>
      </c>
      <c r="J44" s="37">
        <f>IF(AND(catpn_2_VVHB_1&gt;0,catpn_2_VVHV_5&gt;0),(cattf_2_VVHB_1*((dagenperjaar1*VLOOKUP(B44,dagsoorttabel1,2,FALSE))-catfd_2_VVHV_5)/catpn_2_VVHB_1+cattf_2_VVHV_5*catfd_2_VVHV_5/catpn_2_VVHV_5)/(((dagenperjaar1*VLOOKUP(B44,dagsoorttabel1,2,FALSE))-catfd_2_VVHV_5)/catpn_2_VVHB_1+catfd_2_VVHV_5/catpn_2_VVHV_5),0)</f>
        <v>0</v>
      </c>
      <c r="K44" s="34">
        <f t="shared" si="6"/>
        <v>0</v>
      </c>
      <c r="L44" s="37">
        <f t="shared" si="7"/>
        <v>0</v>
      </c>
      <c r="M44" s="34">
        <f t="shared" si="8"/>
        <v>0</v>
      </c>
      <c r="N44" s="37">
        <f t="shared" si="9"/>
        <v>0</v>
      </c>
    </row>
    <row r="45" spans="1:14" x14ac:dyDescent="0.2">
      <c r="A45" s="20" t="s">
        <v>152</v>
      </c>
      <c r="B45" s="20" t="s">
        <v>16</v>
      </c>
      <c r="C45" s="20" t="s">
        <v>145</v>
      </c>
      <c r="D45" s="20" t="s">
        <v>137</v>
      </c>
      <c r="E45" s="34">
        <v>126.32</v>
      </c>
      <c r="F45" s="34">
        <f t="shared" si="5"/>
        <v>24.768627450980389</v>
      </c>
      <c r="G45" s="35">
        <f>IF(AND(catpn_2_VVHB_1&gt;0,catpn_2_VVHV_10&gt;0),(dagenperjaar1*VLOOKUP(B45,dagsoorttabel1,2,FALSE))/(((dagenperjaar1*VLOOKUP(B45,dagsoorttabel1,2,FALSE))-catfd_2_VVHV_10)/catpn_2_VVHB_1+catfd_2_VVHV_10/catpn_2_VVHV_10),0)</f>
        <v>0</v>
      </c>
      <c r="H45" s="36">
        <f>IF(AND(catpn_2_VVHB_1&gt;0,catpn_2_VVHV_10&gt;0),(catdw_2_VVHB_1*((dagenperjaar1*VLOOKUP(B45,dagsoorttabel1,2,FALSE))-catfd_2_VVHV_10)/catpn_2_VVHB_1+catdw_2_VVHV_10*catfd_2_VVHV_10/catpn_2_VVHV_10)/(((dagenperjaar1*VLOOKUP(B45,dagsoorttabel1,2,FALSE))-catfd_2_VVHV_10)/catpn_2_VVHB_1+catfd_2_VVHV_10/catpn_2_VVHV_10),0)</f>
        <v>0</v>
      </c>
      <c r="I45" s="20" t="s">
        <v>41</v>
      </c>
      <c r="J45" s="37">
        <f>IF(AND(catpn_2_VVHB_1&gt;0,catpn_2_VVHV_10&gt;0),(cattf_2_VVHB_1*((dagenperjaar1*VLOOKUP(B45,dagsoorttabel1,2,FALSE))-catfd_2_VVHV_10)/catpn_2_VVHB_1+cattf_2_VVHV_10*catfd_2_VVHV_10/catpn_2_VVHV_10)/(((dagenperjaar1*VLOOKUP(B45,dagsoorttabel1,2,FALSE))-catfd_2_VVHV_10)/catpn_2_VVHB_1+catfd_2_VVHV_10/catpn_2_VVHV_10),0)</f>
        <v>0</v>
      </c>
      <c r="K45" s="34">
        <f t="shared" si="6"/>
        <v>0</v>
      </c>
      <c r="L45" s="37">
        <f t="shared" si="7"/>
        <v>0</v>
      </c>
      <c r="M45" s="34">
        <f t="shared" si="8"/>
        <v>0</v>
      </c>
      <c r="N45" s="37">
        <f t="shared" si="9"/>
        <v>0</v>
      </c>
    </row>
    <row r="46" spans="1:14" x14ac:dyDescent="0.2">
      <c r="A46" s="20" t="s">
        <v>153</v>
      </c>
      <c r="B46" s="20" t="s">
        <v>23</v>
      </c>
      <c r="C46" s="20" t="s">
        <v>145</v>
      </c>
      <c r="D46" s="20" t="s">
        <v>139</v>
      </c>
      <c r="E46" s="34">
        <v>11.34</v>
      </c>
      <c r="F46" s="34">
        <f t="shared" si="5"/>
        <v>0.44470588235294117</v>
      </c>
      <c r="G46" s="35">
        <f>IF(AND(catpn_2_VVZB_1&gt;0,catpn_2_VVZV_2&gt;0),(dagenperjaar1*VLOOKUP(B46,dagsoorttabel1,2,FALSE))/(((dagenperjaar1*VLOOKUP(B46,dagsoorttabel1,2,FALSE))-catfd_2_VVZV_2)/catpn_2_VVZB_1+catfd_2_VVZV_2/catpn_2_VVZV_2),0)</f>
        <v>0</v>
      </c>
      <c r="H46" s="36">
        <f>IF(AND(catpn_2_VVZB_1&gt;0,catpn_2_VVZV_2&gt;0),(catdw_2_VVZB_1*((dagenperjaar1*VLOOKUP(B46,dagsoorttabel1,2,FALSE))-catfd_2_VVZV_2)/catpn_2_VVZB_1+catdw_2_VVZV_2*catfd_2_VVZV_2/catpn_2_VVZV_2)/(((dagenperjaar1*VLOOKUP(B46,dagsoorttabel1,2,FALSE))-catfd_2_VVZV_2)/catpn_2_VVZB_1+catfd_2_VVZV_2/catpn_2_VVZV_2),0)</f>
        <v>0</v>
      </c>
      <c r="I46" s="20" t="s">
        <v>41</v>
      </c>
      <c r="J46" s="37">
        <f>IF(AND(catpn_2_VVZB_1&gt;0,catpn_2_VVZV_2&gt;0),(cattf_2_VVZB_1*((dagenperjaar1*VLOOKUP(B46,dagsoorttabel1,2,FALSE))-catfd_2_VVZV_2)/catpn_2_VVZB_1+cattf_2_VVZV_2*catfd_2_VVZV_2/catpn_2_VVZV_2)/(((dagenperjaar1*VLOOKUP(B46,dagsoorttabel1,2,FALSE))-catfd_2_VVZV_2)/catpn_2_VVZB_1+catfd_2_VVZV_2/catpn_2_VVZV_2),0)</f>
        <v>0</v>
      </c>
      <c r="K46" s="34">
        <f t="shared" si="6"/>
        <v>0</v>
      </c>
      <c r="L46" s="37">
        <f t="shared" si="7"/>
        <v>0</v>
      </c>
      <c r="M46" s="34">
        <f t="shared" si="8"/>
        <v>0</v>
      </c>
      <c r="N46" s="37">
        <f t="shared" si="9"/>
        <v>0</v>
      </c>
    </row>
    <row r="47" spans="1:14" x14ac:dyDescent="0.2">
      <c r="A47" s="25" t="s">
        <v>153</v>
      </c>
      <c r="B47" s="25" t="s">
        <v>16</v>
      </c>
      <c r="C47" s="25" t="s">
        <v>145</v>
      </c>
      <c r="D47" s="25" t="s">
        <v>139</v>
      </c>
      <c r="E47" s="38">
        <v>13.34</v>
      </c>
      <c r="F47" s="38">
        <f t="shared" si="5"/>
        <v>2.615686274509804</v>
      </c>
      <c r="G47" s="39">
        <f>IF(AND(catpn_2_VVZB_1&gt;0,catpn_2_VVZV_10&gt;0),(dagenperjaar1*VLOOKUP(B47,dagsoorttabel1,2,FALSE))/(((dagenperjaar1*VLOOKUP(B47,dagsoorttabel1,2,FALSE))-catfd_2_VVZV_10)/catpn_2_VVZB_1+catfd_2_VVZV_10/catpn_2_VVZV_10),0)</f>
        <v>0</v>
      </c>
      <c r="H47" s="40">
        <f>IF(AND(catpn_2_VVZB_1&gt;0,catpn_2_VVZV_10&gt;0),(catdw_2_VVZB_1*((dagenperjaar1*VLOOKUP(B47,dagsoorttabel1,2,FALSE))-catfd_2_VVZV_10)/catpn_2_VVZB_1+catdw_2_VVZV_10*catfd_2_VVZV_10/catpn_2_VVZV_10)/(((dagenperjaar1*VLOOKUP(B47,dagsoorttabel1,2,FALSE))-catfd_2_VVZV_10)/catpn_2_VVZB_1+catfd_2_VVZV_10/catpn_2_VVZV_10),0)</f>
        <v>0</v>
      </c>
      <c r="I47" s="25" t="s">
        <v>41</v>
      </c>
      <c r="J47" s="41">
        <f>IF(AND(catpn_2_VVZB_1&gt;0,catpn_2_VVZV_10&gt;0),(cattf_2_VVZB_1*((dagenperjaar1*VLOOKUP(B47,dagsoorttabel1,2,FALSE))-catfd_2_VVZV_10)/catpn_2_VVZB_1+cattf_2_VVZV_10*catfd_2_VVZV_10/catpn_2_VVZV_10)/(((dagenperjaar1*VLOOKUP(B47,dagsoorttabel1,2,FALSE))-catfd_2_VVZV_10)/catpn_2_VVZB_1+catfd_2_VVZV_10/catpn_2_VVZV_10),0)</f>
        <v>0</v>
      </c>
      <c r="K47" s="38">
        <f t="shared" si="6"/>
        <v>0</v>
      </c>
      <c r="L47" s="41">
        <f t="shared" si="7"/>
        <v>0</v>
      </c>
      <c r="M47" s="38">
        <f t="shared" si="8"/>
        <v>0</v>
      </c>
      <c r="N47" s="41">
        <f t="shared" si="9"/>
        <v>0</v>
      </c>
    </row>
    <row r="48" spans="1:14" x14ac:dyDescent="0.2">
      <c r="A48" s="42" t="s">
        <v>154</v>
      </c>
      <c r="B48" s="43"/>
      <c r="C48" s="43"/>
      <c r="D48" s="43"/>
      <c r="E48" s="43"/>
      <c r="F48" s="43"/>
      <c r="G48" s="43"/>
      <c r="H48" s="43"/>
      <c r="I48" s="43"/>
      <c r="J48" s="43"/>
      <c r="K48" s="44">
        <f>SUM(K26:K47)</f>
        <v>0</v>
      </c>
      <c r="L48" s="45">
        <f>SUM(L26:L47)</f>
        <v>0</v>
      </c>
      <c r="M48" s="44">
        <f>SUM(M26:M47)</f>
        <v>0</v>
      </c>
      <c r="N48" s="46">
        <f>SUM(N26:N47)</f>
        <v>0</v>
      </c>
    </row>
    <row r="49" spans="1:14" x14ac:dyDescent="0.2">
      <c r="A49" s="47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8"/>
    </row>
    <row r="50" spans="1:14" x14ac:dyDescent="0.2">
      <c r="A50" s="42" t="s">
        <v>155</v>
      </c>
      <c r="B50" s="43"/>
      <c r="C50" s="43"/>
      <c r="D50" s="43"/>
      <c r="E50" s="43"/>
      <c r="F50" s="43"/>
      <c r="G50" s="43"/>
      <c r="H50" s="43"/>
      <c r="I50" s="43"/>
      <c r="J50" s="45">
        <f>IF(urenjaar2&gt;0,SUMIF(M26:M47,"&gt;0",N26:N47)/urenjaar2,0)</f>
        <v>0</v>
      </c>
      <c r="K50" s="43"/>
      <c r="L50" s="43"/>
      <c r="M50" s="43"/>
      <c r="N50" s="48"/>
    </row>
    <row r="51" spans="1:14" x14ac:dyDescent="0.2">
      <c r="A51" s="4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8"/>
    </row>
    <row r="53" spans="1:14" x14ac:dyDescent="0.2">
      <c r="A53" s="42" t="s">
        <v>156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>
        <f>urenjaar1+urenjaar2</f>
        <v>0</v>
      </c>
      <c r="N53" s="45">
        <f>prijsjaar1+prijsjaar2</f>
        <v>0</v>
      </c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EE5A-6B12-47C9-81A3-5D739C4DF2BF}">
  <dimension ref="A1:J43"/>
  <sheetViews>
    <sheetView workbookViewId="0"/>
  </sheetViews>
  <sheetFormatPr defaultRowHeight="12.75" x14ac:dyDescent="0.2"/>
  <cols>
    <col min="1" max="1" width="5.625" customWidth="1"/>
    <col min="2" max="2" width="6.125" customWidth="1"/>
    <col min="3" max="3" width="11.625" customWidth="1"/>
    <col min="4" max="10" width="12.625" customWidth="1"/>
  </cols>
  <sheetData>
    <row r="1" spans="1:10" x14ac:dyDescent="0.2">
      <c r="A1" s="1" t="s">
        <v>157</v>
      </c>
    </row>
    <row r="3" spans="1:10" x14ac:dyDescent="0.2">
      <c r="A3" s="49" t="s">
        <v>109</v>
      </c>
      <c r="B3" s="49" t="s">
        <v>7</v>
      </c>
      <c r="C3" s="49" t="s">
        <v>158</v>
      </c>
      <c r="D3" s="49" t="s">
        <v>159</v>
      </c>
      <c r="E3" s="49" t="s">
        <v>160</v>
      </c>
      <c r="F3" s="49" t="s">
        <v>161</v>
      </c>
      <c r="G3" s="49" t="s">
        <v>162</v>
      </c>
      <c r="H3" s="49" t="s">
        <v>34</v>
      </c>
      <c r="I3" s="49" t="s">
        <v>163</v>
      </c>
      <c r="J3" s="49" t="s">
        <v>164</v>
      </c>
    </row>
    <row r="4" spans="1:10" x14ac:dyDescent="0.2">
      <c r="A4" s="50"/>
      <c r="B4" s="50"/>
      <c r="C4" s="50"/>
      <c r="D4" s="50"/>
      <c r="E4" s="50"/>
      <c r="F4" s="50"/>
      <c r="G4" s="50"/>
      <c r="H4" s="50"/>
      <c r="I4" s="50"/>
      <c r="J4" s="51" t="s">
        <v>111</v>
      </c>
    </row>
    <row r="5" spans="1:10" x14ac:dyDescent="0.2">
      <c r="A5" s="15" t="s">
        <v>117</v>
      </c>
      <c r="B5" s="15" t="s">
        <v>13</v>
      </c>
      <c r="C5" s="15" t="s">
        <v>165</v>
      </c>
      <c r="D5" s="15" t="s">
        <v>118</v>
      </c>
      <c r="E5" s="30">
        <f t="shared" ref="E5:E18" si="0">IF(B5="","",VLOOKUP(B5,dagsoorttabel1,2,FALSE))</f>
        <v>0.47058823529411764</v>
      </c>
      <c r="F5" s="30">
        <v>1</v>
      </c>
      <c r="G5" s="30">
        <f>IF(prodnorm10&gt;0,1/prodnorm10,0)</f>
        <v>0</v>
      </c>
      <c r="H5" s="32">
        <f>dagwerk10</f>
        <v>0</v>
      </c>
      <c r="I5" s="33">
        <f>uurtarief10</f>
        <v>0</v>
      </c>
      <c r="J5" s="30">
        <v>37.159999999999997</v>
      </c>
    </row>
    <row r="6" spans="1:10" x14ac:dyDescent="0.2">
      <c r="A6" s="20" t="s">
        <v>117</v>
      </c>
      <c r="B6" s="20" t="s">
        <v>11</v>
      </c>
      <c r="C6" s="20" t="s">
        <v>165</v>
      </c>
      <c r="D6" s="20" t="s">
        <v>118</v>
      </c>
      <c r="E6" s="34">
        <f t="shared" si="0"/>
        <v>0.78431372549019607</v>
      </c>
      <c r="F6" s="34">
        <v>1</v>
      </c>
      <c r="G6" s="34">
        <f>IF(prodnorm11&gt;0,1/prodnorm11,0)</f>
        <v>0</v>
      </c>
      <c r="H6" s="36">
        <f>dagwerk11</f>
        <v>0</v>
      </c>
      <c r="I6" s="37">
        <f>uurtarief11</f>
        <v>0</v>
      </c>
      <c r="J6" s="34">
        <v>53.08</v>
      </c>
    </row>
    <row r="7" spans="1:10" x14ac:dyDescent="0.2">
      <c r="A7" s="20" t="s">
        <v>120</v>
      </c>
      <c r="B7" s="20" t="s">
        <v>13</v>
      </c>
      <c r="C7" s="20" t="s">
        <v>165</v>
      </c>
      <c r="D7" s="20" t="s">
        <v>118</v>
      </c>
      <c r="E7" s="34">
        <f t="shared" si="0"/>
        <v>0.47058823529411764</v>
      </c>
      <c r="F7" s="34">
        <v>1</v>
      </c>
      <c r="G7" s="34">
        <f>IF(prodnorm12&gt;0,1/prodnorm12,0)</f>
        <v>0</v>
      </c>
      <c r="H7" s="36">
        <f>dagwerk12</f>
        <v>0</v>
      </c>
      <c r="I7" s="37">
        <f>uurtarief12</f>
        <v>0</v>
      </c>
      <c r="J7" s="34">
        <v>248.54999999999993</v>
      </c>
    </row>
    <row r="8" spans="1:10" x14ac:dyDescent="0.2">
      <c r="A8" s="20" t="s">
        <v>122</v>
      </c>
      <c r="B8" s="20" t="s">
        <v>11</v>
      </c>
      <c r="C8" s="20" t="s">
        <v>165</v>
      </c>
      <c r="D8" s="20" t="s">
        <v>118</v>
      </c>
      <c r="E8" s="34">
        <f t="shared" si="0"/>
        <v>0.78431372549019607</v>
      </c>
      <c r="F8" s="34">
        <v>1</v>
      </c>
      <c r="G8" s="34">
        <f>IF(prodnorm13&gt;0,1/prodnorm13,0)</f>
        <v>0</v>
      </c>
      <c r="H8" s="36">
        <f>dagwerk13</f>
        <v>0</v>
      </c>
      <c r="I8" s="37">
        <f>uurtarief13</f>
        <v>0</v>
      </c>
      <c r="J8" s="34">
        <v>159.04</v>
      </c>
    </row>
    <row r="9" spans="1:10" x14ac:dyDescent="0.2">
      <c r="A9" s="20" t="s">
        <v>124</v>
      </c>
      <c r="B9" s="20" t="s">
        <v>13</v>
      </c>
      <c r="C9" s="20" t="s">
        <v>165</v>
      </c>
      <c r="D9" s="20" t="s">
        <v>118</v>
      </c>
      <c r="E9" s="34">
        <f t="shared" si="0"/>
        <v>0.47058823529411764</v>
      </c>
      <c r="F9" s="34">
        <v>1</v>
      </c>
      <c r="G9" s="34">
        <f>IF(prodnorm14&gt;0,1/prodnorm14,0)</f>
        <v>0</v>
      </c>
      <c r="H9" s="36">
        <f>dagwerk14</f>
        <v>0</v>
      </c>
      <c r="I9" s="37">
        <f>uurtarief14</f>
        <v>0</v>
      </c>
      <c r="J9" s="34">
        <v>106.16</v>
      </c>
    </row>
    <row r="10" spans="1:10" x14ac:dyDescent="0.2">
      <c r="A10" s="20" t="s">
        <v>124</v>
      </c>
      <c r="B10" s="20" t="s">
        <v>11</v>
      </c>
      <c r="C10" s="20" t="s">
        <v>165</v>
      </c>
      <c r="D10" s="20" t="s">
        <v>118</v>
      </c>
      <c r="E10" s="34">
        <f t="shared" si="0"/>
        <v>0.78431372549019607</v>
      </c>
      <c r="F10" s="34">
        <v>1</v>
      </c>
      <c r="G10" s="34">
        <f>IF(prodnorm15&gt;0,1/prodnorm15,0)</f>
        <v>0</v>
      </c>
      <c r="H10" s="36">
        <f>dagwerk15</f>
        <v>0</v>
      </c>
      <c r="I10" s="37">
        <f>uurtarief15</f>
        <v>0</v>
      </c>
      <c r="J10" s="34">
        <v>580.54</v>
      </c>
    </row>
    <row r="11" spans="1:10" x14ac:dyDescent="0.2">
      <c r="A11" s="20" t="s">
        <v>126</v>
      </c>
      <c r="B11" s="20" t="s">
        <v>11</v>
      </c>
      <c r="C11" s="20" t="s">
        <v>165</v>
      </c>
      <c r="D11" s="20" t="s">
        <v>118</v>
      </c>
      <c r="E11" s="34">
        <f t="shared" si="0"/>
        <v>0.78431372549019607</v>
      </c>
      <c r="F11" s="34">
        <v>1</v>
      </c>
      <c r="G11" s="34">
        <f>IF(prodnorm16&gt;0,1/prodnorm16,0)</f>
        <v>0</v>
      </c>
      <c r="H11" s="36">
        <f>dagwerk16</f>
        <v>0</v>
      </c>
      <c r="I11" s="37">
        <f>uurtarief16</f>
        <v>0</v>
      </c>
      <c r="J11" s="34">
        <v>37.17</v>
      </c>
    </row>
    <row r="12" spans="1:10" x14ac:dyDescent="0.2">
      <c r="A12" s="20" t="s">
        <v>128</v>
      </c>
      <c r="B12" s="20" t="s">
        <v>11</v>
      </c>
      <c r="C12" s="20" t="s">
        <v>165</v>
      </c>
      <c r="D12" s="20" t="s">
        <v>118</v>
      </c>
      <c r="E12" s="34">
        <f t="shared" si="0"/>
        <v>0.78431372549019607</v>
      </c>
      <c r="F12" s="34">
        <v>1</v>
      </c>
      <c r="G12" s="34">
        <f>IF(prodnorm17&gt;0,1/prodnorm17,0)</f>
        <v>0</v>
      </c>
      <c r="H12" s="36">
        <f>dagwerk17</f>
        <v>0</v>
      </c>
      <c r="I12" s="37">
        <f>uurtarief17</f>
        <v>0</v>
      </c>
      <c r="J12" s="34">
        <v>12.5</v>
      </c>
    </row>
    <row r="13" spans="1:10" x14ac:dyDescent="0.2">
      <c r="A13" s="20" t="s">
        <v>130</v>
      </c>
      <c r="B13" s="20" t="s">
        <v>11</v>
      </c>
      <c r="C13" s="20" t="s">
        <v>165</v>
      </c>
      <c r="D13" s="20" t="s">
        <v>118</v>
      </c>
      <c r="E13" s="34">
        <f t="shared" si="0"/>
        <v>0.78431372549019607</v>
      </c>
      <c r="F13" s="34">
        <v>1</v>
      </c>
      <c r="G13" s="34">
        <f>IF(prodnorm18&gt;0,1/prodnorm18,0)</f>
        <v>0</v>
      </c>
      <c r="H13" s="36">
        <f>dagwerk18</f>
        <v>0</v>
      </c>
      <c r="I13" s="37">
        <f>uurtarief18</f>
        <v>0</v>
      </c>
      <c r="J13" s="34">
        <v>95.53</v>
      </c>
    </row>
    <row r="14" spans="1:10" x14ac:dyDescent="0.2">
      <c r="A14" s="20" t="s">
        <v>132</v>
      </c>
      <c r="B14" s="20" t="s">
        <v>11</v>
      </c>
      <c r="C14" s="20" t="s">
        <v>165</v>
      </c>
      <c r="D14" s="20" t="s">
        <v>118</v>
      </c>
      <c r="E14" s="34">
        <f t="shared" si="0"/>
        <v>0.78431372549019607</v>
      </c>
      <c r="F14" s="34">
        <v>1</v>
      </c>
      <c r="G14" s="34">
        <f>IF(prodnorm19&gt;0,1/prodnorm19,0)</f>
        <v>0</v>
      </c>
      <c r="H14" s="36">
        <f>dagwerk19</f>
        <v>0</v>
      </c>
      <c r="I14" s="37">
        <f>uurtarief19</f>
        <v>0</v>
      </c>
      <c r="J14" s="34">
        <v>43.22</v>
      </c>
    </row>
    <row r="15" spans="1:10" x14ac:dyDescent="0.2">
      <c r="A15" s="20" t="s">
        <v>134</v>
      </c>
      <c r="B15" s="20" t="s">
        <v>13</v>
      </c>
      <c r="C15" s="20" t="s">
        <v>165</v>
      </c>
      <c r="D15" s="20" t="s">
        <v>118</v>
      </c>
      <c r="E15" s="34">
        <f t="shared" si="0"/>
        <v>0.47058823529411764</v>
      </c>
      <c r="F15" s="34">
        <v>1</v>
      </c>
      <c r="G15" s="34">
        <f>IF(prodnorm20&gt;0,1/prodnorm20,0)</f>
        <v>0</v>
      </c>
      <c r="H15" s="36">
        <f>dagwerk20</f>
        <v>0</v>
      </c>
      <c r="I15" s="37">
        <f>uurtarief20</f>
        <v>0</v>
      </c>
      <c r="J15" s="34">
        <v>25.45</v>
      </c>
    </row>
    <row r="16" spans="1:10" x14ac:dyDescent="0.2">
      <c r="A16" s="20" t="s">
        <v>136</v>
      </c>
      <c r="B16" s="20" t="s">
        <v>11</v>
      </c>
      <c r="C16" s="20" t="s">
        <v>165</v>
      </c>
      <c r="D16" s="20" t="s">
        <v>118</v>
      </c>
      <c r="E16" s="34">
        <f t="shared" si="0"/>
        <v>0.78431372549019607</v>
      </c>
      <c r="F16" s="34">
        <v>1</v>
      </c>
      <c r="G16" s="34">
        <f>IF(prodnorm21&gt;0,1/prodnorm21,0)</f>
        <v>0</v>
      </c>
      <c r="H16" s="36">
        <f>dagwerk21</f>
        <v>0</v>
      </c>
      <c r="I16" s="37">
        <f>uurtarief21</f>
        <v>0</v>
      </c>
      <c r="J16" s="34">
        <v>462.42</v>
      </c>
    </row>
    <row r="17" spans="1:10" x14ac:dyDescent="0.2">
      <c r="A17" s="20" t="s">
        <v>138</v>
      </c>
      <c r="B17" s="20" t="s">
        <v>11</v>
      </c>
      <c r="C17" s="20" t="s">
        <v>165</v>
      </c>
      <c r="D17" s="20" t="s">
        <v>118</v>
      </c>
      <c r="E17" s="34">
        <f t="shared" si="0"/>
        <v>0.78431372549019607</v>
      </c>
      <c r="F17" s="34">
        <v>1</v>
      </c>
      <c r="G17" s="34">
        <f>IF(prodnorm22&gt;0,1/prodnorm22,0)</f>
        <v>0</v>
      </c>
      <c r="H17" s="36">
        <f>dagwerk22</f>
        <v>0</v>
      </c>
      <c r="I17" s="37">
        <f>uurtarief22</f>
        <v>0</v>
      </c>
      <c r="J17" s="34">
        <v>24.68</v>
      </c>
    </row>
    <row r="18" spans="1:10" x14ac:dyDescent="0.2">
      <c r="A18" s="25" t="s">
        <v>140</v>
      </c>
      <c r="B18" s="25" t="s">
        <v>28</v>
      </c>
      <c r="C18" s="25" t="s">
        <v>165</v>
      </c>
      <c r="D18" s="25" t="s">
        <v>118</v>
      </c>
      <c r="E18" s="38">
        <f t="shared" si="0"/>
        <v>3.9215686274509803E-3</v>
      </c>
      <c r="F18" s="38">
        <v>1</v>
      </c>
      <c r="G18" s="38">
        <f>IF(prodnorm23&gt;0,1/prodnorm23,0)</f>
        <v>0</v>
      </c>
      <c r="H18" s="40">
        <f>dagwerk23</f>
        <v>0</v>
      </c>
      <c r="I18" s="41">
        <f>uurtarief23</f>
        <v>0</v>
      </c>
      <c r="J18" s="38">
        <v>1384.56</v>
      </c>
    </row>
    <row r="19" spans="1:10" x14ac:dyDescent="0.2">
      <c r="A19" s="42" t="s">
        <v>142</v>
      </c>
      <c r="B19" s="43"/>
      <c r="C19" s="43"/>
      <c r="D19" s="43"/>
      <c r="E19" s="43"/>
      <c r="F19" s="43"/>
      <c r="G19" s="43"/>
      <c r="H19" s="43"/>
      <c r="I19" s="43"/>
      <c r="J19" s="52"/>
    </row>
    <row r="21" spans="1:10" x14ac:dyDescent="0.2">
      <c r="A21" s="15" t="s">
        <v>144</v>
      </c>
      <c r="B21" s="15" t="s">
        <v>20</v>
      </c>
      <c r="C21" s="15" t="s">
        <v>166</v>
      </c>
      <c r="D21" s="15" t="s">
        <v>145</v>
      </c>
      <c r="E21" s="30">
        <f t="shared" ref="E21:E42" si="1">IF(B21="","",VLOOKUP(B21,dagsoorttabel1,2,FALSE))</f>
        <v>7.8431372549019607E-2</v>
      </c>
      <c r="F21" s="30">
        <v>1</v>
      </c>
      <c r="G21" s="30">
        <f>IF(prodnorm27&gt;0,1/prodnorm27,0)</f>
        <v>0</v>
      </c>
      <c r="H21" s="32">
        <f>dagwerk27</f>
        <v>0</v>
      </c>
      <c r="I21" s="33">
        <f>uurtarief27</f>
        <v>0</v>
      </c>
      <c r="J21" s="30">
        <v>29.27</v>
      </c>
    </row>
    <row r="22" spans="1:10" x14ac:dyDescent="0.2">
      <c r="A22" s="20" t="s">
        <v>144</v>
      </c>
      <c r="B22" s="20" t="s">
        <v>17</v>
      </c>
      <c r="C22" s="20" t="s">
        <v>166</v>
      </c>
      <c r="D22" s="20" t="s">
        <v>145</v>
      </c>
      <c r="E22" s="34">
        <f t="shared" si="1"/>
        <v>0.11764705882352941</v>
      </c>
      <c r="F22" s="34">
        <v>1</v>
      </c>
      <c r="G22" s="34">
        <f>IF(prodnorm28&gt;0,1/prodnorm28,0)</f>
        <v>0</v>
      </c>
      <c r="H22" s="36">
        <f>dagwerk28</f>
        <v>0</v>
      </c>
      <c r="I22" s="37">
        <f>uurtarief28</f>
        <v>0</v>
      </c>
      <c r="J22" s="34">
        <v>53.08</v>
      </c>
    </row>
    <row r="23" spans="1:10" x14ac:dyDescent="0.2">
      <c r="A23" s="20" t="s">
        <v>144</v>
      </c>
      <c r="B23" s="20" t="s">
        <v>24</v>
      </c>
      <c r="C23" s="20" t="s">
        <v>166</v>
      </c>
      <c r="D23" s="20" t="s">
        <v>145</v>
      </c>
      <c r="E23" s="34">
        <f t="shared" si="1"/>
        <v>2.3529411764705882E-2</v>
      </c>
      <c r="F23" s="34">
        <v>1</v>
      </c>
      <c r="G23" s="34">
        <f>IF(prodnorm29&gt;0,1/prodnorm29,0)</f>
        <v>0</v>
      </c>
      <c r="H23" s="36">
        <f>dagwerk29</f>
        <v>0</v>
      </c>
      <c r="I23" s="37">
        <f>uurtarief29</f>
        <v>0</v>
      </c>
      <c r="J23" s="34">
        <v>11.4</v>
      </c>
    </row>
    <row r="24" spans="1:10" x14ac:dyDescent="0.2">
      <c r="A24" s="20" t="s">
        <v>146</v>
      </c>
      <c r="B24" s="20" t="s">
        <v>21</v>
      </c>
      <c r="C24" s="20" t="s">
        <v>166</v>
      </c>
      <c r="D24" s="20" t="s">
        <v>145</v>
      </c>
      <c r="E24" s="34">
        <f t="shared" si="1"/>
        <v>5.8823529411764705E-2</v>
      </c>
      <c r="F24" s="34">
        <v>1</v>
      </c>
      <c r="G24" s="34">
        <f>IF(prodnorm30&gt;0,1/prodnorm30,0)</f>
        <v>0</v>
      </c>
      <c r="H24" s="36">
        <f>dagwerk30</f>
        <v>0</v>
      </c>
      <c r="I24" s="37">
        <f>uurtarief30</f>
        <v>0</v>
      </c>
      <c r="J24" s="34">
        <v>101.89000000000001</v>
      </c>
    </row>
    <row r="25" spans="1:10" x14ac:dyDescent="0.2">
      <c r="A25" s="20" t="s">
        <v>146</v>
      </c>
      <c r="B25" s="20" t="s">
        <v>20</v>
      </c>
      <c r="C25" s="20" t="s">
        <v>166</v>
      </c>
      <c r="D25" s="20" t="s">
        <v>145</v>
      </c>
      <c r="E25" s="34">
        <f t="shared" si="1"/>
        <v>7.8431372549019607E-2</v>
      </c>
      <c r="F25" s="34">
        <v>1</v>
      </c>
      <c r="G25" s="34">
        <f>IF(prodnorm31&gt;0,1/prodnorm31,0)</f>
        <v>0</v>
      </c>
      <c r="H25" s="36">
        <f>dagwerk31</f>
        <v>0</v>
      </c>
      <c r="I25" s="37">
        <f>uurtarief31</f>
        <v>0</v>
      </c>
      <c r="J25" s="34">
        <v>15.4</v>
      </c>
    </row>
    <row r="26" spans="1:10" x14ac:dyDescent="0.2">
      <c r="A26" s="20" t="s">
        <v>146</v>
      </c>
      <c r="B26" s="20" t="s">
        <v>17</v>
      </c>
      <c r="C26" s="20" t="s">
        <v>166</v>
      </c>
      <c r="D26" s="20" t="s">
        <v>145</v>
      </c>
      <c r="E26" s="34">
        <f t="shared" si="1"/>
        <v>0.11764705882352941</v>
      </c>
      <c r="F26" s="34">
        <v>1</v>
      </c>
      <c r="G26" s="34">
        <f>IF(prodnorm32&gt;0,1/prodnorm32,0)</f>
        <v>0</v>
      </c>
      <c r="H26" s="36">
        <f>dagwerk32</f>
        <v>0</v>
      </c>
      <c r="I26" s="37">
        <f>uurtarief32</f>
        <v>0</v>
      </c>
      <c r="J26" s="34">
        <v>16.45</v>
      </c>
    </row>
    <row r="27" spans="1:10" x14ac:dyDescent="0.2">
      <c r="A27" s="20" t="s">
        <v>146</v>
      </c>
      <c r="B27" s="20" t="s">
        <v>24</v>
      </c>
      <c r="C27" s="20" t="s">
        <v>166</v>
      </c>
      <c r="D27" s="20" t="s">
        <v>145</v>
      </c>
      <c r="E27" s="34">
        <f t="shared" si="1"/>
        <v>2.3529411764705882E-2</v>
      </c>
      <c r="F27" s="34">
        <v>1</v>
      </c>
      <c r="G27" s="34">
        <f>IF(prodnorm33&gt;0,1/prodnorm33,0)</f>
        <v>0</v>
      </c>
      <c r="H27" s="36">
        <f>dagwerk33</f>
        <v>0</v>
      </c>
      <c r="I27" s="37">
        <f>uurtarief33</f>
        <v>0</v>
      </c>
      <c r="J27" s="34">
        <v>16.100000000000001</v>
      </c>
    </row>
    <row r="28" spans="1:10" x14ac:dyDescent="0.2">
      <c r="A28" s="20" t="s">
        <v>147</v>
      </c>
      <c r="B28" s="20" t="s">
        <v>23</v>
      </c>
      <c r="C28" s="20" t="s">
        <v>166</v>
      </c>
      <c r="D28" s="20" t="s">
        <v>145</v>
      </c>
      <c r="E28" s="34">
        <f t="shared" si="1"/>
        <v>3.9215686274509803E-2</v>
      </c>
      <c r="F28" s="34">
        <v>1</v>
      </c>
      <c r="G28" s="34">
        <f>IF(prodnorm34&gt;0,1/prodnorm34,0)</f>
        <v>0</v>
      </c>
      <c r="H28" s="36">
        <f>dagwerk34</f>
        <v>0</v>
      </c>
      <c r="I28" s="37">
        <f>uurtarief34</f>
        <v>0</v>
      </c>
      <c r="J28" s="34">
        <v>159.05000000000001</v>
      </c>
    </row>
    <row r="29" spans="1:10" x14ac:dyDescent="0.2">
      <c r="A29" s="20" t="s">
        <v>147</v>
      </c>
      <c r="B29" s="20" t="s">
        <v>19</v>
      </c>
      <c r="C29" s="20" t="s">
        <v>166</v>
      </c>
      <c r="D29" s="20" t="s">
        <v>145</v>
      </c>
      <c r="E29" s="34">
        <f t="shared" si="1"/>
        <v>9.8039215686274508E-2</v>
      </c>
      <c r="F29" s="34">
        <v>1</v>
      </c>
      <c r="G29" s="34">
        <f>IF(prodnorm35&gt;0,1/prodnorm35,0)</f>
        <v>0</v>
      </c>
      <c r="H29" s="36">
        <f>dagwerk35</f>
        <v>0</v>
      </c>
      <c r="I29" s="37">
        <f>uurtarief35</f>
        <v>0</v>
      </c>
      <c r="J29" s="34">
        <v>318.08</v>
      </c>
    </row>
    <row r="30" spans="1:10" x14ac:dyDescent="0.2">
      <c r="A30" s="20" t="s">
        <v>148</v>
      </c>
      <c r="B30" s="20" t="s">
        <v>23</v>
      </c>
      <c r="C30" s="20" t="s">
        <v>166</v>
      </c>
      <c r="D30" s="20" t="s">
        <v>145</v>
      </c>
      <c r="E30" s="34">
        <f t="shared" si="1"/>
        <v>3.9215686274509803E-2</v>
      </c>
      <c r="F30" s="34">
        <v>1</v>
      </c>
      <c r="G30" s="34">
        <f>IF(prodnorm36&gt;0,1/prodnorm36,0)</f>
        <v>0</v>
      </c>
      <c r="H30" s="36">
        <f>dagwerk36</f>
        <v>0</v>
      </c>
      <c r="I30" s="37">
        <f>uurtarief36</f>
        <v>0</v>
      </c>
      <c r="J30" s="34">
        <v>475.81999999999988</v>
      </c>
    </row>
    <row r="31" spans="1:10" x14ac:dyDescent="0.2">
      <c r="A31" s="20" t="s">
        <v>148</v>
      </c>
      <c r="B31" s="20" t="s">
        <v>21</v>
      </c>
      <c r="C31" s="20" t="s">
        <v>166</v>
      </c>
      <c r="D31" s="20" t="s">
        <v>145</v>
      </c>
      <c r="E31" s="34">
        <f t="shared" si="1"/>
        <v>5.8823529411764705E-2</v>
      </c>
      <c r="F31" s="34">
        <v>1</v>
      </c>
      <c r="G31" s="34">
        <f>IF(prodnorm37&gt;0,1/prodnorm37,0)</f>
        <v>0</v>
      </c>
      <c r="H31" s="36">
        <f>dagwerk37</f>
        <v>0</v>
      </c>
      <c r="I31" s="37">
        <f>uurtarief37</f>
        <v>0</v>
      </c>
      <c r="J31" s="34">
        <v>106.16</v>
      </c>
    </row>
    <row r="32" spans="1:10" x14ac:dyDescent="0.2">
      <c r="A32" s="20" t="s">
        <v>148</v>
      </c>
      <c r="B32" s="20" t="s">
        <v>16</v>
      </c>
      <c r="C32" s="20" t="s">
        <v>166</v>
      </c>
      <c r="D32" s="20" t="s">
        <v>145</v>
      </c>
      <c r="E32" s="34">
        <f t="shared" si="1"/>
        <v>0.19607843137254902</v>
      </c>
      <c r="F32" s="34">
        <v>1</v>
      </c>
      <c r="G32" s="34">
        <f>IF(prodnorm38&gt;0,1/prodnorm38,0)</f>
        <v>0</v>
      </c>
      <c r="H32" s="36">
        <f>dagwerk38</f>
        <v>0</v>
      </c>
      <c r="I32" s="37">
        <f>uurtarief38</f>
        <v>0</v>
      </c>
      <c r="J32" s="34">
        <v>53.08</v>
      </c>
    </row>
    <row r="33" spans="1:10" x14ac:dyDescent="0.2">
      <c r="A33" s="20" t="s">
        <v>149</v>
      </c>
      <c r="B33" s="20" t="s">
        <v>19</v>
      </c>
      <c r="C33" s="20" t="s">
        <v>166</v>
      </c>
      <c r="D33" s="20" t="s">
        <v>145</v>
      </c>
      <c r="E33" s="34">
        <f t="shared" si="1"/>
        <v>9.8039215686274508E-2</v>
      </c>
      <c r="F33" s="34">
        <v>1</v>
      </c>
      <c r="G33" s="34">
        <f>IF(prodnorm39&gt;0,1/prodnorm39,0)</f>
        <v>0</v>
      </c>
      <c r="H33" s="36">
        <f>dagwerk39</f>
        <v>0</v>
      </c>
      <c r="I33" s="37">
        <f>uurtarief39</f>
        <v>0</v>
      </c>
      <c r="J33" s="34">
        <v>25</v>
      </c>
    </row>
    <row r="34" spans="1:10" x14ac:dyDescent="0.2">
      <c r="A34" s="20" t="s">
        <v>150</v>
      </c>
      <c r="B34" s="20" t="s">
        <v>23</v>
      </c>
      <c r="C34" s="20" t="s">
        <v>166</v>
      </c>
      <c r="D34" s="20" t="s">
        <v>145</v>
      </c>
      <c r="E34" s="34">
        <f t="shared" si="1"/>
        <v>3.9215686274509803E-2</v>
      </c>
      <c r="F34" s="34">
        <v>1</v>
      </c>
      <c r="G34" s="34">
        <f>IF(prodnorm40&gt;0,1/prodnorm40,0)</f>
        <v>0</v>
      </c>
      <c r="H34" s="36">
        <f>dagwerk40</f>
        <v>0</v>
      </c>
      <c r="I34" s="37">
        <f>uurtarief40</f>
        <v>0</v>
      </c>
      <c r="J34" s="34">
        <v>80.100000000000009</v>
      </c>
    </row>
    <row r="35" spans="1:10" x14ac:dyDescent="0.2">
      <c r="A35" s="20" t="s">
        <v>150</v>
      </c>
      <c r="B35" s="20" t="s">
        <v>19</v>
      </c>
      <c r="C35" s="20" t="s">
        <v>166</v>
      </c>
      <c r="D35" s="20" t="s">
        <v>145</v>
      </c>
      <c r="E35" s="34">
        <f t="shared" si="1"/>
        <v>9.8039215686274508E-2</v>
      </c>
      <c r="F35" s="34">
        <v>1</v>
      </c>
      <c r="G35" s="34">
        <f>IF(prodnorm41&gt;0,1/prodnorm41,0)</f>
        <v>0</v>
      </c>
      <c r="H35" s="36">
        <f>dagwerk41</f>
        <v>0</v>
      </c>
      <c r="I35" s="37">
        <f>uurtarief41</f>
        <v>0</v>
      </c>
      <c r="J35" s="34">
        <v>5.6</v>
      </c>
    </row>
    <row r="36" spans="1:10" x14ac:dyDescent="0.2">
      <c r="A36" s="20" t="s">
        <v>150</v>
      </c>
      <c r="B36" s="20" t="s">
        <v>16</v>
      </c>
      <c r="C36" s="20" t="s">
        <v>166</v>
      </c>
      <c r="D36" s="20" t="s">
        <v>145</v>
      </c>
      <c r="E36" s="34">
        <f t="shared" si="1"/>
        <v>0.19607843137254902</v>
      </c>
      <c r="F36" s="34">
        <v>1</v>
      </c>
      <c r="G36" s="34">
        <f>IF(prodnorm42&gt;0,1/prodnorm42,0)</f>
        <v>0</v>
      </c>
      <c r="H36" s="36">
        <f>dagwerk42</f>
        <v>0</v>
      </c>
      <c r="I36" s="37">
        <f>uurtarief42</f>
        <v>0</v>
      </c>
      <c r="J36" s="34">
        <v>13.399999999999999</v>
      </c>
    </row>
    <row r="37" spans="1:10" x14ac:dyDescent="0.2">
      <c r="A37" s="20" t="s">
        <v>151</v>
      </c>
      <c r="B37" s="20" t="s">
        <v>21</v>
      </c>
      <c r="C37" s="20" t="s">
        <v>166</v>
      </c>
      <c r="D37" s="20" t="s">
        <v>145</v>
      </c>
      <c r="E37" s="34">
        <f t="shared" si="1"/>
        <v>5.8823529411764705E-2</v>
      </c>
      <c r="F37" s="34">
        <v>1</v>
      </c>
      <c r="G37" s="34">
        <f>IF(prodnorm43&gt;0,1/prodnorm43,0)</f>
        <v>0</v>
      </c>
      <c r="H37" s="36">
        <f>dagwerk43</f>
        <v>0</v>
      </c>
      <c r="I37" s="37">
        <f>uurtarief43</f>
        <v>0</v>
      </c>
      <c r="J37" s="34">
        <v>25.45</v>
      </c>
    </row>
    <row r="38" spans="1:10" x14ac:dyDescent="0.2">
      <c r="A38" s="20" t="s">
        <v>152</v>
      </c>
      <c r="B38" s="20" t="s">
        <v>23</v>
      </c>
      <c r="C38" s="20" t="s">
        <v>166</v>
      </c>
      <c r="D38" s="20" t="s">
        <v>145</v>
      </c>
      <c r="E38" s="34">
        <f t="shared" si="1"/>
        <v>3.9215686274509803E-2</v>
      </c>
      <c r="F38" s="34">
        <v>1</v>
      </c>
      <c r="G38" s="34">
        <f>IF(prodnorm44&gt;0,1/prodnorm44,0)</f>
        <v>0</v>
      </c>
      <c r="H38" s="36">
        <f>dagwerk44</f>
        <v>0</v>
      </c>
      <c r="I38" s="37">
        <f>uurtarief44</f>
        <v>0</v>
      </c>
      <c r="J38" s="34">
        <v>236.1</v>
      </c>
    </row>
    <row r="39" spans="1:10" x14ac:dyDescent="0.2">
      <c r="A39" s="20" t="s">
        <v>152</v>
      </c>
      <c r="B39" s="20" t="s">
        <v>19</v>
      </c>
      <c r="C39" s="20" t="s">
        <v>166</v>
      </c>
      <c r="D39" s="20" t="s">
        <v>145</v>
      </c>
      <c r="E39" s="34">
        <f t="shared" si="1"/>
        <v>9.8039215686274508E-2</v>
      </c>
      <c r="F39" s="34">
        <v>1</v>
      </c>
      <c r="G39" s="34">
        <f>IF(prodnorm45&gt;0,1/prodnorm45,0)</f>
        <v>0</v>
      </c>
      <c r="H39" s="36">
        <f>dagwerk45</f>
        <v>0</v>
      </c>
      <c r="I39" s="37">
        <f>uurtarief45</f>
        <v>0</v>
      </c>
      <c r="J39" s="34">
        <v>200</v>
      </c>
    </row>
    <row r="40" spans="1:10" x14ac:dyDescent="0.2">
      <c r="A40" s="20" t="s">
        <v>152</v>
      </c>
      <c r="B40" s="20" t="s">
        <v>16</v>
      </c>
      <c r="C40" s="20" t="s">
        <v>166</v>
      </c>
      <c r="D40" s="20" t="s">
        <v>145</v>
      </c>
      <c r="E40" s="34">
        <f t="shared" si="1"/>
        <v>0.19607843137254902</v>
      </c>
      <c r="F40" s="34">
        <v>1</v>
      </c>
      <c r="G40" s="34">
        <f>IF(prodnorm46&gt;0,1/prodnorm46,0)</f>
        <v>0</v>
      </c>
      <c r="H40" s="36">
        <f>dagwerk46</f>
        <v>0</v>
      </c>
      <c r="I40" s="37">
        <f>uurtarief46</f>
        <v>0</v>
      </c>
      <c r="J40" s="34">
        <v>126.32</v>
      </c>
    </row>
    <row r="41" spans="1:10" x14ac:dyDescent="0.2">
      <c r="A41" s="20" t="s">
        <v>153</v>
      </c>
      <c r="B41" s="20" t="s">
        <v>23</v>
      </c>
      <c r="C41" s="20" t="s">
        <v>166</v>
      </c>
      <c r="D41" s="20" t="s">
        <v>145</v>
      </c>
      <c r="E41" s="34">
        <f t="shared" si="1"/>
        <v>3.9215686274509803E-2</v>
      </c>
      <c r="F41" s="34">
        <v>1</v>
      </c>
      <c r="G41" s="34">
        <f>IF(prodnorm47&gt;0,1/prodnorm47,0)</f>
        <v>0</v>
      </c>
      <c r="H41" s="36">
        <f>dagwerk47</f>
        <v>0</v>
      </c>
      <c r="I41" s="37">
        <f>uurtarief47</f>
        <v>0</v>
      </c>
      <c r="J41" s="34">
        <v>11.34</v>
      </c>
    </row>
    <row r="42" spans="1:10" x14ac:dyDescent="0.2">
      <c r="A42" s="25" t="s">
        <v>153</v>
      </c>
      <c r="B42" s="25" t="s">
        <v>16</v>
      </c>
      <c r="C42" s="25" t="s">
        <v>166</v>
      </c>
      <c r="D42" s="25" t="s">
        <v>145</v>
      </c>
      <c r="E42" s="38">
        <f t="shared" si="1"/>
        <v>0.19607843137254902</v>
      </c>
      <c r="F42" s="38">
        <v>1</v>
      </c>
      <c r="G42" s="38">
        <f>IF(prodnorm48&gt;0,1/prodnorm48,0)</f>
        <v>0</v>
      </c>
      <c r="H42" s="40">
        <f>dagwerk48</f>
        <v>0</v>
      </c>
      <c r="I42" s="41">
        <f>uurtarief48</f>
        <v>0</v>
      </c>
      <c r="J42" s="38">
        <v>13.34</v>
      </c>
    </row>
    <row r="43" spans="1:10" x14ac:dyDescent="0.2">
      <c r="A43" s="42" t="s">
        <v>154</v>
      </c>
      <c r="B43" s="43"/>
      <c r="C43" s="43"/>
      <c r="D43" s="43"/>
      <c r="E43" s="43"/>
      <c r="F43" s="43"/>
      <c r="G43" s="43"/>
      <c r="H43" s="43"/>
      <c r="I43" s="43"/>
      <c r="J43" s="52"/>
    </row>
  </sheetData>
  <pageMargins left="0.7" right="0.7" top="0.75" bottom="0.75" header="0.3" footer="0.3"/>
  <pageSetup paperSize="9" scale="70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B3AC-F0D5-4F96-AC5B-D6EB0AE05CC2}">
  <dimension ref="A1:S17"/>
  <sheetViews>
    <sheetView workbookViewId="0"/>
  </sheetViews>
  <sheetFormatPr defaultRowHeight="12.75" x14ac:dyDescent="0.2"/>
  <cols>
    <col min="1" max="1" width="8.625" customWidth="1"/>
    <col min="2" max="2" width="28.625" customWidth="1"/>
    <col min="3" max="4" width="15.625" customWidth="1"/>
    <col min="5" max="5" width="6.125" customWidth="1"/>
    <col min="6" max="6" width="10.625" customWidth="1"/>
    <col min="7" max="7" width="8.625" customWidth="1"/>
    <col min="8" max="15" width="12.125" customWidth="1"/>
    <col min="16" max="17" width="12.625" customWidth="1"/>
    <col min="18" max="19" width="13.625" customWidth="1"/>
  </cols>
  <sheetData>
    <row r="1" spans="1:19" x14ac:dyDescent="0.2">
      <c r="A1" s="1" t="str">
        <f>CONCATENATE("Bijlage H3.3: ",tabeltype," objecten")</f>
        <v>Bijlage H3.3: Invultabel objecten</v>
      </c>
    </row>
    <row r="3" spans="1:19" ht="51" x14ac:dyDescent="0.2">
      <c r="A3" s="8" t="s">
        <v>167</v>
      </c>
      <c r="B3" s="8" t="s">
        <v>168</v>
      </c>
      <c r="C3" s="8" t="s">
        <v>169</v>
      </c>
      <c r="D3" s="8" t="s">
        <v>170</v>
      </c>
      <c r="E3" s="8" t="s">
        <v>7</v>
      </c>
      <c r="F3" s="8" t="s">
        <v>171</v>
      </c>
      <c r="G3" s="8" t="s">
        <v>172</v>
      </c>
      <c r="H3" s="8" t="s">
        <v>173</v>
      </c>
      <c r="I3" s="8" t="s">
        <v>174</v>
      </c>
      <c r="J3" s="8" t="s">
        <v>175</v>
      </c>
      <c r="K3" s="8" t="s">
        <v>176</v>
      </c>
      <c r="L3" s="8" t="s">
        <v>177</v>
      </c>
      <c r="M3" s="8" t="s">
        <v>178</v>
      </c>
      <c r="N3" s="8" t="s">
        <v>179</v>
      </c>
      <c r="O3" s="8" t="s">
        <v>180</v>
      </c>
      <c r="P3" s="8" t="s">
        <v>181</v>
      </c>
      <c r="Q3" s="8" t="s">
        <v>115</v>
      </c>
      <c r="R3" s="8" t="s">
        <v>182</v>
      </c>
      <c r="S3" s="8" t="s">
        <v>183</v>
      </c>
    </row>
    <row r="4" spans="1:19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</row>
    <row r="6" spans="1:19" x14ac:dyDescent="0.2">
      <c r="A6" s="53" t="s">
        <v>184</v>
      </c>
      <c r="B6" s="53" t="s">
        <v>185</v>
      </c>
      <c r="C6" s="53" t="s">
        <v>186</v>
      </c>
      <c r="D6" s="53" t="s">
        <v>187</v>
      </c>
      <c r="E6" s="54" t="s">
        <v>11</v>
      </c>
      <c r="F6" s="55">
        <f>gemuurtarief1</f>
        <v>0</v>
      </c>
      <c r="G6" s="56">
        <v>1</v>
      </c>
      <c r="H6" s="57">
        <f>SUMPRODUCT(taakfreqtabel1,uurfactortabel1,kengetaltabel1,object1_opptabel1)*ROUND(G6,6)*(1/VLOOKUP(E6,dagsoorttabel1,2,FALSE))</f>
        <v>0</v>
      </c>
      <c r="I6" s="57">
        <f>SUMPRODUCT(dagwerktabel1,taakfreqtabel1,uurfactortabel1,kengetaltabel1,object1_opptabel1)*ROUND(G6,6)*(1/VLOOKUP(E6,dagsoorttabel1,2,FALSE))</f>
        <v>0</v>
      </c>
      <c r="J6" s="58"/>
      <c r="K6" s="57">
        <f>I6+J6</f>
        <v>0</v>
      </c>
      <c r="L6" s="57">
        <f>H6+J6</f>
        <v>0</v>
      </c>
      <c r="M6" s="59">
        <f>SUMPRODUCT(taakfreqtabel1,kengetaltabel1,tarieftabel1,object1_opptabel1)*(1/VLOOKUP(E6,dagsoorttabel1,2,FALSE))*ROUND(G6,6)</f>
        <v>0</v>
      </c>
      <c r="N6" s="59">
        <f>F6*J6</f>
        <v>0</v>
      </c>
      <c r="O6" s="59">
        <f>SUM(M6:N6)</f>
        <v>0</v>
      </c>
      <c r="P6" s="57">
        <f>K6*dagenperjaar1*VLOOKUP(E6,dagsoorttabel1,2,FALSE)</f>
        <v>0</v>
      </c>
      <c r="Q6" s="57">
        <f>L6*dagenperjaar1*VLOOKUP(E6,dagsoorttabel1,2,FALSE)</f>
        <v>0</v>
      </c>
      <c r="R6" s="59">
        <f>O6*dagenperjaar1*VLOOKUP(E6,dagsoorttabel1,2,FALSE)</f>
        <v>0</v>
      </c>
      <c r="S6" s="59">
        <f>R6/12</f>
        <v>0</v>
      </c>
    </row>
    <row r="7" spans="1:19" x14ac:dyDescent="0.2">
      <c r="A7" s="42" t="s">
        <v>142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>
        <f>SUM(P6:P6)</f>
        <v>0</v>
      </c>
      <c r="Q7" s="44">
        <f>SUM(Q6:Q6)</f>
        <v>0</v>
      </c>
      <c r="R7" s="45">
        <f>SUM(R6:R6)</f>
        <v>0</v>
      </c>
      <c r="S7" s="46">
        <f>SUM(S6:S6)</f>
        <v>0</v>
      </c>
    </row>
    <row r="8" spans="1:19" x14ac:dyDescent="0.2">
      <c r="A8" s="47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8"/>
    </row>
    <row r="9" spans="1:19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</row>
    <row r="10" spans="1:19" x14ac:dyDescent="0.2">
      <c r="A10" s="12" t="s">
        <v>90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</row>
    <row r="11" spans="1:19" x14ac:dyDescent="0.2">
      <c r="A11" s="53" t="s">
        <v>184</v>
      </c>
      <c r="B11" s="53" t="s">
        <v>185</v>
      </c>
      <c r="C11" s="53" t="s">
        <v>186</v>
      </c>
      <c r="D11" s="53" t="s">
        <v>187</v>
      </c>
      <c r="E11" s="54" t="s">
        <v>16</v>
      </c>
      <c r="F11" s="55">
        <f>gemuurtarief2</f>
        <v>0</v>
      </c>
      <c r="G11" s="56">
        <v>1</v>
      </c>
      <c r="H11" s="57">
        <f>SUMPRODUCT(taakfreqtabel2,uurfactortabel2,kengetaltabel2,object1_opptabel2)*ROUND(G11,6)*(1/VLOOKUP(E11,dagsoorttabel1,2,FALSE))</f>
        <v>0</v>
      </c>
      <c r="I11" s="57">
        <f>SUMPRODUCT(dagwerktabel2,taakfreqtabel2,uurfactortabel2,kengetaltabel2,object1_opptabel2)*ROUND(G11,6)*(1/VLOOKUP(E11,dagsoorttabel1,2,FALSE))</f>
        <v>0</v>
      </c>
      <c r="J11" s="58"/>
      <c r="K11" s="57">
        <f>I11+J11</f>
        <v>0</v>
      </c>
      <c r="L11" s="57">
        <f>H11+J11</f>
        <v>0</v>
      </c>
      <c r="M11" s="59">
        <f>SUMPRODUCT(taakfreqtabel2,kengetaltabel2,tarieftabel2,object1_opptabel2)*(1/VLOOKUP(E11,dagsoorttabel1,2,FALSE))*ROUND(G11,6)</f>
        <v>0</v>
      </c>
      <c r="N11" s="59">
        <f>F11*J11</f>
        <v>0</v>
      </c>
      <c r="O11" s="59">
        <f>SUM(M11:N11)</f>
        <v>0</v>
      </c>
      <c r="P11" s="57">
        <f>K11*dagenperjaar1*VLOOKUP(E11,dagsoorttabel1,2,FALSE)</f>
        <v>0</v>
      </c>
      <c r="Q11" s="57">
        <f>L11*dagenperjaar1*VLOOKUP(E11,dagsoorttabel1,2,FALSE)</f>
        <v>0</v>
      </c>
      <c r="R11" s="59">
        <f>O11*dagenperjaar1*VLOOKUP(E11,dagsoorttabel1,2,FALSE)</f>
        <v>0</v>
      </c>
      <c r="S11" s="59">
        <f>R11/12</f>
        <v>0</v>
      </c>
    </row>
    <row r="12" spans="1:19" x14ac:dyDescent="0.2">
      <c r="A12" s="42" t="s">
        <v>154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4">
        <f>SUM(P11:P11)</f>
        <v>0</v>
      </c>
      <c r="Q12" s="44">
        <f>SUM(Q11:Q11)</f>
        <v>0</v>
      </c>
      <c r="R12" s="45">
        <f>SUM(R11:R11)</f>
        <v>0</v>
      </c>
      <c r="S12" s="46">
        <f>SUM(S11:S11)</f>
        <v>0</v>
      </c>
    </row>
    <row r="13" spans="1:19" x14ac:dyDescent="0.2">
      <c r="A13" s="4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8"/>
    </row>
    <row r="15" spans="1:19" x14ac:dyDescent="0.2">
      <c r="A15" s="42" t="s">
        <v>188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>
        <f>urenjaartotaalhf1+urenjaartotaalhf2</f>
        <v>0</v>
      </c>
      <c r="Q15" s="44">
        <f>urenjaartotaal1+urenjaartotaal2</f>
        <v>0</v>
      </c>
      <c r="R15" s="45">
        <f>prijsjaartotaal1+prijsjaartotaal2</f>
        <v>0</v>
      </c>
      <c r="S15" s="45">
        <f>prijsmaandtotaal1+prijsmaandtotaal2</f>
        <v>0</v>
      </c>
    </row>
    <row r="17" spans="1:19" x14ac:dyDescent="0.2">
      <c r="A17" s="42" t="s">
        <v>189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5">
        <f>R15*1.21</f>
        <v>0</v>
      </c>
      <c r="S17" s="45">
        <f>S15*1.21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37EA6-856B-4E0C-BBB9-7A46D174BF0A}">
  <dimension ref="A1:K35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40.625" customWidth="1"/>
    <col min="5" max="5" width="11.625" customWidth="1"/>
    <col min="6" max="7" width="14.625" customWidth="1"/>
    <col min="8" max="8" width="12.625" customWidth="1"/>
    <col min="9" max="10" width="14.625" customWidth="1"/>
    <col min="11" max="11" width="13.625" customWidth="1"/>
  </cols>
  <sheetData>
    <row r="1" spans="1:11" x14ac:dyDescent="0.2">
      <c r="A1" s="1" t="str">
        <f>CONCATENATE("Bijlage H3.4: ",tabeltype," niet-meewerkende objectleiding")</f>
        <v>Bijlage H3.4: Invultabel niet-meewerkende objectleiding</v>
      </c>
    </row>
    <row r="3" spans="1:11" ht="38.25" x14ac:dyDescent="0.2">
      <c r="A3" s="8" t="s">
        <v>190</v>
      </c>
      <c r="B3" s="8" t="s">
        <v>7</v>
      </c>
      <c r="C3" s="8" t="s">
        <v>191</v>
      </c>
      <c r="D3" s="8" t="s">
        <v>192</v>
      </c>
      <c r="E3" s="8" t="s">
        <v>193</v>
      </c>
      <c r="F3" s="8" t="s">
        <v>194</v>
      </c>
      <c r="G3" s="8" t="s">
        <v>195</v>
      </c>
      <c r="H3" s="8" t="s">
        <v>115</v>
      </c>
      <c r="I3" s="8" t="s">
        <v>196</v>
      </c>
      <c r="J3" s="8" t="s">
        <v>197</v>
      </c>
      <c r="K3" s="8" t="s">
        <v>198</v>
      </c>
    </row>
    <row r="4" spans="1:11" x14ac:dyDescent="0.2">
      <c r="A4" s="60"/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2">
      <c r="A7" s="63" t="s">
        <v>199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2">
      <c r="A8" s="15" t="s">
        <v>200</v>
      </c>
      <c r="B8" s="15" t="s">
        <v>11</v>
      </c>
      <c r="C8" s="16">
        <f>IF(ISBLANK(B8),0,IF(ISERROR(VALUE(B8)),VLOOKUP(B8,dagsoorttabel1,2,FALSE)*dagenperjaar1,VALUE(B8)))</f>
        <v>200</v>
      </c>
      <c r="D8" s="15" t="s">
        <v>201</v>
      </c>
      <c r="E8" s="19"/>
      <c r="F8" s="18"/>
      <c r="G8" s="64"/>
      <c r="H8" s="30">
        <f>IF(ISBLANK(G8),0,G8*C8)+IF(ISBLANK(F8),0,F8*objecturen1_1)</f>
        <v>0</v>
      </c>
      <c r="I8" s="30">
        <f>IF(C8=0,0,H8/C8)</f>
        <v>0</v>
      </c>
      <c r="J8" s="33">
        <f>IF(ISBLANK(E8),0,E8*H8)</f>
        <v>0</v>
      </c>
      <c r="K8" s="33">
        <f>J8/12</f>
        <v>0</v>
      </c>
    </row>
    <row r="9" spans="1:11" x14ac:dyDescent="0.2">
      <c r="A9" s="20"/>
      <c r="B9" s="20"/>
      <c r="C9" s="65">
        <f>dagenperjaar1</f>
        <v>255</v>
      </c>
      <c r="D9" s="66" t="s">
        <v>202</v>
      </c>
      <c r="E9" s="24"/>
      <c r="F9" s="23"/>
      <c r="G9" s="67"/>
      <c r="H9" s="34">
        <f>IF(ISBLANK(G9),0,G9*C9)+IF(ISBLANK(F9),0,F9*objecturen1_1)</f>
        <v>0</v>
      </c>
      <c r="I9" s="34">
        <f>IF(C9=0,0,H9/C9)</f>
        <v>0</v>
      </c>
      <c r="J9" s="37">
        <f>IF(ISBLANK(E9),0,E9*H9)</f>
        <v>0</v>
      </c>
      <c r="K9" s="37">
        <f>J9/12</f>
        <v>0</v>
      </c>
    </row>
    <row r="10" spans="1:11" x14ac:dyDescent="0.2">
      <c r="A10" s="20"/>
      <c r="B10" s="20"/>
      <c r="C10" s="65">
        <f>dagenperjaar1</f>
        <v>255</v>
      </c>
      <c r="D10" s="66" t="s">
        <v>202</v>
      </c>
      <c r="E10" s="24"/>
      <c r="F10" s="23"/>
      <c r="G10" s="67"/>
      <c r="H10" s="34">
        <f>IF(ISBLANK(G10),0,G10*C10)+IF(ISBLANK(F10),0,F10*objecturen1_1)</f>
        <v>0</v>
      </c>
      <c r="I10" s="34">
        <f>IF(C10=0,0,H10/C10)</f>
        <v>0</v>
      </c>
      <c r="J10" s="37">
        <f>IF(ISBLANK(E10),0,E10*H10)</f>
        <v>0</v>
      </c>
      <c r="K10" s="37">
        <f>J10/12</f>
        <v>0</v>
      </c>
    </row>
    <row r="11" spans="1:11" x14ac:dyDescent="0.2">
      <c r="A11" s="20"/>
      <c r="B11" s="20"/>
      <c r="C11" s="65">
        <f>dagenperjaar1</f>
        <v>255</v>
      </c>
      <c r="D11" s="66" t="s">
        <v>203</v>
      </c>
      <c r="E11" s="24"/>
      <c r="F11" s="68"/>
      <c r="G11" s="22"/>
      <c r="H11" s="34">
        <f>IF(ISBLANK(G11),0,G11*C11)+IF(ISBLANK(F11),0,F11*objecturen1_1)</f>
        <v>0</v>
      </c>
      <c r="I11" s="34">
        <f>IF(C11=0,0,H11/C11)</f>
        <v>0</v>
      </c>
      <c r="J11" s="37">
        <f>IF(ISBLANK(E11),0,E11*H11)</f>
        <v>0</v>
      </c>
      <c r="K11" s="37">
        <f>J11/12</f>
        <v>0</v>
      </c>
    </row>
    <row r="12" spans="1:11" x14ac:dyDescent="0.2">
      <c r="A12" s="25"/>
      <c r="B12" s="25"/>
      <c r="C12" s="69">
        <f>dagenperjaar1</f>
        <v>255</v>
      </c>
      <c r="D12" s="70" t="s">
        <v>203</v>
      </c>
      <c r="E12" s="29"/>
      <c r="F12" s="71"/>
      <c r="G12" s="27"/>
      <c r="H12" s="38">
        <f>IF(ISBLANK(G12),0,G12*C12)+IF(ISBLANK(F12),0,F12*objecturen1_1)</f>
        <v>0</v>
      </c>
      <c r="I12" s="38">
        <f>IF(C12=0,0,H12/C12)</f>
        <v>0</v>
      </c>
      <c r="J12" s="41">
        <f>IF(ISBLANK(E12),0,E12*H12)</f>
        <v>0</v>
      </c>
      <c r="K12" s="41">
        <f>J12/12</f>
        <v>0</v>
      </c>
    </row>
    <row r="13" spans="1:11" x14ac:dyDescent="0.2">
      <c r="A13" s="72" t="s">
        <v>204</v>
      </c>
      <c r="B13" s="43"/>
      <c r="C13" s="43"/>
      <c r="D13" s="43"/>
      <c r="E13" s="43"/>
      <c r="F13" s="43"/>
      <c r="G13" s="43"/>
      <c r="H13" s="44">
        <f>SUM(H8:H12)</f>
        <v>0</v>
      </c>
      <c r="I13" s="43"/>
      <c r="J13" s="45">
        <f>SUM(J8:J12)</f>
        <v>0</v>
      </c>
      <c r="K13" s="46">
        <f>SUM(K8:K12)</f>
        <v>0</v>
      </c>
    </row>
    <row r="14" spans="1:11" x14ac:dyDescent="0.2">
      <c r="A14" s="47"/>
      <c r="B14" s="43"/>
      <c r="C14" s="43"/>
      <c r="D14" s="43"/>
      <c r="E14" s="43"/>
      <c r="F14" s="43"/>
      <c r="G14" s="43"/>
      <c r="H14" s="43"/>
      <c r="I14" s="43"/>
      <c r="J14" s="43"/>
      <c r="K14" s="48"/>
    </row>
    <row r="15" spans="1:11" x14ac:dyDescent="0.2">
      <c r="A15" s="42" t="s">
        <v>142</v>
      </c>
      <c r="B15" s="43"/>
      <c r="C15" s="43"/>
      <c r="D15" s="43"/>
      <c r="E15" s="43"/>
      <c r="F15" s="43"/>
      <c r="G15" s="43"/>
      <c r="H15" s="44">
        <f>tzujt1_1</f>
        <v>0</v>
      </c>
      <c r="I15" s="43"/>
      <c r="J15" s="45">
        <f>tzpjt1_1</f>
        <v>0</v>
      </c>
      <c r="K15" s="46">
        <f>tzpmt1_1</f>
        <v>0</v>
      </c>
    </row>
    <row r="16" spans="1:11" x14ac:dyDescent="0.2">
      <c r="A16" s="47"/>
      <c r="B16" s="43"/>
      <c r="C16" s="43"/>
      <c r="D16" s="43"/>
      <c r="E16" s="43"/>
      <c r="F16" s="43"/>
      <c r="G16" s="43"/>
      <c r="H16" s="43"/>
      <c r="I16" s="43"/>
      <c r="J16" s="43"/>
      <c r="K16" s="48"/>
    </row>
    <row r="17" spans="1:11" x14ac:dyDescent="0.2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2"/>
    </row>
    <row r="18" spans="1:11" x14ac:dyDescent="0.2">
      <c r="A18" s="12" t="s">
        <v>90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</row>
    <row r="20" spans="1:11" x14ac:dyDescent="0.2">
      <c r="A20" s="63" t="s">
        <v>199</v>
      </c>
      <c r="B20" s="13"/>
      <c r="C20" s="13"/>
      <c r="D20" s="13"/>
      <c r="E20" s="13"/>
      <c r="F20" s="13"/>
      <c r="G20" s="13"/>
      <c r="H20" s="13"/>
      <c r="I20" s="13"/>
      <c r="J20" s="13"/>
      <c r="K20" s="14"/>
    </row>
    <row r="21" spans="1:11" x14ac:dyDescent="0.2">
      <c r="A21" s="15" t="s">
        <v>205</v>
      </c>
      <c r="B21" s="15" t="s">
        <v>23</v>
      </c>
      <c r="C21" s="16">
        <f>IF(ISBLANK(B21),0,IF(ISERROR(VALUE(B21)),VLOOKUP(B21,dagsoorttabel1,2,FALSE)*dagenperjaar1,VALUE(B21)))</f>
        <v>10</v>
      </c>
      <c r="D21" s="15" t="s">
        <v>201</v>
      </c>
      <c r="E21" s="19"/>
      <c r="F21" s="18"/>
      <c r="G21" s="64"/>
      <c r="H21" s="30">
        <f t="shared" ref="H21:H27" si="0">IF(ISBLANK(G21),0,G21*C21)+IF(ISBLANK(F21),0,F21*objecturen1_2)</f>
        <v>0</v>
      </c>
      <c r="I21" s="30">
        <f t="shared" ref="I21:I27" si="1">IF(C21=0,0,H21/C21)</f>
        <v>0</v>
      </c>
      <c r="J21" s="33">
        <f t="shared" ref="J21:J27" si="2">IF(ISBLANK(E21),0,E21*H21)</f>
        <v>0</v>
      </c>
      <c r="K21" s="33">
        <f t="shared" ref="K21:K27" si="3">J21/12</f>
        <v>0</v>
      </c>
    </row>
    <row r="22" spans="1:11" x14ac:dyDescent="0.2">
      <c r="A22" s="20" t="s">
        <v>205</v>
      </c>
      <c r="B22" s="20" t="s">
        <v>21</v>
      </c>
      <c r="C22" s="21">
        <f>IF(ISBLANK(B22),0,IF(ISERROR(VALUE(B22)),VLOOKUP(B22,dagsoorttabel1,2,FALSE)*dagenperjaar1,VALUE(B22)))</f>
        <v>15</v>
      </c>
      <c r="D22" s="20" t="s">
        <v>201</v>
      </c>
      <c r="E22" s="24"/>
      <c r="F22" s="23"/>
      <c r="G22" s="67"/>
      <c r="H22" s="34">
        <f t="shared" si="0"/>
        <v>0</v>
      </c>
      <c r="I22" s="34">
        <f t="shared" si="1"/>
        <v>0</v>
      </c>
      <c r="J22" s="37">
        <f t="shared" si="2"/>
        <v>0</v>
      </c>
      <c r="K22" s="37">
        <f t="shared" si="3"/>
        <v>0</v>
      </c>
    </row>
    <row r="23" spans="1:11" x14ac:dyDescent="0.2">
      <c r="A23" s="20" t="s">
        <v>205</v>
      </c>
      <c r="B23" s="20" t="s">
        <v>17</v>
      </c>
      <c r="C23" s="21">
        <f>IF(ISBLANK(B23),0,IF(ISERROR(VALUE(B23)),VLOOKUP(B23,dagsoorttabel1,2,FALSE)*dagenperjaar1,VALUE(B23)))</f>
        <v>30</v>
      </c>
      <c r="D23" s="20" t="s">
        <v>201</v>
      </c>
      <c r="E23" s="24"/>
      <c r="F23" s="23"/>
      <c r="G23" s="67"/>
      <c r="H23" s="34">
        <f t="shared" si="0"/>
        <v>0</v>
      </c>
      <c r="I23" s="34">
        <f t="shared" si="1"/>
        <v>0</v>
      </c>
      <c r="J23" s="37">
        <f t="shared" si="2"/>
        <v>0</v>
      </c>
      <c r="K23" s="37">
        <f t="shared" si="3"/>
        <v>0</v>
      </c>
    </row>
    <row r="24" spans="1:11" x14ac:dyDescent="0.2">
      <c r="A24" s="20"/>
      <c r="B24" s="20"/>
      <c r="C24" s="65">
        <f>dagenperjaar1</f>
        <v>255</v>
      </c>
      <c r="D24" s="66" t="s">
        <v>202</v>
      </c>
      <c r="E24" s="24"/>
      <c r="F24" s="23"/>
      <c r="G24" s="67"/>
      <c r="H24" s="34">
        <f t="shared" si="0"/>
        <v>0</v>
      </c>
      <c r="I24" s="34">
        <f t="shared" si="1"/>
        <v>0</v>
      </c>
      <c r="J24" s="37">
        <f t="shared" si="2"/>
        <v>0</v>
      </c>
      <c r="K24" s="37">
        <f t="shared" si="3"/>
        <v>0</v>
      </c>
    </row>
    <row r="25" spans="1:11" x14ac:dyDescent="0.2">
      <c r="A25" s="20"/>
      <c r="B25" s="20"/>
      <c r="C25" s="65">
        <f>dagenperjaar1</f>
        <v>255</v>
      </c>
      <c r="D25" s="66" t="s">
        <v>202</v>
      </c>
      <c r="E25" s="24"/>
      <c r="F25" s="23"/>
      <c r="G25" s="67"/>
      <c r="H25" s="34">
        <f t="shared" si="0"/>
        <v>0</v>
      </c>
      <c r="I25" s="34">
        <f t="shared" si="1"/>
        <v>0</v>
      </c>
      <c r="J25" s="37">
        <f t="shared" si="2"/>
        <v>0</v>
      </c>
      <c r="K25" s="37">
        <f t="shared" si="3"/>
        <v>0</v>
      </c>
    </row>
    <row r="26" spans="1:11" x14ac:dyDescent="0.2">
      <c r="A26" s="20"/>
      <c r="B26" s="20"/>
      <c r="C26" s="65">
        <f>dagenperjaar1</f>
        <v>255</v>
      </c>
      <c r="D26" s="66" t="s">
        <v>203</v>
      </c>
      <c r="E26" s="24"/>
      <c r="F26" s="68"/>
      <c r="G26" s="22"/>
      <c r="H26" s="34">
        <f t="shared" si="0"/>
        <v>0</v>
      </c>
      <c r="I26" s="34">
        <f t="shared" si="1"/>
        <v>0</v>
      </c>
      <c r="J26" s="37">
        <f t="shared" si="2"/>
        <v>0</v>
      </c>
      <c r="K26" s="37">
        <f t="shared" si="3"/>
        <v>0</v>
      </c>
    </row>
    <row r="27" spans="1:11" x14ac:dyDescent="0.2">
      <c r="A27" s="25"/>
      <c r="B27" s="25"/>
      <c r="C27" s="69">
        <f>dagenperjaar1</f>
        <v>255</v>
      </c>
      <c r="D27" s="70" t="s">
        <v>203</v>
      </c>
      <c r="E27" s="29"/>
      <c r="F27" s="71"/>
      <c r="G27" s="27"/>
      <c r="H27" s="38">
        <f t="shared" si="0"/>
        <v>0</v>
      </c>
      <c r="I27" s="38">
        <f t="shared" si="1"/>
        <v>0</v>
      </c>
      <c r="J27" s="41">
        <f t="shared" si="2"/>
        <v>0</v>
      </c>
      <c r="K27" s="41">
        <f t="shared" si="3"/>
        <v>0</v>
      </c>
    </row>
    <row r="28" spans="1:11" x14ac:dyDescent="0.2">
      <c r="A28" s="72" t="s">
        <v>204</v>
      </c>
      <c r="B28" s="43"/>
      <c r="C28" s="43"/>
      <c r="D28" s="43"/>
      <c r="E28" s="43"/>
      <c r="F28" s="43"/>
      <c r="G28" s="43"/>
      <c r="H28" s="44">
        <f>SUM(H21:H27)</f>
        <v>0</v>
      </c>
      <c r="I28" s="43"/>
      <c r="J28" s="45">
        <f>SUM(J21:J27)</f>
        <v>0</v>
      </c>
      <c r="K28" s="46">
        <f>SUM(K21:K27)</f>
        <v>0</v>
      </c>
    </row>
    <row r="29" spans="1:11" x14ac:dyDescent="0.2">
      <c r="A29" s="47"/>
      <c r="B29" s="43"/>
      <c r="C29" s="43"/>
      <c r="D29" s="43"/>
      <c r="E29" s="43"/>
      <c r="F29" s="43"/>
      <c r="G29" s="43"/>
      <c r="H29" s="43"/>
      <c r="I29" s="43"/>
      <c r="J29" s="43"/>
      <c r="K29" s="48"/>
    </row>
    <row r="30" spans="1:11" x14ac:dyDescent="0.2">
      <c r="A30" s="42" t="s">
        <v>154</v>
      </c>
      <c r="B30" s="43"/>
      <c r="C30" s="43"/>
      <c r="D30" s="43"/>
      <c r="E30" s="43"/>
      <c r="F30" s="43"/>
      <c r="G30" s="43"/>
      <c r="H30" s="44">
        <f>tzujt1_2</f>
        <v>0</v>
      </c>
      <c r="I30" s="43"/>
      <c r="J30" s="45">
        <f>tzpjt1_2</f>
        <v>0</v>
      </c>
      <c r="K30" s="46">
        <f>tzpmt1_2</f>
        <v>0</v>
      </c>
    </row>
    <row r="31" spans="1:11" x14ac:dyDescent="0.2">
      <c r="A31" s="47"/>
      <c r="B31" s="43"/>
      <c r="C31" s="43"/>
      <c r="D31" s="43"/>
      <c r="E31" s="43"/>
      <c r="F31" s="43"/>
      <c r="G31" s="43"/>
      <c r="H31" s="43"/>
      <c r="I31" s="43"/>
      <c r="J31" s="43"/>
      <c r="K31" s="48"/>
    </row>
    <row r="33" spans="1:11" x14ac:dyDescent="0.2">
      <c r="A33" s="42" t="s">
        <v>206</v>
      </c>
      <c r="B33" s="43"/>
      <c r="C33" s="43"/>
      <c r="D33" s="43"/>
      <c r="E33" s="43"/>
      <c r="F33" s="43"/>
      <c r="G33" s="43"/>
      <c r="H33" s="44">
        <f>tzujt1+tzujt2</f>
        <v>0</v>
      </c>
      <c r="I33" s="43"/>
      <c r="J33" s="45">
        <f>tzpjt1+tzpjt2</f>
        <v>0</v>
      </c>
      <c r="K33" s="45">
        <f>tzpmt1+tzpmt2</f>
        <v>0</v>
      </c>
    </row>
    <row r="35" spans="1:11" x14ac:dyDescent="0.2">
      <c r="A35" s="42" t="s">
        <v>207</v>
      </c>
      <c r="B35" s="43"/>
      <c r="C35" s="43"/>
      <c r="D35" s="43"/>
      <c r="E35" s="43"/>
      <c r="F35" s="43"/>
      <c r="G35" s="43"/>
      <c r="H35" s="43"/>
      <c r="I35" s="43"/>
      <c r="J35" s="45">
        <f>J33*1.21</f>
        <v>0</v>
      </c>
      <c r="K35" s="45">
        <f>K33*1.21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B1F6-A4CC-45FC-8765-06BC761E4DE9}">
  <dimension ref="A1:L6"/>
  <sheetViews>
    <sheetView workbookViewId="0"/>
  </sheetViews>
  <sheetFormatPr defaultRowHeight="12.75" x14ac:dyDescent="0.2"/>
  <cols>
    <col min="1" max="1" width="8.625" customWidth="1"/>
    <col min="2" max="2" width="32.625" customWidth="1"/>
    <col min="3" max="3" width="20.625" customWidth="1"/>
    <col min="4" max="4" width="18.625" customWidth="1"/>
    <col min="5" max="6" width="12.625" customWidth="1"/>
    <col min="7" max="12" width="13.625" customWidth="1"/>
  </cols>
  <sheetData>
    <row r="1" spans="1:12" x14ac:dyDescent="0.2">
      <c r="A1" s="1" t="str">
        <f>CONCATENATE("Bijlage H3.5: ",tabeltype," totaalblad objecten")</f>
        <v>Bijlage H3.5: Invultabel totaalblad objecten</v>
      </c>
    </row>
    <row r="3" spans="1:12" ht="38.25" x14ac:dyDescent="0.2">
      <c r="A3" s="8" t="s">
        <v>167</v>
      </c>
      <c r="B3" s="8" t="s">
        <v>168</v>
      </c>
      <c r="C3" s="8" t="s">
        <v>169</v>
      </c>
      <c r="D3" s="8" t="s">
        <v>170</v>
      </c>
      <c r="E3" s="8" t="s">
        <v>181</v>
      </c>
      <c r="F3" s="8" t="s">
        <v>115</v>
      </c>
      <c r="G3" s="8" t="s">
        <v>208</v>
      </c>
      <c r="H3" s="8" t="s">
        <v>209</v>
      </c>
      <c r="I3" s="8" t="s">
        <v>210</v>
      </c>
      <c r="J3" s="8" t="s">
        <v>211</v>
      </c>
      <c r="K3" s="8" t="s">
        <v>212</v>
      </c>
      <c r="L3" s="8" t="s">
        <v>213</v>
      </c>
    </row>
    <row r="4" spans="1:12" x14ac:dyDescent="0.2">
      <c r="A4" s="53" t="s">
        <v>184</v>
      </c>
      <c r="B4" s="53" t="s">
        <v>185</v>
      </c>
      <c r="C4" s="53" t="s">
        <v>186</v>
      </c>
      <c r="D4" s="53" t="s">
        <v>187</v>
      </c>
      <c r="E4" s="57">
        <f>objecturenhf1_1+objecturenhf1_2</f>
        <v>0</v>
      </c>
      <c r="F4" s="57">
        <f>objecturen1_1+objecturen1_2</f>
        <v>0</v>
      </c>
      <c r="G4" s="59">
        <f>objectprijs1_1+objectprijs1_2</f>
        <v>0</v>
      </c>
      <c r="H4" s="57">
        <f>tzujt1_1+tzujt1_2</f>
        <v>0</v>
      </c>
      <c r="I4" s="59">
        <f>tzpjt1_1+tzpjt1_2</f>
        <v>0</v>
      </c>
      <c r="J4" s="59">
        <f>G4+I4</f>
        <v>0</v>
      </c>
      <c r="K4" s="59">
        <f>J4/12</f>
        <v>0</v>
      </c>
      <c r="L4" s="59">
        <f>K4*1.21</f>
        <v>0</v>
      </c>
    </row>
    <row r="6" spans="1:12" x14ac:dyDescent="0.2">
      <c r="A6" s="42" t="s">
        <v>214</v>
      </c>
      <c r="B6" s="43"/>
      <c r="C6" s="43"/>
      <c r="D6" s="43"/>
      <c r="E6" s="44">
        <f t="shared" ref="E6:L6" si="0">SUM(E4:E4)</f>
        <v>0</v>
      </c>
      <c r="F6" s="44">
        <f t="shared" si="0"/>
        <v>0</v>
      </c>
      <c r="G6" s="45">
        <f t="shared" si="0"/>
        <v>0</v>
      </c>
      <c r="H6" s="44">
        <f t="shared" si="0"/>
        <v>0</v>
      </c>
      <c r="I6" s="45">
        <f t="shared" si="0"/>
        <v>0</v>
      </c>
      <c r="J6" s="45">
        <f t="shared" si="0"/>
        <v>0</v>
      </c>
      <c r="K6" s="45">
        <f t="shared" si="0"/>
        <v>0</v>
      </c>
      <c r="L6" s="45">
        <f t="shared" si="0"/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9349-F4E3-47C3-AB0E-D146598915B5}">
  <dimension ref="A1:L15"/>
  <sheetViews>
    <sheetView workbookViewId="0"/>
  </sheetViews>
  <sheetFormatPr defaultRowHeight="12.75" x14ac:dyDescent="0.2"/>
  <cols>
    <col min="1" max="1" width="7.625" customWidth="1"/>
    <col min="2" max="2" width="6.625" customWidth="1"/>
    <col min="3" max="3" width="7.625" customWidth="1"/>
    <col min="4" max="4" width="50.625" customWidth="1"/>
    <col min="5" max="6" width="14.625" customWidth="1"/>
    <col min="7" max="9" width="11.625" customWidth="1"/>
    <col min="10" max="10" width="12.625" customWidth="1"/>
    <col min="11" max="11" width="14.625" customWidth="1"/>
    <col min="12" max="12" width="13.625" customWidth="1"/>
  </cols>
  <sheetData>
    <row r="1" spans="1:12" x14ac:dyDescent="0.2">
      <c r="A1" s="1" t="str">
        <f>CONCATENATE("Bijlage H3.6: ",tabeltype," afroep")</f>
        <v>Bijlage H3.6: Invultabel afroep</v>
      </c>
    </row>
    <row r="3" spans="1:12" ht="38.25" x14ac:dyDescent="0.2">
      <c r="A3" s="8" t="s">
        <v>215</v>
      </c>
      <c r="B3" s="8" t="s">
        <v>7</v>
      </c>
      <c r="C3" s="8" t="s">
        <v>216</v>
      </c>
      <c r="D3" s="8" t="s">
        <v>32</v>
      </c>
      <c r="E3" s="8" t="s">
        <v>35</v>
      </c>
      <c r="F3" s="8" t="s">
        <v>217</v>
      </c>
      <c r="G3" s="8" t="s">
        <v>218</v>
      </c>
      <c r="H3" s="8" t="s">
        <v>219</v>
      </c>
      <c r="I3" s="8" t="s">
        <v>220</v>
      </c>
      <c r="J3" s="8" t="s">
        <v>221</v>
      </c>
      <c r="K3" s="8" t="s">
        <v>116</v>
      </c>
      <c r="L3" s="8" t="s">
        <v>183</v>
      </c>
    </row>
    <row r="4" spans="1:12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2">
      <c r="A5" s="1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2">
      <c r="A6" s="15" t="s">
        <v>222</v>
      </c>
      <c r="B6" s="15" t="s">
        <v>23</v>
      </c>
      <c r="C6" s="16">
        <f t="shared" ref="C6:C12" si="0">IF(ISBLANK(B6),0,IF(ISERROR(VALUE(B6)),VLOOKUP(B6,dagsoorttabel1,2,FALSE)*dagenperjaar1,VALUE(B6)))</f>
        <v>10</v>
      </c>
      <c r="D6" s="15" t="s">
        <v>223</v>
      </c>
      <c r="E6" s="15" t="s">
        <v>224</v>
      </c>
      <c r="F6" s="73">
        <v>10</v>
      </c>
      <c r="G6" s="19"/>
      <c r="H6" s="74"/>
      <c r="I6" s="19"/>
      <c r="J6" s="33">
        <f>IF(ISBLANK(F6),0,F6)*I6</f>
        <v>0</v>
      </c>
      <c r="K6" s="33">
        <f t="shared" ref="K6:K12" si="1">C6*J6</f>
        <v>0</v>
      </c>
      <c r="L6" s="33">
        <f t="shared" ref="L6:L13" si="2">K6/12</f>
        <v>0</v>
      </c>
    </row>
    <row r="7" spans="1:12" x14ac:dyDescent="0.2">
      <c r="A7" s="20" t="s">
        <v>225</v>
      </c>
      <c r="B7" s="20" t="s">
        <v>23</v>
      </c>
      <c r="C7" s="21">
        <f t="shared" si="0"/>
        <v>10</v>
      </c>
      <c r="D7" s="20" t="s">
        <v>226</v>
      </c>
      <c r="E7" s="20" t="s">
        <v>224</v>
      </c>
      <c r="F7" s="75"/>
      <c r="G7" s="24"/>
      <c r="H7" s="76"/>
      <c r="I7" s="24"/>
      <c r="J7" s="37">
        <f>IF(ISBLANK(F7),0,F7)*I7</f>
        <v>0</v>
      </c>
      <c r="K7" s="37">
        <f t="shared" si="1"/>
        <v>0</v>
      </c>
      <c r="L7" s="37">
        <f t="shared" si="2"/>
        <v>0</v>
      </c>
    </row>
    <row r="8" spans="1:12" x14ac:dyDescent="0.2">
      <c r="A8" s="20" t="s">
        <v>227</v>
      </c>
      <c r="B8" s="20" t="s">
        <v>23</v>
      </c>
      <c r="C8" s="21">
        <f t="shared" si="0"/>
        <v>10</v>
      </c>
      <c r="D8" s="20" t="s">
        <v>228</v>
      </c>
      <c r="E8" s="20" t="s">
        <v>224</v>
      </c>
      <c r="F8" s="77">
        <v>4</v>
      </c>
      <c r="G8" s="24"/>
      <c r="H8" s="76"/>
      <c r="I8" s="24"/>
      <c r="J8" s="37">
        <f>IF(ISBLANK(F8),0,F8)*I8</f>
        <v>0</v>
      </c>
      <c r="K8" s="37">
        <f t="shared" si="1"/>
        <v>0</v>
      </c>
      <c r="L8" s="37">
        <f t="shared" si="2"/>
        <v>0</v>
      </c>
    </row>
    <row r="9" spans="1:12" x14ac:dyDescent="0.2">
      <c r="A9" s="20" t="s">
        <v>229</v>
      </c>
      <c r="B9" s="20" t="s">
        <v>23</v>
      </c>
      <c r="C9" s="21">
        <f t="shared" si="0"/>
        <v>10</v>
      </c>
      <c r="D9" s="20" t="s">
        <v>230</v>
      </c>
      <c r="E9" s="20" t="s">
        <v>224</v>
      </c>
      <c r="F9" s="77">
        <v>10</v>
      </c>
      <c r="G9" s="24"/>
      <c r="H9" s="76"/>
      <c r="I9" s="24"/>
      <c r="J9" s="37">
        <f>IF(ISBLANK(F9),0,F9)*I9</f>
        <v>0</v>
      </c>
      <c r="K9" s="37">
        <f t="shared" si="1"/>
        <v>0</v>
      </c>
      <c r="L9" s="37">
        <f t="shared" si="2"/>
        <v>0</v>
      </c>
    </row>
    <row r="10" spans="1:12" x14ac:dyDescent="0.2">
      <c r="A10" s="20" t="s">
        <v>231</v>
      </c>
      <c r="B10" s="20" t="s">
        <v>23</v>
      </c>
      <c r="C10" s="21">
        <f t="shared" si="0"/>
        <v>10</v>
      </c>
      <c r="D10" s="20" t="s">
        <v>232</v>
      </c>
      <c r="E10" s="20" t="s">
        <v>224</v>
      </c>
      <c r="F10" s="77">
        <v>4</v>
      </c>
      <c r="G10" s="24"/>
      <c r="H10" s="76"/>
      <c r="I10" s="24"/>
      <c r="J10" s="37">
        <f>IF(ISBLANK(F10),0,F10)*I10</f>
        <v>0</v>
      </c>
      <c r="K10" s="37">
        <f t="shared" si="1"/>
        <v>0</v>
      </c>
      <c r="L10" s="37">
        <f t="shared" si="2"/>
        <v>0</v>
      </c>
    </row>
    <row r="11" spans="1:12" x14ac:dyDescent="0.2">
      <c r="A11" s="20" t="s">
        <v>233</v>
      </c>
      <c r="B11" s="20" t="s">
        <v>28</v>
      </c>
      <c r="C11" s="21">
        <f t="shared" si="0"/>
        <v>1</v>
      </c>
      <c r="D11" s="20" t="s">
        <v>234</v>
      </c>
      <c r="E11" s="20" t="s">
        <v>235</v>
      </c>
      <c r="F11" s="77">
        <v>1</v>
      </c>
      <c r="G11" s="24"/>
      <c r="H11" s="76"/>
      <c r="I11" s="24"/>
      <c r="J11" s="37">
        <f>IF(ISBLANK(F11),1,F11)*I11</f>
        <v>0</v>
      </c>
      <c r="K11" s="37">
        <f t="shared" si="1"/>
        <v>0</v>
      </c>
      <c r="L11" s="37">
        <f t="shared" si="2"/>
        <v>0</v>
      </c>
    </row>
    <row r="12" spans="1:12" x14ac:dyDescent="0.2">
      <c r="A12" s="25" t="s">
        <v>236</v>
      </c>
      <c r="B12" s="25" t="s">
        <v>28</v>
      </c>
      <c r="C12" s="26">
        <f t="shared" si="0"/>
        <v>1</v>
      </c>
      <c r="D12" s="25" t="s">
        <v>237</v>
      </c>
      <c r="E12" s="25" t="s">
        <v>235</v>
      </c>
      <c r="F12" s="78">
        <v>1</v>
      </c>
      <c r="G12" s="29"/>
      <c r="H12" s="79"/>
      <c r="I12" s="29"/>
      <c r="J12" s="41">
        <f>IF(ISBLANK(F12),1,F12)*I12</f>
        <v>0</v>
      </c>
      <c r="K12" s="41">
        <f t="shared" si="1"/>
        <v>0</v>
      </c>
      <c r="L12" s="41">
        <f t="shared" si="2"/>
        <v>0</v>
      </c>
    </row>
    <row r="13" spans="1:12" x14ac:dyDescent="0.2">
      <c r="A13" s="42" t="s">
        <v>142</v>
      </c>
      <c r="B13" s="43"/>
      <c r="C13" s="43"/>
      <c r="D13" s="43"/>
      <c r="E13" s="43"/>
      <c r="F13" s="43"/>
      <c r="G13" s="43"/>
      <c r="H13" s="43"/>
      <c r="I13" s="43"/>
      <c r="J13" s="43"/>
      <c r="K13" s="45">
        <f>SUM(K6:K12)</f>
        <v>0</v>
      </c>
      <c r="L13" s="80">
        <f t="shared" si="2"/>
        <v>0</v>
      </c>
    </row>
    <row r="15" spans="1:12" x14ac:dyDescent="0.2">
      <c r="A15" s="42" t="s">
        <v>238</v>
      </c>
      <c r="B15" s="43"/>
      <c r="C15" s="43"/>
      <c r="D15" s="43"/>
      <c r="E15" s="43"/>
      <c r="F15" s="43"/>
      <c r="G15" s="43"/>
      <c r="H15" s="43"/>
      <c r="I15" s="43"/>
      <c r="J15" s="43"/>
      <c r="K15" s="45">
        <f>prijsjaarafroep1</f>
        <v>0</v>
      </c>
      <c r="L15" s="80">
        <f>K15/12</f>
        <v>0</v>
      </c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A8FA-281D-4F0E-A42B-1FD5F8DA056F}">
  <dimension ref="A1:E90"/>
  <sheetViews>
    <sheetView workbookViewId="0"/>
  </sheetViews>
  <sheetFormatPr defaultRowHeight="12.75" x14ac:dyDescent="0.2"/>
  <cols>
    <col min="1" max="1" width="7.625" customWidth="1"/>
    <col min="2" max="2" width="40.625" customWidth="1"/>
    <col min="3" max="3" width="18.625" customWidth="1"/>
    <col min="4" max="4" width="20.625" customWidth="1"/>
    <col min="5" max="5" width="15.625" customWidth="1"/>
  </cols>
  <sheetData>
    <row r="1" spans="1:5" x14ac:dyDescent="0.2">
      <c r="A1" s="1" t="str">
        <f>CONCATENATE("Bijlage H3.7: ",tabeltype," afroep incidenteel")</f>
        <v>Bijlage H3.7: Invultabel afroep incidenteel</v>
      </c>
    </row>
    <row r="3" spans="1:5" ht="38.25" x14ac:dyDescent="0.2">
      <c r="A3" s="8" t="s">
        <v>215</v>
      </c>
      <c r="B3" s="8" t="s">
        <v>32</v>
      </c>
      <c r="C3" s="8" t="s">
        <v>35</v>
      </c>
      <c r="D3" s="8" t="s">
        <v>239</v>
      </c>
      <c r="E3" s="8" t="s">
        <v>220</v>
      </c>
    </row>
    <row r="4" spans="1:5" x14ac:dyDescent="0.2">
      <c r="A4" s="9"/>
      <c r="B4" s="10"/>
      <c r="C4" s="10"/>
      <c r="D4" s="10"/>
      <c r="E4" s="11"/>
    </row>
    <row r="5" spans="1:5" x14ac:dyDescent="0.2">
      <c r="A5" s="12" t="s">
        <v>37</v>
      </c>
      <c r="B5" s="13"/>
      <c r="C5" s="13"/>
      <c r="D5" s="13"/>
      <c r="E5" s="14"/>
    </row>
    <row r="6" spans="1:5" x14ac:dyDescent="0.2">
      <c r="A6" s="15" t="s">
        <v>240</v>
      </c>
      <c r="B6" s="15" t="s">
        <v>241</v>
      </c>
      <c r="C6" s="15" t="s">
        <v>242</v>
      </c>
      <c r="D6" s="15" t="s">
        <v>243</v>
      </c>
      <c r="E6" s="19"/>
    </row>
    <row r="7" spans="1:5" x14ac:dyDescent="0.2">
      <c r="A7" s="20" t="s">
        <v>244</v>
      </c>
      <c r="B7" s="20" t="s">
        <v>241</v>
      </c>
      <c r="C7" s="20" t="s">
        <v>242</v>
      </c>
      <c r="D7" s="20" t="s">
        <v>245</v>
      </c>
      <c r="E7" s="24"/>
    </row>
    <row r="8" spans="1:5" x14ac:dyDescent="0.2">
      <c r="A8" s="20" t="s">
        <v>246</v>
      </c>
      <c r="B8" s="20" t="s">
        <v>241</v>
      </c>
      <c r="C8" s="20" t="s">
        <v>242</v>
      </c>
      <c r="D8" s="20" t="s">
        <v>247</v>
      </c>
      <c r="E8" s="24"/>
    </row>
    <row r="9" spans="1:5" x14ac:dyDescent="0.2">
      <c r="A9" s="20" t="s">
        <v>248</v>
      </c>
      <c r="B9" s="20" t="s">
        <v>241</v>
      </c>
      <c r="C9" s="20" t="s">
        <v>242</v>
      </c>
      <c r="D9" s="20" t="s">
        <v>249</v>
      </c>
      <c r="E9" s="24"/>
    </row>
    <row r="10" spans="1:5" x14ac:dyDescent="0.2">
      <c r="A10" s="20" t="s">
        <v>250</v>
      </c>
      <c r="B10" s="20" t="s">
        <v>251</v>
      </c>
      <c r="C10" s="20" t="s">
        <v>242</v>
      </c>
      <c r="D10" s="20" t="s">
        <v>243</v>
      </c>
      <c r="E10" s="24"/>
    </row>
    <row r="11" spans="1:5" x14ac:dyDescent="0.2">
      <c r="A11" s="20" t="s">
        <v>252</v>
      </c>
      <c r="B11" s="20" t="s">
        <v>251</v>
      </c>
      <c r="C11" s="20" t="s">
        <v>242</v>
      </c>
      <c r="D11" s="20" t="s">
        <v>245</v>
      </c>
      <c r="E11" s="24"/>
    </row>
    <row r="12" spans="1:5" x14ac:dyDescent="0.2">
      <c r="A12" s="20" t="s">
        <v>253</v>
      </c>
      <c r="B12" s="20" t="s">
        <v>251</v>
      </c>
      <c r="C12" s="20" t="s">
        <v>242</v>
      </c>
      <c r="D12" s="20" t="s">
        <v>247</v>
      </c>
      <c r="E12" s="24"/>
    </row>
    <row r="13" spans="1:5" x14ac:dyDescent="0.2">
      <c r="A13" s="20" t="s">
        <v>254</v>
      </c>
      <c r="B13" s="20" t="s">
        <v>251</v>
      </c>
      <c r="C13" s="20" t="s">
        <v>242</v>
      </c>
      <c r="D13" s="20" t="s">
        <v>249</v>
      </c>
      <c r="E13" s="24"/>
    </row>
    <row r="14" spans="1:5" x14ac:dyDescent="0.2">
      <c r="A14" s="20" t="s">
        <v>255</v>
      </c>
      <c r="B14" s="20" t="s">
        <v>256</v>
      </c>
      <c r="C14" s="20" t="s">
        <v>242</v>
      </c>
      <c r="D14" s="20" t="s">
        <v>243</v>
      </c>
      <c r="E14" s="24"/>
    </row>
    <row r="15" spans="1:5" x14ac:dyDescent="0.2">
      <c r="A15" s="20" t="s">
        <v>257</v>
      </c>
      <c r="B15" s="20" t="s">
        <v>256</v>
      </c>
      <c r="C15" s="20" t="s">
        <v>242</v>
      </c>
      <c r="D15" s="20" t="s">
        <v>245</v>
      </c>
      <c r="E15" s="24"/>
    </row>
    <row r="16" spans="1:5" x14ac:dyDescent="0.2">
      <c r="A16" s="20" t="s">
        <v>258</v>
      </c>
      <c r="B16" s="20" t="s">
        <v>256</v>
      </c>
      <c r="C16" s="20" t="s">
        <v>242</v>
      </c>
      <c r="D16" s="20" t="s">
        <v>247</v>
      </c>
      <c r="E16" s="24"/>
    </row>
    <row r="17" spans="1:5" x14ac:dyDescent="0.2">
      <c r="A17" s="20" t="s">
        <v>259</v>
      </c>
      <c r="B17" s="20" t="s">
        <v>256</v>
      </c>
      <c r="C17" s="20" t="s">
        <v>242</v>
      </c>
      <c r="D17" s="20" t="s">
        <v>249</v>
      </c>
      <c r="E17" s="24"/>
    </row>
    <row r="18" spans="1:5" x14ac:dyDescent="0.2">
      <c r="A18" s="20" t="s">
        <v>260</v>
      </c>
      <c r="B18" s="20" t="s">
        <v>261</v>
      </c>
      <c r="C18" s="20" t="s">
        <v>242</v>
      </c>
      <c r="D18" s="20" t="s">
        <v>243</v>
      </c>
      <c r="E18" s="24"/>
    </row>
    <row r="19" spans="1:5" x14ac:dyDescent="0.2">
      <c r="A19" s="20" t="s">
        <v>262</v>
      </c>
      <c r="B19" s="20" t="s">
        <v>261</v>
      </c>
      <c r="C19" s="20" t="s">
        <v>242</v>
      </c>
      <c r="D19" s="20" t="s">
        <v>245</v>
      </c>
      <c r="E19" s="24"/>
    </row>
    <row r="20" spans="1:5" x14ac:dyDescent="0.2">
      <c r="A20" s="20" t="s">
        <v>263</v>
      </c>
      <c r="B20" s="20" t="s">
        <v>261</v>
      </c>
      <c r="C20" s="20" t="s">
        <v>242</v>
      </c>
      <c r="D20" s="20" t="s">
        <v>247</v>
      </c>
      <c r="E20" s="24"/>
    </row>
    <row r="21" spans="1:5" x14ac:dyDescent="0.2">
      <c r="A21" s="20" t="s">
        <v>264</v>
      </c>
      <c r="B21" s="20" t="s">
        <v>261</v>
      </c>
      <c r="C21" s="20" t="s">
        <v>242</v>
      </c>
      <c r="D21" s="20" t="s">
        <v>249</v>
      </c>
      <c r="E21" s="24"/>
    </row>
    <row r="22" spans="1:5" x14ac:dyDescent="0.2">
      <c r="A22" s="20" t="s">
        <v>265</v>
      </c>
      <c r="B22" s="20" t="s">
        <v>266</v>
      </c>
      <c r="C22" s="20" t="s">
        <v>267</v>
      </c>
      <c r="D22" s="20" t="s">
        <v>268</v>
      </c>
      <c r="E22" s="24"/>
    </row>
    <row r="23" spans="1:5" x14ac:dyDescent="0.2">
      <c r="A23" s="20" t="s">
        <v>269</v>
      </c>
      <c r="B23" s="20" t="s">
        <v>266</v>
      </c>
      <c r="C23" s="20" t="s">
        <v>267</v>
      </c>
      <c r="D23" s="20" t="s">
        <v>270</v>
      </c>
      <c r="E23" s="24"/>
    </row>
    <row r="24" spans="1:5" x14ac:dyDescent="0.2">
      <c r="A24" s="20" t="s">
        <v>271</v>
      </c>
      <c r="B24" s="20" t="s">
        <v>266</v>
      </c>
      <c r="C24" s="20" t="s">
        <v>267</v>
      </c>
      <c r="D24" s="20" t="s">
        <v>272</v>
      </c>
      <c r="E24" s="24"/>
    </row>
    <row r="25" spans="1:5" x14ac:dyDescent="0.2">
      <c r="A25" s="20" t="s">
        <v>273</v>
      </c>
      <c r="B25" s="20" t="s">
        <v>266</v>
      </c>
      <c r="C25" s="20" t="s">
        <v>267</v>
      </c>
      <c r="D25" s="20" t="s">
        <v>274</v>
      </c>
      <c r="E25" s="24"/>
    </row>
    <row r="26" spans="1:5" x14ac:dyDescent="0.2">
      <c r="A26" s="20" t="s">
        <v>275</v>
      </c>
      <c r="B26" s="20" t="s">
        <v>276</v>
      </c>
      <c r="C26" s="20" t="s">
        <v>267</v>
      </c>
      <c r="D26" s="20" t="s">
        <v>268</v>
      </c>
      <c r="E26" s="24"/>
    </row>
    <row r="27" spans="1:5" x14ac:dyDescent="0.2">
      <c r="A27" s="20" t="s">
        <v>277</v>
      </c>
      <c r="B27" s="20" t="s">
        <v>276</v>
      </c>
      <c r="C27" s="20" t="s">
        <v>267</v>
      </c>
      <c r="D27" s="20" t="s">
        <v>270</v>
      </c>
      <c r="E27" s="24"/>
    </row>
    <row r="28" spans="1:5" x14ac:dyDescent="0.2">
      <c r="A28" s="20" t="s">
        <v>278</v>
      </c>
      <c r="B28" s="20" t="s">
        <v>276</v>
      </c>
      <c r="C28" s="20" t="s">
        <v>267</v>
      </c>
      <c r="D28" s="20" t="s">
        <v>272</v>
      </c>
      <c r="E28" s="24"/>
    </row>
    <row r="29" spans="1:5" x14ac:dyDescent="0.2">
      <c r="A29" s="20" t="s">
        <v>279</v>
      </c>
      <c r="B29" s="20" t="s">
        <v>276</v>
      </c>
      <c r="C29" s="20" t="s">
        <v>267</v>
      </c>
      <c r="D29" s="20" t="s">
        <v>274</v>
      </c>
      <c r="E29" s="24"/>
    </row>
    <row r="30" spans="1:5" x14ac:dyDescent="0.2">
      <c r="A30" s="20" t="s">
        <v>280</v>
      </c>
      <c r="B30" s="20" t="s">
        <v>281</v>
      </c>
      <c r="C30" s="20" t="s">
        <v>267</v>
      </c>
      <c r="D30" s="20" t="s">
        <v>268</v>
      </c>
      <c r="E30" s="24"/>
    </row>
    <row r="31" spans="1:5" x14ac:dyDescent="0.2">
      <c r="A31" s="20" t="s">
        <v>282</v>
      </c>
      <c r="B31" s="20" t="s">
        <v>281</v>
      </c>
      <c r="C31" s="20" t="s">
        <v>267</v>
      </c>
      <c r="D31" s="20" t="s">
        <v>270</v>
      </c>
      <c r="E31" s="24"/>
    </row>
    <row r="32" spans="1:5" x14ac:dyDescent="0.2">
      <c r="A32" s="20" t="s">
        <v>283</v>
      </c>
      <c r="B32" s="20" t="s">
        <v>281</v>
      </c>
      <c r="C32" s="20" t="s">
        <v>267</v>
      </c>
      <c r="D32" s="20" t="s">
        <v>272</v>
      </c>
      <c r="E32" s="24"/>
    </row>
    <row r="33" spans="1:5" x14ac:dyDescent="0.2">
      <c r="A33" s="20" t="s">
        <v>284</v>
      </c>
      <c r="B33" s="20" t="s">
        <v>281</v>
      </c>
      <c r="C33" s="20" t="s">
        <v>267</v>
      </c>
      <c r="D33" s="20" t="s">
        <v>274</v>
      </c>
      <c r="E33" s="24"/>
    </row>
    <row r="34" spans="1:5" x14ac:dyDescent="0.2">
      <c r="A34" s="20" t="s">
        <v>285</v>
      </c>
      <c r="B34" s="20" t="s">
        <v>286</v>
      </c>
      <c r="C34" s="20" t="s">
        <v>267</v>
      </c>
      <c r="D34" s="20" t="s">
        <v>268</v>
      </c>
      <c r="E34" s="24"/>
    </row>
    <row r="35" spans="1:5" x14ac:dyDescent="0.2">
      <c r="A35" s="20" t="s">
        <v>287</v>
      </c>
      <c r="B35" s="20" t="s">
        <v>286</v>
      </c>
      <c r="C35" s="20" t="s">
        <v>267</v>
      </c>
      <c r="D35" s="20" t="s">
        <v>270</v>
      </c>
      <c r="E35" s="24"/>
    </row>
    <row r="36" spans="1:5" x14ac:dyDescent="0.2">
      <c r="A36" s="20" t="s">
        <v>288</v>
      </c>
      <c r="B36" s="20" t="s">
        <v>286</v>
      </c>
      <c r="C36" s="20" t="s">
        <v>267</v>
      </c>
      <c r="D36" s="20" t="s">
        <v>272</v>
      </c>
      <c r="E36" s="24"/>
    </row>
    <row r="37" spans="1:5" x14ac:dyDescent="0.2">
      <c r="A37" s="20" t="s">
        <v>289</v>
      </c>
      <c r="B37" s="20" t="s">
        <v>286</v>
      </c>
      <c r="C37" s="20" t="s">
        <v>267</v>
      </c>
      <c r="D37" s="20" t="s">
        <v>274</v>
      </c>
      <c r="E37" s="24"/>
    </row>
    <row r="38" spans="1:5" x14ac:dyDescent="0.2">
      <c r="A38" s="20" t="s">
        <v>290</v>
      </c>
      <c r="B38" s="20" t="s">
        <v>291</v>
      </c>
      <c r="C38" s="20" t="s">
        <v>267</v>
      </c>
      <c r="D38" s="20" t="s">
        <v>268</v>
      </c>
      <c r="E38" s="24"/>
    </row>
    <row r="39" spans="1:5" x14ac:dyDescent="0.2">
      <c r="A39" s="20" t="s">
        <v>292</v>
      </c>
      <c r="B39" s="20" t="s">
        <v>291</v>
      </c>
      <c r="C39" s="20" t="s">
        <v>267</v>
      </c>
      <c r="D39" s="20" t="s">
        <v>270</v>
      </c>
      <c r="E39" s="24"/>
    </row>
    <row r="40" spans="1:5" x14ac:dyDescent="0.2">
      <c r="A40" s="20" t="s">
        <v>293</v>
      </c>
      <c r="B40" s="20" t="s">
        <v>291</v>
      </c>
      <c r="C40" s="20" t="s">
        <v>267</v>
      </c>
      <c r="D40" s="20" t="s">
        <v>272</v>
      </c>
      <c r="E40" s="24"/>
    </row>
    <row r="41" spans="1:5" x14ac:dyDescent="0.2">
      <c r="A41" s="20" t="s">
        <v>294</v>
      </c>
      <c r="B41" s="20" t="s">
        <v>291</v>
      </c>
      <c r="C41" s="20" t="s">
        <v>267</v>
      </c>
      <c r="D41" s="20" t="s">
        <v>274</v>
      </c>
      <c r="E41" s="24"/>
    </row>
    <row r="42" spans="1:5" x14ac:dyDescent="0.2">
      <c r="A42" s="20" t="s">
        <v>295</v>
      </c>
      <c r="B42" s="20" t="s">
        <v>296</v>
      </c>
      <c r="C42" s="20" t="s">
        <v>267</v>
      </c>
      <c r="D42" s="20" t="s">
        <v>268</v>
      </c>
      <c r="E42" s="24"/>
    </row>
    <row r="43" spans="1:5" x14ac:dyDescent="0.2">
      <c r="A43" s="20" t="s">
        <v>297</v>
      </c>
      <c r="B43" s="20" t="s">
        <v>296</v>
      </c>
      <c r="C43" s="20" t="s">
        <v>267</v>
      </c>
      <c r="D43" s="20" t="s">
        <v>270</v>
      </c>
      <c r="E43" s="24"/>
    </row>
    <row r="44" spans="1:5" x14ac:dyDescent="0.2">
      <c r="A44" s="20" t="s">
        <v>298</v>
      </c>
      <c r="B44" s="20" t="s">
        <v>296</v>
      </c>
      <c r="C44" s="20" t="s">
        <v>267</v>
      </c>
      <c r="D44" s="20" t="s">
        <v>272</v>
      </c>
      <c r="E44" s="24"/>
    </row>
    <row r="45" spans="1:5" x14ac:dyDescent="0.2">
      <c r="A45" s="20" t="s">
        <v>299</v>
      </c>
      <c r="B45" s="20" t="s">
        <v>296</v>
      </c>
      <c r="C45" s="20" t="s">
        <v>267</v>
      </c>
      <c r="D45" s="20" t="s">
        <v>274</v>
      </c>
      <c r="E45" s="24"/>
    </row>
    <row r="46" spans="1:5" x14ac:dyDescent="0.2">
      <c r="A46" s="20" t="s">
        <v>300</v>
      </c>
      <c r="B46" s="20" t="s">
        <v>301</v>
      </c>
      <c r="C46" s="20" t="s">
        <v>267</v>
      </c>
      <c r="D46" s="20" t="s">
        <v>268</v>
      </c>
      <c r="E46" s="24"/>
    </row>
    <row r="47" spans="1:5" x14ac:dyDescent="0.2">
      <c r="A47" s="20" t="s">
        <v>302</v>
      </c>
      <c r="B47" s="20" t="s">
        <v>301</v>
      </c>
      <c r="C47" s="20" t="s">
        <v>267</v>
      </c>
      <c r="D47" s="20" t="s">
        <v>270</v>
      </c>
      <c r="E47" s="24"/>
    </row>
    <row r="48" spans="1:5" x14ac:dyDescent="0.2">
      <c r="A48" s="20" t="s">
        <v>303</v>
      </c>
      <c r="B48" s="20" t="s">
        <v>301</v>
      </c>
      <c r="C48" s="20" t="s">
        <v>267</v>
      </c>
      <c r="D48" s="20" t="s">
        <v>272</v>
      </c>
      <c r="E48" s="24"/>
    </row>
    <row r="49" spans="1:5" x14ac:dyDescent="0.2">
      <c r="A49" s="20" t="s">
        <v>304</v>
      </c>
      <c r="B49" s="20" t="s">
        <v>301</v>
      </c>
      <c r="C49" s="20" t="s">
        <v>267</v>
      </c>
      <c r="D49" s="20" t="s">
        <v>274</v>
      </c>
      <c r="E49" s="24"/>
    </row>
    <row r="50" spans="1:5" x14ac:dyDescent="0.2">
      <c r="A50" s="20" t="s">
        <v>305</v>
      </c>
      <c r="B50" s="20" t="s">
        <v>306</v>
      </c>
      <c r="C50" s="20" t="s">
        <v>267</v>
      </c>
      <c r="D50" s="20" t="s">
        <v>307</v>
      </c>
      <c r="E50" s="24"/>
    </row>
    <row r="51" spans="1:5" x14ac:dyDescent="0.2">
      <c r="A51" s="20" t="s">
        <v>308</v>
      </c>
      <c r="B51" s="20" t="s">
        <v>309</v>
      </c>
      <c r="C51" s="20" t="s">
        <v>224</v>
      </c>
      <c r="D51" s="20" t="s">
        <v>307</v>
      </c>
      <c r="E51" s="24"/>
    </row>
    <row r="52" spans="1:5" x14ac:dyDescent="0.2">
      <c r="A52" s="20" t="s">
        <v>310</v>
      </c>
      <c r="B52" s="20" t="s">
        <v>311</v>
      </c>
      <c r="C52" s="20" t="s">
        <v>267</v>
      </c>
      <c r="D52" s="20" t="s">
        <v>312</v>
      </c>
      <c r="E52" s="24"/>
    </row>
    <row r="53" spans="1:5" x14ac:dyDescent="0.2">
      <c r="A53" s="20" t="s">
        <v>313</v>
      </c>
      <c r="B53" s="20" t="s">
        <v>311</v>
      </c>
      <c r="C53" s="20" t="s">
        <v>267</v>
      </c>
      <c r="D53" s="20" t="s">
        <v>314</v>
      </c>
      <c r="E53" s="24"/>
    </row>
    <row r="54" spans="1:5" x14ac:dyDescent="0.2">
      <c r="A54" s="20" t="s">
        <v>315</v>
      </c>
      <c r="B54" s="20" t="s">
        <v>311</v>
      </c>
      <c r="C54" s="20" t="s">
        <v>267</v>
      </c>
      <c r="D54" s="20" t="s">
        <v>316</v>
      </c>
      <c r="E54" s="24"/>
    </row>
    <row r="55" spans="1:5" x14ac:dyDescent="0.2">
      <c r="A55" s="20" t="s">
        <v>317</v>
      </c>
      <c r="B55" s="20" t="s">
        <v>311</v>
      </c>
      <c r="C55" s="20" t="s">
        <v>267</v>
      </c>
      <c r="D55" s="20" t="s">
        <v>318</v>
      </c>
      <c r="E55" s="24"/>
    </row>
    <row r="56" spans="1:5" x14ac:dyDescent="0.2">
      <c r="A56" s="20" t="s">
        <v>319</v>
      </c>
      <c r="B56" s="20" t="s">
        <v>320</v>
      </c>
      <c r="C56" s="20" t="s">
        <v>267</v>
      </c>
      <c r="D56" s="20" t="s">
        <v>312</v>
      </c>
      <c r="E56" s="24"/>
    </row>
    <row r="57" spans="1:5" x14ac:dyDescent="0.2">
      <c r="A57" s="20" t="s">
        <v>321</v>
      </c>
      <c r="B57" s="20" t="s">
        <v>320</v>
      </c>
      <c r="C57" s="20" t="s">
        <v>267</v>
      </c>
      <c r="D57" s="20" t="s">
        <v>314</v>
      </c>
      <c r="E57" s="24"/>
    </row>
    <row r="58" spans="1:5" x14ac:dyDescent="0.2">
      <c r="A58" s="20" t="s">
        <v>322</v>
      </c>
      <c r="B58" s="20" t="s">
        <v>320</v>
      </c>
      <c r="C58" s="20" t="s">
        <v>267</v>
      </c>
      <c r="D58" s="20" t="s">
        <v>316</v>
      </c>
      <c r="E58" s="24"/>
    </row>
    <row r="59" spans="1:5" x14ac:dyDescent="0.2">
      <c r="A59" s="20" t="s">
        <v>323</v>
      </c>
      <c r="B59" s="20" t="s">
        <v>320</v>
      </c>
      <c r="C59" s="20" t="s">
        <v>267</v>
      </c>
      <c r="D59" s="20" t="s">
        <v>318</v>
      </c>
      <c r="E59" s="24"/>
    </row>
    <row r="60" spans="1:5" x14ac:dyDescent="0.2">
      <c r="A60" s="20" t="s">
        <v>324</v>
      </c>
      <c r="B60" s="20" t="s">
        <v>325</v>
      </c>
      <c r="C60" s="20" t="s">
        <v>267</v>
      </c>
      <c r="D60" s="20" t="s">
        <v>312</v>
      </c>
      <c r="E60" s="24"/>
    </row>
    <row r="61" spans="1:5" x14ac:dyDescent="0.2">
      <c r="A61" s="20" t="s">
        <v>326</v>
      </c>
      <c r="B61" s="20" t="s">
        <v>325</v>
      </c>
      <c r="C61" s="20" t="s">
        <v>267</v>
      </c>
      <c r="D61" s="20" t="s">
        <v>314</v>
      </c>
      <c r="E61" s="24"/>
    </row>
    <row r="62" spans="1:5" x14ac:dyDescent="0.2">
      <c r="A62" s="20" t="s">
        <v>327</v>
      </c>
      <c r="B62" s="20" t="s">
        <v>325</v>
      </c>
      <c r="C62" s="20" t="s">
        <v>267</v>
      </c>
      <c r="D62" s="20" t="s">
        <v>316</v>
      </c>
      <c r="E62" s="24"/>
    </row>
    <row r="63" spans="1:5" x14ac:dyDescent="0.2">
      <c r="A63" s="20" t="s">
        <v>328</v>
      </c>
      <c r="B63" s="20" t="s">
        <v>325</v>
      </c>
      <c r="C63" s="20" t="s">
        <v>267</v>
      </c>
      <c r="D63" s="20" t="s">
        <v>318</v>
      </c>
      <c r="E63" s="24"/>
    </row>
    <row r="64" spans="1:5" x14ac:dyDescent="0.2">
      <c r="A64" s="20" t="s">
        <v>329</v>
      </c>
      <c r="B64" s="20" t="s">
        <v>330</v>
      </c>
      <c r="C64" s="20" t="s">
        <v>267</v>
      </c>
      <c r="D64" s="20" t="s">
        <v>312</v>
      </c>
      <c r="E64" s="24"/>
    </row>
    <row r="65" spans="1:5" x14ac:dyDescent="0.2">
      <c r="A65" s="20" t="s">
        <v>331</v>
      </c>
      <c r="B65" s="20" t="s">
        <v>330</v>
      </c>
      <c r="C65" s="20" t="s">
        <v>267</v>
      </c>
      <c r="D65" s="20" t="s">
        <v>314</v>
      </c>
      <c r="E65" s="24"/>
    </row>
    <row r="66" spans="1:5" x14ac:dyDescent="0.2">
      <c r="A66" s="20" t="s">
        <v>332</v>
      </c>
      <c r="B66" s="20" t="s">
        <v>330</v>
      </c>
      <c r="C66" s="20" t="s">
        <v>267</v>
      </c>
      <c r="D66" s="20" t="s">
        <v>316</v>
      </c>
      <c r="E66" s="24"/>
    </row>
    <row r="67" spans="1:5" x14ac:dyDescent="0.2">
      <c r="A67" s="20" t="s">
        <v>333</v>
      </c>
      <c r="B67" s="20" t="s">
        <v>330</v>
      </c>
      <c r="C67" s="20" t="s">
        <v>267</v>
      </c>
      <c r="D67" s="20" t="s">
        <v>318</v>
      </c>
      <c r="E67" s="24"/>
    </row>
    <row r="68" spans="1:5" x14ac:dyDescent="0.2">
      <c r="A68" s="20" t="s">
        <v>334</v>
      </c>
      <c r="B68" s="20" t="s">
        <v>335</v>
      </c>
      <c r="C68" s="20" t="s">
        <v>267</v>
      </c>
      <c r="D68" s="20" t="s">
        <v>312</v>
      </c>
      <c r="E68" s="24"/>
    </row>
    <row r="69" spans="1:5" x14ac:dyDescent="0.2">
      <c r="A69" s="20" t="s">
        <v>336</v>
      </c>
      <c r="B69" s="20" t="s">
        <v>335</v>
      </c>
      <c r="C69" s="20" t="s">
        <v>267</v>
      </c>
      <c r="D69" s="20" t="s">
        <v>314</v>
      </c>
      <c r="E69" s="24"/>
    </row>
    <row r="70" spans="1:5" x14ac:dyDescent="0.2">
      <c r="A70" s="20" t="s">
        <v>337</v>
      </c>
      <c r="B70" s="20" t="s">
        <v>335</v>
      </c>
      <c r="C70" s="20" t="s">
        <v>267</v>
      </c>
      <c r="D70" s="20" t="s">
        <v>316</v>
      </c>
      <c r="E70" s="24"/>
    </row>
    <row r="71" spans="1:5" x14ac:dyDescent="0.2">
      <c r="A71" s="20" t="s">
        <v>338</v>
      </c>
      <c r="B71" s="20" t="s">
        <v>335</v>
      </c>
      <c r="C71" s="20" t="s">
        <v>267</v>
      </c>
      <c r="D71" s="20" t="s">
        <v>318</v>
      </c>
      <c r="E71" s="24"/>
    </row>
    <row r="72" spans="1:5" x14ac:dyDescent="0.2">
      <c r="A72" s="20" t="s">
        <v>339</v>
      </c>
      <c r="B72" s="20" t="s">
        <v>340</v>
      </c>
      <c r="C72" s="20" t="s">
        <v>267</v>
      </c>
      <c r="D72" s="20" t="s">
        <v>312</v>
      </c>
      <c r="E72" s="24"/>
    </row>
    <row r="73" spans="1:5" x14ac:dyDescent="0.2">
      <c r="A73" s="20" t="s">
        <v>341</v>
      </c>
      <c r="B73" s="20" t="s">
        <v>340</v>
      </c>
      <c r="C73" s="20" t="s">
        <v>267</v>
      </c>
      <c r="D73" s="20" t="s">
        <v>314</v>
      </c>
      <c r="E73" s="24"/>
    </row>
    <row r="74" spans="1:5" x14ac:dyDescent="0.2">
      <c r="A74" s="20" t="s">
        <v>342</v>
      </c>
      <c r="B74" s="20" t="s">
        <v>340</v>
      </c>
      <c r="C74" s="20" t="s">
        <v>267</v>
      </c>
      <c r="D74" s="20" t="s">
        <v>316</v>
      </c>
      <c r="E74" s="24"/>
    </row>
    <row r="75" spans="1:5" x14ac:dyDescent="0.2">
      <c r="A75" s="20" t="s">
        <v>343</v>
      </c>
      <c r="B75" s="20" t="s">
        <v>340</v>
      </c>
      <c r="C75" s="20" t="s">
        <v>267</v>
      </c>
      <c r="D75" s="20" t="s">
        <v>318</v>
      </c>
      <c r="E75" s="24"/>
    </row>
    <row r="76" spans="1:5" x14ac:dyDescent="0.2">
      <c r="A76" s="20" t="s">
        <v>344</v>
      </c>
      <c r="B76" s="20" t="s">
        <v>345</v>
      </c>
      <c r="C76" s="20" t="s">
        <v>267</v>
      </c>
      <c r="D76" s="20" t="s">
        <v>312</v>
      </c>
      <c r="E76" s="24"/>
    </row>
    <row r="77" spans="1:5" x14ac:dyDescent="0.2">
      <c r="A77" s="20" t="s">
        <v>346</v>
      </c>
      <c r="B77" s="20" t="s">
        <v>345</v>
      </c>
      <c r="C77" s="20" t="s">
        <v>267</v>
      </c>
      <c r="D77" s="20" t="s">
        <v>314</v>
      </c>
      <c r="E77" s="24"/>
    </row>
    <row r="78" spans="1:5" x14ac:dyDescent="0.2">
      <c r="A78" s="20" t="s">
        <v>347</v>
      </c>
      <c r="B78" s="20" t="s">
        <v>345</v>
      </c>
      <c r="C78" s="20" t="s">
        <v>267</v>
      </c>
      <c r="D78" s="20" t="s">
        <v>316</v>
      </c>
      <c r="E78" s="24"/>
    </row>
    <row r="79" spans="1:5" x14ac:dyDescent="0.2">
      <c r="A79" s="20" t="s">
        <v>348</v>
      </c>
      <c r="B79" s="20" t="s">
        <v>345</v>
      </c>
      <c r="C79" s="20" t="s">
        <v>267</v>
      </c>
      <c r="D79" s="20" t="s">
        <v>318</v>
      </c>
      <c r="E79" s="24"/>
    </row>
    <row r="80" spans="1:5" x14ac:dyDescent="0.2">
      <c r="A80" s="20" t="s">
        <v>349</v>
      </c>
      <c r="B80" s="20" t="s">
        <v>350</v>
      </c>
      <c r="C80" s="20" t="s">
        <v>267</v>
      </c>
      <c r="D80" s="20" t="s">
        <v>312</v>
      </c>
      <c r="E80" s="24"/>
    </row>
    <row r="81" spans="1:5" x14ac:dyDescent="0.2">
      <c r="A81" s="20" t="s">
        <v>351</v>
      </c>
      <c r="B81" s="20" t="s">
        <v>350</v>
      </c>
      <c r="C81" s="20" t="s">
        <v>267</v>
      </c>
      <c r="D81" s="20" t="s">
        <v>314</v>
      </c>
      <c r="E81" s="24"/>
    </row>
    <row r="82" spans="1:5" x14ac:dyDescent="0.2">
      <c r="A82" s="20" t="s">
        <v>352</v>
      </c>
      <c r="B82" s="20" t="s">
        <v>350</v>
      </c>
      <c r="C82" s="20" t="s">
        <v>267</v>
      </c>
      <c r="D82" s="20" t="s">
        <v>316</v>
      </c>
      <c r="E82" s="24"/>
    </row>
    <row r="83" spans="1:5" x14ac:dyDescent="0.2">
      <c r="A83" s="20" t="s">
        <v>353</v>
      </c>
      <c r="B83" s="20" t="s">
        <v>350</v>
      </c>
      <c r="C83" s="20" t="s">
        <v>267</v>
      </c>
      <c r="D83" s="20" t="s">
        <v>318</v>
      </c>
      <c r="E83" s="24"/>
    </row>
    <row r="84" spans="1:5" x14ac:dyDescent="0.2">
      <c r="A84" s="20" t="s">
        <v>354</v>
      </c>
      <c r="B84" s="20" t="s">
        <v>355</v>
      </c>
      <c r="C84" s="20" t="s">
        <v>267</v>
      </c>
      <c r="D84" s="20" t="s">
        <v>312</v>
      </c>
      <c r="E84" s="24"/>
    </row>
    <row r="85" spans="1:5" x14ac:dyDescent="0.2">
      <c r="A85" s="20" t="s">
        <v>356</v>
      </c>
      <c r="B85" s="20" t="s">
        <v>355</v>
      </c>
      <c r="C85" s="20" t="s">
        <v>267</v>
      </c>
      <c r="D85" s="20" t="s">
        <v>314</v>
      </c>
      <c r="E85" s="24"/>
    </row>
    <row r="86" spans="1:5" x14ac:dyDescent="0.2">
      <c r="A86" s="20" t="s">
        <v>357</v>
      </c>
      <c r="B86" s="20" t="s">
        <v>355</v>
      </c>
      <c r="C86" s="20" t="s">
        <v>267</v>
      </c>
      <c r="D86" s="20" t="s">
        <v>316</v>
      </c>
      <c r="E86" s="24"/>
    </row>
    <row r="87" spans="1:5" x14ac:dyDescent="0.2">
      <c r="A87" s="25" t="s">
        <v>358</v>
      </c>
      <c r="B87" s="25" t="s">
        <v>355</v>
      </c>
      <c r="C87" s="25" t="s">
        <v>267</v>
      </c>
      <c r="D87" s="25" t="s">
        <v>318</v>
      </c>
      <c r="E87" s="29"/>
    </row>
    <row r="88" spans="1:5" x14ac:dyDescent="0.2">
      <c r="A88" s="42" t="s">
        <v>142</v>
      </c>
      <c r="B88" s="43"/>
      <c r="C88" s="43"/>
      <c r="D88" s="43"/>
      <c r="E88" s="81"/>
    </row>
    <row r="90" spans="1:5" x14ac:dyDescent="0.2">
      <c r="A90" s="42" t="s">
        <v>359</v>
      </c>
      <c r="B90" s="43"/>
      <c r="C90" s="43"/>
      <c r="D90" s="43"/>
      <c r="E90" s="81"/>
    </row>
  </sheetData>
  <pageMargins left="0.7" right="0.7" top="0.75" bottom="0.75" header="0.3" footer="0.3"/>
  <pageSetup paperSize="9" scale="65" orientation="landscape" horizontalDpi="4294967295" verticalDpi="4294967295" r:id="rId1"/>
  <headerFooter>
    <oddFooter>&amp;LGewoon Speciaal Onderwijs                                   &amp;ROpmaakdatum: 03-11-2021
Intexso - De Start 5 -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395</vt:i4>
      </vt:variant>
    </vt:vector>
  </HeadingPairs>
  <TitlesOfParts>
    <vt:vector size="407" baseType="lpstr">
      <vt:lpstr>Omreken</vt:lpstr>
      <vt:lpstr>Categorienormen</vt:lpstr>
      <vt:lpstr>Regulier werk</vt:lpstr>
      <vt:lpstr>Objectinformatie</vt:lpstr>
      <vt:lpstr>Objecten</vt:lpstr>
      <vt:lpstr>Niet-meewerkende objectleiding</vt:lpstr>
      <vt:lpstr>Totaalblad Objecten</vt:lpstr>
      <vt:lpstr>Afroep</vt:lpstr>
      <vt:lpstr>Afroep incidenteel</vt:lpstr>
      <vt:lpstr>Glas</vt:lpstr>
      <vt:lpstr>Nulbeurt</vt:lpstr>
      <vt:lpstr>Totaal</vt:lpstr>
      <vt:lpstr>Afroep!Afdruktitels</vt:lpstr>
      <vt:lpstr>'Afroep incidenteel'!Afdruktitels</vt:lpstr>
      <vt:lpstr>Categorienormen!Afdruktitels</vt:lpstr>
      <vt:lpstr>Glas!Afdruktitels</vt:lpstr>
      <vt:lpstr>'Niet-meewerkende objectleiding'!Afdruktitels</vt:lpstr>
      <vt:lpstr>Nulbeurt!Afdruktitels</vt:lpstr>
      <vt:lpstr>Objecten!Afdruktitels</vt:lpstr>
      <vt:lpstr>Objectinformatie!Afdruktitels</vt:lpstr>
      <vt:lpstr>'Regulier werk'!Afdruktitels</vt:lpstr>
      <vt:lpstr>Totaal!Afdruktitels</vt:lpstr>
      <vt:lpstr>'Totaalblad Objecten'!Afdruktitels</vt:lpstr>
      <vt:lpstr>catdw_1_BHB_1</vt:lpstr>
      <vt:lpstr>catdw_1_BHV_40</vt:lpstr>
      <vt:lpstr>catdw_1_BZB_1</vt:lpstr>
      <vt:lpstr>catdw_1_BZV_40</vt:lpstr>
      <vt:lpstr>catdw_1_GHB_1</vt:lpstr>
      <vt:lpstr>catdw_1_GHV_40</vt:lpstr>
      <vt:lpstr>catdw_1_LHB_1</vt:lpstr>
      <vt:lpstr>catdw_1_LHV_40</vt:lpstr>
      <vt:lpstr>catdw_1_MHB_1</vt:lpstr>
      <vt:lpstr>catdw_1_MHV_40</vt:lpstr>
      <vt:lpstr>catdw_1_PHB_1</vt:lpstr>
      <vt:lpstr>catdw_1_PHV_40</vt:lpstr>
      <vt:lpstr>catdw_1_PUHB_1</vt:lpstr>
      <vt:lpstr>catdw_1_PUHV_40</vt:lpstr>
      <vt:lpstr>catdw_1_SHB_1</vt:lpstr>
      <vt:lpstr>catdw_1_SHV_40</vt:lpstr>
      <vt:lpstr>catdw_1_UZB_1</vt:lpstr>
      <vt:lpstr>catdw_1_UZV_40</vt:lpstr>
      <vt:lpstr>catdw_1_VHB_1</vt:lpstr>
      <vt:lpstr>catdw_1_VHV_40</vt:lpstr>
      <vt:lpstr>catdw_1_VZB_1</vt:lpstr>
      <vt:lpstr>catdw_1_VZV_40</vt:lpstr>
      <vt:lpstr>catdw_1_XBB_1</vt:lpstr>
      <vt:lpstr>catdw_2_VBHB_1</vt:lpstr>
      <vt:lpstr>catdw_2_VBHV_10</vt:lpstr>
      <vt:lpstr>catdw_2_VBHV_2</vt:lpstr>
      <vt:lpstr>catdw_2_VBZB_1</vt:lpstr>
      <vt:lpstr>catdw_2_VBZV_10</vt:lpstr>
      <vt:lpstr>catdw_2_VBZV_2</vt:lpstr>
      <vt:lpstr>catdw_2_VBZV_5</vt:lpstr>
      <vt:lpstr>catdw_2_VGHB_1</vt:lpstr>
      <vt:lpstr>catdw_2_VGHV_2</vt:lpstr>
      <vt:lpstr>catdw_2_VGHV_5</vt:lpstr>
      <vt:lpstr>catdw_2_VLHB_1</vt:lpstr>
      <vt:lpstr>catdw_2_VLHV_10</vt:lpstr>
      <vt:lpstr>catdw_2_VLHV_2</vt:lpstr>
      <vt:lpstr>catdw_2_VLHV_5</vt:lpstr>
      <vt:lpstr>catdw_2_VPHB_1</vt:lpstr>
      <vt:lpstr>catdw_2_VPHV_5</vt:lpstr>
      <vt:lpstr>catdw_2_VSHB_1</vt:lpstr>
      <vt:lpstr>catdw_2_VSHV_10</vt:lpstr>
      <vt:lpstr>catdw_2_VSHV_2</vt:lpstr>
      <vt:lpstr>catdw_2_VSHV_5</vt:lpstr>
      <vt:lpstr>catdw_2_VUZB_1</vt:lpstr>
      <vt:lpstr>catdw_2_VUZV_5</vt:lpstr>
      <vt:lpstr>catdw_2_VVHB_1</vt:lpstr>
      <vt:lpstr>catdw_2_VVHV_10</vt:lpstr>
      <vt:lpstr>catdw_2_VVHV_2</vt:lpstr>
      <vt:lpstr>catdw_2_VVHV_5</vt:lpstr>
      <vt:lpstr>catdw_2_VVZB_1</vt:lpstr>
      <vt:lpstr>catdw_2_VVZV_10</vt:lpstr>
      <vt:lpstr>catdw_2_VVZV_2</vt:lpstr>
      <vt:lpstr>catfd_1_BHB_1</vt:lpstr>
      <vt:lpstr>catfd_1_BHV_40</vt:lpstr>
      <vt:lpstr>catfd_1_BZB_1</vt:lpstr>
      <vt:lpstr>catfd_1_BZV_40</vt:lpstr>
      <vt:lpstr>catfd_1_GHB_1</vt:lpstr>
      <vt:lpstr>catfd_1_GHV_40</vt:lpstr>
      <vt:lpstr>catfd_1_LHB_1</vt:lpstr>
      <vt:lpstr>catfd_1_LHV_40</vt:lpstr>
      <vt:lpstr>catfd_1_MHB_1</vt:lpstr>
      <vt:lpstr>catfd_1_MHV_40</vt:lpstr>
      <vt:lpstr>catfd_1_PHB_1</vt:lpstr>
      <vt:lpstr>catfd_1_PHV_40</vt:lpstr>
      <vt:lpstr>catfd_1_PUHB_1</vt:lpstr>
      <vt:lpstr>catfd_1_PUHV_40</vt:lpstr>
      <vt:lpstr>catfd_1_SHB_1</vt:lpstr>
      <vt:lpstr>catfd_1_SHV_40</vt:lpstr>
      <vt:lpstr>catfd_1_UZB_1</vt:lpstr>
      <vt:lpstr>catfd_1_UZV_40</vt:lpstr>
      <vt:lpstr>catfd_1_VHB_1</vt:lpstr>
      <vt:lpstr>catfd_1_VHV_40</vt:lpstr>
      <vt:lpstr>catfd_1_VZB_1</vt:lpstr>
      <vt:lpstr>catfd_1_VZV_40</vt:lpstr>
      <vt:lpstr>catfd_1_XBB_1</vt:lpstr>
      <vt:lpstr>catfd_2_VBHB_1</vt:lpstr>
      <vt:lpstr>catfd_2_VBHV_10</vt:lpstr>
      <vt:lpstr>catfd_2_VBHV_2</vt:lpstr>
      <vt:lpstr>catfd_2_VBZB_1</vt:lpstr>
      <vt:lpstr>catfd_2_VBZV_10</vt:lpstr>
      <vt:lpstr>catfd_2_VBZV_2</vt:lpstr>
      <vt:lpstr>catfd_2_VBZV_5</vt:lpstr>
      <vt:lpstr>catfd_2_VGHB_1</vt:lpstr>
      <vt:lpstr>catfd_2_VGHV_2</vt:lpstr>
      <vt:lpstr>catfd_2_VGHV_5</vt:lpstr>
      <vt:lpstr>catfd_2_VLHB_1</vt:lpstr>
      <vt:lpstr>catfd_2_VLHV_10</vt:lpstr>
      <vt:lpstr>catfd_2_VLHV_2</vt:lpstr>
      <vt:lpstr>catfd_2_VLHV_5</vt:lpstr>
      <vt:lpstr>catfd_2_VPHB_1</vt:lpstr>
      <vt:lpstr>catfd_2_VPHV_5</vt:lpstr>
      <vt:lpstr>catfd_2_VSHB_1</vt:lpstr>
      <vt:lpstr>catfd_2_VSHV_10</vt:lpstr>
      <vt:lpstr>catfd_2_VSHV_2</vt:lpstr>
      <vt:lpstr>catfd_2_VSHV_5</vt:lpstr>
      <vt:lpstr>catfd_2_VUZB_1</vt:lpstr>
      <vt:lpstr>catfd_2_VUZV_5</vt:lpstr>
      <vt:lpstr>catfd_2_VVHB_1</vt:lpstr>
      <vt:lpstr>catfd_2_VVHV_10</vt:lpstr>
      <vt:lpstr>catfd_2_VVHV_2</vt:lpstr>
      <vt:lpstr>catfd_2_VVHV_5</vt:lpstr>
      <vt:lpstr>catfd_2_VVZB_1</vt:lpstr>
      <vt:lpstr>catfd_2_VVZV_10</vt:lpstr>
      <vt:lpstr>catfd_2_VVZV_2</vt:lpstr>
      <vt:lpstr>catpn_1_BHB_1</vt:lpstr>
      <vt:lpstr>catpn_1_BHV_40</vt:lpstr>
      <vt:lpstr>catpn_1_BZB_1</vt:lpstr>
      <vt:lpstr>catpn_1_BZV_40</vt:lpstr>
      <vt:lpstr>catpn_1_GHB_1</vt:lpstr>
      <vt:lpstr>catpn_1_GHV_40</vt:lpstr>
      <vt:lpstr>catpn_1_LHB_1</vt:lpstr>
      <vt:lpstr>catpn_1_LHV_40</vt:lpstr>
      <vt:lpstr>catpn_1_MHB_1</vt:lpstr>
      <vt:lpstr>catpn_1_MHV_40</vt:lpstr>
      <vt:lpstr>catpn_1_PHB_1</vt:lpstr>
      <vt:lpstr>catpn_1_PHV_40</vt:lpstr>
      <vt:lpstr>catpn_1_PUHB_1</vt:lpstr>
      <vt:lpstr>catpn_1_PUHV_40</vt:lpstr>
      <vt:lpstr>catpn_1_SHB_1</vt:lpstr>
      <vt:lpstr>catpn_1_SHV_40</vt:lpstr>
      <vt:lpstr>catpn_1_UZB_1</vt:lpstr>
      <vt:lpstr>catpn_1_UZV_40</vt:lpstr>
      <vt:lpstr>catpn_1_VHB_1</vt:lpstr>
      <vt:lpstr>catpn_1_VHV_40</vt:lpstr>
      <vt:lpstr>catpn_1_VZB_1</vt:lpstr>
      <vt:lpstr>catpn_1_VZV_40</vt:lpstr>
      <vt:lpstr>catpn_1_XBB_1</vt:lpstr>
      <vt:lpstr>catpn_2_VBHB_1</vt:lpstr>
      <vt:lpstr>catpn_2_VBHV_10</vt:lpstr>
      <vt:lpstr>catpn_2_VBHV_2</vt:lpstr>
      <vt:lpstr>catpn_2_VBZB_1</vt:lpstr>
      <vt:lpstr>catpn_2_VBZV_10</vt:lpstr>
      <vt:lpstr>catpn_2_VBZV_2</vt:lpstr>
      <vt:lpstr>catpn_2_VBZV_5</vt:lpstr>
      <vt:lpstr>catpn_2_VGHB_1</vt:lpstr>
      <vt:lpstr>catpn_2_VGHV_2</vt:lpstr>
      <vt:lpstr>catpn_2_VGHV_5</vt:lpstr>
      <vt:lpstr>catpn_2_VLHB_1</vt:lpstr>
      <vt:lpstr>catpn_2_VLHV_10</vt:lpstr>
      <vt:lpstr>catpn_2_VLHV_2</vt:lpstr>
      <vt:lpstr>catpn_2_VLHV_5</vt:lpstr>
      <vt:lpstr>catpn_2_VPHB_1</vt:lpstr>
      <vt:lpstr>catpn_2_VPHV_5</vt:lpstr>
      <vt:lpstr>catpn_2_VSHB_1</vt:lpstr>
      <vt:lpstr>catpn_2_VSHV_10</vt:lpstr>
      <vt:lpstr>catpn_2_VSHV_2</vt:lpstr>
      <vt:lpstr>catpn_2_VSHV_5</vt:lpstr>
      <vt:lpstr>catpn_2_VUZB_1</vt:lpstr>
      <vt:lpstr>catpn_2_VUZV_5</vt:lpstr>
      <vt:lpstr>catpn_2_VVHB_1</vt:lpstr>
      <vt:lpstr>catpn_2_VVHV_10</vt:lpstr>
      <vt:lpstr>catpn_2_VVHV_2</vt:lpstr>
      <vt:lpstr>catpn_2_VVHV_5</vt:lpstr>
      <vt:lpstr>catpn_2_VVZB_1</vt:lpstr>
      <vt:lpstr>catpn_2_VVZV_10</vt:lpstr>
      <vt:lpstr>catpn_2_VVZV_2</vt:lpstr>
      <vt:lpstr>cattf_1_BHB_1</vt:lpstr>
      <vt:lpstr>cattf_1_BHV_40</vt:lpstr>
      <vt:lpstr>cattf_1_BZB_1</vt:lpstr>
      <vt:lpstr>cattf_1_BZV_40</vt:lpstr>
      <vt:lpstr>cattf_1_GHB_1</vt:lpstr>
      <vt:lpstr>cattf_1_GHV_40</vt:lpstr>
      <vt:lpstr>cattf_1_LHB_1</vt:lpstr>
      <vt:lpstr>cattf_1_LHV_40</vt:lpstr>
      <vt:lpstr>cattf_1_MHB_1</vt:lpstr>
      <vt:lpstr>cattf_1_MHV_40</vt:lpstr>
      <vt:lpstr>cattf_1_PHB_1</vt:lpstr>
      <vt:lpstr>cattf_1_PHV_40</vt:lpstr>
      <vt:lpstr>cattf_1_PUHB_1</vt:lpstr>
      <vt:lpstr>cattf_1_PUHV_40</vt:lpstr>
      <vt:lpstr>cattf_1_SHB_1</vt:lpstr>
      <vt:lpstr>cattf_1_SHV_40</vt:lpstr>
      <vt:lpstr>cattf_1_UZB_1</vt:lpstr>
      <vt:lpstr>cattf_1_UZV_40</vt:lpstr>
      <vt:lpstr>cattf_1_VHB_1</vt:lpstr>
      <vt:lpstr>cattf_1_VHV_40</vt:lpstr>
      <vt:lpstr>cattf_1_VZB_1</vt:lpstr>
      <vt:lpstr>cattf_1_VZV_40</vt:lpstr>
      <vt:lpstr>cattf_1_XBB_1</vt:lpstr>
      <vt:lpstr>cattf_2_VBHB_1</vt:lpstr>
      <vt:lpstr>cattf_2_VBHV_10</vt:lpstr>
      <vt:lpstr>cattf_2_VBHV_2</vt:lpstr>
      <vt:lpstr>cattf_2_VBZB_1</vt:lpstr>
      <vt:lpstr>cattf_2_VBZV_10</vt:lpstr>
      <vt:lpstr>cattf_2_VBZV_2</vt:lpstr>
      <vt:lpstr>cattf_2_VBZV_5</vt:lpstr>
      <vt:lpstr>cattf_2_VGHB_1</vt:lpstr>
      <vt:lpstr>cattf_2_VGHV_2</vt:lpstr>
      <vt:lpstr>cattf_2_VGHV_5</vt:lpstr>
      <vt:lpstr>cattf_2_VLHB_1</vt:lpstr>
      <vt:lpstr>cattf_2_VLHV_10</vt:lpstr>
      <vt:lpstr>cattf_2_VLHV_2</vt:lpstr>
      <vt:lpstr>cattf_2_VLHV_5</vt:lpstr>
      <vt:lpstr>cattf_2_VPHB_1</vt:lpstr>
      <vt:lpstr>cattf_2_VPHV_5</vt:lpstr>
      <vt:lpstr>cattf_2_VSHB_1</vt:lpstr>
      <vt:lpstr>cattf_2_VSHV_10</vt:lpstr>
      <vt:lpstr>cattf_2_VSHV_2</vt:lpstr>
      <vt:lpstr>cattf_2_VSHV_5</vt:lpstr>
      <vt:lpstr>cattf_2_VUZB_1</vt:lpstr>
      <vt:lpstr>cattf_2_VUZV_5</vt:lpstr>
      <vt:lpstr>cattf_2_VVHB_1</vt:lpstr>
      <vt:lpstr>cattf_2_VVHV_10</vt:lpstr>
      <vt:lpstr>cattf_2_VVHV_2</vt:lpstr>
      <vt:lpstr>cattf_2_VVHV_5</vt:lpstr>
      <vt:lpstr>cattf_2_VVZB_1</vt:lpstr>
      <vt:lpstr>cattf_2_VVZV_10</vt:lpstr>
      <vt:lpstr>cattf_2_VVZV_2</vt:lpstr>
      <vt:lpstr>dagenperjaar1</vt:lpstr>
      <vt:lpstr>dagenperweek1</vt:lpstr>
      <vt:lpstr>dagsoorttabel1</vt:lpstr>
      <vt:lpstr>dagwerk10</vt:lpstr>
      <vt:lpstr>dagwerk11</vt:lpstr>
      <vt:lpstr>dagwerk12</vt:lpstr>
      <vt:lpstr>dagwerk13</vt:lpstr>
      <vt:lpstr>dagwerk14</vt:lpstr>
      <vt:lpstr>dagwerk15</vt:lpstr>
      <vt:lpstr>dagwerk16</vt:lpstr>
      <vt:lpstr>dagwerk17</vt:lpstr>
      <vt:lpstr>dagwerk18</vt:lpstr>
      <vt:lpstr>dagwerk19</vt:lpstr>
      <vt:lpstr>dagwerk20</vt:lpstr>
      <vt:lpstr>dagwerk21</vt:lpstr>
      <vt:lpstr>dagwerk22</vt:lpstr>
      <vt:lpstr>dagwerk23</vt:lpstr>
      <vt:lpstr>dagwerk27</vt:lpstr>
      <vt:lpstr>dagwerk28</vt:lpstr>
      <vt:lpstr>dagwerk29</vt:lpstr>
      <vt:lpstr>dagwerk30</vt:lpstr>
      <vt:lpstr>dagwerk31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dagwerk40</vt:lpstr>
      <vt:lpstr>dagwerk41</vt:lpstr>
      <vt:lpstr>dagwerk42</vt:lpstr>
      <vt:lpstr>dagwerk43</vt:lpstr>
      <vt:lpstr>dagwerk44</vt:lpstr>
      <vt:lpstr>dagwerk45</vt:lpstr>
      <vt:lpstr>dagwerk46</vt:lpstr>
      <vt:lpstr>dagwerk47</vt:lpstr>
      <vt:lpstr>dagwerk48</vt:lpstr>
      <vt:lpstr>dagwerktabel1</vt:lpstr>
      <vt:lpstr>dagwerktabel2</vt:lpstr>
      <vt:lpstr>gemuurtarief1</vt:lpstr>
      <vt:lpstr>gemuurtarief2</vt:lpstr>
      <vt:lpstr>kengetaltabel1</vt:lpstr>
      <vt:lpstr>kengetaltabel2</vt:lpstr>
      <vt:lpstr>object1_opptabel1</vt:lpstr>
      <vt:lpstr>object1_opptabel2</vt:lpstr>
      <vt:lpstr>objectprijs1_1</vt:lpstr>
      <vt:lpstr>objectprijs1_2</vt:lpstr>
      <vt:lpstr>objecturen1_1</vt:lpstr>
      <vt:lpstr>objecturen1_2</vt:lpstr>
      <vt:lpstr>objecturenhf1_1</vt:lpstr>
      <vt:lpstr>objecturenhf1_2</vt:lpstr>
      <vt:lpstr>prijsdag1</vt:lpstr>
      <vt:lpstr>prijsdag2</vt:lpstr>
      <vt:lpstr>prijsjaar</vt:lpstr>
      <vt:lpstr>prijsjaar1</vt:lpstr>
      <vt:lpstr>prijsjaar2</vt:lpstr>
      <vt:lpstr>prijsjaarafroep</vt:lpstr>
      <vt:lpstr>prijsjaarafroep1</vt:lpstr>
      <vt:lpstr>prijsjaarglas</vt:lpstr>
      <vt:lpstr>prijsjaarglas1</vt:lpstr>
      <vt:lpstr>prijsjaarleveringen</vt:lpstr>
      <vt:lpstr>prijsjaarleveringen1</vt:lpstr>
      <vt:lpstr>prijsjaarnietmeewerkend</vt:lpstr>
      <vt:lpstr>prijsjaartotaal</vt:lpstr>
      <vt:lpstr>prijsjaartotaal1</vt:lpstr>
      <vt:lpstr>prijsjaartotaal2</vt:lpstr>
      <vt:lpstr>prijsjaartotaaloverzicht</vt:lpstr>
      <vt:lpstr>prijsmaandtotaal1</vt:lpstr>
      <vt:lpstr>prijsmaandtotaal2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prodnorm20</vt:lpstr>
      <vt:lpstr>prodnorm21</vt:lpstr>
      <vt:lpstr>prodnorm22</vt:lpstr>
      <vt:lpstr>prodnorm23</vt:lpstr>
      <vt:lpstr>prodnorm27</vt:lpstr>
      <vt:lpstr>prodnorm28</vt:lpstr>
      <vt:lpstr>prodnorm29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prodnorm40</vt:lpstr>
      <vt:lpstr>prodnorm41</vt:lpstr>
      <vt:lpstr>prodnorm42</vt:lpstr>
      <vt:lpstr>prodnorm43</vt:lpstr>
      <vt:lpstr>prodnorm44</vt:lpstr>
      <vt:lpstr>prodnorm45</vt:lpstr>
      <vt:lpstr>prodnorm46</vt:lpstr>
      <vt:lpstr>prodnorm47</vt:lpstr>
      <vt:lpstr>prodnorm48</vt:lpstr>
      <vt:lpstr>taakfreqtabel1</vt:lpstr>
      <vt:lpstr>taakfreqtabel2</vt:lpstr>
      <vt:lpstr>tabeltype</vt:lpstr>
      <vt:lpstr>tarieftabel1</vt:lpstr>
      <vt:lpstr>tarieftabel2</vt:lpstr>
      <vt:lpstr>tzpjt1</vt:lpstr>
      <vt:lpstr>tzpjt1_1</vt:lpstr>
      <vt:lpstr>tzpjt1_2</vt:lpstr>
      <vt:lpstr>tzpjt2</vt:lpstr>
      <vt:lpstr>tzpmt1</vt:lpstr>
      <vt:lpstr>tzpmt1_1</vt:lpstr>
      <vt:lpstr>tzpmt1_2</vt:lpstr>
      <vt:lpstr>tzpmt2</vt:lpstr>
      <vt:lpstr>tzujt1</vt:lpstr>
      <vt:lpstr>tzujt1_1</vt:lpstr>
      <vt:lpstr>tzujt1_2</vt:lpstr>
      <vt:lpstr>tzujt2</vt:lpstr>
      <vt:lpstr>urendag1</vt:lpstr>
      <vt:lpstr>urendag2</vt:lpstr>
      <vt:lpstr>urenjaar</vt:lpstr>
      <vt:lpstr>urenjaar1</vt:lpstr>
      <vt:lpstr>urenjaar2</vt:lpstr>
      <vt:lpstr>urenjaarnietmeewerkend</vt:lpstr>
      <vt:lpstr>urenjaartotaal</vt:lpstr>
      <vt:lpstr>urenjaartotaal1</vt:lpstr>
      <vt:lpstr>urenjaartotaal2</vt:lpstr>
      <vt:lpstr>urenjaartotaalhf</vt:lpstr>
      <vt:lpstr>urenjaartotaalhf1</vt:lpstr>
      <vt:lpstr>urenjaartotaalhf2</vt:lpstr>
      <vt:lpstr>urenjaartotaaloverzicht</vt:lpstr>
      <vt:lpstr>urenjaartotaaloverzichthf</vt:lpstr>
      <vt:lpstr>uurfactortabel1</vt:lpstr>
      <vt:lpstr>uurfactortabel2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uurtarief20</vt:lpstr>
      <vt:lpstr>uurtarief21</vt:lpstr>
      <vt:lpstr>uurtarief22</vt:lpstr>
      <vt:lpstr>uurtarief23</vt:lpstr>
      <vt:lpstr>uurtarief27</vt:lpstr>
      <vt:lpstr>uurtarief28</vt:lpstr>
      <vt:lpstr>uurtarief29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uurtarief40</vt:lpstr>
      <vt:lpstr>uurtarief41</vt:lpstr>
      <vt:lpstr>uurtarief42</vt:lpstr>
      <vt:lpstr>uurtarief43</vt:lpstr>
      <vt:lpstr>uurtarief44</vt:lpstr>
      <vt:lpstr>uurtarief45</vt:lpstr>
      <vt:lpstr>uurtarief46</vt:lpstr>
      <vt:lpstr>uurtarief47</vt:lpstr>
      <vt:lpstr>uurtarief48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2021-11-03T13:09:43Z</dcterms:created>
  <dcterms:modified xsi:type="dcterms:W3CDTF">2021-11-03T13:33:50Z</dcterms:modified>
</cp:coreProperties>
</file>