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E0CF5839-ADB6-4654-B7E9-F3A8D5BA56D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otaal" sheetId="1" r:id="rId1"/>
    <sheet name="Gem Bezit" sheetId="2" r:id="rId2"/>
    <sheet name="PO en VO" sheetId="3" r:id="rId3"/>
    <sheet name="kunst" sheetId="4" r:id="rId4"/>
  </sheets>
  <externalReferences>
    <externalReference r:id="rId5"/>
  </externalReferences>
  <definedNames>
    <definedName name="_xlnm._FilterDatabase" localSheetId="1" hidden="1">'Gem Bezit'!$A$1:$P$81</definedName>
    <definedName name="_xlnm._FilterDatabase" localSheetId="2" hidden="1">'PO en VO'!$A$1:$M$33</definedName>
    <definedName name="_xlnm.Print_Area" localSheetId="1">'Gem Bezit'!$B$1:$O$81</definedName>
    <definedName name="_xlnm.Print_Area" localSheetId="3">kunst!$B$1:$F$25</definedName>
    <definedName name="_xlnm.Print_Area" localSheetId="2">'PO en VO'!$B$1:$Q$32</definedName>
    <definedName name="_xlnm.Print_Area" localSheetId="0">Totaal!$A$1:$D$9</definedName>
    <definedName name="_xlnm.Print_Titles" localSheetId="1">'Gem Bezit'!$1:$2</definedName>
    <definedName name="_xlnm.Print_Titles" localSheetId="2">'PO en VO'!$1:$2</definedName>
    <definedName name="ign">'[1]General Info'!$C$6</definedName>
    <definedName name="igo">'[1]General Info'!$C$7</definedName>
    <definedName name="iin">'[1]General Info'!$C$8</definedName>
    <definedName name="iio">'[1]General Info'!$C$9</definedName>
    <definedName name="pg">'[1]General Info'!$C$15</definedName>
    <definedName name="premie2007">'[1]General Info'!$C$20</definedName>
    <definedName name="premie2008">'[1]General Info'!$C$22</definedName>
    <definedName name="Z_7F5D1218_4D93_4B14_B25A_0C03ABC4F8A6_.wvu.Cols" localSheetId="1" hidden="1">'Gem Bezit'!$C:$D,'Gem Bezit'!$H:$I</definedName>
    <definedName name="Z_7F5D1218_4D93_4B14_B25A_0C03ABC4F8A6_.wvu.Cols" localSheetId="2" hidden="1">'PO en VO'!$C:$D,'PO en VO'!$H:$K</definedName>
    <definedName name="Z_7F5D1218_4D93_4B14_B25A_0C03ABC4F8A6_.wvu.FilterData" localSheetId="1" hidden="1">'Gem Bezit'!$A$1:$P$81</definedName>
    <definedName name="Z_7F5D1218_4D93_4B14_B25A_0C03ABC4F8A6_.wvu.FilterData" localSheetId="2" hidden="1">'PO en VO'!$A$1:$M$33</definedName>
    <definedName name="Z_7F5D1218_4D93_4B14_B25A_0C03ABC4F8A6_.wvu.PrintArea" localSheetId="1" hidden="1">'Gem Bezit'!$B$1:$K$81</definedName>
    <definedName name="Z_7F5D1218_4D93_4B14_B25A_0C03ABC4F8A6_.wvu.PrintArea" localSheetId="3" hidden="1">kunst!$B$1:$F$24</definedName>
    <definedName name="Z_7F5D1218_4D93_4B14_B25A_0C03ABC4F8A6_.wvu.PrintArea" localSheetId="2" hidden="1">'PO en VO'!$B$1:$M$31</definedName>
    <definedName name="Z_7F5D1218_4D93_4B14_B25A_0C03ABC4F8A6_.wvu.PrintArea" localSheetId="0" hidden="1">Totaal!$A$1:$D$9</definedName>
    <definedName name="Z_7F5D1218_4D93_4B14_B25A_0C03ABC4F8A6_.wvu.PrintTitles" localSheetId="1" hidden="1">'Gem Bezit'!$1:$2</definedName>
    <definedName name="Z_7F5D1218_4D93_4B14_B25A_0C03ABC4F8A6_.wvu.PrintTitles" localSheetId="2" hidden="1">'PO en VO'!$1:$2</definedName>
  </definedNames>
  <calcPr calcId="191029"/>
  <customWorkbookViews>
    <customWorkbookView name="Gerard Wilting - Persoonlijke weergave" guid="{7F5D1218-4D93-4B14-B25A-0C03ABC4F8A6}" mergeInterval="0" personalView="1" maximized="1" xWindow="-4" yWindow="-4" windowWidth="1688" windowHeight="101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5" i="3" l="1"/>
  <c r="O25" i="3" s="1"/>
  <c r="L25" i="3"/>
  <c r="N25" i="3" s="1"/>
  <c r="P25" i="3" s="1"/>
  <c r="M24" i="3"/>
  <c r="O24" i="3" s="1"/>
  <c r="Q24" i="3" s="1"/>
  <c r="L24" i="3"/>
  <c r="N24" i="3" s="1"/>
  <c r="M26" i="3"/>
  <c r="O26" i="3" s="1"/>
  <c r="L26" i="3"/>
  <c r="N26" i="3" s="1"/>
  <c r="M23" i="3"/>
  <c r="O23" i="3" s="1"/>
  <c r="L23" i="3"/>
  <c r="N23" i="3" s="1"/>
  <c r="P23" i="3" s="1"/>
  <c r="M27" i="3"/>
  <c r="O27" i="3" s="1"/>
  <c r="L27" i="3"/>
  <c r="N27" i="3" s="1"/>
  <c r="M22" i="3"/>
  <c r="O22" i="3" s="1"/>
  <c r="Q22" i="3" s="1"/>
  <c r="L22" i="3"/>
  <c r="N22" i="3" s="1"/>
  <c r="M29" i="3"/>
  <c r="O29" i="3" s="1"/>
  <c r="Q29" i="3" s="1"/>
  <c r="L29" i="3"/>
  <c r="N29" i="3" s="1"/>
  <c r="M28" i="3"/>
  <c r="O28" i="3" s="1"/>
  <c r="L28" i="3"/>
  <c r="N28" i="3" s="1"/>
  <c r="M21" i="3"/>
  <c r="O21" i="3" s="1"/>
  <c r="L21" i="3"/>
  <c r="N21" i="3" s="1"/>
  <c r="P21" i="3" s="1"/>
  <c r="Q20" i="3"/>
  <c r="M20" i="3"/>
  <c r="O20" i="3" s="1"/>
  <c r="L20" i="3"/>
  <c r="N20" i="3" s="1"/>
  <c r="M19" i="3"/>
  <c r="O19" i="3" s="1"/>
  <c r="Q19" i="3" s="1"/>
  <c r="L19" i="3"/>
  <c r="N19" i="3" s="1"/>
  <c r="Q18" i="3"/>
  <c r="Q16" i="3"/>
  <c r="M16" i="3"/>
  <c r="O16" i="3" s="1"/>
  <c r="L16" i="3"/>
  <c r="N16" i="3" s="1"/>
  <c r="Q14" i="3"/>
  <c r="M14" i="3"/>
  <c r="O14" i="3" s="1"/>
  <c r="L14" i="3"/>
  <c r="N14" i="3" s="1"/>
  <c r="M12" i="3"/>
  <c r="O12" i="3" s="1"/>
  <c r="Q12" i="3" s="1"/>
  <c r="L12" i="3"/>
  <c r="N12" i="3" s="1"/>
  <c r="Q11" i="3"/>
  <c r="M11" i="3"/>
  <c r="O11" i="3" s="1"/>
  <c r="L11" i="3"/>
  <c r="N11" i="3" s="1"/>
  <c r="Q10" i="3"/>
  <c r="M10" i="3"/>
  <c r="O10" i="3" s="1"/>
  <c r="L10" i="3"/>
  <c r="N10" i="3" s="1"/>
  <c r="M9" i="3"/>
  <c r="O9" i="3" s="1"/>
  <c r="Q9" i="3" s="1"/>
  <c r="L9" i="3"/>
  <c r="N9" i="3" s="1"/>
  <c r="M13" i="3"/>
  <c r="O13" i="3" s="1"/>
  <c r="Q13" i="3" s="1"/>
  <c r="L13" i="3"/>
  <c r="N13" i="3" s="1"/>
  <c r="Q8" i="3"/>
  <c r="M8" i="3"/>
  <c r="O8" i="3" s="1"/>
  <c r="L8" i="3"/>
  <c r="N8" i="3" s="1"/>
  <c r="M7" i="3"/>
  <c r="O7" i="3" s="1"/>
  <c r="Q7" i="3" s="1"/>
  <c r="L7" i="3"/>
  <c r="N7" i="3" s="1"/>
  <c r="M6" i="3"/>
  <c r="O6" i="3" s="1"/>
  <c r="Q6" i="3" s="1"/>
  <c r="L6" i="3"/>
  <c r="N6" i="3" s="1"/>
  <c r="Q5" i="3"/>
  <c r="M5" i="3"/>
  <c r="O5" i="3" s="1"/>
  <c r="L5" i="3"/>
  <c r="N5" i="3" s="1"/>
  <c r="Q15" i="3"/>
  <c r="M15" i="3"/>
  <c r="O15" i="3" s="1"/>
  <c r="L15" i="3"/>
  <c r="N15" i="3" s="1"/>
  <c r="Q4" i="3"/>
  <c r="M4" i="3"/>
  <c r="O4" i="3" s="1"/>
  <c r="L4" i="3"/>
  <c r="N4" i="3" s="1"/>
  <c r="M3" i="3"/>
  <c r="O3" i="3" s="1"/>
  <c r="L3" i="3"/>
  <c r="N3" i="3" s="1"/>
  <c r="K75" i="2"/>
  <c r="M75" i="2" s="1"/>
  <c r="O75" i="2" s="1"/>
  <c r="J75" i="2"/>
  <c r="L75" i="2" s="1"/>
  <c r="K74" i="2"/>
  <c r="M74" i="2" s="1"/>
  <c r="O74" i="2" s="1"/>
  <c r="J74" i="2"/>
  <c r="L74" i="2" s="1"/>
  <c r="K72" i="2"/>
  <c r="M72" i="2" s="1"/>
  <c r="J72" i="2"/>
  <c r="L72" i="2" s="1"/>
  <c r="K71" i="2"/>
  <c r="M71" i="2" s="1"/>
  <c r="O71" i="2" s="1"/>
  <c r="J71" i="2"/>
  <c r="L71" i="2" s="1"/>
  <c r="O70" i="2"/>
  <c r="L70" i="2"/>
  <c r="K69" i="2"/>
  <c r="M69" i="2" s="1"/>
  <c r="O69" i="2" s="1"/>
  <c r="J69" i="2"/>
  <c r="L69" i="2" s="1"/>
  <c r="K68" i="2"/>
  <c r="M68" i="2" s="1"/>
  <c r="O68" i="2" s="1"/>
  <c r="J68" i="2"/>
  <c r="L68" i="2" s="1"/>
  <c r="K67" i="2"/>
  <c r="M67" i="2" s="1"/>
  <c r="O67" i="2" s="1"/>
  <c r="J67" i="2"/>
  <c r="L67" i="2" s="1"/>
  <c r="K66" i="2"/>
  <c r="M66" i="2" s="1"/>
  <c r="O66" i="2" s="1"/>
  <c r="J66" i="2"/>
  <c r="L66" i="2" s="1"/>
  <c r="K65" i="2"/>
  <c r="M65" i="2" s="1"/>
  <c r="J65" i="2"/>
  <c r="L65" i="2" s="1"/>
  <c r="K64" i="2"/>
  <c r="M64" i="2" s="1"/>
  <c r="O64" i="2" s="1"/>
  <c r="J64" i="2"/>
  <c r="L64" i="2" s="1"/>
  <c r="K59" i="2"/>
  <c r="M59" i="2" s="1"/>
  <c r="O59" i="2" s="1"/>
  <c r="J59" i="2"/>
  <c r="L59" i="2" s="1"/>
  <c r="K76" i="2"/>
  <c r="M76" i="2" s="1"/>
  <c r="J76" i="2"/>
  <c r="L76" i="2" s="1"/>
  <c r="K58" i="2"/>
  <c r="M58" i="2" s="1"/>
  <c r="O58" i="2" s="1"/>
  <c r="J58" i="2"/>
  <c r="L58" i="2" s="1"/>
  <c r="K57" i="2"/>
  <c r="M57" i="2" s="1"/>
  <c r="O57" i="2" s="1"/>
  <c r="J57" i="2"/>
  <c r="L57" i="2" s="1"/>
  <c r="K56" i="2"/>
  <c r="M56" i="2" s="1"/>
  <c r="O56" i="2" s="1"/>
  <c r="J56" i="2"/>
  <c r="L56" i="2" s="1"/>
  <c r="K55" i="2"/>
  <c r="M55" i="2" s="1"/>
  <c r="O55" i="2" s="1"/>
  <c r="J55" i="2"/>
  <c r="L55" i="2" s="1"/>
  <c r="K53" i="2"/>
  <c r="M53" i="2" s="1"/>
  <c r="J53" i="2"/>
  <c r="L53" i="2" s="1"/>
  <c r="K52" i="2"/>
  <c r="M52" i="2" s="1"/>
  <c r="J52" i="2"/>
  <c r="L52" i="2" s="1"/>
  <c r="K50" i="2"/>
  <c r="M50" i="2" s="1"/>
  <c r="O50" i="2" s="1"/>
  <c r="J50" i="2"/>
  <c r="L50" i="2" s="1"/>
  <c r="K49" i="2"/>
  <c r="M49" i="2" s="1"/>
  <c r="O49" i="2" s="1"/>
  <c r="J49" i="2"/>
  <c r="L49" i="2" s="1"/>
  <c r="K61" i="2"/>
  <c r="M61" i="2" s="1"/>
  <c r="O61" i="2" s="1"/>
  <c r="J61" i="2"/>
  <c r="L61" i="2" s="1"/>
  <c r="M62" i="2"/>
  <c r="O62" i="2" s="1"/>
  <c r="L62" i="2"/>
  <c r="K77" i="2"/>
  <c r="M77" i="2" s="1"/>
  <c r="O77" i="2" s="1"/>
  <c r="J77" i="2"/>
  <c r="L77" i="2" s="1"/>
  <c r="M51" i="2"/>
  <c r="O51" i="2" s="1"/>
  <c r="L51" i="2"/>
  <c r="K63" i="2"/>
  <c r="M63" i="2" s="1"/>
  <c r="O63" i="2" s="1"/>
  <c r="J63" i="2"/>
  <c r="L63" i="2" s="1"/>
  <c r="K60" i="2"/>
  <c r="M60" i="2" s="1"/>
  <c r="O60" i="2" s="1"/>
  <c r="J60" i="2"/>
  <c r="L60" i="2" s="1"/>
  <c r="K73" i="2"/>
  <c r="M73" i="2" s="1"/>
  <c r="O73" i="2" s="1"/>
  <c r="J73" i="2"/>
  <c r="L73" i="2" s="1"/>
  <c r="K80" i="2"/>
  <c r="M80" i="2" s="1"/>
  <c r="O80" i="2" s="1"/>
  <c r="J80" i="2"/>
  <c r="L80" i="2" s="1"/>
  <c r="K79" i="2"/>
  <c r="M79" i="2" s="1"/>
  <c r="O79" i="2" s="1"/>
  <c r="J79" i="2"/>
  <c r="L79" i="2" s="1"/>
  <c r="K48" i="2"/>
  <c r="M48" i="2" s="1"/>
  <c r="O48" i="2" s="1"/>
  <c r="J48" i="2"/>
  <c r="L48" i="2" s="1"/>
  <c r="K47" i="2"/>
  <c r="M47" i="2" s="1"/>
  <c r="O47" i="2" s="1"/>
  <c r="J47" i="2"/>
  <c r="L47" i="2" s="1"/>
  <c r="K46" i="2"/>
  <c r="M46" i="2" s="1"/>
  <c r="O46" i="2" s="1"/>
  <c r="J46" i="2"/>
  <c r="L46" i="2" s="1"/>
  <c r="K45" i="2" l="1"/>
  <c r="M45" i="2" s="1"/>
  <c r="J45" i="2"/>
  <c r="L45" i="2" s="1"/>
  <c r="K44" i="2"/>
  <c r="M44" i="2" s="1"/>
  <c r="O44" i="2" s="1"/>
  <c r="J44" i="2"/>
  <c r="L44" i="2" s="1"/>
  <c r="M43" i="2"/>
  <c r="O43" i="2" s="1"/>
  <c r="L43" i="2"/>
  <c r="K42" i="2"/>
  <c r="M42" i="2" s="1"/>
  <c r="J42" i="2"/>
  <c r="L42" i="2" s="1"/>
  <c r="K41" i="2"/>
  <c r="M41" i="2" s="1"/>
  <c r="J41" i="2"/>
  <c r="L41" i="2" s="1"/>
  <c r="K40" i="2"/>
  <c r="M40" i="2" s="1"/>
  <c r="O40" i="2" s="1"/>
  <c r="J40" i="2"/>
  <c r="L40" i="2" s="1"/>
  <c r="K38" i="2"/>
  <c r="M38" i="2" s="1"/>
  <c r="O38" i="2" s="1"/>
  <c r="J38" i="2"/>
  <c r="L38" i="2" s="1"/>
  <c r="M39" i="2"/>
  <c r="L39" i="2"/>
  <c r="K37" i="2"/>
  <c r="M37" i="2" s="1"/>
  <c r="O37" i="2" s="1"/>
  <c r="J37" i="2"/>
  <c r="L37" i="2" s="1"/>
  <c r="K36" i="2"/>
  <c r="M36" i="2" s="1"/>
  <c r="J36" i="2"/>
  <c r="L36" i="2" s="1"/>
  <c r="K35" i="2"/>
  <c r="M35" i="2" s="1"/>
  <c r="J35" i="2"/>
  <c r="L35" i="2" s="1"/>
  <c r="K33" i="2"/>
  <c r="M33" i="2" s="1"/>
  <c r="O33" i="2" s="1"/>
  <c r="J33" i="2"/>
  <c r="L33" i="2" s="1"/>
  <c r="K32" i="2"/>
  <c r="M32" i="2" s="1"/>
  <c r="O32" i="2" s="1"/>
  <c r="J32" i="2"/>
  <c r="L32" i="2" s="1"/>
  <c r="K34" i="2"/>
  <c r="M34" i="2" s="1"/>
  <c r="O34" i="2" s="1"/>
  <c r="J34" i="2"/>
  <c r="L34" i="2" s="1"/>
  <c r="K31" i="2"/>
  <c r="M31" i="2" s="1"/>
  <c r="O31" i="2" s="1"/>
  <c r="J31" i="2"/>
  <c r="L31" i="2" s="1"/>
  <c r="K28" i="2"/>
  <c r="M28" i="2" s="1"/>
  <c r="O28" i="2" s="1"/>
  <c r="J28" i="2"/>
  <c r="L28" i="2" s="1"/>
  <c r="K30" i="2"/>
  <c r="M30" i="2" s="1"/>
  <c r="J30" i="2"/>
  <c r="L30" i="2" s="1"/>
  <c r="K29" i="2"/>
  <c r="M29" i="2" s="1"/>
  <c r="O29" i="2" s="1"/>
  <c r="J29" i="2"/>
  <c r="L29" i="2" s="1"/>
  <c r="K25" i="2"/>
  <c r="M25" i="2" s="1"/>
  <c r="J25" i="2"/>
  <c r="L25" i="2" s="1"/>
  <c r="K23" i="2"/>
  <c r="M23" i="2" s="1"/>
  <c r="O23" i="2" s="1"/>
  <c r="J23" i="2"/>
  <c r="L23" i="2" s="1"/>
  <c r="K22" i="2"/>
  <c r="M22" i="2" s="1"/>
  <c r="O22" i="2" s="1"/>
  <c r="J22" i="2"/>
  <c r="L22" i="2" s="1"/>
  <c r="K21" i="2"/>
  <c r="M21" i="2" s="1"/>
  <c r="O21" i="2" s="1"/>
  <c r="J21" i="2"/>
  <c r="L21" i="2" s="1"/>
  <c r="K20" i="2"/>
  <c r="M20" i="2" s="1"/>
  <c r="O20" i="2" s="1"/>
  <c r="J20" i="2"/>
  <c r="L20" i="2" s="1"/>
  <c r="K18" i="2"/>
  <c r="M18" i="2" s="1"/>
  <c r="O18" i="2" s="1"/>
  <c r="J18" i="2"/>
  <c r="L18" i="2" s="1"/>
  <c r="K17" i="2"/>
  <c r="M17" i="2" s="1"/>
  <c r="O17" i="2" s="1"/>
  <c r="J17" i="2"/>
  <c r="L17" i="2" s="1"/>
  <c r="O16" i="2"/>
  <c r="K16" i="2"/>
  <c r="M16" i="2" s="1"/>
  <c r="J16" i="2"/>
  <c r="L16" i="2" s="1"/>
  <c r="K15" i="2"/>
  <c r="M15" i="2" s="1"/>
  <c r="O15" i="2" s="1"/>
  <c r="J15" i="2"/>
  <c r="L15" i="2" s="1"/>
  <c r="K14" i="2"/>
  <c r="M14" i="2" s="1"/>
  <c r="O14" i="2" s="1"/>
  <c r="J14" i="2"/>
  <c r="L14" i="2" s="1"/>
  <c r="K13" i="2"/>
  <c r="M13" i="2" s="1"/>
  <c r="J13" i="2"/>
  <c r="L13" i="2" s="1"/>
  <c r="K12" i="2"/>
  <c r="M12" i="2" s="1"/>
  <c r="O12" i="2" s="1"/>
  <c r="J12" i="2"/>
  <c r="L12" i="2" s="1"/>
  <c r="K11" i="2"/>
  <c r="M11" i="2" s="1"/>
  <c r="J11" i="2"/>
  <c r="L11" i="2" s="1"/>
  <c r="K10" i="2"/>
  <c r="M10" i="2" s="1"/>
  <c r="O10" i="2" s="1"/>
  <c r="J10" i="2"/>
  <c r="L10" i="2" s="1"/>
  <c r="K9" i="2"/>
  <c r="M9" i="2" s="1"/>
  <c r="O9" i="2" s="1"/>
  <c r="J9" i="2"/>
  <c r="L9" i="2" s="1"/>
  <c r="K8" i="2"/>
  <c r="M8" i="2" s="1"/>
  <c r="O8" i="2" s="1"/>
  <c r="J8" i="2"/>
  <c r="L8" i="2" s="1"/>
  <c r="K19" i="2"/>
  <c r="M19" i="2" s="1"/>
  <c r="O19" i="2" s="1"/>
  <c r="J19" i="2"/>
  <c r="L19" i="2" s="1"/>
  <c r="K7" i="2"/>
  <c r="M7" i="2" s="1"/>
  <c r="O7" i="2" s="1"/>
  <c r="J7" i="2"/>
  <c r="L7" i="2" s="1"/>
  <c r="K24" i="2"/>
  <c r="M24" i="2" s="1"/>
  <c r="O24" i="2" s="1"/>
  <c r="J24" i="2"/>
  <c r="L24" i="2" s="1"/>
  <c r="K3" i="2"/>
  <c r="M3" i="2" s="1"/>
  <c r="J3" i="2"/>
  <c r="L3" i="2" s="1"/>
  <c r="K4" i="2"/>
  <c r="M4" i="2" s="1"/>
  <c r="O4" i="2" s="1"/>
  <c r="J4" i="2"/>
  <c r="L4" i="2" s="1"/>
  <c r="K6" i="2"/>
  <c r="M6" i="2" s="1"/>
  <c r="O6" i="2" s="1"/>
  <c r="J6" i="2"/>
  <c r="L6" i="2" s="1"/>
  <c r="K5" i="2"/>
  <c r="M5" i="2" s="1"/>
  <c r="O5" i="2" s="1"/>
  <c r="J5" i="2"/>
  <c r="L5" i="2" s="1"/>
  <c r="K27" i="2" l="1"/>
  <c r="M27" i="2" s="1"/>
  <c r="O27" i="2" s="1"/>
  <c r="J27" i="2"/>
  <c r="L27" i="2" s="1"/>
  <c r="M17" i="3" l="1"/>
  <c r="O17" i="3" s="1"/>
  <c r="L17" i="3"/>
  <c r="N17" i="3" s="1"/>
  <c r="M26" i="2"/>
  <c r="L26" i="2"/>
  <c r="F23" i="4" l="1"/>
  <c r="D7" i="1" l="1"/>
  <c r="D9" i="1" s="1"/>
  <c r="J78" i="2"/>
  <c r="L78" i="2" s="1"/>
  <c r="N78" i="2" s="1"/>
  <c r="K78" i="2"/>
  <c r="M78" i="2" s="1"/>
  <c r="O78" i="2" s="1"/>
  <c r="O81" i="2" l="1"/>
  <c r="C5" i="1" s="1"/>
  <c r="N81" i="2" l="1"/>
  <c r="B5" i="1" s="1"/>
  <c r="M31" i="3"/>
  <c r="L81" i="2"/>
  <c r="J81" i="2"/>
  <c r="O31" i="3" l="1"/>
  <c r="Q31" i="3"/>
  <c r="C6" i="1" s="1"/>
  <c r="L31" i="3"/>
  <c r="N31" i="3" l="1"/>
  <c r="P31" i="3"/>
  <c r="B6" i="1" s="1"/>
  <c r="M81" i="2"/>
  <c r="C9" i="1" s="1"/>
  <c r="K81" i="2"/>
  <c r="B9" i="1" l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Marlene Talsma-Hoejenbos</author>
  </authors>
  <commentList>
    <comment ref="B16" authorId="0" shapeId="0" xr:uid="{FA7E3A17-1F73-4024-9DFB-D39C4F48ADF2}">
      <text>
        <r>
          <rPr>
            <b/>
            <sz val="9"/>
            <color indexed="81"/>
            <rFont val="Tahoma"/>
            <family val="2"/>
          </rPr>
          <t>Marlene Talsma-Hoejenbos:</t>
        </r>
        <r>
          <rPr>
            <sz val="9"/>
            <color indexed="81"/>
            <rFont val="Tahoma"/>
            <family val="2"/>
          </rPr>
          <t xml:space="preserve">
volgens rapport geen zonnepanelen aanwezig </t>
        </r>
      </text>
    </comment>
  </commentList>
</comments>
</file>

<file path=xl/sharedStrings.xml><?xml version="1.0" encoding="utf-8"?>
<sst xmlns="http://schemas.openxmlformats.org/spreadsheetml/2006/main" count="957" uniqueCount="429">
  <si>
    <t>Kostenplaats</t>
  </si>
  <si>
    <t>Omschrijving:</t>
  </si>
  <si>
    <t>Alarm</t>
  </si>
  <si>
    <t>Adres:</t>
  </si>
  <si>
    <t>Gemeentelijk Bezit:</t>
  </si>
  <si>
    <t>Gemeentewerf Gendt + woning/garage en garageboxen</t>
  </si>
  <si>
    <t>St/hrd</t>
  </si>
  <si>
    <t>G</t>
  </si>
  <si>
    <t>M</t>
  </si>
  <si>
    <t>Gemeentehuis Bemmel (Kinkelenburg)</t>
  </si>
  <si>
    <t>SD</t>
  </si>
  <si>
    <t>Gemeentekantoor (Tabaksschuur)</t>
  </si>
  <si>
    <t>Gemeentekantoor Bemmel</t>
  </si>
  <si>
    <t>Casco Computerapparatuur</t>
  </si>
  <si>
    <t>Brandweergarage Doornenburg</t>
  </si>
  <si>
    <t>Brandweergarage  met opslag</t>
  </si>
  <si>
    <t>Carillon in kerktoren</t>
  </si>
  <si>
    <t>NME Centrum (inventaris dijkmagazijn)</t>
  </si>
  <si>
    <t>S</t>
  </si>
  <si>
    <t>Sporthal de Bongerd</t>
  </si>
  <si>
    <t>Sporthal Walburgen en Voetbalclub de Bataven</t>
  </si>
  <si>
    <t>Bouwaard</t>
  </si>
  <si>
    <t>Sportcomplex - Blauwenburcht</t>
  </si>
  <si>
    <t>Sportcomplex 'De Notenboom' gebouwen</t>
  </si>
  <si>
    <t>Sportcomplex 'De Poel' gebouwen</t>
  </si>
  <si>
    <t>Sportcomplex - Schalkshof</t>
  </si>
  <si>
    <t>Tenniscomplex 'De Notenboom'</t>
  </si>
  <si>
    <t>Tenniscomplex 'De Vijzel'</t>
  </si>
  <si>
    <t>Drumband ESKA gebouw</t>
  </si>
  <si>
    <t>Hervormde Kerk toren</t>
  </si>
  <si>
    <t>Historische Kring gebouw Huissen</t>
  </si>
  <si>
    <t>Hertenpark "Groene Park" opstallen</t>
  </si>
  <si>
    <t>Kulit Bia opstal</t>
  </si>
  <si>
    <t>Jeugd- en jongerenwerk gebouw</t>
  </si>
  <si>
    <t>Koelhuis, verenigingsgebouw</t>
  </si>
  <si>
    <t>}</t>
  </si>
  <si>
    <t>Ontmoetingscentrum De Kinkel</t>
  </si>
  <si>
    <t>Ontmoetingscentrum Doornenburg</t>
  </si>
  <si>
    <t xml:space="preserve">Sociaal cultureel centrum De Leemhof </t>
  </si>
  <si>
    <t>St. Gemeenschapsraad Huissen Zand recreatiezaal en peuterspeelzaal Zandkabouter</t>
  </si>
  <si>
    <t>Kinderdagverblijf De Toverbal</t>
  </si>
  <si>
    <t>Beheerdersgebouw Begraafplaats De Hoeve</t>
  </si>
  <si>
    <t>Begraafplaats Gendt aula en kleedruimte/berging</t>
  </si>
  <si>
    <t>Begraafplaats Teselaar collumbarium</t>
  </si>
  <si>
    <t xml:space="preserve"> </t>
  </si>
  <si>
    <t>Begraafplaats Huissen-Stad, toegangpoort</t>
  </si>
  <si>
    <t>Tuinmuur voormalige kloostertuin</t>
  </si>
  <si>
    <t>Muziek-kiosk</t>
  </si>
  <si>
    <t>Toren NH-Kerk</t>
  </si>
  <si>
    <t>Totaal Gemeentelijk Bezit:</t>
  </si>
  <si>
    <t>Primair en Voortgezet Onderwijs:</t>
  </si>
  <si>
    <t xml:space="preserve">      0039</t>
  </si>
  <si>
    <t>Cuperstraat 9a</t>
  </si>
  <si>
    <t>Totaal Onderwijs:</t>
  </si>
  <si>
    <t>Fort Pannerden</t>
  </si>
  <si>
    <t>Gebouwen</t>
  </si>
  <si>
    <t>Inventaris</t>
  </si>
  <si>
    <t>Na indexering</t>
  </si>
  <si>
    <t>Gendt</t>
  </si>
  <si>
    <t>Huissen</t>
  </si>
  <si>
    <t>Bemmel</t>
  </si>
  <si>
    <t>Lingewaard</t>
  </si>
  <si>
    <t>Angeren</t>
  </si>
  <si>
    <t>Haalderen</t>
  </si>
  <si>
    <t>Ressen</t>
  </si>
  <si>
    <t>Doornenburg</t>
  </si>
  <si>
    <t>Dorpstraat 74 + 74A</t>
  </si>
  <si>
    <t>Kinkelenburglaan 1</t>
  </si>
  <si>
    <t>Kinkelenburglaan 6A</t>
  </si>
  <si>
    <t>Kinkelenburglaan 6</t>
  </si>
  <si>
    <t>Gemeentehuis, -kantoren</t>
  </si>
  <si>
    <t>Vijzelpad 9</t>
  </si>
  <si>
    <t>Langekerkstraat</t>
  </si>
  <si>
    <t>Waaldijk 4</t>
  </si>
  <si>
    <t>Sportlaan 1</t>
  </si>
  <si>
    <t>Nijmeegsestraat 65A/C</t>
  </si>
  <si>
    <t>Julianastraat 19</t>
  </si>
  <si>
    <t>Nijmeegsestraat 65 B</t>
  </si>
  <si>
    <t>Blauwenburcht 1</t>
  </si>
  <si>
    <t>Notenboomstraat 60</t>
  </si>
  <si>
    <t>Poelsestraat 52</t>
  </si>
  <si>
    <t>Bloemstraat 93</t>
  </si>
  <si>
    <t>Notenboomstraat 20</t>
  </si>
  <si>
    <t>Irenestraat 18</t>
  </si>
  <si>
    <t>Vijzelpad 5</t>
  </si>
  <si>
    <t>Oude Kerkhof 13</t>
  </si>
  <si>
    <t>Nijmeegsestraat 19, 19a t/m d</t>
  </si>
  <si>
    <t>Vierakkerstraat 39</t>
  </si>
  <si>
    <t>Cuperstraat</t>
  </si>
  <si>
    <t>Sportlaan 1D</t>
  </si>
  <si>
    <t>Koelhuisstraat 3</t>
  </si>
  <si>
    <t>van Ambestraat 1</t>
  </si>
  <si>
    <t>Kerkstraat 3,3a</t>
  </si>
  <si>
    <t>Dorpstraat 1</t>
  </si>
  <si>
    <t>van Wijkstraat 29/31</t>
  </si>
  <si>
    <t>Appelbongerd 21</t>
  </si>
  <si>
    <t>Zandvoortsestraat 1</t>
  </si>
  <si>
    <t>Teselaar ong</t>
  </si>
  <si>
    <t>Doelenstraat,</t>
  </si>
  <si>
    <t>Flierenhofstraat ong.</t>
  </si>
  <si>
    <t>Julianaplein</t>
  </si>
  <si>
    <t>Torenlaan 14</t>
  </si>
  <si>
    <t>Cuperstraat 9</t>
  </si>
  <si>
    <t>Bloemenstraat 2 en Fruitlaan 6</t>
  </si>
  <si>
    <t>Nijmeegsestraat 1</t>
  </si>
  <si>
    <t>Ot en Sienpad 9</t>
  </si>
  <si>
    <t>Het Hoog 20</t>
  </si>
  <si>
    <t>Blauwe Hoek 40</t>
  </si>
  <si>
    <t>Flierenhofstraat 34</t>
  </si>
  <si>
    <t>Cuperstraat 7</t>
  </si>
  <si>
    <t>Schoolstraat 1</t>
  </si>
  <si>
    <t>Kolkweg 5</t>
  </si>
  <si>
    <t>Sportlaan 1 K</t>
  </si>
  <si>
    <t>Dorpsstraat 10</t>
  </si>
  <si>
    <t>De Heister 1</t>
  </si>
  <si>
    <t>Julianastraat 17</t>
  </si>
  <si>
    <t>Drieske 4</t>
  </si>
  <si>
    <t>Woonwagencentrum Plakselaan, 5 plaatsen</t>
  </si>
  <si>
    <t>Emmastraat 23, Julianastraat 16, Wilhelminastraat 4</t>
  </si>
  <si>
    <t>Sport en cultuurcentrum dorpshuis Angeren</t>
  </si>
  <si>
    <t>Tennisvereniging Angeren</t>
  </si>
  <si>
    <t>Jeu de boules vereniging De Poel</t>
  </si>
  <si>
    <t>Kinkelenburglaan nabij 4</t>
  </si>
  <si>
    <t>Sportpark Ressen Hockeyclub</t>
  </si>
  <si>
    <t>Sportpark Ressen Voetbalcub</t>
  </si>
  <si>
    <t>Ressensestraat 30C</t>
  </si>
  <si>
    <t>Ressensestraat 30B</t>
  </si>
  <si>
    <t>Huurwoonwagen</t>
  </si>
  <si>
    <t xml:space="preserve">Binnendries 5 </t>
  </si>
  <si>
    <t>Dierenhoeve Park Slingerbos</t>
  </si>
  <si>
    <t>Sportcomplex 't Rosendael handbalvereniging</t>
  </si>
  <si>
    <t>Gymlokaal</t>
  </si>
  <si>
    <t>Van Gelrestraat 2E</t>
  </si>
  <si>
    <t>Wilhelminastraat 2 - 4</t>
  </si>
  <si>
    <t>OBC Bemmel (hoofdgebouw)</t>
  </si>
  <si>
    <t>Nijmeegsestraat 3</t>
  </si>
  <si>
    <t>Ot en Sienpad 3</t>
  </si>
  <si>
    <t>Van Wijkstraat 16a</t>
  </si>
  <si>
    <t>Bouwaard:</t>
  </si>
  <si>
    <t>De Gemeente Lingewaard</t>
  </si>
  <si>
    <t>Postcode:</t>
  </si>
  <si>
    <t>Plaats:</t>
  </si>
  <si>
    <t>6687 BP</t>
  </si>
  <si>
    <t>6687 BN</t>
  </si>
  <si>
    <t>Poelsestraat 42</t>
  </si>
  <si>
    <t>6687 BJ</t>
  </si>
  <si>
    <t>6681 AR</t>
  </si>
  <si>
    <t>6681 CV</t>
  </si>
  <si>
    <t>6681 CX</t>
  </si>
  <si>
    <t>6681 BW</t>
  </si>
  <si>
    <t>6681 BJ</t>
  </si>
  <si>
    <t>6681 LJ</t>
  </si>
  <si>
    <t>6681 BR</t>
  </si>
  <si>
    <t>6681 DS</t>
  </si>
  <si>
    <t>6684 DA</t>
  </si>
  <si>
    <t>6681 CD</t>
  </si>
  <si>
    <t>6681 BD</t>
  </si>
  <si>
    <t>6681 AK</t>
  </si>
  <si>
    <t>6686 BS</t>
  </si>
  <si>
    <t>6686 MV</t>
  </si>
  <si>
    <t>6686 BV</t>
  </si>
  <si>
    <t>Waaldijk 1</t>
  </si>
  <si>
    <t>6691 AZ</t>
  </si>
  <si>
    <t>6691 AV</t>
  </si>
  <si>
    <t>6691 BA</t>
  </si>
  <si>
    <t>6691 MB</t>
  </si>
  <si>
    <t>6691 CM</t>
  </si>
  <si>
    <t>6691 CK</t>
  </si>
  <si>
    <t>6691 BM</t>
  </si>
  <si>
    <t>6691 EN</t>
  </si>
  <si>
    <t>6685 AK</t>
  </si>
  <si>
    <t>6852 BH</t>
  </si>
  <si>
    <t>6852 NS</t>
  </si>
  <si>
    <t>6851 CR</t>
  </si>
  <si>
    <t>6851 BT</t>
  </si>
  <si>
    <t>6851 EP</t>
  </si>
  <si>
    <t>6851 KJ</t>
  </si>
  <si>
    <t>6852 AC</t>
  </si>
  <si>
    <t>6851 KR</t>
  </si>
  <si>
    <t>6851 NB</t>
  </si>
  <si>
    <t>6851 BM</t>
  </si>
  <si>
    <t>6851 PA</t>
  </si>
  <si>
    <t>6851 LT</t>
  </si>
  <si>
    <t>6851 LG</t>
  </si>
  <si>
    <t>6851 GL</t>
  </si>
  <si>
    <t>6851 BB</t>
  </si>
  <si>
    <t>6687 BA</t>
  </si>
  <si>
    <t>6681 NN</t>
  </si>
  <si>
    <t>6681 BN</t>
  </si>
  <si>
    <t>6681 BZ</t>
  </si>
  <si>
    <t>6681 DE</t>
  </si>
  <si>
    <t>6686 AE</t>
  </si>
  <si>
    <t>6686 AH</t>
  </si>
  <si>
    <t>6691 CJ</t>
  </si>
  <si>
    <t>6691 XP</t>
  </si>
  <si>
    <t>6685 BC</t>
  </si>
  <si>
    <t>6852 EG</t>
  </si>
  <si>
    <t>6852 RM</t>
  </si>
  <si>
    <t>6851 GM</t>
  </si>
  <si>
    <t>Voilère Bemmel</t>
  </si>
  <si>
    <t>Woonwagen, standplaatsen, toilet en douchevoorzieningen</t>
  </si>
  <si>
    <t>6851 JK</t>
  </si>
  <si>
    <t>26-04-2012</t>
  </si>
  <si>
    <t>Jongeren ontmoetingsplek</t>
  </si>
  <si>
    <t>Kinkelplein</t>
  </si>
  <si>
    <t>Zilverkamp</t>
  </si>
  <si>
    <t>Doelenstraat 6</t>
  </si>
  <si>
    <t>Doelenstraat 8</t>
  </si>
  <si>
    <t>Doelenstraat 10A</t>
  </si>
  <si>
    <t>Appartementen</t>
  </si>
  <si>
    <t>Kunst- voorwerpen:</t>
  </si>
  <si>
    <t>KOSTBAARHEDEN (all-risk dekking)</t>
  </si>
  <si>
    <t>Nijmeegsestraat nabij 19</t>
  </si>
  <si>
    <t>Bronzen beeld, "De Gent'</t>
  </si>
  <si>
    <t>Hoek Waaldijk/Dijkstraat</t>
  </si>
  <si>
    <t>Kinkelenburglaan</t>
  </si>
  <si>
    <t>Bronzen beeld, twee pony's bij waterpomp</t>
  </si>
  <si>
    <t>Marktterrein</t>
  </si>
  <si>
    <t>6681 AE</t>
  </si>
  <si>
    <t>Object "Fontein"</t>
  </si>
  <si>
    <t>Stenen standbeeld, pony met meisje</t>
  </si>
  <si>
    <t>Plantsoen Vossenhol</t>
  </si>
  <si>
    <t>6681 DJ</t>
  </si>
  <si>
    <t>Stoepsteen fragmenten 16e + 17e eeuw</t>
  </si>
  <si>
    <t>Langestraat 61-A</t>
  </si>
  <si>
    <t>6851 AM</t>
  </si>
  <si>
    <t>Schilderij "Drie tegen één", H. Ronner-Knip</t>
  </si>
  <si>
    <t>Schilderij "Vrouw met tamboerijn", HJ Duwee</t>
  </si>
  <si>
    <t>Div.schilderijen, karpetten etc.</t>
  </si>
  <si>
    <t>Kunstvoorwerpen van Inst.Coll.Nederland</t>
  </si>
  <si>
    <t>Totaal Kunstvoorwerpen</t>
  </si>
  <si>
    <t>Kunstvoorwerpen</t>
  </si>
  <si>
    <t>pompgemaal</t>
  </si>
  <si>
    <t>Van Voorststraat 27</t>
  </si>
  <si>
    <t>Gymzaal De Hoenderik</t>
  </si>
  <si>
    <t>voormalige schoollruimte</t>
  </si>
  <si>
    <t>Gebouwen 2018</t>
  </si>
  <si>
    <t>Inventaris 2018</t>
  </si>
  <si>
    <t>indexcijfer 125,8</t>
  </si>
  <si>
    <t>indexcijfer 118,2</t>
  </si>
  <si>
    <t>van Voorststraat 21,  
van Gelrestraat 2a</t>
  </si>
  <si>
    <t xml:space="preserve">Taxatie 
gebouwen: </t>
  </si>
  <si>
    <t>incl. BTW</t>
  </si>
  <si>
    <t>Clara van Delwigstraat 3</t>
  </si>
  <si>
    <t>Totaal Kunst:</t>
  </si>
  <si>
    <t>IKC Marang</t>
  </si>
  <si>
    <t>IKC Pius X</t>
  </si>
  <si>
    <t>IKC Donatushof</t>
  </si>
  <si>
    <t xml:space="preserve">IKC De Borgwal </t>
  </si>
  <si>
    <t>IKC De Borgwal noodlokalen</t>
  </si>
  <si>
    <t>Pro College</t>
  </si>
  <si>
    <t>IKC De Wieling</t>
  </si>
  <si>
    <t>OBC Huissen</t>
  </si>
  <si>
    <t>IKC Het Drieluik</t>
  </si>
  <si>
    <t>IKC Sterrenbos</t>
  </si>
  <si>
    <t>Ot en Sienpad 3 - 5 - 7 - 9</t>
  </si>
  <si>
    <t>Dr. Hoijngstraat 5</t>
  </si>
  <si>
    <t>6681 XL</t>
  </si>
  <si>
    <t>Van Wijkstraat 16b</t>
  </si>
  <si>
    <t>Gebouwen 
31-03-2019</t>
  </si>
  <si>
    <t>Inventaris 
31-03-2019</t>
  </si>
  <si>
    <t>indexcijfer 134,2</t>
  </si>
  <si>
    <t>indexcijfer 120,4</t>
  </si>
  <si>
    <t>Sportlaan 1C</t>
  </si>
  <si>
    <t>Lingewal 6A</t>
  </si>
  <si>
    <t>Ponylaan 6</t>
  </si>
  <si>
    <t>Fresco wand</t>
  </si>
  <si>
    <t>Liggende Tors</t>
  </si>
  <si>
    <t>Oorlogsmonument Gendt</t>
  </si>
  <si>
    <t>Twee Leeuwtjes</t>
  </si>
  <si>
    <t>Dorpstraat 84 (binnenmuur bibliotheek)</t>
  </si>
  <si>
    <t>Pannerdenseweg/ Blauwe Hoek</t>
  </si>
  <si>
    <t>Markt</t>
  </si>
  <si>
    <t>Begraafplaats Doelenstraat</t>
  </si>
  <si>
    <t>Langekerkstraat 15 en 17</t>
  </si>
  <si>
    <t>bekend bij FZ</t>
  </si>
  <si>
    <t>Gymnastieklokaal "Doornick"</t>
  </si>
  <si>
    <t>Urnenmuur begraafplaats De Hoeve</t>
  </si>
  <si>
    <t>Hoeve 15</t>
  </si>
  <si>
    <t>Fragment stadsmuur Arnhemse Poort en poortwachter</t>
  </si>
  <si>
    <t>sprinkler</t>
  </si>
  <si>
    <t>bmi</t>
  </si>
  <si>
    <t>bliksem</t>
  </si>
  <si>
    <t>beveiligingsmaatregel</t>
  </si>
  <si>
    <t>asbest</t>
  </si>
  <si>
    <t>aanwezig</t>
  </si>
  <si>
    <t>zonnepanelen</t>
  </si>
  <si>
    <t>ja</t>
  </si>
  <si>
    <t>toekomst</t>
  </si>
  <si>
    <t>inbraak</t>
  </si>
  <si>
    <t>verdacht</t>
  </si>
  <si>
    <t>IKC de Kinkelink</t>
  </si>
  <si>
    <t>IKC De Abacus met KDV en BSO + 4 noodlokalen</t>
  </si>
  <si>
    <t>Bronzen beeld, herdenkingsmonument</t>
  </si>
  <si>
    <t>totaal 19 objecten</t>
  </si>
  <si>
    <t xml:space="preserve">Sport- en ontmoetingsruimte, De Kuul, Soc. Cult. centrum De Brink </t>
  </si>
  <si>
    <t xml:space="preserve">Kampstuk 21 </t>
  </si>
  <si>
    <t>Gemeentewerf Bemmel (bestaat uit 4 gebouwen, kantoor met werkplaats/ werkplaats/ zoutloods/ open stalling)</t>
  </si>
  <si>
    <t>Sportcomplex 'De Vijzel' gebouwen GVA en EDV hierop recht van opstal</t>
  </si>
  <si>
    <t xml:space="preserve">clubgebouw Thetis </t>
  </si>
  <si>
    <t>Tennisclub sportpark Hazekamp</t>
  </si>
  <si>
    <t>Gymnstieklokaal Nijmeegsestraat</t>
  </si>
  <si>
    <t>Arnhemsepoort/ Langestraat</t>
  </si>
  <si>
    <t>OBS De Regenboog (recht van opstal op het dak)</t>
  </si>
  <si>
    <t>SBBO-school De Vlinderboom incl.gymzaal</t>
  </si>
  <si>
    <t>Over-Betuwe College Essenpas</t>
  </si>
  <si>
    <t>IKC De Tichelaar op dak systeem zonnepanelen</t>
  </si>
  <si>
    <t>IKC  't Holthuus (gerenoveerd in 2018)</t>
  </si>
  <si>
    <t xml:space="preserve">Oorlogsmonument </t>
  </si>
  <si>
    <t>Europalaan</t>
  </si>
  <si>
    <t>Pastoor Pelgromlaan</t>
  </si>
  <si>
    <t>Markt/ Huis te Gendt</t>
  </si>
  <si>
    <t xml:space="preserve">De Kraonige Zwaon </t>
  </si>
  <si>
    <t>Grafmonument</t>
  </si>
  <si>
    <t xml:space="preserve">Priestergraf </t>
  </si>
  <si>
    <t>Sint Elisabeth</t>
  </si>
  <si>
    <t>gedeeltelijk Trespa gevelbekleding</t>
  </si>
  <si>
    <t>houtskeletbouw</t>
  </si>
  <si>
    <t>fietsenstalling; open staafmatten</t>
  </si>
  <si>
    <t>gedeeltelijk gaashekwerk</t>
  </si>
  <si>
    <t>volledig beton</t>
  </si>
  <si>
    <t>gevelbekleding anders dan metselwerk</t>
  </si>
  <si>
    <t>berging prefab beton</t>
  </si>
  <si>
    <t>sporthal; stalen damwand</t>
  </si>
  <si>
    <t>werkplaats, zoutloods en openstalling; stalen damwand</t>
  </si>
  <si>
    <t>vezelcemntplaat</t>
  </si>
  <si>
    <t>kopgevels schuine dak; Trespa</t>
  </si>
  <si>
    <t>gedeeltelijk stalen damwand, Trespa en metselwerk</t>
  </si>
  <si>
    <t>kopgevels schuine dak; trespa</t>
  </si>
  <si>
    <t>kopgevels schuine dak; hout, tribunegebouw gedeeltelijk stalen damwand</t>
  </si>
  <si>
    <t>remise; stalen damwand</t>
  </si>
  <si>
    <t>berging; Trespa</t>
  </si>
  <si>
    <t>open gevel</t>
  </si>
  <si>
    <t>opbouw bestuurskamer; Trespa</t>
  </si>
  <si>
    <t>houtbouw</t>
  </si>
  <si>
    <t>sporthal; Trespa</t>
  </si>
  <si>
    <t>glazenpui</t>
  </si>
  <si>
    <t>één langsgevel gymzaal; gedeeltelijk stalen damwand</t>
  </si>
  <si>
    <t>buiten berging; hout</t>
  </si>
  <si>
    <t>één langsgevel stalen damwand</t>
  </si>
  <si>
    <t>Trespa</t>
  </si>
  <si>
    <t>Gebouwen 
31-03-2020</t>
  </si>
  <si>
    <t>Inventaris 
31-03-2020</t>
  </si>
  <si>
    <t>indexcijfer 144,3</t>
  </si>
  <si>
    <t>indexcijfer 122,3</t>
  </si>
  <si>
    <t>Podium Odeon</t>
  </si>
  <si>
    <t>6851 BL</t>
  </si>
  <si>
    <t>Gebouwen 
31-03-2021</t>
  </si>
  <si>
    <t>Inventaris 
31-03-2021</t>
  </si>
  <si>
    <t>Totaal per 31-03-2021</t>
  </si>
  <si>
    <t>Lengkeek, rapport 4054879-3 dd 7-4-2021</t>
  </si>
  <si>
    <t>inventaris Lengkeek, rapport 4054878-2 dd 13-4-2021</t>
  </si>
  <si>
    <t>inventaris inbegrepen hierboven</t>
  </si>
  <si>
    <t>inventaris Lengkeek, rapport 4054878-3 dd 13-4-2021</t>
  </si>
  <si>
    <t>inventaris Lengkeek, rapport 4054878-4 dd 12-4-2021</t>
  </si>
  <si>
    <t>inventaris inbegrepen bij zwembad hieronder</t>
  </si>
  <si>
    <t>Nijmeegsestraat 3 en Schoolstraat 1</t>
  </si>
  <si>
    <t>inventaris Lengkeek, rapport 4054878-5 dd 13-4-2021</t>
  </si>
  <si>
    <t>inventaris Lengkeek, rapport 4054878-6 dd 20-4-2021</t>
  </si>
  <si>
    <t>inventaris Lengkeek, rapport 4054878-1 dd 13-4-2021</t>
  </si>
  <si>
    <t>inventaris Lengkeek 4054878-5 dd 13-4-2021</t>
  </si>
  <si>
    <t>Lengkeek, rapport 4054879-5 dd 30-4-2021</t>
  </si>
  <si>
    <t>Binnendries 5, 7, 9</t>
  </si>
  <si>
    <t>Historische Kring, KDV en museum</t>
  </si>
  <si>
    <t>IKC De Vonkenmorgen</t>
  </si>
  <si>
    <t>Lengkeek, rapport 4054876 dd 21-5-2021</t>
  </si>
  <si>
    <t>Gemeentehuis Bemmel (Kinkelenburg) (kunst/kostbaarheden)</t>
  </si>
  <si>
    <t>Lengkeek, rapport 4054879-7 dd 12-7-2021 (incl. fundering)</t>
  </si>
  <si>
    <t>6852 FE</t>
  </si>
  <si>
    <t>Appartement</t>
  </si>
  <si>
    <t>Kardinaal de Jongstraat 1</t>
  </si>
  <si>
    <t>Voormalig Raadzaal</t>
  </si>
  <si>
    <t>Lengkeek, rapport 4054879-7 dd 12-7-2021</t>
  </si>
  <si>
    <t>14 Woonwagenstandplaatsen, toilet en douchevoorzieningen, berging en meterkast</t>
  </si>
  <si>
    <t>Terpweide 1 t/m 9, 11 t/m 14 en 16</t>
  </si>
  <si>
    <t>Gymzaal Turnvereniging SGS</t>
  </si>
  <si>
    <t>De Jongstraat 1B</t>
  </si>
  <si>
    <t>nieuw?</t>
  </si>
  <si>
    <t>Plaza 123-125-127 en Hazekamp 2E</t>
  </si>
  <si>
    <t>IKC Binnestebuiten met 4 noodlokalen (zonnepanelen op Binnestebuiten)</t>
  </si>
  <si>
    <t>De geschakelde basisscholen Het Drieluik (nr. 3), 't Holthuus (nr. 9), Kinderopvang Skar (nr. 7) en consultatiebureau (nr. 5)</t>
  </si>
  <si>
    <t xml:space="preserve">KDV/BSO Morgenster </t>
  </si>
  <si>
    <t>Lengkeek, rapport 4054879-1 dd 13-4-2021 (incl. fundering)</t>
  </si>
  <si>
    <t>6691 MH</t>
  </si>
  <si>
    <t>Nijmeegsestraat 1a</t>
  </si>
  <si>
    <t xml:space="preserve">Natuurzwembad Walburgen kiosk </t>
  </si>
  <si>
    <t>huurdersbelang Lengkeek, rapport 4054878-2 dd 13-4-2021</t>
  </si>
  <si>
    <t>inventaris inbegrepen bij regel Flierenhofstraat 34)</t>
  </si>
  <si>
    <t>Lengkeek, rapport 4054879-4 dd 30-4-2021 (incl. fundering)</t>
  </si>
  <si>
    <t>Plakselaan 22-26-30-32 en 34</t>
  </si>
  <si>
    <t>IKC Donatushof (dependance) inclusief berging van naastgelegen 'Torteltuin'</t>
  </si>
  <si>
    <t>Lengkeek, rapport 4054879-5 dd 30-4-2021 (incl. fundering)</t>
  </si>
  <si>
    <t>Vijzelpad 11</t>
  </si>
  <si>
    <t>IKC De Doornick (voormalig bibliotheek)</t>
  </si>
  <si>
    <t>Lengkeek, rapport 4054879-6 dd 30-4-2021 (incl. fundering)</t>
  </si>
  <si>
    <t>Clubgebouw VV De Bataven (kleedkamer 9 en 10)</t>
  </si>
  <si>
    <t xml:space="preserve">Gendt
Gendt </t>
  </si>
  <si>
    <t>6691 CJ
 6691 XP</t>
  </si>
  <si>
    <t>IKC De Vonkenmorgen
Basisschool De Vonkenmorgen</t>
  </si>
  <si>
    <t xml:space="preserve">Basisschool De Vonkenmorgen </t>
  </si>
  <si>
    <t>Dorpstraat 72A</t>
  </si>
  <si>
    <t>inventaris Lengkeek, rapport 4054878-4 dd 12-4-2021 (95c)</t>
  </si>
  <si>
    <t>Lengkeek, rapport 4054879-2 dd 13-4-2021 (incl. fundering)</t>
  </si>
  <si>
    <t>IKC De Tichelaar, gymzaal</t>
  </si>
  <si>
    <t>Hoeve</t>
  </si>
  <si>
    <t>Huttenstraat</t>
  </si>
  <si>
    <t>Lengkeek, rapport 4054879-7.1 dd 12-7-2021 (incl. fundering)</t>
  </si>
  <si>
    <t>geen onderhoudsverplichting</t>
  </si>
  <si>
    <t>NEN 3140</t>
  </si>
  <si>
    <t>uitgevoerd op</t>
  </si>
  <si>
    <t>-</t>
  </si>
  <si>
    <t>n.v.t.</t>
  </si>
  <si>
    <t>zie tabaksschuur</t>
  </si>
  <si>
    <t>antwoord FZ</t>
  </si>
  <si>
    <t>2016 nwe mk</t>
  </si>
  <si>
    <t>lichtmast 17-2-2020</t>
  </si>
  <si>
    <t>Carillon Plantsoen Groene Hart</t>
  </si>
  <si>
    <t>Poelwijklaan 12c</t>
  </si>
  <si>
    <t>Dorpshuis De Tichel, KDV en PSZ</t>
  </si>
  <si>
    <t>Kolkweg 5 a en c</t>
  </si>
  <si>
    <t>Angerensedijk 2</t>
  </si>
  <si>
    <t>Hazekamp 2a</t>
  </si>
  <si>
    <t>Brandweerkazerne en voormalige gemeentewerf</t>
  </si>
  <si>
    <t>Langekerkstraat 10</t>
  </si>
  <si>
    <t>Markt (ong.)</t>
  </si>
  <si>
    <t>Wagenweg 12c, d en e</t>
  </si>
  <si>
    <t>indexcijfer 153,1</t>
  </si>
  <si>
    <t>indexcijfer 125,2</t>
  </si>
  <si>
    <t>Taxatie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</si>
</sst>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&quot;.&quot;000&quot;.&quot;0000"/>
  </numFmts>
  <fonts count="17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03">
    <xf numFmtId="0" fontId="0" fillId="0" borderId="0" xfId="0"/>
    <xf numFmtId="165" fontId="4" fillId="0" borderId="0" xfId="2" applyFont="1" applyBorder="1" applyAlignment="1">
      <alignment vertical="top"/>
    </xf>
    <xf numFmtId="165" fontId="4" fillId="0" borderId="0" xfId="2" applyFont="1" applyAlignment="1">
      <alignment vertical="top"/>
    </xf>
    <xf numFmtId="166" fontId="4" fillId="0" borderId="0" xfId="2" applyNumberFormat="1" applyFont="1" applyBorder="1" applyAlignment="1">
      <alignment vertical="top"/>
    </xf>
    <xf numFmtId="165" fontId="4" fillId="0" borderId="0" xfId="2" applyFont="1" applyBorder="1" applyAlignment="1">
      <alignment vertical="top" wrapText="1"/>
    </xf>
    <xf numFmtId="165" fontId="4" fillId="0" borderId="0" xfId="2" applyFont="1" applyBorder="1" applyAlignment="1">
      <alignment horizontal="center" vertical="top"/>
    </xf>
    <xf numFmtId="165" fontId="4" fillId="0" borderId="0" xfId="2" applyFont="1" applyBorder="1" applyAlignment="1">
      <alignment horizontal="left" vertical="top" wrapText="1"/>
    </xf>
    <xf numFmtId="165" fontId="4" fillId="0" borderId="0" xfId="2" applyFont="1" applyFill="1" applyAlignment="1">
      <alignment vertical="top" wrapText="1"/>
    </xf>
    <xf numFmtId="164" fontId="4" fillId="0" borderId="0" xfId="4" applyFont="1" applyBorder="1" applyAlignment="1">
      <alignment vertical="top"/>
    </xf>
    <xf numFmtId="165" fontId="5" fillId="2" borderId="2" xfId="2" applyFont="1" applyFill="1" applyBorder="1" applyAlignment="1">
      <alignment vertical="top" wrapText="1"/>
    </xf>
    <xf numFmtId="165" fontId="4" fillId="0" borderId="0" xfId="2" applyFont="1" applyFill="1" applyAlignment="1">
      <alignment vertical="top"/>
    </xf>
    <xf numFmtId="166" fontId="8" fillId="0" borderId="7" xfId="2" quotePrefix="1" applyNumberFormat="1" applyFont="1" applyFill="1" applyBorder="1" applyAlignment="1">
      <alignment horizontal="left" vertical="top"/>
    </xf>
    <xf numFmtId="165" fontId="8" fillId="0" borderId="8" xfId="2" quotePrefix="1" applyFont="1" applyFill="1" applyBorder="1" applyAlignment="1">
      <alignment horizontal="center" vertical="top" wrapText="1"/>
    </xf>
    <xf numFmtId="165" fontId="6" fillId="0" borderId="8" xfId="2" applyFont="1" applyFill="1" applyBorder="1" applyAlignment="1">
      <alignment vertical="top"/>
    </xf>
    <xf numFmtId="0" fontId="6" fillId="0" borderId="0" xfId="0" applyFont="1"/>
    <xf numFmtId="164" fontId="6" fillId="0" borderId="0" xfId="4" applyFont="1"/>
    <xf numFmtId="165" fontId="9" fillId="0" borderId="0" xfId="2" applyFont="1" applyFill="1" applyBorder="1" applyAlignment="1">
      <alignment vertical="top"/>
    </xf>
    <xf numFmtId="166" fontId="5" fillId="0" borderId="5" xfId="2" applyNumberFormat="1" applyFont="1" applyFill="1" applyBorder="1" applyAlignment="1">
      <alignment horizontal="left" vertical="top" wrapText="1"/>
    </xf>
    <xf numFmtId="165" fontId="5" fillId="0" borderId="0" xfId="2" applyFont="1" applyFill="1" applyBorder="1" applyAlignment="1">
      <alignment vertical="top" wrapText="1"/>
    </xf>
    <xf numFmtId="0" fontId="6" fillId="0" borderId="9" xfId="0" applyFont="1" applyBorder="1"/>
    <xf numFmtId="164" fontId="6" fillId="0" borderId="2" xfId="4" applyFont="1" applyBorder="1"/>
    <xf numFmtId="164" fontId="6" fillId="0" borderId="0" xfId="0" applyNumberFormat="1" applyFont="1"/>
    <xf numFmtId="0" fontId="6" fillId="0" borderId="5" xfId="0" applyFont="1" applyBorder="1"/>
    <xf numFmtId="164" fontId="6" fillId="0" borderId="0" xfId="4" applyFont="1" applyBorder="1"/>
    <xf numFmtId="164" fontId="7" fillId="0" borderId="11" xfId="4" applyFont="1" applyBorder="1"/>
    <xf numFmtId="0" fontId="6" fillId="0" borderId="0" xfId="0" applyFont="1" applyAlignment="1"/>
    <xf numFmtId="164" fontId="6" fillId="0" borderId="0" xfId="4" applyFont="1" applyAlignment="1"/>
    <xf numFmtId="166" fontId="9" fillId="0" borderId="5" xfId="2" applyNumberFormat="1" applyFont="1" applyFill="1" applyBorder="1" applyAlignment="1">
      <alignment vertical="top"/>
    </xf>
    <xf numFmtId="166" fontId="9" fillId="2" borderId="10" xfId="2" applyNumberFormat="1" applyFont="1" applyFill="1" applyBorder="1" applyAlignment="1">
      <alignment horizontal="left" vertical="top" wrapText="1"/>
    </xf>
    <xf numFmtId="166" fontId="4" fillId="0" borderId="12" xfId="2" quotePrefix="1" applyNumberFormat="1" applyFont="1" applyFill="1" applyBorder="1" applyAlignment="1">
      <alignment horizontal="left" vertical="top"/>
    </xf>
    <xf numFmtId="165" fontId="4" fillId="0" borderId="2" xfId="2" applyFont="1" applyFill="1" applyBorder="1" applyAlignment="1" applyProtection="1">
      <alignment horizontal="left" vertical="top" wrapText="1"/>
      <protection locked="0"/>
    </xf>
    <xf numFmtId="165" fontId="6" fillId="0" borderId="2" xfId="0" applyNumberFormat="1" applyFont="1" applyFill="1" applyBorder="1" applyAlignment="1">
      <alignment horizontal="left"/>
    </xf>
    <xf numFmtId="166" fontId="5" fillId="0" borderId="2" xfId="2" applyNumberFormat="1" applyFont="1" applyFill="1" applyBorder="1" applyAlignment="1">
      <alignment horizontal="left" vertical="top"/>
    </xf>
    <xf numFmtId="165" fontId="4" fillId="0" borderId="2" xfId="2" applyFont="1" applyFill="1" applyBorder="1" applyAlignment="1">
      <alignment horizontal="center" vertical="top" wrapText="1"/>
    </xf>
    <xf numFmtId="165" fontId="4" fillId="0" borderId="2" xfId="2" applyFont="1" applyFill="1" applyBorder="1" applyAlignment="1" applyProtection="1">
      <alignment horizontal="left" vertical="top"/>
      <protection locked="0"/>
    </xf>
    <xf numFmtId="165" fontId="4" fillId="0" borderId="2" xfId="2" applyFont="1" applyFill="1" applyBorder="1" applyAlignment="1">
      <alignment horizontal="center" vertical="top"/>
    </xf>
    <xf numFmtId="165" fontId="4" fillId="0" borderId="0" xfId="2" applyFont="1" applyBorder="1" applyAlignment="1">
      <alignment horizontal="left" vertical="top"/>
    </xf>
    <xf numFmtId="166" fontId="9" fillId="2" borderId="5" xfId="2" applyNumberFormat="1" applyFont="1" applyFill="1" applyBorder="1" applyAlignment="1">
      <alignment horizontal="left" vertical="top" wrapText="1"/>
    </xf>
    <xf numFmtId="165" fontId="9" fillId="2" borderId="0" xfId="2" applyFont="1" applyFill="1" applyBorder="1" applyAlignment="1">
      <alignment horizontal="left" vertical="top" wrapText="1"/>
    </xf>
    <xf numFmtId="165" fontId="9" fillId="2" borderId="0" xfId="2" applyFont="1" applyFill="1" applyBorder="1" applyAlignment="1">
      <alignment vertical="top" wrapText="1"/>
    </xf>
    <xf numFmtId="165" fontId="9" fillId="2" borderId="0" xfId="2" applyFont="1" applyFill="1" applyBorder="1" applyAlignment="1">
      <alignment horizontal="center" vertical="top" wrapText="1"/>
    </xf>
    <xf numFmtId="166" fontId="5" fillId="2" borderId="2" xfId="2" applyNumberFormat="1" applyFont="1" applyFill="1" applyBorder="1" applyAlignment="1">
      <alignment horizontal="left" vertical="top"/>
    </xf>
    <xf numFmtId="165" fontId="4" fillId="2" borderId="2" xfId="2" applyFont="1" applyFill="1" applyBorder="1" applyAlignment="1">
      <alignment horizontal="center" vertical="top"/>
    </xf>
    <xf numFmtId="165" fontId="4" fillId="2" borderId="2" xfId="2" applyFont="1" applyFill="1" applyBorder="1" applyAlignment="1">
      <alignment horizontal="left" vertical="top" wrapText="1"/>
    </xf>
    <xf numFmtId="165" fontId="4" fillId="2" borderId="2" xfId="2" applyFont="1" applyFill="1" applyBorder="1" applyAlignment="1">
      <alignment vertical="top"/>
    </xf>
    <xf numFmtId="165" fontId="6" fillId="0" borderId="2" xfId="2" applyFont="1" applyFill="1" applyBorder="1" applyAlignment="1">
      <alignment vertical="top"/>
    </xf>
    <xf numFmtId="165" fontId="6" fillId="0" borderId="0" xfId="2" applyFont="1" applyFill="1" applyAlignment="1">
      <alignment vertical="top"/>
    </xf>
    <xf numFmtId="165" fontId="6" fillId="0" borderId="0" xfId="2" applyFont="1" applyAlignment="1">
      <alignment vertical="top"/>
    </xf>
    <xf numFmtId="166" fontId="4" fillId="0" borderId="0" xfId="2" quotePrefix="1" applyNumberFormat="1" applyFont="1" applyFill="1" applyBorder="1" applyAlignment="1" applyProtection="1">
      <alignment horizontal="left" vertical="top"/>
      <protection locked="0"/>
    </xf>
    <xf numFmtId="165" fontId="4" fillId="0" borderId="0" xfId="2" applyFont="1" applyFill="1" applyBorder="1" applyAlignment="1" applyProtection="1">
      <alignment horizontal="left" vertical="top" wrapText="1"/>
      <protection locked="0"/>
    </xf>
    <xf numFmtId="165" fontId="4" fillId="0" borderId="0" xfId="2" applyFont="1" applyFill="1" applyBorder="1" applyAlignment="1" applyProtection="1">
      <alignment horizontal="center" vertical="top"/>
      <protection locked="0"/>
    </xf>
    <xf numFmtId="165" fontId="4" fillId="0" borderId="0" xfId="2" applyFont="1" applyFill="1" applyBorder="1" applyAlignment="1">
      <alignment vertical="top"/>
    </xf>
    <xf numFmtId="49" fontId="4" fillId="0" borderId="0" xfId="2" applyNumberFormat="1" applyFont="1" applyFill="1" applyBorder="1" applyAlignment="1">
      <alignment horizontal="center" vertical="top" wrapText="1"/>
    </xf>
    <xf numFmtId="166" fontId="9" fillId="0" borderId="0" xfId="2" applyNumberFormat="1" applyFont="1" applyBorder="1" applyAlignment="1">
      <alignment horizontal="left" vertical="top"/>
    </xf>
    <xf numFmtId="165" fontId="9" fillId="0" borderId="0" xfId="2" quotePrefix="1" applyFont="1" applyBorder="1" applyAlignment="1">
      <alignment horizontal="left" vertical="top" wrapText="1"/>
    </xf>
    <xf numFmtId="165" fontId="9" fillId="0" borderId="0" xfId="2" applyFont="1" applyBorder="1" applyAlignment="1">
      <alignment horizontal="center" vertical="top"/>
    </xf>
    <xf numFmtId="165" fontId="4" fillId="0" borderId="0" xfId="2" applyFont="1" applyBorder="1" applyAlignment="1">
      <alignment horizontal="center" vertical="top" wrapText="1"/>
    </xf>
    <xf numFmtId="165" fontId="9" fillId="0" borderId="0" xfId="2" applyFont="1" applyBorder="1" applyAlignment="1">
      <alignment vertical="top"/>
    </xf>
    <xf numFmtId="164" fontId="9" fillId="0" borderId="4" xfId="4" applyFont="1" applyBorder="1" applyAlignment="1">
      <alignment vertical="top"/>
    </xf>
    <xf numFmtId="165" fontId="9" fillId="2" borderId="0" xfId="2" applyFont="1" applyFill="1" applyBorder="1" applyAlignment="1">
      <alignment horizontal="left" vertical="top"/>
    </xf>
    <xf numFmtId="165" fontId="9" fillId="2" borderId="0" xfId="2" applyFont="1" applyFill="1" applyAlignment="1">
      <alignment vertical="top"/>
    </xf>
    <xf numFmtId="165" fontId="10" fillId="3" borderId="0" xfId="2" applyFont="1" applyFill="1" applyAlignment="1">
      <alignment vertical="top"/>
    </xf>
    <xf numFmtId="166" fontId="9" fillId="0" borderId="2" xfId="2" applyNumberFormat="1" applyFont="1" applyFill="1" applyBorder="1" applyAlignment="1">
      <alignment horizontal="left" vertical="top"/>
    </xf>
    <xf numFmtId="165" fontId="9" fillId="0" borderId="2" xfId="2" quotePrefix="1" applyFont="1" applyFill="1" applyBorder="1" applyAlignment="1">
      <alignment horizontal="left" vertical="top" wrapText="1"/>
    </xf>
    <xf numFmtId="165" fontId="9" fillId="0" borderId="2" xfId="2" applyFont="1" applyFill="1" applyBorder="1" applyAlignment="1">
      <alignment horizontal="center" vertical="top"/>
    </xf>
    <xf numFmtId="165" fontId="4" fillId="0" borderId="3" xfId="2" applyFont="1" applyFill="1" applyBorder="1" applyAlignment="1">
      <alignment horizontal="center" vertical="top" wrapText="1"/>
    </xf>
    <xf numFmtId="165" fontId="9" fillId="0" borderId="1" xfId="2" applyFont="1" applyFill="1" applyBorder="1" applyAlignment="1">
      <alignment vertical="top"/>
    </xf>
    <xf numFmtId="165" fontId="10" fillId="0" borderId="0" xfId="2" applyFont="1" applyFill="1" applyAlignment="1">
      <alignment vertical="top"/>
    </xf>
    <xf numFmtId="165" fontId="1" fillId="0" borderId="0" xfId="2" applyFont="1" applyFill="1" applyAlignment="1">
      <alignment vertical="top"/>
    </xf>
    <xf numFmtId="165" fontId="1" fillId="0" borderId="2" xfId="2" applyFont="1" applyFill="1" applyBorder="1" applyAlignment="1" applyProtection="1">
      <alignment horizontal="left" vertical="top" wrapText="1"/>
      <protection locked="0"/>
    </xf>
    <xf numFmtId="166" fontId="1" fillId="0" borderId="2" xfId="2" quotePrefix="1" applyNumberFormat="1" applyFont="1" applyFill="1" applyBorder="1" applyAlignment="1" applyProtection="1">
      <alignment horizontal="left" vertical="top"/>
      <protection locked="0"/>
    </xf>
    <xf numFmtId="165" fontId="1" fillId="0" borderId="2" xfId="2" applyFont="1" applyFill="1" applyBorder="1" applyAlignment="1" applyProtection="1">
      <alignment horizontal="center" vertical="top"/>
      <protection locked="0"/>
    </xf>
    <xf numFmtId="165" fontId="1" fillId="0" borderId="2" xfId="2" applyFont="1" applyFill="1" applyBorder="1" applyAlignment="1">
      <alignment vertical="top"/>
    </xf>
    <xf numFmtId="14" fontId="1" fillId="0" borderId="2" xfId="2" applyNumberFormat="1" applyFont="1" applyFill="1" applyBorder="1" applyAlignment="1">
      <alignment horizontal="left" vertical="top" wrapText="1"/>
    </xf>
    <xf numFmtId="49" fontId="1" fillId="0" borderId="2" xfId="2" applyNumberFormat="1" applyFont="1" applyFill="1" applyBorder="1" applyAlignment="1">
      <alignment horizontal="left" vertical="top" wrapText="1"/>
    </xf>
    <xf numFmtId="165" fontId="1" fillId="0" borderId="2" xfId="2" applyFont="1" applyFill="1" applyBorder="1" applyAlignment="1">
      <alignment horizontal="left" vertical="top"/>
    </xf>
    <xf numFmtId="165" fontId="1" fillId="0" borderId="0" xfId="2" applyFont="1" applyAlignment="1">
      <alignment vertical="top"/>
    </xf>
    <xf numFmtId="165" fontId="1" fillId="0" borderId="2" xfId="2" applyFont="1" applyBorder="1" applyAlignment="1" applyProtection="1">
      <alignment horizontal="left" vertical="top" wrapText="1"/>
      <protection locked="0"/>
    </xf>
    <xf numFmtId="165" fontId="1" fillId="0" borderId="2" xfId="2" applyFont="1" applyBorder="1" applyAlignment="1" applyProtection="1">
      <alignment horizontal="center" vertical="top"/>
      <protection locked="0"/>
    </xf>
    <xf numFmtId="165" fontId="1" fillId="0" borderId="2" xfId="2" applyFont="1" applyBorder="1" applyAlignment="1">
      <alignment vertical="top"/>
    </xf>
    <xf numFmtId="165" fontId="1" fillId="0" borderId="2" xfId="2" applyFont="1" applyBorder="1" applyAlignment="1">
      <alignment horizontal="left" vertical="top"/>
    </xf>
    <xf numFmtId="14" fontId="1" fillId="0" borderId="2" xfId="2" applyNumberFormat="1" applyFont="1" applyFill="1" applyBorder="1" applyAlignment="1">
      <alignment horizontal="left" vertical="top"/>
    </xf>
    <xf numFmtId="165" fontId="1" fillId="0" borderId="0" xfId="2" applyFont="1" applyBorder="1" applyAlignment="1">
      <alignment vertical="top"/>
    </xf>
    <xf numFmtId="14" fontId="1" fillId="0" borderId="2" xfId="2" applyNumberFormat="1" applyFont="1" applyFill="1" applyBorder="1" applyAlignment="1">
      <alignment horizontal="left" wrapText="1"/>
    </xf>
    <xf numFmtId="165" fontId="1" fillId="0" borderId="2" xfId="2" applyFont="1" applyBorder="1" applyAlignment="1">
      <alignment vertical="top" wrapText="1"/>
    </xf>
    <xf numFmtId="165" fontId="1" fillId="0" borderId="2" xfId="2" applyFont="1" applyFill="1" applyBorder="1" applyAlignment="1" applyProtection="1">
      <alignment vertical="top" wrapText="1"/>
      <protection locked="0"/>
    </xf>
    <xf numFmtId="165" fontId="10" fillId="4" borderId="0" xfId="2" applyFont="1" applyFill="1" applyAlignment="1">
      <alignment vertical="top"/>
    </xf>
    <xf numFmtId="165" fontId="10" fillId="0" borderId="0" xfId="2" applyFont="1" applyFill="1" applyAlignment="1">
      <alignment vertical="top" wrapText="1"/>
    </xf>
    <xf numFmtId="165" fontId="10" fillId="0" borderId="0" xfId="2" applyFont="1" applyBorder="1" applyAlignment="1">
      <alignment vertical="top"/>
    </xf>
    <xf numFmtId="165" fontId="4" fillId="0" borderId="0" xfId="2" applyFont="1" applyBorder="1" applyAlignment="1">
      <alignment horizontal="center" vertical="center"/>
    </xf>
    <xf numFmtId="165" fontId="10" fillId="0" borderId="2" xfId="2" applyFont="1" applyBorder="1" applyAlignment="1">
      <alignment vertical="top"/>
    </xf>
    <xf numFmtId="165" fontId="4" fillId="0" borderId="2" xfId="2" applyFont="1" applyBorder="1" applyAlignment="1">
      <alignment horizontal="center" vertical="center"/>
    </xf>
    <xf numFmtId="165" fontId="10" fillId="0" borderId="2" xfId="2" applyFont="1" applyFill="1" applyBorder="1" applyAlignment="1">
      <alignment vertical="top"/>
    </xf>
    <xf numFmtId="165" fontId="1" fillId="0" borderId="2" xfId="2" applyFont="1" applyFill="1" applyBorder="1" applyAlignment="1">
      <alignment horizontal="center" vertical="center"/>
    </xf>
    <xf numFmtId="165" fontId="10" fillId="4" borderId="2" xfId="2" applyFont="1" applyFill="1" applyBorder="1" applyAlignment="1">
      <alignment vertical="top"/>
    </xf>
    <xf numFmtId="165" fontId="1" fillId="4" borderId="2" xfId="2" applyFont="1" applyFill="1" applyBorder="1" applyAlignment="1">
      <alignment horizontal="center" vertical="center"/>
    </xf>
    <xf numFmtId="165" fontId="1" fillId="0" borderId="2" xfId="2" applyFont="1" applyBorder="1" applyAlignment="1">
      <alignment horizontal="center" vertical="center"/>
    </xf>
    <xf numFmtId="165" fontId="10" fillId="0" borderId="2" xfId="2" applyFont="1" applyBorder="1" applyAlignment="1">
      <alignment vertical="top" wrapText="1"/>
    </xf>
    <xf numFmtId="165" fontId="10" fillId="0" borderId="2" xfId="2" applyFont="1" applyFill="1" applyBorder="1" applyAlignment="1">
      <alignment horizontal="left" vertical="top"/>
    </xf>
    <xf numFmtId="165" fontId="10" fillId="0" borderId="2" xfId="2" applyFont="1" applyFill="1" applyBorder="1" applyAlignment="1">
      <alignment vertical="top" wrapText="1"/>
    </xf>
    <xf numFmtId="165" fontId="4" fillId="0" borderId="2" xfId="2" applyFont="1" applyBorder="1" applyAlignment="1">
      <alignment vertical="top"/>
    </xf>
    <xf numFmtId="165" fontId="10" fillId="0" borderId="2" xfId="2" applyFont="1" applyFill="1" applyBorder="1" applyAlignment="1">
      <alignment horizontal="right" vertical="top"/>
    </xf>
    <xf numFmtId="165" fontId="4" fillId="2" borderId="3" xfId="2" applyFont="1" applyFill="1" applyBorder="1" applyAlignment="1">
      <alignment vertical="top"/>
    </xf>
    <xf numFmtId="165" fontId="1" fillId="0" borderId="3" xfId="2" applyFont="1" applyFill="1" applyBorder="1" applyAlignment="1">
      <alignment vertical="top"/>
    </xf>
    <xf numFmtId="165" fontId="10" fillId="0" borderId="2" xfId="2" applyFont="1" applyBorder="1" applyAlignment="1">
      <alignment horizontal="center" vertical="top"/>
    </xf>
    <xf numFmtId="165" fontId="4" fillId="0" borderId="2" xfId="2" applyFont="1" applyFill="1" applyBorder="1" applyAlignment="1">
      <alignment vertical="top"/>
    </xf>
    <xf numFmtId="165" fontId="10" fillId="0" borderId="13" xfId="2" applyFont="1" applyBorder="1" applyAlignment="1">
      <alignment vertical="top"/>
    </xf>
    <xf numFmtId="165" fontId="4" fillId="0" borderId="13" xfId="2" applyFont="1" applyBorder="1" applyAlignment="1">
      <alignment vertical="top"/>
    </xf>
    <xf numFmtId="165" fontId="4" fillId="0" borderId="2" xfId="2" applyFont="1" applyFill="1" applyBorder="1" applyAlignment="1">
      <alignment horizontal="center" vertical="center" wrapText="1"/>
    </xf>
    <xf numFmtId="165" fontId="1" fillId="5" borderId="2" xfId="2" applyFont="1" applyFill="1" applyBorder="1" applyAlignment="1">
      <alignment horizontal="center" vertical="center"/>
    </xf>
    <xf numFmtId="165" fontId="6" fillId="0" borderId="14" xfId="2" applyFont="1" applyFill="1" applyBorder="1" applyAlignment="1">
      <alignment vertical="top"/>
    </xf>
    <xf numFmtId="165" fontId="1" fillId="0" borderId="3" xfId="2" applyFont="1" applyFill="1" applyBorder="1" applyAlignment="1" applyProtection="1">
      <alignment horizontal="left" vertical="top" wrapText="1"/>
      <protection locked="0"/>
    </xf>
    <xf numFmtId="165" fontId="9" fillId="0" borderId="15" xfId="2" applyFont="1" applyFill="1" applyBorder="1" applyAlignment="1">
      <alignment vertical="top"/>
    </xf>
    <xf numFmtId="165" fontId="4" fillId="0" borderId="3" xfId="2" applyFont="1" applyBorder="1" applyAlignment="1">
      <alignment horizontal="center" vertical="center"/>
    </xf>
    <xf numFmtId="165" fontId="1" fillId="5" borderId="3" xfId="2" applyFont="1" applyFill="1" applyBorder="1" applyAlignment="1">
      <alignment horizontal="center" vertical="center"/>
    </xf>
    <xf numFmtId="165" fontId="1" fillId="4" borderId="3" xfId="2" applyFont="1" applyFill="1" applyBorder="1" applyAlignment="1">
      <alignment horizontal="center" vertical="center"/>
    </xf>
    <xf numFmtId="165" fontId="1" fillId="0" borderId="3" xfId="2" applyFont="1" applyBorder="1" applyAlignment="1">
      <alignment horizontal="center" vertical="center"/>
    </xf>
    <xf numFmtId="165" fontId="1" fillId="0" borderId="3" xfId="2" applyFont="1" applyFill="1" applyBorder="1" applyAlignment="1">
      <alignment horizontal="center" vertical="center"/>
    </xf>
    <xf numFmtId="165" fontId="4" fillId="0" borderId="16" xfId="2" applyFont="1" applyBorder="1" applyAlignment="1">
      <alignment vertical="top"/>
    </xf>
    <xf numFmtId="165" fontId="1" fillId="0" borderId="2" xfId="2" applyFont="1" applyFill="1" applyBorder="1" applyAlignment="1">
      <alignment vertical="top" wrapText="1"/>
    </xf>
    <xf numFmtId="165" fontId="4" fillId="0" borderId="2" xfId="2" applyFont="1" applyFill="1" applyBorder="1" applyAlignment="1">
      <alignment vertical="top" wrapText="1"/>
    </xf>
    <xf numFmtId="164" fontId="1" fillId="0" borderId="2" xfId="4" applyFont="1" applyFill="1" applyBorder="1" applyAlignment="1">
      <alignment vertical="top"/>
    </xf>
    <xf numFmtId="164" fontId="5" fillId="0" borderId="11" xfId="4" applyFont="1" applyFill="1" applyBorder="1" applyAlignment="1">
      <alignment vertical="top"/>
    </xf>
    <xf numFmtId="164" fontId="4" fillId="0" borderId="2" xfId="4" applyFont="1" applyFill="1" applyBorder="1" applyAlignment="1">
      <alignment vertical="top"/>
    </xf>
    <xf numFmtId="164" fontId="9" fillId="2" borderId="0" xfId="4" applyFont="1" applyFill="1" applyBorder="1" applyAlignment="1">
      <alignment vertical="top" wrapText="1"/>
    </xf>
    <xf numFmtId="165" fontId="5" fillId="0" borderId="2" xfId="2" applyFont="1" applyFill="1" applyBorder="1" applyAlignment="1">
      <alignment horizontal="left" vertical="top" wrapText="1"/>
    </xf>
    <xf numFmtId="165" fontId="4" fillId="0" borderId="2" xfId="2" applyFont="1" applyFill="1" applyBorder="1" applyAlignment="1">
      <alignment horizontal="left" vertical="top" wrapText="1"/>
    </xf>
    <xf numFmtId="165" fontId="4" fillId="0" borderId="2" xfId="2" applyFont="1" applyFill="1" applyBorder="1" applyAlignment="1">
      <alignment horizontal="left" vertical="top"/>
    </xf>
    <xf numFmtId="165" fontId="1" fillId="0" borderId="2" xfId="2" applyFont="1" applyBorder="1" applyAlignment="1">
      <alignment horizontal="left" vertical="top" wrapText="1"/>
    </xf>
    <xf numFmtId="165" fontId="1" fillId="0" borderId="0" xfId="2" applyFont="1" applyFill="1" applyBorder="1" applyAlignment="1">
      <alignment vertical="top"/>
    </xf>
    <xf numFmtId="165" fontId="6" fillId="0" borderId="0" xfId="2" applyFont="1" applyFill="1" applyBorder="1" applyAlignment="1">
      <alignment vertical="top"/>
    </xf>
    <xf numFmtId="165" fontId="1" fillId="0" borderId="0" xfId="2" applyFont="1" applyFill="1" applyBorder="1" applyAlignment="1">
      <alignment horizontal="center" vertical="center"/>
    </xf>
    <xf numFmtId="165" fontId="10" fillId="0" borderId="0" xfId="2" applyFont="1" applyFill="1" applyBorder="1" applyAlignment="1">
      <alignment vertical="top"/>
    </xf>
    <xf numFmtId="165" fontId="6" fillId="0" borderId="0" xfId="2" applyFont="1" applyBorder="1" applyAlignment="1">
      <alignment vertical="top"/>
    </xf>
    <xf numFmtId="49" fontId="1" fillId="0" borderId="2" xfId="2" applyNumberFormat="1" applyFont="1" applyFill="1" applyBorder="1" applyAlignment="1" applyProtection="1">
      <alignment horizontal="left" vertical="top"/>
      <protection locked="0"/>
    </xf>
    <xf numFmtId="49" fontId="9" fillId="2" borderId="0" xfId="2" applyNumberFormat="1" applyFont="1" applyFill="1" applyBorder="1" applyAlignment="1">
      <alignment horizontal="left" vertical="top" wrapText="1"/>
    </xf>
    <xf numFmtId="49" fontId="4" fillId="2" borderId="2" xfId="2" applyNumberFormat="1" applyFont="1" applyFill="1" applyBorder="1" applyAlignment="1">
      <alignment horizontal="left" vertical="top" wrapText="1"/>
    </xf>
    <xf numFmtId="49" fontId="1" fillId="0" borderId="2" xfId="2" applyNumberFormat="1" applyFont="1" applyFill="1" applyBorder="1" applyAlignment="1" applyProtection="1">
      <alignment horizontal="left" vertical="top" wrapText="1"/>
      <protection locked="0"/>
    </xf>
    <xf numFmtId="49" fontId="1" fillId="0" borderId="2" xfId="2" applyNumberFormat="1" applyFont="1" applyBorder="1" applyAlignment="1">
      <alignment horizontal="left" vertical="top" wrapText="1"/>
    </xf>
    <xf numFmtId="49" fontId="4" fillId="0" borderId="2" xfId="2" applyNumberFormat="1" applyFont="1" applyFill="1" applyBorder="1" applyAlignment="1">
      <alignment horizontal="center" vertical="top" wrapText="1"/>
    </xf>
    <xf numFmtId="49" fontId="4" fillId="0" borderId="0" xfId="2" applyNumberFormat="1" applyFont="1" applyBorder="1" applyAlignment="1">
      <alignment horizontal="left" vertical="top" wrapText="1"/>
    </xf>
    <xf numFmtId="164" fontId="1" fillId="0" borderId="6" xfId="4" applyFont="1" applyFill="1" applyBorder="1" applyAlignment="1">
      <alignment vertical="top"/>
    </xf>
    <xf numFmtId="49" fontId="1" fillId="0" borderId="2" xfId="2" applyNumberFormat="1" applyFont="1" applyBorder="1" applyAlignment="1" applyProtection="1">
      <alignment horizontal="left" vertical="top" wrapText="1"/>
      <protection locked="0"/>
    </xf>
    <xf numFmtId="49" fontId="1" fillId="0" borderId="2" xfId="2" applyNumberFormat="1" applyFont="1" applyFill="1" applyBorder="1" applyAlignment="1">
      <alignment vertical="top"/>
    </xf>
    <xf numFmtId="49" fontId="1" fillId="0" borderId="2" xfId="2" applyNumberFormat="1" applyFont="1" applyBorder="1" applyAlignment="1">
      <alignment vertical="top"/>
    </xf>
    <xf numFmtId="165" fontId="1" fillId="5" borderId="0" xfId="2" applyFont="1" applyFill="1" applyBorder="1" applyAlignment="1">
      <alignment horizontal="center" vertical="center"/>
    </xf>
    <xf numFmtId="49" fontId="1" fillId="0" borderId="2" xfId="2" applyNumberFormat="1" applyFont="1" applyFill="1" applyBorder="1" applyAlignment="1" applyProtection="1">
      <alignment vertical="top" wrapText="1"/>
      <protection locked="0"/>
    </xf>
    <xf numFmtId="49" fontId="1" fillId="0" borderId="2" xfId="2" applyNumberFormat="1" applyFont="1" applyFill="1" applyBorder="1" applyAlignment="1" applyProtection="1">
      <alignment horizontal="center" vertical="top"/>
      <protection locked="0"/>
    </xf>
    <xf numFmtId="49" fontId="1" fillId="0" borderId="2" xfId="2" applyNumberFormat="1" applyFont="1" applyBorder="1" applyAlignment="1">
      <alignment vertical="top" wrapText="1"/>
    </xf>
    <xf numFmtId="49" fontId="1" fillId="0" borderId="2" xfId="2" applyNumberFormat="1" applyFont="1" applyBorder="1" applyAlignment="1">
      <alignment horizontal="center" vertical="top"/>
    </xf>
    <xf numFmtId="165" fontId="6" fillId="0" borderId="12" xfId="2" applyFont="1" applyFill="1" applyBorder="1" applyAlignment="1">
      <alignment vertical="top"/>
    </xf>
    <xf numFmtId="165" fontId="6" fillId="0" borderId="6" xfId="2" applyFont="1" applyFill="1" applyBorder="1" applyAlignment="1">
      <alignment vertical="top"/>
    </xf>
    <xf numFmtId="49" fontId="1" fillId="0" borderId="2" xfId="2" applyNumberFormat="1" applyFont="1" applyFill="1" applyBorder="1" applyAlignment="1" applyProtection="1">
      <alignment vertical="top"/>
      <protection locked="0"/>
    </xf>
    <xf numFmtId="49" fontId="1" fillId="0" borderId="2" xfId="2" applyNumberFormat="1" applyFont="1" applyFill="1" applyBorder="1" applyAlignment="1">
      <alignment vertical="top" wrapText="1"/>
    </xf>
    <xf numFmtId="165" fontId="4" fillId="0" borderId="0" xfId="2" applyFont="1" applyFill="1" applyAlignment="1">
      <alignment horizontal="center" vertical="center" wrapText="1"/>
    </xf>
    <xf numFmtId="165" fontId="4" fillId="0" borderId="2" xfId="2" applyFont="1" applyFill="1" applyBorder="1" applyAlignment="1">
      <alignment horizontal="center" vertical="center" wrapText="1"/>
    </xf>
    <xf numFmtId="49" fontId="1" fillId="0" borderId="6" xfId="2" applyNumberFormat="1" applyFont="1" applyFill="1" applyBorder="1" applyAlignment="1" applyProtection="1">
      <alignment horizontal="left" vertical="top" wrapText="1"/>
      <protection locked="0"/>
    </xf>
    <xf numFmtId="165" fontId="6" fillId="3" borderId="0" xfId="2" applyFont="1" applyFill="1" applyAlignment="1">
      <alignment vertical="top"/>
    </xf>
    <xf numFmtId="166" fontId="1" fillId="0" borderId="2" xfId="2" applyNumberFormat="1" applyFont="1" applyFill="1" applyBorder="1" applyAlignment="1" applyProtection="1">
      <alignment horizontal="left" vertical="top"/>
      <protection locked="0"/>
    </xf>
    <xf numFmtId="165" fontId="14" fillId="0" borderId="0" xfId="2" applyFont="1" applyFill="1" applyAlignment="1">
      <alignment vertical="top"/>
    </xf>
    <xf numFmtId="165" fontId="14" fillId="3" borderId="0" xfId="2" applyFont="1" applyFill="1" applyAlignment="1">
      <alignment vertical="top"/>
    </xf>
    <xf numFmtId="165" fontId="15" fillId="3" borderId="0" xfId="2" applyFont="1" applyFill="1" applyAlignment="1">
      <alignment vertical="top"/>
    </xf>
    <xf numFmtId="14" fontId="1" fillId="0" borderId="2" xfId="2" applyNumberFormat="1" applyFont="1" applyFill="1" applyBorder="1" applyAlignment="1">
      <alignment horizontal="center" vertical="center"/>
    </xf>
    <xf numFmtId="14" fontId="1" fillId="0" borderId="2" xfId="2" quotePrefix="1" applyNumberFormat="1" applyFont="1" applyBorder="1" applyAlignment="1">
      <alignment horizontal="center" vertical="center"/>
    </xf>
    <xf numFmtId="14" fontId="1" fillId="0" borderId="2" xfId="2" applyNumberFormat="1" applyFont="1" applyBorder="1" applyAlignment="1">
      <alignment horizontal="center" vertical="center"/>
    </xf>
    <xf numFmtId="14" fontId="1" fillId="6" borderId="2" xfId="2" applyNumberFormat="1" applyFont="1" applyFill="1" applyBorder="1" applyAlignment="1">
      <alignment horizontal="center" vertical="center"/>
    </xf>
    <xf numFmtId="14" fontId="1" fillId="0" borderId="2" xfId="2" quotePrefix="1" applyNumberFormat="1" applyFont="1" applyFill="1" applyBorder="1" applyAlignment="1">
      <alignment horizontal="center" vertical="center"/>
    </xf>
    <xf numFmtId="1" fontId="1" fillId="0" borderId="2" xfId="2" applyNumberFormat="1" applyFont="1" applyFill="1" applyBorder="1" applyAlignment="1">
      <alignment horizontal="center" vertical="center"/>
    </xf>
    <xf numFmtId="14" fontId="1" fillId="0" borderId="0" xfId="2" applyNumberFormat="1" applyFont="1" applyFill="1" applyBorder="1" applyAlignment="1">
      <alignment horizontal="center" vertical="center"/>
    </xf>
    <xf numFmtId="166" fontId="1" fillId="0" borderId="12" xfId="2" quotePrefix="1" applyNumberFormat="1" applyFont="1" applyFill="1" applyBorder="1" applyAlignment="1" applyProtection="1">
      <alignment horizontal="left" vertical="top"/>
      <protection locked="0"/>
    </xf>
    <xf numFmtId="14" fontId="4" fillId="0" borderId="2" xfId="2" applyNumberFormat="1" applyFont="1" applyBorder="1" applyAlignment="1">
      <alignment horizontal="center" vertical="center"/>
    </xf>
    <xf numFmtId="49" fontId="1" fillId="0" borderId="0" xfId="2" applyNumberFormat="1" applyFont="1" applyFill="1" applyBorder="1" applyAlignment="1" applyProtection="1">
      <alignment horizontal="left" vertical="top" wrapText="1"/>
      <protection locked="0"/>
    </xf>
    <xf numFmtId="165" fontId="4" fillId="0" borderId="2" xfId="2" applyFont="1" applyFill="1" applyBorder="1" applyAlignment="1">
      <alignment vertical="center" wrapText="1"/>
    </xf>
    <xf numFmtId="14" fontId="1" fillId="0" borderId="2" xfId="2" applyNumberFormat="1" applyFont="1" applyFill="1" applyBorder="1" applyAlignment="1">
      <alignment vertical="top"/>
    </xf>
    <xf numFmtId="14" fontId="1" fillId="0" borderId="2" xfId="2" applyNumberFormat="1" applyFont="1" applyBorder="1" applyAlignment="1">
      <alignment vertical="top"/>
    </xf>
    <xf numFmtId="165" fontId="1" fillId="0" borderId="17" xfId="2" applyFont="1" applyFill="1" applyBorder="1" applyAlignment="1" applyProtection="1">
      <alignment horizontal="left" vertical="top" wrapText="1"/>
      <protection locked="0"/>
    </xf>
    <xf numFmtId="165" fontId="10" fillId="0" borderId="0" xfId="2" applyFont="1" applyFill="1" applyBorder="1" applyAlignment="1">
      <alignment vertical="top" wrapText="1"/>
    </xf>
    <xf numFmtId="165" fontId="1" fillId="0" borderId="12" xfId="2" applyFont="1" applyFill="1" applyBorder="1" applyAlignment="1">
      <alignment vertical="top"/>
    </xf>
    <xf numFmtId="14" fontId="1" fillId="4" borderId="2" xfId="2" applyNumberFormat="1" applyFont="1" applyFill="1" applyBorder="1" applyAlignment="1">
      <alignment horizontal="center" vertical="center"/>
    </xf>
    <xf numFmtId="14" fontId="1" fillId="0" borderId="3" xfId="2" applyNumberFormat="1" applyFont="1" applyBorder="1" applyAlignment="1">
      <alignment horizontal="center" vertical="center"/>
    </xf>
    <xf numFmtId="165" fontId="4" fillId="0" borderId="2" xfId="2" applyFont="1" applyFill="1" applyBorder="1" applyAlignment="1">
      <alignment horizontal="center" vertical="center"/>
    </xf>
    <xf numFmtId="165" fontId="4" fillId="0" borderId="3" xfId="2" applyFont="1" applyFill="1" applyBorder="1" applyAlignment="1">
      <alignment horizontal="center" vertical="center"/>
    </xf>
    <xf numFmtId="166" fontId="1" fillId="0" borderId="2" xfId="2" applyNumberFormat="1" applyFont="1" applyFill="1" applyBorder="1" applyAlignment="1">
      <alignment vertical="top"/>
    </xf>
    <xf numFmtId="49" fontId="1" fillId="0" borderId="2" xfId="2" applyNumberFormat="1" applyFont="1" applyFill="1" applyBorder="1" applyAlignment="1">
      <alignment horizontal="center" vertical="top"/>
    </xf>
    <xf numFmtId="165" fontId="1" fillId="0" borderId="2" xfId="2" applyFont="1" applyFill="1" applyBorder="1" applyAlignment="1">
      <alignment horizontal="left" vertical="top" wrapText="1"/>
    </xf>
    <xf numFmtId="49" fontId="1" fillId="0" borderId="3" xfId="2" applyNumberFormat="1" applyFont="1" applyFill="1" applyBorder="1" applyAlignment="1" applyProtection="1">
      <alignment horizontal="left" vertical="top" wrapText="1"/>
      <protection locked="0"/>
    </xf>
    <xf numFmtId="49" fontId="1" fillId="0" borderId="6" xfId="2" applyNumberFormat="1" applyFont="1" applyFill="1" applyBorder="1" applyAlignment="1" applyProtection="1">
      <alignment horizontal="center" vertical="top"/>
      <protection locked="0"/>
    </xf>
    <xf numFmtId="165" fontId="6" fillId="0" borderId="20" xfId="2" applyFont="1" applyFill="1" applyBorder="1" applyAlignment="1">
      <alignment vertical="top"/>
    </xf>
    <xf numFmtId="0" fontId="6" fillId="0" borderId="0" xfId="0" applyFont="1" applyBorder="1"/>
    <xf numFmtId="165" fontId="9" fillId="0" borderId="21" xfId="2" applyFont="1" applyFill="1" applyBorder="1" applyAlignment="1">
      <alignment vertical="top"/>
    </xf>
    <xf numFmtId="165" fontId="5" fillId="0" borderId="21" xfId="2" applyFont="1" applyFill="1" applyBorder="1" applyAlignment="1">
      <alignment vertical="top" wrapText="1"/>
    </xf>
    <xf numFmtId="164" fontId="6" fillId="0" borderId="22" xfId="4" applyFont="1" applyBorder="1"/>
    <xf numFmtId="164" fontId="6" fillId="0" borderId="21" xfId="4" applyFont="1" applyBorder="1"/>
    <xf numFmtId="165" fontId="9" fillId="0" borderId="10" xfId="2" applyFont="1" applyFill="1" applyBorder="1" applyAlignment="1">
      <alignment vertical="top"/>
    </xf>
    <xf numFmtId="164" fontId="7" fillId="0" borderId="23" xfId="4" applyFont="1" applyBorder="1"/>
    <xf numFmtId="165" fontId="4" fillId="0" borderId="0" xfId="2" applyFont="1" applyFill="1" applyAlignment="1">
      <alignment horizontal="center" vertical="center" wrapText="1"/>
    </xf>
    <xf numFmtId="165" fontId="4" fillId="0" borderId="3" xfId="2" applyFont="1" applyFill="1" applyBorder="1" applyAlignment="1">
      <alignment horizontal="center" vertical="center" wrapText="1"/>
    </xf>
    <xf numFmtId="165" fontId="4" fillId="0" borderId="19" xfId="2" applyFont="1" applyFill="1" applyBorder="1" applyAlignment="1">
      <alignment horizontal="center" vertical="center" wrapText="1"/>
    </xf>
    <xf numFmtId="165" fontId="4" fillId="0" borderId="18" xfId="2" applyFont="1" applyFill="1" applyBorder="1" applyAlignment="1">
      <alignment horizontal="center" vertical="center" wrapText="1"/>
    </xf>
    <xf numFmtId="165" fontId="4" fillId="0" borderId="2" xfId="2" applyFont="1" applyFill="1" applyBorder="1" applyAlignment="1">
      <alignment horizontal="center" vertical="center" wrapText="1"/>
    </xf>
    <xf numFmtId="164" fontId="5" fillId="0" borderId="0" xfId="4" applyFont="1" applyFill="1" applyBorder="1" applyAlignment="1">
      <alignment vertical="top"/>
    </xf>
    <xf numFmtId="164" fontId="16" fillId="2" borderId="0" xfId="4" applyFont="1" applyFill="1" applyBorder="1" applyAlignment="1">
      <alignment vertical="top" wrapText="1"/>
    </xf>
    <xf numFmtId="164" fontId="4" fillId="0" borderId="2" xfId="4" applyFont="1" applyFill="1" applyBorder="1" applyAlignment="1">
      <alignment vertical="top" wrapText="1"/>
    </xf>
  </cellXfs>
  <cellStyles count="6">
    <cellStyle name="Euro" xfId="1" xr:uid="{00000000-0005-0000-0000-000000000000}"/>
    <cellStyle name="Komma" xfId="2" builtinId="3"/>
    <cellStyle name="Normal_summary web site jump" xfId="3" xr:uid="{00000000-0005-0000-0000-000002000000}"/>
    <cellStyle name="Standaard" xfId="0" builtinId="0"/>
    <cellStyle name="Valuta" xfId="4" builtinId="4"/>
    <cellStyle name="Valuta 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9</xdr:row>
      <xdr:rowOff>95250</xdr:rowOff>
    </xdr:from>
    <xdr:to>
      <xdr:col>7</xdr:col>
      <xdr:colOff>581025</xdr:colOff>
      <xdr:row>11</xdr:row>
      <xdr:rowOff>85725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124825" y="4314825"/>
          <a:ext cx="295275" cy="476250"/>
        </a:xfrm>
        <a:prstGeom prst="rightBrace">
          <a:avLst>
            <a:gd name="adj1" fmla="val 8333"/>
            <a:gd name="adj2" fmla="val 62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bo\Local%20Settings\Temporary%20Internet%20Files\OLK1\LocLijst%20Gemeente%20Lingewaard%201%20januari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Bestand d.d. 1 januari 2009"/>
      <sheetName val="Polis Recap"/>
    </sheetNames>
    <sheetDataSet>
      <sheetData sheetId="0" refreshError="1">
        <row r="6">
          <cell r="C6">
            <v>109.4</v>
          </cell>
        </row>
        <row r="7">
          <cell r="C7">
            <v>104.5</v>
          </cell>
        </row>
        <row r="8">
          <cell r="C8">
            <v>105.1</v>
          </cell>
        </row>
        <row r="9">
          <cell r="C9">
            <v>102</v>
          </cell>
        </row>
        <row r="15">
          <cell r="C15">
            <v>1.25</v>
          </cell>
        </row>
        <row r="20">
          <cell r="C20">
            <v>0.9</v>
          </cell>
        </row>
        <row r="22">
          <cell r="C22">
            <v>0.72499999999999998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zoomScaleNormal="100" workbookViewId="0">
      <selection activeCell="D19" sqref="D19"/>
    </sheetView>
  </sheetViews>
  <sheetFormatPr defaultRowHeight="12.75" x14ac:dyDescent="0.2"/>
  <cols>
    <col min="1" max="1" width="24.5703125" style="14" bestFit="1" customWidth="1"/>
    <col min="2" max="2" width="22.7109375" style="14" bestFit="1" customWidth="1"/>
    <col min="3" max="3" width="22" style="14" bestFit="1" customWidth="1"/>
    <col min="4" max="4" width="23" style="14" bestFit="1" customWidth="1"/>
    <col min="5" max="5" width="9.140625" style="14"/>
    <col min="6" max="6" width="14.28515625" style="15" bestFit="1" customWidth="1"/>
    <col min="7" max="7" width="12.42578125" style="15" bestFit="1" customWidth="1"/>
    <col min="8" max="8" width="9.140625" style="14"/>
    <col min="9" max="9" width="14.28515625" style="14" bestFit="1" customWidth="1"/>
    <col min="10" max="16384" width="9.140625" style="14"/>
  </cols>
  <sheetData>
    <row r="1" spans="1:9" x14ac:dyDescent="0.2">
      <c r="A1" s="11" t="s">
        <v>139</v>
      </c>
      <c r="B1" s="12"/>
      <c r="C1" s="13"/>
      <c r="D1" s="187"/>
    </row>
    <row r="2" spans="1:9" x14ac:dyDescent="0.2">
      <c r="A2" s="22"/>
      <c r="B2" s="16" t="s">
        <v>57</v>
      </c>
      <c r="C2" s="188"/>
      <c r="D2" s="189"/>
    </row>
    <row r="3" spans="1:9" s="25" customFormat="1" x14ac:dyDescent="0.2">
      <c r="A3" s="27" t="s">
        <v>44</v>
      </c>
      <c r="B3" s="16" t="s">
        <v>55</v>
      </c>
      <c r="C3" s="16" t="s">
        <v>56</v>
      </c>
      <c r="D3" s="189" t="s">
        <v>231</v>
      </c>
      <c r="F3" s="26"/>
      <c r="G3" s="26"/>
    </row>
    <row r="4" spans="1:9" x14ac:dyDescent="0.2">
      <c r="A4" s="17"/>
      <c r="B4" s="18"/>
      <c r="C4" s="18"/>
      <c r="D4" s="190"/>
    </row>
    <row r="5" spans="1:9" x14ac:dyDescent="0.2">
      <c r="A5" s="19" t="s">
        <v>49</v>
      </c>
      <c r="B5" s="20">
        <f>'Gem Bezit'!N81</f>
        <v>122628000</v>
      </c>
      <c r="C5" s="20">
        <f>'Gem Bezit'!O81</f>
        <v>4971900</v>
      </c>
      <c r="D5" s="191"/>
      <c r="I5" s="21"/>
    </row>
    <row r="6" spans="1:9" x14ac:dyDescent="0.2">
      <c r="A6" s="19" t="s">
        <v>53</v>
      </c>
      <c r="B6" s="20">
        <f>'PO en VO'!P31</f>
        <v>137710000</v>
      </c>
      <c r="C6" s="20">
        <f>'PO en VO'!Q31</f>
        <v>17221700</v>
      </c>
      <c r="D6" s="191"/>
    </row>
    <row r="7" spans="1:9" x14ac:dyDescent="0.2">
      <c r="A7" s="19" t="s">
        <v>244</v>
      </c>
      <c r="B7" s="20"/>
      <c r="C7" s="20"/>
      <c r="D7" s="191">
        <f>kunst!F23</f>
        <v>1216800</v>
      </c>
    </row>
    <row r="8" spans="1:9" x14ac:dyDescent="0.2">
      <c r="A8" s="22"/>
      <c r="B8" s="23"/>
      <c r="C8" s="23"/>
      <c r="D8" s="192"/>
    </row>
    <row r="9" spans="1:9" ht="13.5" thickBot="1" x14ac:dyDescent="0.25">
      <c r="A9" s="193" t="s">
        <v>349</v>
      </c>
      <c r="B9" s="24">
        <f>SUM(B5:B8)</f>
        <v>260338000</v>
      </c>
      <c r="C9" s="24">
        <f>SUM(C5:C8)</f>
        <v>22193600</v>
      </c>
      <c r="D9" s="194">
        <f>SUM(D5:D8)</f>
        <v>1216800</v>
      </c>
    </row>
    <row r="10" spans="1:9" x14ac:dyDescent="0.2">
      <c r="B10" s="15"/>
      <c r="C10" s="15"/>
      <c r="D10" s="15"/>
    </row>
    <row r="12" spans="1:9" x14ac:dyDescent="0.2">
      <c r="D12" s="21"/>
    </row>
    <row r="15" spans="1:9" x14ac:dyDescent="0.2">
      <c r="C15" s="21">
        <f>B9+C9+D9</f>
        <v>283748400</v>
      </c>
    </row>
  </sheetData>
  <customSheetViews>
    <customSheetView guid="{7F5D1218-4D93-4B14-B25A-0C03ABC4F8A6}">
      <selection activeCell="B24" sqref="B24"/>
      <pageMargins left="0.74803149606299213" right="0.74803149606299213" top="1.5748031496062993" bottom="0.98425196850393704" header="0.51181102362204722" footer="0.51181102362204722"/>
      <pageSetup paperSize="9" orientation="landscape" r:id="rId1"/>
      <headerFooter alignWithMargins="0">
        <oddFooter>&amp;L&amp;F &amp;A&amp;C&amp;P&amp;R&amp;D</oddFooter>
      </headerFooter>
    </customSheetView>
  </customSheetViews>
  <phoneticPr fontId="3" type="noConversion"/>
  <pageMargins left="0.74803149606299213" right="0.74803149606299213" top="1.5748031496062993" bottom="0.98425196850393704" header="0.51181102362204722" footer="0.51181102362204722"/>
  <pageSetup paperSize="9" orientation="landscape" r:id="rId2"/>
  <headerFooter alignWithMargins="0">
    <oddFooter>&amp;L&amp;F 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81"/>
  <sheetViews>
    <sheetView tabSelected="1" topLeftCell="A7" zoomScaleNormal="100" zoomScaleSheetLayoutView="100" workbookViewId="0">
      <selection activeCell="B15" sqref="B15"/>
    </sheetView>
  </sheetViews>
  <sheetFormatPr defaultRowHeight="12.75" x14ac:dyDescent="0.2"/>
  <cols>
    <col min="1" max="1" width="13.42578125" style="3" customWidth="1"/>
    <col min="2" max="2" width="38.7109375" style="4" customWidth="1"/>
    <col min="3" max="3" width="6.85546875" style="4" hidden="1" customWidth="1"/>
    <col min="4" max="4" width="6.7109375" style="5" hidden="1" customWidth="1"/>
    <col min="5" max="5" width="26.28515625" style="140" bestFit="1" customWidth="1"/>
    <col min="6" max="6" width="11.5703125" style="6" bestFit="1" customWidth="1"/>
    <col min="7" max="7" width="15" style="6" customWidth="1"/>
    <col min="8" max="8" width="16" style="1" hidden="1" customWidth="1"/>
    <col min="9" max="11" width="15.7109375" style="1" hidden="1" customWidth="1"/>
    <col min="12" max="12" width="20.28515625" style="1" hidden="1" customWidth="1"/>
    <col min="13" max="13" width="17.28515625" style="1" hidden="1" customWidth="1"/>
    <col min="14" max="15" width="17.28515625" style="1" customWidth="1"/>
    <col min="16" max="16" width="52" style="88" customWidth="1"/>
    <col min="17" max="17" width="61.140625" style="88" customWidth="1"/>
    <col min="18" max="18" width="25" style="88" customWidth="1"/>
    <col min="19" max="25" width="9.140625" style="1" customWidth="1"/>
    <col min="26" max="26" width="28.85546875" style="1" customWidth="1"/>
    <col min="27" max="27" width="18.5703125" style="1" customWidth="1"/>
    <col min="28" max="16384" width="9.140625" style="1"/>
  </cols>
  <sheetData>
    <row r="1" spans="1:33" s="7" customFormat="1" ht="25.5" customHeight="1" x14ac:dyDescent="0.2">
      <c r="A1" s="37" t="s">
        <v>0</v>
      </c>
      <c r="B1" s="39" t="s">
        <v>1</v>
      </c>
      <c r="C1" s="38" t="s">
        <v>2</v>
      </c>
      <c r="D1" s="39"/>
      <c r="E1" s="135" t="s">
        <v>3</v>
      </c>
      <c r="F1" s="38" t="s">
        <v>140</v>
      </c>
      <c r="G1" s="38" t="s">
        <v>141</v>
      </c>
      <c r="H1" s="40" t="s">
        <v>236</v>
      </c>
      <c r="I1" s="40" t="s">
        <v>237</v>
      </c>
      <c r="J1" s="40" t="s">
        <v>259</v>
      </c>
      <c r="K1" s="40" t="s">
        <v>260</v>
      </c>
      <c r="L1" s="40" t="s">
        <v>341</v>
      </c>
      <c r="M1" s="40" t="s">
        <v>342</v>
      </c>
      <c r="N1" s="40" t="s">
        <v>347</v>
      </c>
      <c r="O1" s="40" t="s">
        <v>348</v>
      </c>
      <c r="P1" s="87"/>
      <c r="Q1" s="87"/>
      <c r="R1" s="87"/>
      <c r="S1" s="195" t="s">
        <v>283</v>
      </c>
      <c r="T1" s="195"/>
      <c r="U1" s="195"/>
      <c r="V1" s="195"/>
      <c r="W1" s="154" t="s">
        <v>284</v>
      </c>
      <c r="X1" s="195" t="s">
        <v>286</v>
      </c>
      <c r="Y1" s="195"/>
      <c r="Z1" s="155" t="s">
        <v>321</v>
      </c>
      <c r="AA1" s="33" t="s">
        <v>408</v>
      </c>
    </row>
    <row r="2" spans="1:33" s="2" customFormat="1" x14ac:dyDescent="0.2">
      <c r="B2" s="41" t="s">
        <v>4</v>
      </c>
      <c r="C2" s="9"/>
      <c r="D2" s="42"/>
      <c r="E2" s="136"/>
      <c r="F2" s="43"/>
      <c r="G2" s="43"/>
      <c r="H2" s="44" t="s">
        <v>238</v>
      </c>
      <c r="I2" s="44" t="s">
        <v>239</v>
      </c>
      <c r="J2" s="44" t="s">
        <v>261</v>
      </c>
      <c r="K2" s="44" t="s">
        <v>262</v>
      </c>
      <c r="L2" s="44" t="s">
        <v>343</v>
      </c>
      <c r="M2" s="44" t="s">
        <v>344</v>
      </c>
      <c r="N2" s="44" t="s">
        <v>426</v>
      </c>
      <c r="O2" s="44" t="s">
        <v>427</v>
      </c>
      <c r="P2" s="90"/>
      <c r="Q2" s="90"/>
      <c r="R2" s="90"/>
      <c r="S2" s="91" t="s">
        <v>280</v>
      </c>
      <c r="T2" s="91" t="s">
        <v>282</v>
      </c>
      <c r="U2" s="91" t="s">
        <v>281</v>
      </c>
      <c r="V2" s="91" t="s">
        <v>289</v>
      </c>
      <c r="W2" s="91" t="s">
        <v>285</v>
      </c>
      <c r="X2" s="91" t="s">
        <v>285</v>
      </c>
      <c r="Y2" s="113" t="s">
        <v>288</v>
      </c>
      <c r="Z2" s="118"/>
      <c r="AA2" s="100" t="s">
        <v>409</v>
      </c>
    </row>
    <row r="3" spans="1:33" s="46" customFormat="1" ht="25.5" x14ac:dyDescent="0.2">
      <c r="A3" s="70">
        <v>60608</v>
      </c>
      <c r="B3" s="146" t="s">
        <v>119</v>
      </c>
      <c r="C3" s="137">
        <v>0</v>
      </c>
      <c r="D3" s="147" t="s">
        <v>35</v>
      </c>
      <c r="E3" s="137" t="s">
        <v>118</v>
      </c>
      <c r="F3" s="69" t="s">
        <v>142</v>
      </c>
      <c r="G3" s="137" t="s">
        <v>62</v>
      </c>
      <c r="H3" s="45">
        <v>4222200</v>
      </c>
      <c r="I3" s="45">
        <v>79200</v>
      </c>
      <c r="J3" s="72">
        <f>ROUND(H3/125.8*134.2,-2)</f>
        <v>4504100</v>
      </c>
      <c r="K3" s="72">
        <f>ROUND(I3/118.2*120.4,-2)</f>
        <v>80700</v>
      </c>
      <c r="L3" s="121">
        <f>ROUND(J3/134.2*144.3,-2)+291763</f>
        <v>5134863</v>
      </c>
      <c r="M3" s="121">
        <f>ROUND(K3/120.4*122.3,-2)</f>
        <v>82000</v>
      </c>
      <c r="N3" s="121">
        <v>5930000</v>
      </c>
      <c r="O3" s="121">
        <v>82000</v>
      </c>
      <c r="P3" s="72" t="s">
        <v>382</v>
      </c>
      <c r="Q3" s="75" t="s">
        <v>359</v>
      </c>
      <c r="R3" s="92"/>
      <c r="S3" s="93"/>
      <c r="T3" s="93"/>
      <c r="U3" s="109" t="s">
        <v>287</v>
      </c>
      <c r="V3" s="109" t="s">
        <v>287</v>
      </c>
      <c r="W3" s="93"/>
      <c r="X3" s="109" t="s">
        <v>287</v>
      </c>
      <c r="Y3" s="114" t="s">
        <v>287</v>
      </c>
      <c r="Z3" s="119" t="s">
        <v>316</v>
      </c>
      <c r="AA3" s="162">
        <v>42846</v>
      </c>
    </row>
    <row r="4" spans="1:33" s="47" customFormat="1" x14ac:dyDescent="0.2">
      <c r="A4" s="70">
        <v>60506</v>
      </c>
      <c r="B4" s="146" t="s">
        <v>120</v>
      </c>
      <c r="C4" s="137" t="s">
        <v>10</v>
      </c>
      <c r="D4" s="147"/>
      <c r="E4" s="137" t="s">
        <v>83</v>
      </c>
      <c r="F4" s="69" t="s">
        <v>143</v>
      </c>
      <c r="G4" s="137" t="s">
        <v>62</v>
      </c>
      <c r="H4" s="45">
        <v>379900</v>
      </c>
      <c r="I4" s="45">
        <v>0</v>
      </c>
      <c r="J4" s="72">
        <f>ROUND(H4/125.8*134.2,-2)</f>
        <v>405300</v>
      </c>
      <c r="K4" s="72">
        <f>ROUND(I4/118.2*120.4,-2)</f>
        <v>0</v>
      </c>
      <c r="L4" s="121">
        <f>ROUND(J4/134.2*144.3,-2)</f>
        <v>435800</v>
      </c>
      <c r="M4" s="121">
        <f>ROUND(K4/120.4*122.3,-2)</f>
        <v>0</v>
      </c>
      <c r="N4" s="121">
        <v>470000</v>
      </c>
      <c r="O4" s="121">
        <f>ROUND(M4/122.3*124.6,-2)</f>
        <v>0</v>
      </c>
      <c r="P4" s="72" t="s">
        <v>382</v>
      </c>
      <c r="Q4" s="93"/>
      <c r="R4" s="92"/>
      <c r="S4" s="93"/>
      <c r="T4" s="93"/>
      <c r="U4" s="93"/>
      <c r="V4" s="93"/>
      <c r="W4" s="93"/>
      <c r="X4" s="93"/>
      <c r="Y4" s="117"/>
      <c r="Z4" s="72" t="s">
        <v>317</v>
      </c>
      <c r="AA4" s="162">
        <v>43283</v>
      </c>
      <c r="AB4" s="46"/>
      <c r="AC4" s="46"/>
      <c r="AD4" s="46"/>
      <c r="AE4" s="46"/>
      <c r="AF4" s="46"/>
      <c r="AG4" s="46"/>
    </row>
    <row r="5" spans="1:33" s="46" customFormat="1" x14ac:dyDescent="0.2">
      <c r="A5" s="70">
        <v>60506</v>
      </c>
      <c r="B5" s="146" t="s">
        <v>121</v>
      </c>
      <c r="C5" s="137"/>
      <c r="D5" s="147"/>
      <c r="E5" s="137" t="s">
        <v>144</v>
      </c>
      <c r="F5" s="69" t="s">
        <v>145</v>
      </c>
      <c r="G5" s="137" t="s">
        <v>62</v>
      </c>
      <c r="H5" s="45">
        <v>32500</v>
      </c>
      <c r="I5" s="45">
        <v>0</v>
      </c>
      <c r="J5" s="72">
        <f>ROUND(H5/125.8*134.2,-2)</f>
        <v>34700</v>
      </c>
      <c r="K5" s="72">
        <f>ROUND(I5/118.2*120.4,-2)</f>
        <v>0</v>
      </c>
      <c r="L5" s="121">
        <f>ROUND(J5/134.2*144.3,-2)</f>
        <v>37300</v>
      </c>
      <c r="M5" s="121">
        <f>ROUND(K5/120.4*122.3,-2)</f>
        <v>0</v>
      </c>
      <c r="N5" s="121">
        <v>60000</v>
      </c>
      <c r="O5" s="121">
        <f>ROUND(M5/122.3*124.6,-2)</f>
        <v>0</v>
      </c>
      <c r="P5" s="72" t="s">
        <v>382</v>
      </c>
      <c r="Q5" s="93"/>
      <c r="R5" s="90" t="s">
        <v>407</v>
      </c>
      <c r="S5" s="96"/>
      <c r="T5" s="96"/>
      <c r="U5" s="96"/>
      <c r="V5" s="96"/>
      <c r="W5" s="96"/>
      <c r="X5" s="96"/>
      <c r="Y5" s="116"/>
      <c r="Z5" s="79" t="s">
        <v>317</v>
      </c>
      <c r="AA5" s="163" t="s">
        <v>410</v>
      </c>
      <c r="AB5" s="47"/>
      <c r="AC5" s="47"/>
      <c r="AD5" s="47"/>
      <c r="AE5" s="47"/>
      <c r="AF5" s="47"/>
      <c r="AG5" s="47"/>
    </row>
    <row r="6" spans="1:33" s="46" customFormat="1" x14ac:dyDescent="0.2">
      <c r="A6" s="70">
        <v>60506</v>
      </c>
      <c r="B6" s="146" t="s">
        <v>24</v>
      </c>
      <c r="C6" s="137" t="s">
        <v>10</v>
      </c>
      <c r="D6" s="147"/>
      <c r="E6" s="137" t="s">
        <v>80</v>
      </c>
      <c r="F6" s="69" t="s">
        <v>145</v>
      </c>
      <c r="G6" s="137" t="s">
        <v>62</v>
      </c>
      <c r="H6" s="45">
        <v>1193900</v>
      </c>
      <c r="I6" s="45">
        <v>0</v>
      </c>
      <c r="J6" s="72">
        <f>ROUND(H6/125.8*134.2,-2)</f>
        <v>1273600</v>
      </c>
      <c r="K6" s="72">
        <f>ROUND(I6/118.2*120.4,-2)</f>
        <v>0</v>
      </c>
      <c r="L6" s="121">
        <f>ROUND(J6/134.2*144.3,-2)</f>
        <v>1369500</v>
      </c>
      <c r="M6" s="121">
        <f>ROUND(K6/120.4*122.3,-2)</f>
        <v>0</v>
      </c>
      <c r="N6" s="121">
        <v>1370000</v>
      </c>
      <c r="O6" s="121">
        <f>ROUND(M6/122.3*124.6,-2)</f>
        <v>0</v>
      </c>
      <c r="P6" s="72" t="s">
        <v>382</v>
      </c>
      <c r="Q6" s="93"/>
      <c r="R6" s="92"/>
      <c r="S6" s="93"/>
      <c r="T6" s="93"/>
      <c r="U6" s="93"/>
      <c r="V6" s="93"/>
      <c r="W6" s="93"/>
      <c r="X6" s="93"/>
      <c r="Y6" s="117"/>
      <c r="Z6" s="72"/>
      <c r="AA6" s="162">
        <v>43283</v>
      </c>
    </row>
    <row r="7" spans="1:33" s="46" customFormat="1" x14ac:dyDescent="0.2">
      <c r="A7" s="70">
        <v>60517</v>
      </c>
      <c r="B7" s="146" t="s">
        <v>31</v>
      </c>
      <c r="C7" s="137">
        <v>0</v>
      </c>
      <c r="D7" s="147"/>
      <c r="E7" s="137" t="s">
        <v>88</v>
      </c>
      <c r="F7" s="69" t="s">
        <v>146</v>
      </c>
      <c r="G7" s="137" t="s">
        <v>60</v>
      </c>
      <c r="H7" s="45">
        <v>70500</v>
      </c>
      <c r="I7" s="45">
        <v>0</v>
      </c>
      <c r="J7" s="72">
        <f>ROUND(H7/125.8*134.2,-2)</f>
        <v>75200</v>
      </c>
      <c r="K7" s="72">
        <f>ROUND(I7/118.2*120.4,-2)</f>
        <v>0</v>
      </c>
      <c r="L7" s="121">
        <f>ROUND(J7/134.2*144.3,-2)</f>
        <v>80900</v>
      </c>
      <c r="M7" s="121">
        <f>ROUND(K7/120.4*122.3,-2)</f>
        <v>0</v>
      </c>
      <c r="N7" s="121">
        <v>90000</v>
      </c>
      <c r="O7" s="121">
        <f>ROUND(M7/122.3*124.6,-2)</f>
        <v>0</v>
      </c>
      <c r="P7" s="72" t="s">
        <v>388</v>
      </c>
      <c r="Q7" s="93"/>
      <c r="R7" s="92"/>
      <c r="S7" s="93"/>
      <c r="T7" s="93"/>
      <c r="U7" s="93"/>
      <c r="V7" s="93"/>
      <c r="W7" s="93"/>
      <c r="X7" s="93"/>
      <c r="Y7" s="117"/>
      <c r="Z7" s="72" t="s">
        <v>317</v>
      </c>
      <c r="AA7" s="162">
        <v>44117</v>
      </c>
    </row>
    <row r="8" spans="1:33" s="46" customFormat="1" x14ac:dyDescent="0.2">
      <c r="A8" s="70">
        <v>60004</v>
      </c>
      <c r="B8" s="146" t="s">
        <v>235</v>
      </c>
      <c r="C8" s="137">
        <v>0</v>
      </c>
      <c r="D8" s="147"/>
      <c r="E8" s="137" t="s">
        <v>102</v>
      </c>
      <c r="F8" s="69" t="s">
        <v>146</v>
      </c>
      <c r="G8" s="137" t="s">
        <v>60</v>
      </c>
      <c r="H8" s="45">
        <v>1590000</v>
      </c>
      <c r="I8" s="45">
        <v>0</v>
      </c>
      <c r="J8" s="72">
        <f>ROUND(H8/125.8*134.2,-2)</f>
        <v>1696200</v>
      </c>
      <c r="K8" s="72">
        <f>ROUND(I8/118.2*120.4,-2)</f>
        <v>0</v>
      </c>
      <c r="L8" s="121">
        <f>ROUND(J8/134.2*144.3,-2)</f>
        <v>1823900</v>
      </c>
      <c r="M8" s="121">
        <f>ROUND(K8/120.4*122.3,-2)</f>
        <v>0</v>
      </c>
      <c r="N8" s="121">
        <v>1970000</v>
      </c>
      <c r="O8" s="121">
        <f>ROUND(M8/122.3*124.6,-2)</f>
        <v>0</v>
      </c>
      <c r="P8" s="72" t="s">
        <v>388</v>
      </c>
      <c r="Q8" s="93"/>
      <c r="R8" s="94"/>
      <c r="S8" s="95"/>
      <c r="T8" s="95"/>
      <c r="U8" s="95"/>
      <c r="V8" s="109" t="s">
        <v>287</v>
      </c>
      <c r="W8" s="95" t="s">
        <v>290</v>
      </c>
      <c r="X8" s="95"/>
      <c r="Y8" s="115"/>
      <c r="Z8" s="94"/>
      <c r="AA8" s="178">
        <v>41589</v>
      </c>
      <c r="AB8" s="86"/>
      <c r="AC8" s="86"/>
      <c r="AD8" s="86"/>
      <c r="AE8" s="61"/>
      <c r="AF8" s="61"/>
      <c r="AG8" s="61"/>
    </row>
    <row r="9" spans="1:33" s="46" customFormat="1" x14ac:dyDescent="0.2">
      <c r="A9" s="70">
        <v>60004</v>
      </c>
      <c r="B9" s="146" t="s">
        <v>46</v>
      </c>
      <c r="C9" s="137"/>
      <c r="D9" s="147"/>
      <c r="E9" s="137" t="s">
        <v>99</v>
      </c>
      <c r="F9" s="69" t="s">
        <v>149</v>
      </c>
      <c r="G9" s="137" t="s">
        <v>60</v>
      </c>
      <c r="H9" s="45">
        <v>48800</v>
      </c>
      <c r="I9" s="45">
        <v>0</v>
      </c>
      <c r="J9" s="72">
        <f>ROUND(H9/125.8*134.2,-2)</f>
        <v>52100</v>
      </c>
      <c r="K9" s="72">
        <f>ROUND(I9/118.2*120.4,-2)</f>
        <v>0</v>
      </c>
      <c r="L9" s="121">
        <f>ROUND(J9/134.2*144.3,-2)</f>
        <v>56000</v>
      </c>
      <c r="M9" s="121">
        <f>ROUND(K9/120.4*122.3,-2)</f>
        <v>0</v>
      </c>
      <c r="N9" s="121">
        <v>75000</v>
      </c>
      <c r="O9" s="121">
        <f>ROUND(M9/122.3*124.6,-2)</f>
        <v>0</v>
      </c>
      <c r="P9" s="72" t="s">
        <v>388</v>
      </c>
      <c r="Q9" s="93"/>
      <c r="R9" s="90"/>
      <c r="S9" s="96"/>
      <c r="T9" s="96"/>
      <c r="U9" s="96"/>
      <c r="V9" s="96"/>
      <c r="W9" s="96"/>
      <c r="X9" s="96"/>
      <c r="Y9" s="116"/>
      <c r="Z9" s="79"/>
      <c r="AA9" s="179" t="s">
        <v>411</v>
      </c>
      <c r="AB9" s="47"/>
      <c r="AC9" s="47"/>
      <c r="AD9" s="47"/>
      <c r="AE9" s="47"/>
      <c r="AF9" s="47"/>
      <c r="AG9" s="47"/>
    </row>
    <row r="10" spans="1:33" s="46" customFormat="1" x14ac:dyDescent="0.2">
      <c r="A10" s="70">
        <v>60004</v>
      </c>
      <c r="B10" s="146" t="s">
        <v>416</v>
      </c>
      <c r="C10" s="137">
        <v>0</v>
      </c>
      <c r="D10" s="147"/>
      <c r="E10" s="137" t="s">
        <v>99</v>
      </c>
      <c r="F10" s="69" t="s">
        <v>149</v>
      </c>
      <c r="G10" s="137" t="s">
        <v>60</v>
      </c>
      <c r="H10" s="45">
        <v>59700</v>
      </c>
      <c r="I10" s="45">
        <v>0</v>
      </c>
      <c r="J10" s="72">
        <f>ROUND(H10/125.8*134.2,-2)</f>
        <v>63700</v>
      </c>
      <c r="K10" s="72">
        <f>ROUND(I10/118.2*120.4,-2)</f>
        <v>0</v>
      </c>
      <c r="L10" s="121">
        <f>ROUND(J10/134.2*144.3,-2)</f>
        <v>68500</v>
      </c>
      <c r="M10" s="121">
        <f>ROUND(K10/120.4*122.3,-2)</f>
        <v>0</v>
      </c>
      <c r="N10" s="121">
        <v>77000</v>
      </c>
      <c r="O10" s="121">
        <f>ROUND(M10/122.3*124.6,-2)</f>
        <v>0</v>
      </c>
      <c r="P10" s="72" t="s">
        <v>388</v>
      </c>
      <c r="Q10" s="93"/>
      <c r="R10" s="92"/>
      <c r="S10" s="93"/>
      <c r="T10" s="109" t="s">
        <v>287</v>
      </c>
      <c r="U10" s="93"/>
      <c r="V10" s="93"/>
      <c r="W10" s="93"/>
      <c r="X10" s="93"/>
      <c r="Y10" s="117"/>
      <c r="Z10" s="72"/>
      <c r="AA10" s="162" t="s">
        <v>412</v>
      </c>
    </row>
    <row r="11" spans="1:33" s="46" customFormat="1" x14ac:dyDescent="0.2">
      <c r="A11" s="70">
        <v>60057</v>
      </c>
      <c r="B11" s="146" t="s">
        <v>9</v>
      </c>
      <c r="C11" s="137" t="s">
        <v>10</v>
      </c>
      <c r="D11" s="147" t="s">
        <v>8</v>
      </c>
      <c r="E11" s="137" t="s">
        <v>67</v>
      </c>
      <c r="F11" s="69" t="s">
        <v>150</v>
      </c>
      <c r="G11" s="137" t="s">
        <v>60</v>
      </c>
      <c r="H11" s="45">
        <v>4884400</v>
      </c>
      <c r="I11" s="45">
        <v>369700</v>
      </c>
      <c r="J11" s="72">
        <f>ROUND(H11/125.8*134.2,-2)</f>
        <v>5210500</v>
      </c>
      <c r="K11" s="72">
        <f>ROUND(I11/118.2*120.4,-2)</f>
        <v>376600</v>
      </c>
      <c r="L11" s="121">
        <f>ROUND(J11/134.2*144.3,-2)</f>
        <v>5602600</v>
      </c>
      <c r="M11" s="121">
        <f>ROUND(K11/120.4*122.3,-2)</f>
        <v>382500</v>
      </c>
      <c r="N11" s="121">
        <v>6220000</v>
      </c>
      <c r="O11" s="121">
        <v>390000</v>
      </c>
      <c r="P11" s="72" t="s">
        <v>388</v>
      </c>
      <c r="Q11" s="72" t="s">
        <v>351</v>
      </c>
      <c r="R11" s="92"/>
      <c r="S11" s="93"/>
      <c r="T11" s="109" t="s">
        <v>287</v>
      </c>
      <c r="U11" s="109" t="s">
        <v>287</v>
      </c>
      <c r="V11" s="109" t="s">
        <v>287</v>
      </c>
      <c r="W11" s="93" t="s">
        <v>290</v>
      </c>
      <c r="X11" s="93"/>
      <c r="Y11" s="117"/>
      <c r="Z11" s="72"/>
      <c r="AA11" s="165" t="s">
        <v>413</v>
      </c>
    </row>
    <row r="12" spans="1:33" s="47" customFormat="1" x14ac:dyDescent="0.2">
      <c r="A12" s="70">
        <v>60057</v>
      </c>
      <c r="B12" s="146" t="s">
        <v>12</v>
      </c>
      <c r="C12" s="137" t="s">
        <v>10</v>
      </c>
      <c r="D12" s="147"/>
      <c r="E12" s="137" t="s">
        <v>69</v>
      </c>
      <c r="F12" s="69" t="s">
        <v>150</v>
      </c>
      <c r="G12" s="137" t="s">
        <v>60</v>
      </c>
      <c r="H12" s="45">
        <v>14490300</v>
      </c>
      <c r="I12" s="45">
        <v>1214700</v>
      </c>
      <c r="J12" s="92">
        <f>ROUND(H12/125.8*134.2,-2)+284391</f>
        <v>15742291</v>
      </c>
      <c r="K12" s="72">
        <f>ROUND(I12/118.2*120.4,-2)</f>
        <v>1237300</v>
      </c>
      <c r="L12" s="121">
        <f>ROUND(J12/134.2*144.3,-2)+344137</f>
        <v>17271237</v>
      </c>
      <c r="M12" s="121">
        <f>ROUND(K12/120.4*122.3,-2)</f>
        <v>1256800</v>
      </c>
      <c r="N12" s="121">
        <v>18430000</v>
      </c>
      <c r="O12" s="121">
        <f>ROUND(M12/122.3*124.6,-2)</f>
        <v>1280400</v>
      </c>
      <c r="P12" s="72" t="s">
        <v>388</v>
      </c>
      <c r="Q12" s="93"/>
      <c r="R12" s="92"/>
      <c r="S12" s="93"/>
      <c r="T12" s="109" t="s">
        <v>287</v>
      </c>
      <c r="U12" s="109" t="s">
        <v>287</v>
      </c>
      <c r="V12" s="109" t="s">
        <v>287</v>
      </c>
      <c r="W12" s="93"/>
      <c r="X12" s="109" t="s">
        <v>287</v>
      </c>
      <c r="Y12" s="117"/>
      <c r="Z12" s="72" t="s">
        <v>318</v>
      </c>
      <c r="AA12" s="165" t="s">
        <v>413</v>
      </c>
      <c r="AB12" s="46"/>
      <c r="AC12" s="46"/>
      <c r="AD12" s="46"/>
      <c r="AE12" s="46"/>
      <c r="AF12" s="46"/>
      <c r="AG12" s="46"/>
    </row>
    <row r="13" spans="1:33" s="46" customFormat="1" x14ac:dyDescent="0.2">
      <c r="A13" s="70">
        <v>60057</v>
      </c>
      <c r="B13" s="146" t="s">
        <v>11</v>
      </c>
      <c r="C13" s="137" t="s">
        <v>7</v>
      </c>
      <c r="D13" s="147" t="s">
        <v>8</v>
      </c>
      <c r="E13" s="137" t="s">
        <v>68</v>
      </c>
      <c r="F13" s="69" t="s">
        <v>150</v>
      </c>
      <c r="G13" s="137" t="s">
        <v>60</v>
      </c>
      <c r="H13" s="45">
        <v>667500</v>
      </c>
      <c r="I13" s="45">
        <v>100300</v>
      </c>
      <c r="J13" s="72">
        <f t="shared" ref="J13:J25" si="0">ROUND(H13/125.8*134.2,-2)</f>
        <v>712100</v>
      </c>
      <c r="K13" s="72">
        <f>ROUND(I13/118.2*120.4,-2)</f>
        <v>102200</v>
      </c>
      <c r="L13" s="121">
        <f>ROUND(J13/134.2*144.3,-2)</f>
        <v>765700</v>
      </c>
      <c r="M13" s="121">
        <f>ROUND(K13/120.4*122.3,-2)</f>
        <v>103800</v>
      </c>
      <c r="N13" s="121">
        <v>820000</v>
      </c>
      <c r="O13" s="121">
        <v>110000</v>
      </c>
      <c r="P13" s="72" t="s">
        <v>388</v>
      </c>
      <c r="Q13" s="72" t="s">
        <v>351</v>
      </c>
      <c r="R13" s="92"/>
      <c r="S13" s="93"/>
      <c r="T13" s="109" t="s">
        <v>287</v>
      </c>
      <c r="U13" s="109" t="s">
        <v>287</v>
      </c>
      <c r="V13" s="109" t="s">
        <v>287</v>
      </c>
      <c r="W13" s="93"/>
      <c r="X13" s="93"/>
      <c r="Y13" s="117"/>
      <c r="Z13" s="72"/>
      <c r="AA13" s="165" t="s">
        <v>413</v>
      </c>
    </row>
    <row r="14" spans="1:33" s="46" customFormat="1" x14ac:dyDescent="0.2">
      <c r="A14" s="70">
        <v>60517</v>
      </c>
      <c r="B14" s="146" t="s">
        <v>199</v>
      </c>
      <c r="C14" s="137">
        <v>0</v>
      </c>
      <c r="D14" s="147"/>
      <c r="E14" s="137" t="s">
        <v>122</v>
      </c>
      <c r="F14" s="69" t="s">
        <v>150</v>
      </c>
      <c r="G14" s="137" t="s">
        <v>60</v>
      </c>
      <c r="H14" s="45">
        <v>27200</v>
      </c>
      <c r="I14" s="45">
        <v>0</v>
      </c>
      <c r="J14" s="72">
        <f t="shared" si="0"/>
        <v>29000</v>
      </c>
      <c r="K14" s="72">
        <f>ROUND(I14/118.2*120.4,-2)</f>
        <v>0</v>
      </c>
      <c r="L14" s="121">
        <f>ROUND(J14/134.2*144.3,-2)</f>
        <v>31200</v>
      </c>
      <c r="M14" s="121">
        <f>ROUND(K14/120.4*122.3,-2)</f>
        <v>0</v>
      </c>
      <c r="N14" s="121">
        <v>35000</v>
      </c>
      <c r="O14" s="121">
        <f>ROUND(M14/122.3*124.6,-2)</f>
        <v>0</v>
      </c>
      <c r="P14" s="72" t="s">
        <v>388</v>
      </c>
      <c r="Q14" s="93"/>
      <c r="R14" s="90"/>
      <c r="S14" s="93"/>
      <c r="T14" s="93"/>
      <c r="U14" s="93"/>
      <c r="V14" s="93"/>
      <c r="W14" s="93"/>
      <c r="X14" s="93"/>
      <c r="Y14" s="117"/>
      <c r="Z14" s="72" t="s">
        <v>319</v>
      </c>
      <c r="AA14" s="162">
        <v>43773</v>
      </c>
    </row>
    <row r="15" spans="1:33" s="46" customFormat="1" x14ac:dyDescent="0.2">
      <c r="A15" s="70"/>
      <c r="B15" s="146" t="s">
        <v>203</v>
      </c>
      <c r="C15" s="137"/>
      <c r="D15" s="147"/>
      <c r="E15" s="137" t="s">
        <v>204</v>
      </c>
      <c r="F15" s="69"/>
      <c r="G15" s="137" t="s">
        <v>60</v>
      </c>
      <c r="H15" s="45">
        <v>20900</v>
      </c>
      <c r="I15" s="45">
        <v>0</v>
      </c>
      <c r="J15" s="72">
        <f t="shared" si="0"/>
        <v>22300</v>
      </c>
      <c r="K15" s="72">
        <f>ROUND(I15/118.2*120.4,-2)</f>
        <v>0</v>
      </c>
      <c r="L15" s="121">
        <f>ROUND(J15/134.2*144.3,-2)</f>
        <v>24000</v>
      </c>
      <c r="M15" s="121">
        <f>ROUND(K15/120.4*122.3,-2)</f>
        <v>0</v>
      </c>
      <c r="N15" s="121">
        <v>39000</v>
      </c>
      <c r="O15" s="121">
        <f>ROUND(M15/122.3*124.6,-2)</f>
        <v>0</v>
      </c>
      <c r="P15" s="72" t="s">
        <v>388</v>
      </c>
      <c r="Q15" s="93"/>
      <c r="R15" s="90"/>
      <c r="S15" s="93"/>
      <c r="T15" s="93"/>
      <c r="U15" s="93"/>
      <c r="V15" s="93"/>
      <c r="W15" s="93"/>
      <c r="X15" s="93"/>
      <c r="Y15" s="117"/>
      <c r="Z15" s="72" t="s">
        <v>320</v>
      </c>
      <c r="AA15" s="162" t="s">
        <v>411</v>
      </c>
    </row>
    <row r="16" spans="1:33" s="47" customFormat="1" ht="38.25" x14ac:dyDescent="0.2">
      <c r="A16" s="70">
        <v>60057</v>
      </c>
      <c r="B16" s="146" t="s">
        <v>297</v>
      </c>
      <c r="C16" s="137"/>
      <c r="D16" s="147"/>
      <c r="E16" s="137" t="s">
        <v>264</v>
      </c>
      <c r="F16" s="69" t="s">
        <v>151</v>
      </c>
      <c r="G16" s="137" t="s">
        <v>60</v>
      </c>
      <c r="H16" s="45">
        <v>2116600</v>
      </c>
      <c r="I16" s="45">
        <v>290500</v>
      </c>
      <c r="J16" s="72">
        <f t="shared" si="0"/>
        <v>2257900</v>
      </c>
      <c r="K16" s="72">
        <f>ROUND(I16/118.2*120.4,-2)</f>
        <v>295900</v>
      </c>
      <c r="L16" s="121">
        <f>ROUND(J16/134.2*144.3,-2)+280936</f>
        <v>2708736</v>
      </c>
      <c r="M16" s="121">
        <f>ROUND(K16/120.4*122.3,-2)</f>
        <v>300600</v>
      </c>
      <c r="N16" s="121">
        <v>3150000</v>
      </c>
      <c r="O16" s="121">
        <f>305000+85000</f>
        <v>390000</v>
      </c>
      <c r="P16" s="72" t="s">
        <v>388</v>
      </c>
      <c r="Q16" s="72" t="s">
        <v>351</v>
      </c>
      <c r="R16" s="97"/>
      <c r="S16" s="93"/>
      <c r="T16" s="93"/>
      <c r="U16" s="109" t="s">
        <v>287</v>
      </c>
      <c r="V16" s="109" t="s">
        <v>287</v>
      </c>
      <c r="W16" s="93"/>
      <c r="X16" s="93"/>
      <c r="Y16" s="114" t="s">
        <v>287</v>
      </c>
      <c r="Z16" s="119" t="s">
        <v>324</v>
      </c>
      <c r="AA16" s="165" t="s">
        <v>413</v>
      </c>
      <c r="AB16" s="46"/>
      <c r="AC16" s="46"/>
      <c r="AD16" s="46"/>
      <c r="AE16" s="46"/>
      <c r="AF16" s="46"/>
      <c r="AG16" s="46"/>
    </row>
    <row r="17" spans="1:33" s="46" customFormat="1" x14ac:dyDescent="0.2">
      <c r="A17" s="70">
        <v>60005</v>
      </c>
      <c r="B17" s="146" t="s">
        <v>29</v>
      </c>
      <c r="C17" s="137" t="s">
        <v>7</v>
      </c>
      <c r="D17" s="147" t="s">
        <v>8</v>
      </c>
      <c r="E17" s="137" t="s">
        <v>85</v>
      </c>
      <c r="F17" s="69" t="s">
        <v>152</v>
      </c>
      <c r="G17" s="137" t="s">
        <v>60</v>
      </c>
      <c r="H17" s="45">
        <v>1139700</v>
      </c>
      <c r="I17" s="45">
        <v>0</v>
      </c>
      <c r="J17" s="72">
        <f t="shared" si="0"/>
        <v>1215800</v>
      </c>
      <c r="K17" s="72">
        <f>ROUND(I17/118.2*120.4,-2)</f>
        <v>0</v>
      </c>
      <c r="L17" s="121">
        <f t="shared" ref="L17:L23" si="1">ROUND(J17/134.2*144.3,-2)</f>
        <v>1307300</v>
      </c>
      <c r="M17" s="121">
        <f>ROUND(K17/120.4*122.3,-2)</f>
        <v>0</v>
      </c>
      <c r="N17" s="121">
        <v>1400000</v>
      </c>
      <c r="O17" s="121">
        <f t="shared" ref="O17:O24" si="2">ROUND(M17/122.3*124.6,-2)</f>
        <v>0</v>
      </c>
      <c r="P17" s="72" t="s">
        <v>388</v>
      </c>
      <c r="Q17" s="93"/>
      <c r="R17" s="92"/>
      <c r="S17" s="96"/>
      <c r="T17" s="109" t="s">
        <v>287</v>
      </c>
      <c r="U17" s="96"/>
      <c r="V17" s="96"/>
      <c r="W17" s="96" t="s">
        <v>290</v>
      </c>
      <c r="X17" s="96"/>
      <c r="Y17" s="116"/>
      <c r="Z17" s="79"/>
      <c r="AA17" s="164">
        <v>43307</v>
      </c>
      <c r="AB17" s="47"/>
      <c r="AC17" s="47"/>
      <c r="AD17" s="47"/>
      <c r="AE17" s="47"/>
      <c r="AF17" s="47"/>
      <c r="AG17" s="47"/>
    </row>
    <row r="18" spans="1:33" s="46" customFormat="1" x14ac:dyDescent="0.2">
      <c r="A18" s="70">
        <v>60808</v>
      </c>
      <c r="B18" s="152" t="s">
        <v>117</v>
      </c>
      <c r="C18" s="137">
        <v>0</v>
      </c>
      <c r="D18" s="147"/>
      <c r="E18" s="137" t="s">
        <v>389</v>
      </c>
      <c r="F18" s="69" t="s">
        <v>153</v>
      </c>
      <c r="G18" s="137" t="s">
        <v>60</v>
      </c>
      <c r="H18" s="45">
        <v>162900</v>
      </c>
      <c r="I18" s="45">
        <v>0</v>
      </c>
      <c r="J18" s="72">
        <f t="shared" si="0"/>
        <v>173800</v>
      </c>
      <c r="K18" s="72">
        <f>ROUND(I18/118.2*120.4,-2)</f>
        <v>0</v>
      </c>
      <c r="L18" s="121">
        <f t="shared" si="1"/>
        <v>186900</v>
      </c>
      <c r="M18" s="121">
        <f>ROUND(K18/120.4*122.3,-2)</f>
        <v>0</v>
      </c>
      <c r="N18" s="121">
        <v>205000</v>
      </c>
      <c r="O18" s="121">
        <f t="shared" si="2"/>
        <v>0</v>
      </c>
      <c r="P18" s="72" t="s">
        <v>388</v>
      </c>
      <c r="Q18" s="93"/>
      <c r="R18" s="90"/>
      <c r="S18" s="93"/>
      <c r="T18" s="93"/>
      <c r="U18" s="93"/>
      <c r="V18" s="93"/>
      <c r="W18" s="93"/>
      <c r="X18" s="93"/>
      <c r="Y18" s="117"/>
      <c r="Z18" s="72" t="s">
        <v>322</v>
      </c>
      <c r="AA18" s="166" t="s">
        <v>414</v>
      </c>
    </row>
    <row r="19" spans="1:33" s="46" customFormat="1" x14ac:dyDescent="0.2">
      <c r="A19" s="70">
        <v>60505</v>
      </c>
      <c r="B19" s="146" t="s">
        <v>234</v>
      </c>
      <c r="C19" s="137">
        <v>0</v>
      </c>
      <c r="D19" s="147"/>
      <c r="E19" s="134" t="s">
        <v>265</v>
      </c>
      <c r="F19" s="69" t="s">
        <v>146</v>
      </c>
      <c r="G19" s="137" t="s">
        <v>60</v>
      </c>
      <c r="H19" s="45">
        <v>2708100</v>
      </c>
      <c r="I19" s="45">
        <v>0</v>
      </c>
      <c r="J19" s="72">
        <f t="shared" si="0"/>
        <v>2888900</v>
      </c>
      <c r="K19" s="72">
        <f>ROUND(I19/118.2*120.4,-2)</f>
        <v>0</v>
      </c>
      <c r="L19" s="121">
        <f t="shared" si="1"/>
        <v>3106300</v>
      </c>
      <c r="M19" s="121">
        <f>ROUND(K19/120.4*122.3,-2)</f>
        <v>0</v>
      </c>
      <c r="N19" s="121">
        <v>1190000</v>
      </c>
      <c r="O19" s="121">
        <f t="shared" si="2"/>
        <v>0</v>
      </c>
      <c r="P19" s="72" t="s">
        <v>388</v>
      </c>
      <c r="Q19" s="93"/>
      <c r="R19" s="92"/>
      <c r="S19" s="93"/>
      <c r="T19" s="93"/>
      <c r="U19" s="93"/>
      <c r="V19" s="93"/>
      <c r="W19" s="93"/>
      <c r="X19" s="93"/>
      <c r="Y19" s="114" t="s">
        <v>287</v>
      </c>
      <c r="Z19" s="72"/>
      <c r="AA19" s="162">
        <v>43118</v>
      </c>
    </row>
    <row r="20" spans="1:33" s="46" customFormat="1" x14ac:dyDescent="0.2">
      <c r="A20" s="70">
        <v>60505</v>
      </c>
      <c r="B20" s="146" t="s">
        <v>19</v>
      </c>
      <c r="C20" s="137" t="s">
        <v>7</v>
      </c>
      <c r="D20" s="147"/>
      <c r="E20" s="137" t="s">
        <v>74</v>
      </c>
      <c r="F20" s="69" t="s">
        <v>155</v>
      </c>
      <c r="G20" s="137" t="s">
        <v>60</v>
      </c>
      <c r="H20" s="45">
        <v>3169400</v>
      </c>
      <c r="I20" s="45">
        <v>0</v>
      </c>
      <c r="J20" s="72">
        <f t="shared" si="0"/>
        <v>3381000</v>
      </c>
      <c r="K20" s="72">
        <f>ROUND(I20/118.2*120.4,-2)</f>
        <v>0</v>
      </c>
      <c r="L20" s="121">
        <f t="shared" si="1"/>
        <v>3635500</v>
      </c>
      <c r="M20" s="121">
        <f>ROUND(K20/120.4*122.3,-2)</f>
        <v>0</v>
      </c>
      <c r="N20" s="121">
        <v>3890000</v>
      </c>
      <c r="O20" s="121">
        <f t="shared" si="2"/>
        <v>0</v>
      </c>
      <c r="P20" s="72" t="s">
        <v>388</v>
      </c>
      <c r="Q20" s="93"/>
      <c r="R20" s="92"/>
      <c r="S20" s="93"/>
      <c r="T20" s="93"/>
      <c r="U20" s="109" t="s">
        <v>287</v>
      </c>
      <c r="V20" s="93"/>
      <c r="W20" s="93"/>
      <c r="X20" s="93"/>
      <c r="Y20" s="114" t="s">
        <v>287</v>
      </c>
      <c r="Z20" s="72" t="s">
        <v>323</v>
      </c>
      <c r="AA20" s="162">
        <v>43276</v>
      </c>
    </row>
    <row r="21" spans="1:33" s="46" customFormat="1" x14ac:dyDescent="0.2">
      <c r="A21" s="70">
        <v>60510</v>
      </c>
      <c r="B21" s="146" t="s">
        <v>28</v>
      </c>
      <c r="C21" s="137" t="s">
        <v>7</v>
      </c>
      <c r="D21" s="147"/>
      <c r="E21" s="137" t="s">
        <v>263</v>
      </c>
      <c r="F21" s="69" t="s">
        <v>155</v>
      </c>
      <c r="G21" s="137" t="s">
        <v>60</v>
      </c>
      <c r="H21" s="45">
        <v>276700</v>
      </c>
      <c r="I21" s="45">
        <v>0</v>
      </c>
      <c r="J21" s="72">
        <f t="shared" si="0"/>
        <v>295200</v>
      </c>
      <c r="K21" s="72">
        <f>ROUND(I21/118.2*120.4,-2)</f>
        <v>0</v>
      </c>
      <c r="L21" s="121">
        <f t="shared" si="1"/>
        <v>317400</v>
      </c>
      <c r="M21" s="121">
        <f>ROUND(K21/120.4*122.3,-2)</f>
        <v>0</v>
      </c>
      <c r="N21" s="121">
        <v>385000</v>
      </c>
      <c r="O21" s="121">
        <f t="shared" si="2"/>
        <v>0</v>
      </c>
      <c r="P21" s="72" t="s">
        <v>388</v>
      </c>
      <c r="Q21" s="93"/>
      <c r="R21" s="92"/>
      <c r="S21" s="93"/>
      <c r="T21" s="93"/>
      <c r="U21" s="93"/>
      <c r="V21" s="93"/>
      <c r="W21" s="109" t="s">
        <v>287</v>
      </c>
      <c r="X21" s="93"/>
      <c r="Y21" s="117"/>
      <c r="Z21" s="72" t="s">
        <v>325</v>
      </c>
      <c r="AA21" s="162">
        <v>44355</v>
      </c>
    </row>
    <row r="22" spans="1:33" s="46" customFormat="1" x14ac:dyDescent="0.2">
      <c r="A22" s="70">
        <v>60608</v>
      </c>
      <c r="B22" s="146" t="s">
        <v>32</v>
      </c>
      <c r="C22" s="137" t="s">
        <v>7</v>
      </c>
      <c r="D22" s="147"/>
      <c r="E22" s="137" t="s">
        <v>89</v>
      </c>
      <c r="F22" s="69" t="s">
        <v>155</v>
      </c>
      <c r="G22" s="137" t="s">
        <v>60</v>
      </c>
      <c r="H22" s="45">
        <v>597000</v>
      </c>
      <c r="I22" s="45">
        <v>0</v>
      </c>
      <c r="J22" s="72">
        <f t="shared" si="0"/>
        <v>636900</v>
      </c>
      <c r="K22" s="72">
        <f>ROUND(I22/118.2*120.4,-2)</f>
        <v>0</v>
      </c>
      <c r="L22" s="121">
        <f t="shared" si="1"/>
        <v>684800</v>
      </c>
      <c r="M22" s="121">
        <f>ROUND(K22/120.4*122.3,-2)</f>
        <v>0</v>
      </c>
      <c r="N22" s="121">
        <v>735000</v>
      </c>
      <c r="O22" s="121">
        <f t="shared" si="2"/>
        <v>0</v>
      </c>
      <c r="P22" s="72" t="s">
        <v>388</v>
      </c>
      <c r="Q22" s="93"/>
      <c r="R22" s="92"/>
      <c r="S22" s="93"/>
      <c r="T22" s="93"/>
      <c r="U22" s="93"/>
      <c r="V22" s="93"/>
      <c r="W22" s="93"/>
      <c r="X22" s="93"/>
      <c r="Y22" s="117"/>
      <c r="Z22" s="72" t="s">
        <v>326</v>
      </c>
      <c r="AA22" s="162">
        <v>43066</v>
      </c>
    </row>
    <row r="23" spans="1:33" s="46" customFormat="1" x14ac:dyDescent="0.2">
      <c r="A23" s="70">
        <v>60730</v>
      </c>
      <c r="B23" s="146" t="s">
        <v>43</v>
      </c>
      <c r="C23" s="137" t="s">
        <v>7</v>
      </c>
      <c r="D23" s="147"/>
      <c r="E23" s="137" t="s">
        <v>97</v>
      </c>
      <c r="F23" s="69" t="s">
        <v>156</v>
      </c>
      <c r="G23" s="137" t="s">
        <v>60</v>
      </c>
      <c r="H23" s="45">
        <v>43300</v>
      </c>
      <c r="I23" s="45">
        <v>0</v>
      </c>
      <c r="J23" s="72">
        <f t="shared" si="0"/>
        <v>46200</v>
      </c>
      <c r="K23" s="72">
        <f>ROUND(I23/118.2*120.4,-2)</f>
        <v>0</v>
      </c>
      <c r="L23" s="121">
        <f t="shared" si="1"/>
        <v>49700</v>
      </c>
      <c r="M23" s="121">
        <f>ROUND(K23/120.4*122.3,-2)</f>
        <v>0</v>
      </c>
      <c r="N23" s="121">
        <v>55000</v>
      </c>
      <c r="O23" s="121">
        <f t="shared" si="2"/>
        <v>0</v>
      </c>
      <c r="P23" s="72" t="s">
        <v>388</v>
      </c>
      <c r="Q23" s="93"/>
      <c r="R23" s="92"/>
      <c r="S23" s="93"/>
      <c r="T23" s="93"/>
      <c r="U23" s="93"/>
      <c r="V23" s="93"/>
      <c r="W23" s="93"/>
      <c r="X23" s="93"/>
      <c r="Y23" s="117"/>
      <c r="Z23" s="72"/>
      <c r="AA23" s="162" t="s">
        <v>411</v>
      </c>
    </row>
    <row r="24" spans="1:33" s="46" customFormat="1" ht="25.5" x14ac:dyDescent="0.2">
      <c r="A24" s="70">
        <v>60608</v>
      </c>
      <c r="B24" s="146" t="s">
        <v>36</v>
      </c>
      <c r="C24" s="137" t="s">
        <v>10</v>
      </c>
      <c r="D24" s="147"/>
      <c r="E24" s="137" t="s">
        <v>91</v>
      </c>
      <c r="F24" s="69" t="s">
        <v>157</v>
      </c>
      <c r="G24" s="137" t="s">
        <v>60</v>
      </c>
      <c r="H24" s="45">
        <v>5817900</v>
      </c>
      <c r="I24" s="45">
        <v>0</v>
      </c>
      <c r="J24" s="72">
        <f t="shared" si="0"/>
        <v>6206400</v>
      </c>
      <c r="K24" s="72">
        <f>ROUND(I24/118.2*120.4,-2)</f>
        <v>0</v>
      </c>
      <c r="L24" s="121">
        <f>ROUND(J24/134.2*144.3,-2)+72295</f>
        <v>6745795</v>
      </c>
      <c r="M24" s="121">
        <f>ROUND(K24/120.4*122.3,-2)</f>
        <v>0</v>
      </c>
      <c r="N24" s="121">
        <v>7250000</v>
      </c>
      <c r="O24" s="121">
        <f t="shared" si="2"/>
        <v>0</v>
      </c>
      <c r="P24" s="72" t="s">
        <v>388</v>
      </c>
      <c r="Q24" s="93"/>
      <c r="R24" s="92"/>
      <c r="S24" s="93"/>
      <c r="T24" s="109" t="s">
        <v>287</v>
      </c>
      <c r="U24" s="109" t="s">
        <v>287</v>
      </c>
      <c r="V24" s="109" t="s">
        <v>287</v>
      </c>
      <c r="W24" s="93"/>
      <c r="X24" s="93"/>
      <c r="Y24" s="114" t="s">
        <v>287</v>
      </c>
      <c r="Z24" s="119" t="s">
        <v>327</v>
      </c>
      <c r="AA24" s="162">
        <v>43276</v>
      </c>
    </row>
    <row r="25" spans="1:33" s="46" customFormat="1" x14ac:dyDescent="0.2">
      <c r="A25" s="70">
        <v>60404</v>
      </c>
      <c r="B25" s="146" t="s">
        <v>17</v>
      </c>
      <c r="C25" s="137"/>
      <c r="D25" s="147"/>
      <c r="E25" s="137" t="s">
        <v>73</v>
      </c>
      <c r="F25" s="69" t="s">
        <v>165</v>
      </c>
      <c r="G25" s="137" t="s">
        <v>60</v>
      </c>
      <c r="H25" s="45">
        <v>27200</v>
      </c>
      <c r="I25" s="45">
        <v>52800</v>
      </c>
      <c r="J25" s="72">
        <f t="shared" si="0"/>
        <v>29000</v>
      </c>
      <c r="K25" s="72">
        <f>ROUND(I25/118.2*120.4,-2)</f>
        <v>53800</v>
      </c>
      <c r="L25" s="121">
        <f t="shared" ref="L25:L41" si="3">ROUND(J25/134.2*144.3,-2)</f>
        <v>31200</v>
      </c>
      <c r="M25" s="121">
        <f>ROUND(K25/120.4*122.3,-2)</f>
        <v>54600</v>
      </c>
      <c r="N25" s="121">
        <v>65000</v>
      </c>
      <c r="O25" s="121">
        <v>35000</v>
      </c>
      <c r="P25" s="72" t="s">
        <v>386</v>
      </c>
      <c r="Q25" s="72" t="s">
        <v>351</v>
      </c>
      <c r="R25" s="98"/>
      <c r="S25" s="93"/>
      <c r="T25" s="93"/>
      <c r="U25" s="93"/>
      <c r="V25" s="93"/>
      <c r="W25" s="93" t="s">
        <v>290</v>
      </c>
      <c r="X25" s="93"/>
      <c r="Y25" s="117"/>
      <c r="Z25" s="72"/>
      <c r="AA25" s="162">
        <v>43348</v>
      </c>
    </row>
    <row r="26" spans="1:33" s="46" customFormat="1" ht="25.5" x14ac:dyDescent="0.2">
      <c r="A26" s="70">
        <v>60505</v>
      </c>
      <c r="B26" s="146" t="s">
        <v>276</v>
      </c>
      <c r="C26" s="137"/>
      <c r="D26" s="147"/>
      <c r="E26" s="137" t="s">
        <v>243</v>
      </c>
      <c r="F26" s="69" t="s">
        <v>192</v>
      </c>
      <c r="G26" s="137" t="s">
        <v>65</v>
      </c>
      <c r="H26" s="72"/>
      <c r="I26" s="45"/>
      <c r="J26" s="72">
        <v>880000</v>
      </c>
      <c r="K26" s="72">
        <v>70000</v>
      </c>
      <c r="L26" s="121">
        <f t="shared" si="3"/>
        <v>946200</v>
      </c>
      <c r="M26" s="121">
        <f>ROUND(K26/120.4*122.3,-2)</f>
        <v>71100</v>
      </c>
      <c r="N26" s="121">
        <v>980000</v>
      </c>
      <c r="O26" s="121">
        <v>75000</v>
      </c>
      <c r="P26" s="72" t="s">
        <v>391</v>
      </c>
      <c r="Q26" s="72" t="s">
        <v>353</v>
      </c>
      <c r="R26" s="99"/>
      <c r="S26" s="93"/>
      <c r="T26" s="93"/>
      <c r="U26" s="93"/>
      <c r="V26" s="93"/>
      <c r="W26" s="93"/>
      <c r="X26" s="93"/>
      <c r="Y26" s="114" t="s">
        <v>287</v>
      </c>
      <c r="Z26" s="119" t="s">
        <v>337</v>
      </c>
      <c r="AA26" s="162">
        <v>43780</v>
      </c>
      <c r="AB26" s="130"/>
      <c r="AC26" s="130"/>
      <c r="AD26" s="130"/>
      <c r="AE26" s="130"/>
    </row>
    <row r="27" spans="1:33" s="47" customFormat="1" x14ac:dyDescent="0.2">
      <c r="A27" s="70">
        <v>60608</v>
      </c>
      <c r="B27" s="146" t="s">
        <v>37</v>
      </c>
      <c r="C27" s="137" t="s">
        <v>7</v>
      </c>
      <c r="D27" s="147"/>
      <c r="E27" s="137" t="s">
        <v>92</v>
      </c>
      <c r="F27" s="69" t="s">
        <v>158</v>
      </c>
      <c r="G27" s="137" t="s">
        <v>65</v>
      </c>
      <c r="H27" s="45">
        <v>2111000</v>
      </c>
      <c r="I27" s="45">
        <v>0</v>
      </c>
      <c r="J27" s="72">
        <f t="shared" ref="J27:J38" si="4">ROUND(H27/125.8*134.2,-2)</f>
        <v>2252000</v>
      </c>
      <c r="K27" s="72">
        <f t="shared" ref="K27:K38" si="5">ROUND(I27/118.2*120.4,-2)</f>
        <v>0</v>
      </c>
      <c r="L27" s="121">
        <f t="shared" si="3"/>
        <v>2421500</v>
      </c>
      <c r="M27" s="121">
        <f>ROUND(K27/120.4*122.3,-2)</f>
        <v>0</v>
      </c>
      <c r="N27" s="121">
        <v>2610000</v>
      </c>
      <c r="O27" s="121">
        <f>ROUND(M27/122.3*124.6,-2)</f>
        <v>0</v>
      </c>
      <c r="P27" s="72" t="s">
        <v>391</v>
      </c>
      <c r="Q27" s="93"/>
      <c r="R27" s="92"/>
      <c r="S27" s="93"/>
      <c r="T27" s="93"/>
      <c r="U27" s="109" t="s">
        <v>287</v>
      </c>
      <c r="V27" s="109" t="s">
        <v>287</v>
      </c>
      <c r="W27" s="93"/>
      <c r="X27" s="93"/>
      <c r="Y27" s="114" t="s">
        <v>287</v>
      </c>
      <c r="Z27" s="72" t="s">
        <v>328</v>
      </c>
      <c r="AA27" s="162">
        <v>43780</v>
      </c>
      <c r="AB27" s="46"/>
      <c r="AC27" s="46"/>
      <c r="AD27" s="46"/>
      <c r="AE27" s="46"/>
      <c r="AF27" s="46"/>
      <c r="AG27" s="46"/>
    </row>
    <row r="28" spans="1:33" s="67" customFormat="1" ht="38.25" x14ac:dyDescent="0.2">
      <c r="A28" s="70">
        <v>60506</v>
      </c>
      <c r="B28" s="146" t="s">
        <v>298</v>
      </c>
      <c r="C28" s="137" t="s">
        <v>10</v>
      </c>
      <c r="D28" s="147"/>
      <c r="E28" s="137" t="s">
        <v>392</v>
      </c>
      <c r="F28" s="69" t="s">
        <v>160</v>
      </c>
      <c r="G28" s="137" t="s">
        <v>65</v>
      </c>
      <c r="H28" s="45">
        <v>1573900</v>
      </c>
      <c r="I28" s="45">
        <v>0</v>
      </c>
      <c r="J28" s="72">
        <f t="shared" si="4"/>
        <v>1679000</v>
      </c>
      <c r="K28" s="72">
        <f t="shared" si="5"/>
        <v>0</v>
      </c>
      <c r="L28" s="121">
        <f t="shared" si="3"/>
        <v>1805400</v>
      </c>
      <c r="M28" s="121">
        <f>ROUND(K28/120.4*122.3,-2)</f>
        <v>0</v>
      </c>
      <c r="N28" s="121">
        <v>2310000</v>
      </c>
      <c r="O28" s="121">
        <f>ROUND(M28/122.3*124.6,-2)</f>
        <v>0</v>
      </c>
      <c r="P28" s="72" t="s">
        <v>391</v>
      </c>
      <c r="Q28" s="93"/>
      <c r="R28" s="92"/>
      <c r="S28" s="93"/>
      <c r="T28" s="93"/>
      <c r="U28" s="93"/>
      <c r="V28" s="93"/>
      <c r="W28" s="109" t="s">
        <v>287</v>
      </c>
      <c r="X28" s="93"/>
      <c r="Y28" s="114" t="s">
        <v>287</v>
      </c>
      <c r="Z28" s="119" t="s">
        <v>329</v>
      </c>
      <c r="AA28" s="162">
        <v>43116</v>
      </c>
      <c r="AB28" s="46"/>
      <c r="AC28" s="46"/>
      <c r="AD28" s="46"/>
      <c r="AE28" s="46"/>
      <c r="AF28" s="46"/>
      <c r="AG28" s="46"/>
    </row>
    <row r="29" spans="1:33" s="46" customFormat="1" x14ac:dyDescent="0.2">
      <c r="A29" s="70">
        <v>60506</v>
      </c>
      <c r="B29" s="146" t="s">
        <v>27</v>
      </c>
      <c r="C29" s="137" t="s">
        <v>10</v>
      </c>
      <c r="D29" s="147"/>
      <c r="E29" s="137" t="s">
        <v>84</v>
      </c>
      <c r="F29" s="69" t="s">
        <v>160</v>
      </c>
      <c r="G29" s="137" t="s">
        <v>65</v>
      </c>
      <c r="H29" s="45">
        <v>407000</v>
      </c>
      <c r="I29" s="45">
        <v>0</v>
      </c>
      <c r="J29" s="72">
        <f t="shared" si="4"/>
        <v>434200</v>
      </c>
      <c r="K29" s="72">
        <f t="shared" si="5"/>
        <v>0</v>
      </c>
      <c r="L29" s="121">
        <f t="shared" si="3"/>
        <v>466900</v>
      </c>
      <c r="M29" s="121">
        <f>ROUND(K29/120.4*122.3,-2)</f>
        <v>0</v>
      </c>
      <c r="N29" s="121">
        <v>530000</v>
      </c>
      <c r="O29" s="121">
        <f>ROUND(M29/122.3*124.6,-2)</f>
        <v>0</v>
      </c>
      <c r="P29" s="72" t="s">
        <v>391</v>
      </c>
      <c r="Q29" s="93"/>
      <c r="R29" s="92"/>
      <c r="S29" s="93"/>
      <c r="T29" s="93"/>
      <c r="U29" s="93"/>
      <c r="V29" s="93"/>
      <c r="W29" s="93"/>
      <c r="X29" s="93"/>
      <c r="Y29" s="117"/>
      <c r="Z29" s="72" t="s">
        <v>317</v>
      </c>
      <c r="AA29" s="162">
        <v>43283</v>
      </c>
    </row>
    <row r="30" spans="1:33" s="157" customFormat="1" x14ac:dyDescent="0.2">
      <c r="A30" s="70">
        <v>60103</v>
      </c>
      <c r="B30" s="146" t="s">
        <v>14</v>
      </c>
      <c r="C30" s="137" t="s">
        <v>7</v>
      </c>
      <c r="D30" s="147"/>
      <c r="E30" s="137" t="s">
        <v>71</v>
      </c>
      <c r="F30" s="69" t="s">
        <v>160</v>
      </c>
      <c r="G30" s="137" t="s">
        <v>65</v>
      </c>
      <c r="H30" s="45">
        <v>656800</v>
      </c>
      <c r="I30" s="45">
        <v>79200</v>
      </c>
      <c r="J30" s="72">
        <f t="shared" si="4"/>
        <v>700700</v>
      </c>
      <c r="K30" s="72">
        <f t="shared" si="5"/>
        <v>80700</v>
      </c>
      <c r="L30" s="121">
        <f t="shared" si="3"/>
        <v>753400</v>
      </c>
      <c r="M30" s="121">
        <f>ROUND(K30/120.4*122.3,-2)</f>
        <v>82000</v>
      </c>
      <c r="N30" s="121">
        <v>750000</v>
      </c>
      <c r="O30" s="121">
        <v>155000</v>
      </c>
      <c r="P30" s="72" t="s">
        <v>391</v>
      </c>
      <c r="Q30" s="72" t="s">
        <v>353</v>
      </c>
      <c r="R30" s="92"/>
      <c r="S30" s="93"/>
      <c r="T30" s="93"/>
      <c r="U30" s="93"/>
      <c r="V30" s="109" t="s">
        <v>287</v>
      </c>
      <c r="W30" s="93"/>
      <c r="X30" s="93"/>
      <c r="Y30" s="117"/>
      <c r="Z30" s="72" t="s">
        <v>330</v>
      </c>
      <c r="AA30" s="162">
        <v>44055</v>
      </c>
      <c r="AB30" s="130"/>
      <c r="AC30" s="46"/>
      <c r="AD30" s="46"/>
      <c r="AE30" s="46"/>
      <c r="AF30" s="46"/>
      <c r="AG30" s="46"/>
    </row>
    <row r="31" spans="1:33" s="46" customFormat="1" x14ac:dyDescent="0.2">
      <c r="A31" s="70">
        <v>60005</v>
      </c>
      <c r="B31" s="146" t="s">
        <v>54</v>
      </c>
      <c r="C31" s="137"/>
      <c r="D31" s="147"/>
      <c r="E31" s="137" t="s">
        <v>161</v>
      </c>
      <c r="F31" s="69" t="s">
        <v>159</v>
      </c>
      <c r="G31" s="137" t="s">
        <v>65</v>
      </c>
      <c r="H31" s="45">
        <v>3798900</v>
      </c>
      <c r="I31" s="45">
        <v>0</v>
      </c>
      <c r="J31" s="72">
        <f t="shared" si="4"/>
        <v>4052600</v>
      </c>
      <c r="K31" s="72">
        <f t="shared" si="5"/>
        <v>0</v>
      </c>
      <c r="L31" s="121">
        <f t="shared" si="3"/>
        <v>4357600</v>
      </c>
      <c r="M31" s="121">
        <f>ROUND(K31/120.4*122.3,-2)</f>
        <v>0</v>
      </c>
      <c r="N31" s="121">
        <v>4900000</v>
      </c>
      <c r="O31" s="121">
        <f>ROUND(M31/122.3*124.6,-2)</f>
        <v>0</v>
      </c>
      <c r="P31" s="72" t="s">
        <v>361</v>
      </c>
      <c r="Q31" s="93"/>
      <c r="R31" s="90"/>
      <c r="S31" s="96"/>
      <c r="T31" s="96"/>
      <c r="U31" s="109" t="s">
        <v>287</v>
      </c>
      <c r="V31" s="109" t="s">
        <v>287</v>
      </c>
      <c r="W31" s="96" t="s">
        <v>290</v>
      </c>
      <c r="X31" s="96"/>
      <c r="Y31" s="116"/>
      <c r="Z31" s="79"/>
      <c r="AA31" s="164">
        <v>43747</v>
      </c>
      <c r="AB31" s="47"/>
      <c r="AC31" s="47"/>
      <c r="AD31" s="47"/>
      <c r="AE31" s="47"/>
      <c r="AF31" s="47"/>
      <c r="AG31" s="47"/>
    </row>
    <row r="32" spans="1:33" s="46" customFormat="1" x14ac:dyDescent="0.2">
      <c r="A32" s="70">
        <v>60808</v>
      </c>
      <c r="B32" s="146" t="s">
        <v>127</v>
      </c>
      <c r="C32" s="137"/>
      <c r="D32" s="147"/>
      <c r="E32" s="137" t="s">
        <v>128</v>
      </c>
      <c r="F32" s="69" t="s">
        <v>162</v>
      </c>
      <c r="G32" s="137" t="s">
        <v>58</v>
      </c>
      <c r="H32" s="45">
        <v>70500</v>
      </c>
      <c r="I32" s="45">
        <v>0</v>
      </c>
      <c r="J32" s="72">
        <f t="shared" si="4"/>
        <v>75200</v>
      </c>
      <c r="K32" s="72">
        <f t="shared" si="5"/>
        <v>0</v>
      </c>
      <c r="L32" s="121">
        <f t="shared" si="3"/>
        <v>80900</v>
      </c>
      <c r="M32" s="121">
        <f>ROUND(K32/120.4*122.3,-2)</f>
        <v>0</v>
      </c>
      <c r="N32" s="121">
        <v>85000</v>
      </c>
      <c r="O32" s="121">
        <f>ROUND(M32/122.3*124.6,-2)</f>
        <v>0</v>
      </c>
      <c r="P32" s="72" t="s">
        <v>394</v>
      </c>
      <c r="Q32" s="93"/>
      <c r="R32" s="92"/>
      <c r="S32" s="93"/>
      <c r="T32" s="93"/>
      <c r="U32" s="93"/>
      <c r="V32" s="93"/>
      <c r="W32" s="93"/>
      <c r="X32" s="93"/>
      <c r="Y32" s="117"/>
      <c r="Z32" s="72" t="s">
        <v>322</v>
      </c>
      <c r="AA32" s="166" t="s">
        <v>410</v>
      </c>
    </row>
    <row r="33" spans="1:33" s="46" customFormat="1" ht="25.5" x14ac:dyDescent="0.2">
      <c r="A33" s="70">
        <v>60808</v>
      </c>
      <c r="B33" s="146" t="s">
        <v>200</v>
      </c>
      <c r="C33" s="137">
        <v>0</v>
      </c>
      <c r="D33" s="147"/>
      <c r="E33" s="137" t="s">
        <v>362</v>
      </c>
      <c r="F33" s="69" t="s">
        <v>162</v>
      </c>
      <c r="G33" s="137" t="s">
        <v>58</v>
      </c>
      <c r="H33" s="45">
        <v>97600</v>
      </c>
      <c r="I33" s="45">
        <v>0</v>
      </c>
      <c r="J33" s="72">
        <f t="shared" si="4"/>
        <v>104100</v>
      </c>
      <c r="K33" s="72">
        <f t="shared" si="5"/>
        <v>0</v>
      </c>
      <c r="L33" s="121">
        <f t="shared" si="3"/>
        <v>111900</v>
      </c>
      <c r="M33" s="121">
        <f>ROUND(K33/120.4*122.3,-2)</f>
        <v>0</v>
      </c>
      <c r="N33" s="121">
        <v>120000</v>
      </c>
      <c r="O33" s="121">
        <f>ROUND(M33/122.3*124.6,-2)</f>
        <v>0</v>
      </c>
      <c r="P33" s="72" t="s">
        <v>394</v>
      </c>
      <c r="Q33" s="93"/>
      <c r="R33" s="92"/>
      <c r="S33" s="93"/>
      <c r="T33" s="93"/>
      <c r="U33" s="93"/>
      <c r="V33" s="93"/>
      <c r="W33" s="93"/>
      <c r="X33" s="93"/>
      <c r="Y33" s="117"/>
      <c r="Z33" s="72" t="s">
        <v>322</v>
      </c>
      <c r="AA33" s="166" t="s">
        <v>410</v>
      </c>
    </row>
    <row r="34" spans="1:33" s="46" customFormat="1" x14ac:dyDescent="0.2">
      <c r="A34" s="70">
        <v>60608</v>
      </c>
      <c r="B34" s="146" t="s">
        <v>38</v>
      </c>
      <c r="C34" s="137">
        <v>0</v>
      </c>
      <c r="D34" s="147"/>
      <c r="E34" s="137" t="s">
        <v>93</v>
      </c>
      <c r="F34" s="69" t="s">
        <v>163</v>
      </c>
      <c r="G34" s="137" t="s">
        <v>58</v>
      </c>
      <c r="H34" s="45">
        <v>1709500</v>
      </c>
      <c r="I34" s="45">
        <v>0</v>
      </c>
      <c r="J34" s="72">
        <f t="shared" si="4"/>
        <v>1823600</v>
      </c>
      <c r="K34" s="72">
        <f t="shared" si="5"/>
        <v>0</v>
      </c>
      <c r="L34" s="121">
        <f t="shared" si="3"/>
        <v>1960800</v>
      </c>
      <c r="M34" s="121">
        <f>ROUND(K34/120.4*122.3,-2)</f>
        <v>0</v>
      </c>
      <c r="N34" s="121">
        <v>2250000</v>
      </c>
      <c r="O34" s="121">
        <f>ROUND(M34/122.3*124.6,-2)</f>
        <v>0</v>
      </c>
      <c r="P34" s="72" t="s">
        <v>394</v>
      </c>
      <c r="Q34" s="93"/>
      <c r="R34" s="92"/>
      <c r="S34" s="93"/>
      <c r="T34" s="93"/>
      <c r="U34" s="109" t="s">
        <v>287</v>
      </c>
      <c r="V34" s="109" t="s">
        <v>287</v>
      </c>
      <c r="W34" s="93"/>
      <c r="X34" s="93"/>
      <c r="Y34" s="114" t="s">
        <v>287</v>
      </c>
      <c r="Z34" s="72" t="s">
        <v>331</v>
      </c>
      <c r="AA34" s="162">
        <v>43116</v>
      </c>
    </row>
    <row r="35" spans="1:33" s="47" customFormat="1" x14ac:dyDescent="0.2">
      <c r="A35" s="70">
        <v>60103</v>
      </c>
      <c r="B35" s="146" t="s">
        <v>15</v>
      </c>
      <c r="C35" s="137">
        <v>0</v>
      </c>
      <c r="D35" s="147"/>
      <c r="E35" s="137" t="s">
        <v>400</v>
      </c>
      <c r="F35" s="69" t="s">
        <v>164</v>
      </c>
      <c r="G35" s="137" t="s">
        <v>58</v>
      </c>
      <c r="H35" s="45">
        <v>667500</v>
      </c>
      <c r="I35" s="45">
        <v>36900</v>
      </c>
      <c r="J35" s="72">
        <f t="shared" si="4"/>
        <v>712100</v>
      </c>
      <c r="K35" s="72">
        <f t="shared" si="5"/>
        <v>37600</v>
      </c>
      <c r="L35" s="121">
        <f t="shared" si="3"/>
        <v>765700</v>
      </c>
      <c r="M35" s="121">
        <f>ROUND(K35/120.4*122.3,-2)</f>
        <v>38200</v>
      </c>
      <c r="N35" s="121">
        <v>790000</v>
      </c>
      <c r="O35" s="121">
        <v>125000</v>
      </c>
      <c r="P35" s="72" t="s">
        <v>394</v>
      </c>
      <c r="Q35" s="72" t="s">
        <v>354</v>
      </c>
      <c r="R35" s="92"/>
      <c r="S35" s="93"/>
      <c r="T35" s="93"/>
      <c r="U35" s="93"/>
      <c r="V35" s="109" t="s">
        <v>287</v>
      </c>
      <c r="W35" s="93"/>
      <c r="X35" s="93"/>
      <c r="Y35" s="117"/>
      <c r="Z35" s="72"/>
      <c r="AA35" s="162">
        <v>43276</v>
      </c>
      <c r="AB35" s="130"/>
      <c r="AC35" s="130"/>
      <c r="AD35" s="130"/>
      <c r="AE35" s="130"/>
      <c r="AF35" s="46"/>
      <c r="AG35" s="46"/>
    </row>
    <row r="36" spans="1:33" s="76" customFormat="1" ht="25.5" x14ac:dyDescent="0.2">
      <c r="A36" s="70">
        <v>60004</v>
      </c>
      <c r="B36" s="146" t="s">
        <v>5</v>
      </c>
      <c r="C36" s="137">
        <v>0</v>
      </c>
      <c r="D36" s="147"/>
      <c r="E36" s="137" t="s">
        <v>66</v>
      </c>
      <c r="F36" s="69" t="s">
        <v>164</v>
      </c>
      <c r="G36" s="137" t="s">
        <v>58</v>
      </c>
      <c r="H36" s="45">
        <v>705500</v>
      </c>
      <c r="I36" s="45">
        <v>10700</v>
      </c>
      <c r="J36" s="72">
        <f t="shared" si="4"/>
        <v>752600</v>
      </c>
      <c r="K36" s="72">
        <f t="shared" si="5"/>
        <v>10900</v>
      </c>
      <c r="L36" s="121">
        <f t="shared" si="3"/>
        <v>809200</v>
      </c>
      <c r="M36" s="121">
        <f>ROUND(K36/120.4*122.3,-2)</f>
        <v>11100</v>
      </c>
      <c r="N36" s="121">
        <v>910000</v>
      </c>
      <c r="O36" s="121">
        <v>15000</v>
      </c>
      <c r="P36" s="72" t="s">
        <v>394</v>
      </c>
      <c r="Q36" s="72" t="s">
        <v>354</v>
      </c>
      <c r="R36" s="92"/>
      <c r="S36" s="96"/>
      <c r="T36" s="96"/>
      <c r="U36" s="96"/>
      <c r="V36" s="96"/>
      <c r="W36" s="96" t="s">
        <v>290</v>
      </c>
      <c r="X36" s="96"/>
      <c r="Y36" s="116"/>
      <c r="Z36" s="79"/>
      <c r="AA36" s="164">
        <v>43769</v>
      </c>
      <c r="AB36" s="130"/>
      <c r="AC36" s="130"/>
      <c r="AD36" s="130"/>
      <c r="AE36" s="130"/>
      <c r="AF36" s="47"/>
      <c r="AG36" s="47"/>
    </row>
    <row r="37" spans="1:33" s="46" customFormat="1" x14ac:dyDescent="0.2">
      <c r="A37" s="70">
        <v>60004</v>
      </c>
      <c r="B37" s="146" t="s">
        <v>47</v>
      </c>
      <c r="C37" s="137"/>
      <c r="D37" s="147"/>
      <c r="E37" s="137" t="s">
        <v>100</v>
      </c>
      <c r="F37" s="69"/>
      <c r="G37" s="137" t="s">
        <v>58</v>
      </c>
      <c r="H37" s="72">
        <v>54400</v>
      </c>
      <c r="I37" s="72">
        <v>0</v>
      </c>
      <c r="J37" s="72">
        <f t="shared" si="4"/>
        <v>58000</v>
      </c>
      <c r="K37" s="72">
        <f t="shared" si="5"/>
        <v>0</v>
      </c>
      <c r="L37" s="121">
        <f t="shared" si="3"/>
        <v>62400</v>
      </c>
      <c r="M37" s="121">
        <f>ROUND(K37/120.4*122.3,-2)</f>
        <v>0</v>
      </c>
      <c r="N37" s="121">
        <v>72000</v>
      </c>
      <c r="O37" s="121">
        <f>ROUND(M37/122.3*124.6,-2)</f>
        <v>0</v>
      </c>
      <c r="P37" s="72" t="s">
        <v>394</v>
      </c>
      <c r="Q37" s="93"/>
      <c r="R37" s="90"/>
      <c r="S37" s="93"/>
      <c r="T37" s="93"/>
      <c r="U37" s="93"/>
      <c r="V37" s="93"/>
      <c r="W37" s="93"/>
      <c r="X37" s="93"/>
      <c r="Y37" s="117"/>
      <c r="Z37" s="72" t="s">
        <v>332</v>
      </c>
      <c r="AA37" s="166" t="s">
        <v>410</v>
      </c>
      <c r="AB37" s="68"/>
      <c r="AC37" s="68"/>
      <c r="AD37" s="68"/>
      <c r="AE37" s="68"/>
      <c r="AF37" s="68"/>
      <c r="AG37" s="68"/>
    </row>
    <row r="38" spans="1:33" s="68" customFormat="1" x14ac:dyDescent="0.2">
      <c r="A38" s="70">
        <v>60005</v>
      </c>
      <c r="B38" s="152" t="s">
        <v>363</v>
      </c>
      <c r="C38" s="137">
        <v>0</v>
      </c>
      <c r="D38" s="147"/>
      <c r="E38" s="134" t="s">
        <v>86</v>
      </c>
      <c r="F38" s="69" t="s">
        <v>167</v>
      </c>
      <c r="G38" s="137" t="s">
        <v>58</v>
      </c>
      <c r="H38" s="45">
        <v>2442200</v>
      </c>
      <c r="I38" s="45">
        <v>0</v>
      </c>
      <c r="J38" s="72">
        <f t="shared" si="4"/>
        <v>2605300</v>
      </c>
      <c r="K38" s="72">
        <f t="shared" si="5"/>
        <v>0</v>
      </c>
      <c r="L38" s="121">
        <f t="shared" si="3"/>
        <v>2801400</v>
      </c>
      <c r="M38" s="121">
        <f>ROUND(K38/120.4*122.3,-2)</f>
        <v>0</v>
      </c>
      <c r="N38" s="121">
        <v>3300000</v>
      </c>
      <c r="O38" s="121">
        <f>ROUND(M38/122.3*124.6,-2)</f>
        <v>0</v>
      </c>
      <c r="P38" s="72" t="s">
        <v>394</v>
      </c>
      <c r="Q38" s="93"/>
      <c r="R38" s="99"/>
      <c r="S38" s="96"/>
      <c r="T38" s="96"/>
      <c r="U38" s="109" t="s">
        <v>287</v>
      </c>
      <c r="V38" s="109" t="s">
        <v>287</v>
      </c>
      <c r="W38" s="96"/>
      <c r="X38" s="96"/>
      <c r="Y38" s="116"/>
      <c r="Z38" s="79"/>
      <c r="AA38" s="164">
        <v>43769</v>
      </c>
      <c r="AB38" s="47"/>
      <c r="AC38" s="47"/>
      <c r="AD38" s="47"/>
      <c r="AE38" s="47"/>
      <c r="AF38" s="47"/>
      <c r="AG38" s="47"/>
    </row>
    <row r="39" spans="1:33" s="47" customFormat="1" x14ac:dyDescent="0.2">
      <c r="A39" s="70">
        <v>60505</v>
      </c>
      <c r="B39" s="146" t="s">
        <v>301</v>
      </c>
      <c r="C39" s="137"/>
      <c r="D39" s="147"/>
      <c r="E39" s="137" t="s">
        <v>384</v>
      </c>
      <c r="F39" s="69" t="s">
        <v>193</v>
      </c>
      <c r="G39" s="137" t="s">
        <v>58</v>
      </c>
      <c r="H39" s="72"/>
      <c r="I39" s="45"/>
      <c r="J39" s="72">
        <v>880000</v>
      </c>
      <c r="K39" s="72">
        <v>70000</v>
      </c>
      <c r="L39" s="121">
        <f t="shared" si="3"/>
        <v>946200</v>
      </c>
      <c r="M39" s="121">
        <f>ROUND(K39/120.4*122.3,-2)</f>
        <v>71100</v>
      </c>
      <c r="N39" s="121">
        <v>1090000</v>
      </c>
      <c r="O39" s="121">
        <v>60000</v>
      </c>
      <c r="P39" s="129" t="s">
        <v>394</v>
      </c>
      <c r="Q39" s="72" t="s">
        <v>354</v>
      </c>
      <c r="R39" s="99"/>
      <c r="S39" s="93"/>
      <c r="T39" s="93"/>
      <c r="U39" s="93"/>
      <c r="V39" s="93"/>
      <c r="W39" s="93"/>
      <c r="X39" s="93"/>
      <c r="Y39" s="114" t="s">
        <v>287</v>
      </c>
      <c r="Z39" s="72"/>
      <c r="AA39" s="162">
        <v>44363</v>
      </c>
      <c r="AB39" s="130"/>
      <c r="AC39" s="130"/>
      <c r="AD39" s="130"/>
      <c r="AE39" s="130"/>
      <c r="AF39" s="46"/>
      <c r="AG39" s="46"/>
    </row>
    <row r="40" spans="1:33" s="47" customFormat="1" x14ac:dyDescent="0.2">
      <c r="A40" s="70">
        <v>60506</v>
      </c>
      <c r="B40" s="146" t="s">
        <v>299</v>
      </c>
      <c r="C40" s="137"/>
      <c r="D40" s="147"/>
      <c r="E40" s="137" t="s">
        <v>77</v>
      </c>
      <c r="F40" s="69" t="s">
        <v>166</v>
      </c>
      <c r="G40" s="137" t="s">
        <v>58</v>
      </c>
      <c r="H40" s="72">
        <v>461400</v>
      </c>
      <c r="I40" s="72">
        <v>0</v>
      </c>
      <c r="J40" s="72">
        <f>ROUND(H40/125.8*134.2,-2)</f>
        <v>492200</v>
      </c>
      <c r="K40" s="72">
        <f>ROUND(I40/118.2*120.4,-2)</f>
        <v>0</v>
      </c>
      <c r="L40" s="121">
        <f t="shared" si="3"/>
        <v>529200</v>
      </c>
      <c r="M40" s="121">
        <f>ROUND(K40/120.4*122.3,-2)</f>
        <v>0</v>
      </c>
      <c r="N40" s="121">
        <v>500000</v>
      </c>
      <c r="O40" s="121">
        <f>ROUND(M40/122.3*124.6,-2)</f>
        <v>0</v>
      </c>
      <c r="P40" s="72" t="s">
        <v>394</v>
      </c>
      <c r="Q40" s="119" t="s">
        <v>355</v>
      </c>
      <c r="R40" s="99"/>
      <c r="S40" s="93"/>
      <c r="T40" s="93"/>
      <c r="U40" s="93"/>
      <c r="V40" s="93"/>
      <c r="W40" s="93"/>
      <c r="X40" s="93"/>
      <c r="Y40" s="117"/>
      <c r="Z40" s="72"/>
      <c r="AA40" s="162">
        <v>44363</v>
      </c>
      <c r="AB40" s="129"/>
      <c r="AC40" s="129"/>
      <c r="AD40" s="129"/>
      <c r="AE40" s="129"/>
      <c r="AF40" s="129"/>
      <c r="AG40" s="129"/>
    </row>
    <row r="41" spans="1:33" s="46" customFormat="1" x14ac:dyDescent="0.2">
      <c r="A41" s="70">
        <v>60506</v>
      </c>
      <c r="B41" s="146" t="s">
        <v>385</v>
      </c>
      <c r="C41" s="137"/>
      <c r="D41" s="147"/>
      <c r="E41" s="137" t="s">
        <v>77</v>
      </c>
      <c r="F41" s="69" t="s">
        <v>166</v>
      </c>
      <c r="G41" s="137" t="s">
        <v>58</v>
      </c>
      <c r="H41" s="45">
        <v>0</v>
      </c>
      <c r="I41" s="45">
        <v>11100</v>
      </c>
      <c r="J41" s="72">
        <f>ROUND(H41/125.8*134.2,-2)</f>
        <v>0</v>
      </c>
      <c r="K41" s="72">
        <f>ROUND(I41/118.2*120.4,-2)</f>
        <v>11300</v>
      </c>
      <c r="L41" s="121">
        <f t="shared" si="3"/>
        <v>0</v>
      </c>
      <c r="M41" s="121">
        <f>ROUND(K41/120.4*122.3,-2)</f>
        <v>11500</v>
      </c>
      <c r="N41" s="121">
        <v>0</v>
      </c>
      <c r="O41" s="121">
        <v>65000</v>
      </c>
      <c r="P41" s="79"/>
      <c r="Q41" s="72" t="s">
        <v>354</v>
      </c>
      <c r="R41" s="90"/>
      <c r="S41" s="96"/>
      <c r="T41" s="96"/>
      <c r="U41" s="96"/>
      <c r="V41" s="96"/>
      <c r="W41" s="96"/>
      <c r="X41" s="96"/>
      <c r="Y41" s="116"/>
      <c r="Z41" s="79"/>
      <c r="AA41" s="164">
        <v>44363</v>
      </c>
      <c r="AB41" s="133"/>
      <c r="AC41" s="133"/>
      <c r="AD41" s="133"/>
      <c r="AE41" s="133"/>
      <c r="AF41" s="47"/>
      <c r="AG41" s="47"/>
    </row>
    <row r="42" spans="1:33" s="47" customFormat="1" ht="25.5" x14ac:dyDescent="0.2">
      <c r="A42" s="70">
        <v>60505</v>
      </c>
      <c r="B42" s="146" t="s">
        <v>20</v>
      </c>
      <c r="C42" s="137"/>
      <c r="D42" s="147"/>
      <c r="E42" s="137" t="s">
        <v>75</v>
      </c>
      <c r="F42" s="69" t="s">
        <v>166</v>
      </c>
      <c r="G42" s="137" t="s">
        <v>58</v>
      </c>
      <c r="H42" s="45">
        <v>4395900</v>
      </c>
      <c r="I42" s="45">
        <v>264000</v>
      </c>
      <c r="J42" s="72">
        <f>ROUND(H42/125.8*134.2,-2)</f>
        <v>4689400</v>
      </c>
      <c r="K42" s="72">
        <f>ROUND(I42/118.2*120.4,-2)</f>
        <v>268900</v>
      </c>
      <c r="L42" s="121">
        <f>ROUND(J42/134.2*144.3,-2)+231935</f>
        <v>5274235</v>
      </c>
      <c r="M42" s="121">
        <f>ROUND(K42/120.4*122.3,-2)</f>
        <v>273100</v>
      </c>
      <c r="N42" s="121">
        <v>6120000</v>
      </c>
      <c r="O42" s="121">
        <v>300000</v>
      </c>
      <c r="P42" s="72" t="s">
        <v>394</v>
      </c>
      <c r="Q42" s="72" t="s">
        <v>401</v>
      </c>
      <c r="R42" s="90"/>
      <c r="S42" s="96"/>
      <c r="T42" s="96"/>
      <c r="U42" s="109" t="s">
        <v>287</v>
      </c>
      <c r="V42" s="109" t="s">
        <v>287</v>
      </c>
      <c r="W42" s="96"/>
      <c r="X42" s="96"/>
      <c r="Y42" s="114" t="s">
        <v>287</v>
      </c>
      <c r="Z42" s="79" t="s">
        <v>323</v>
      </c>
      <c r="AA42" s="164">
        <v>43119</v>
      </c>
      <c r="AB42" s="130"/>
      <c r="AC42" s="130"/>
      <c r="AD42" s="130"/>
      <c r="AE42" s="130"/>
    </row>
    <row r="43" spans="1:33" s="46" customFormat="1" x14ac:dyDescent="0.2">
      <c r="A43" s="70">
        <v>60506</v>
      </c>
      <c r="B43" s="152" t="s">
        <v>395</v>
      </c>
      <c r="C43" s="134"/>
      <c r="D43" s="147"/>
      <c r="E43" s="134" t="s">
        <v>417</v>
      </c>
      <c r="F43" s="69" t="s">
        <v>383</v>
      </c>
      <c r="G43" s="137" t="s">
        <v>58</v>
      </c>
      <c r="H43" s="72"/>
      <c r="I43" s="45"/>
      <c r="J43" s="72">
        <v>100000</v>
      </c>
      <c r="K43" s="72"/>
      <c r="L43" s="121">
        <f t="shared" ref="L43:L53" si="6">ROUND(J43/134.2*144.3,-2)</f>
        <v>107500</v>
      </c>
      <c r="M43" s="121">
        <f>ROUND(K43/120.4*122.3,-2)</f>
        <v>0</v>
      </c>
      <c r="N43" s="121">
        <v>125000</v>
      </c>
      <c r="O43" s="121">
        <f>ROUND(M43/122.3*124.6,-2)</f>
        <v>0</v>
      </c>
      <c r="P43" s="72" t="s">
        <v>394</v>
      </c>
      <c r="Q43" s="93"/>
      <c r="R43" s="99"/>
      <c r="S43" s="93"/>
      <c r="T43" s="93"/>
      <c r="U43" s="93"/>
      <c r="V43" s="95"/>
      <c r="W43" s="93"/>
      <c r="X43" s="93"/>
      <c r="Y43" s="115"/>
      <c r="Z43" s="72"/>
      <c r="AA43" s="162">
        <v>43117</v>
      </c>
    </row>
    <row r="44" spans="1:33" s="46" customFormat="1" x14ac:dyDescent="0.2">
      <c r="A44" s="70">
        <v>60005</v>
      </c>
      <c r="B44" s="146" t="s">
        <v>48</v>
      </c>
      <c r="C44" s="137"/>
      <c r="D44" s="147"/>
      <c r="E44" s="137" t="s">
        <v>101</v>
      </c>
      <c r="F44" s="69" t="s">
        <v>168</v>
      </c>
      <c r="G44" s="137" t="s">
        <v>58</v>
      </c>
      <c r="H44" s="45">
        <v>1042100</v>
      </c>
      <c r="I44" s="45">
        <v>0</v>
      </c>
      <c r="J44" s="72">
        <f t="shared" ref="J44:J50" si="7">ROUND(H44/125.8*134.2,-2)</f>
        <v>1111700</v>
      </c>
      <c r="K44" s="72">
        <f t="shared" ref="K44:K50" si="8">ROUND(I44/118.2*120.4,-2)</f>
        <v>0</v>
      </c>
      <c r="L44" s="121">
        <f t="shared" si="6"/>
        <v>1195400</v>
      </c>
      <c r="M44" s="121">
        <f>ROUND(K44/120.4*122.3,-2)</f>
        <v>0</v>
      </c>
      <c r="N44" s="121">
        <v>1390000</v>
      </c>
      <c r="O44" s="121">
        <f>ROUND(M44/122.3*124.6,-2)</f>
        <v>0</v>
      </c>
      <c r="P44" s="72" t="s">
        <v>394</v>
      </c>
      <c r="Q44" s="93"/>
      <c r="R44" s="90"/>
      <c r="S44" s="93"/>
      <c r="T44" s="93"/>
      <c r="U44" s="93"/>
      <c r="V44" s="93"/>
      <c r="W44" s="93" t="s">
        <v>290</v>
      </c>
      <c r="X44" s="93"/>
      <c r="Y44" s="117"/>
      <c r="Z44" s="72"/>
      <c r="AA44" s="162">
        <v>43276</v>
      </c>
    </row>
    <row r="45" spans="1:33" s="46" customFormat="1" ht="25.5" x14ac:dyDescent="0.2">
      <c r="A45" s="70">
        <v>60730</v>
      </c>
      <c r="B45" s="146" t="s">
        <v>42</v>
      </c>
      <c r="C45" s="137">
        <v>0</v>
      </c>
      <c r="D45" s="147"/>
      <c r="E45" s="137" t="s">
        <v>96</v>
      </c>
      <c r="F45" s="69" t="s">
        <v>169</v>
      </c>
      <c r="G45" s="137" t="s">
        <v>58</v>
      </c>
      <c r="H45" s="45">
        <v>157400</v>
      </c>
      <c r="I45" s="45">
        <v>7900</v>
      </c>
      <c r="J45" s="72">
        <f t="shared" si="7"/>
        <v>167900</v>
      </c>
      <c r="K45" s="72">
        <f t="shared" si="8"/>
        <v>8000</v>
      </c>
      <c r="L45" s="121">
        <f t="shared" si="6"/>
        <v>180500</v>
      </c>
      <c r="M45" s="121">
        <f>ROUND(K45/120.4*122.3,-2)</f>
        <v>8100</v>
      </c>
      <c r="N45" s="121">
        <v>190000</v>
      </c>
      <c r="O45" s="121">
        <v>10000</v>
      </c>
      <c r="P45" s="72" t="s">
        <v>394</v>
      </c>
      <c r="Q45" s="72" t="s">
        <v>354</v>
      </c>
      <c r="R45" s="92"/>
      <c r="S45" s="96"/>
      <c r="T45" s="96"/>
      <c r="U45" s="96"/>
      <c r="V45" s="96"/>
      <c r="W45" s="96"/>
      <c r="X45" s="96"/>
      <c r="Y45" s="116"/>
      <c r="Z45" s="79"/>
      <c r="AA45" s="164">
        <v>43115</v>
      </c>
      <c r="AB45" s="133"/>
      <c r="AC45" s="133"/>
      <c r="AD45" s="133"/>
      <c r="AE45" s="133"/>
      <c r="AF45" s="47"/>
      <c r="AG45" s="47"/>
    </row>
    <row r="46" spans="1:33" s="46" customFormat="1" x14ac:dyDescent="0.2">
      <c r="A46" s="70">
        <v>60608</v>
      </c>
      <c r="B46" s="146" t="s">
        <v>418</v>
      </c>
      <c r="C46" s="137"/>
      <c r="D46" s="147"/>
      <c r="E46" s="137" t="s">
        <v>419</v>
      </c>
      <c r="F46" s="69" t="s">
        <v>195</v>
      </c>
      <c r="G46" s="137" t="s">
        <v>63</v>
      </c>
      <c r="H46" s="45">
        <v>2116600</v>
      </c>
      <c r="I46" s="45">
        <v>0</v>
      </c>
      <c r="J46" s="72">
        <f t="shared" si="7"/>
        <v>2257900</v>
      </c>
      <c r="K46" s="72">
        <f t="shared" si="8"/>
        <v>0</v>
      </c>
      <c r="L46" s="121">
        <f t="shared" si="6"/>
        <v>2427800</v>
      </c>
      <c r="M46" s="121">
        <f>ROUND(K46/120.4*122.3,-2)</f>
        <v>0</v>
      </c>
      <c r="N46" s="121">
        <v>2690000</v>
      </c>
      <c r="O46" s="121">
        <f t="shared" ref="O46:O51" si="9">ROUND(M46/122.3*124.6,-2)</f>
        <v>0</v>
      </c>
      <c r="P46" s="72" t="s">
        <v>402</v>
      </c>
      <c r="Q46" s="93"/>
      <c r="R46" s="92"/>
      <c r="S46" s="93"/>
      <c r="T46" s="109" t="s">
        <v>287</v>
      </c>
      <c r="U46" s="109" t="s">
        <v>287</v>
      </c>
      <c r="V46" s="109" t="s">
        <v>287</v>
      </c>
      <c r="W46" s="93"/>
      <c r="X46" s="109" t="s">
        <v>287</v>
      </c>
      <c r="Y46" s="117"/>
      <c r="Z46" s="72"/>
      <c r="AA46" s="162">
        <v>43122</v>
      </c>
    </row>
    <row r="47" spans="1:33" s="46" customFormat="1" x14ac:dyDescent="0.2">
      <c r="A47" s="70">
        <v>60506</v>
      </c>
      <c r="B47" s="146" t="s">
        <v>26</v>
      </c>
      <c r="C47" s="137" t="s">
        <v>10</v>
      </c>
      <c r="D47" s="147"/>
      <c r="E47" s="137" t="s">
        <v>82</v>
      </c>
      <c r="F47" s="69" t="s">
        <v>170</v>
      </c>
      <c r="G47" s="137" t="s">
        <v>63</v>
      </c>
      <c r="H47" s="45">
        <v>379900</v>
      </c>
      <c r="I47" s="45">
        <v>0</v>
      </c>
      <c r="J47" s="72">
        <f t="shared" si="7"/>
        <v>405300</v>
      </c>
      <c r="K47" s="72">
        <f t="shared" si="8"/>
        <v>0</v>
      </c>
      <c r="L47" s="121">
        <f t="shared" si="6"/>
        <v>435800</v>
      </c>
      <c r="M47" s="121">
        <f>ROUND(K47/120.4*122.3,-2)</f>
        <v>0</v>
      </c>
      <c r="N47" s="121">
        <v>460000</v>
      </c>
      <c r="O47" s="121">
        <f t="shared" si="9"/>
        <v>0</v>
      </c>
      <c r="P47" s="72" t="s">
        <v>402</v>
      </c>
      <c r="Q47" s="93"/>
      <c r="R47" s="92"/>
      <c r="S47" s="93"/>
      <c r="T47" s="93"/>
      <c r="U47" s="93"/>
      <c r="V47" s="93"/>
      <c r="W47" s="93"/>
      <c r="X47" s="93"/>
      <c r="Y47" s="117"/>
      <c r="Z47" s="72" t="s">
        <v>317</v>
      </c>
      <c r="AA47" s="162">
        <v>42865</v>
      </c>
    </row>
    <row r="48" spans="1:33" s="47" customFormat="1" x14ac:dyDescent="0.2">
      <c r="A48" s="70">
        <v>60506</v>
      </c>
      <c r="B48" s="152" t="s">
        <v>23</v>
      </c>
      <c r="C48" s="137" t="s">
        <v>10</v>
      </c>
      <c r="D48" s="147"/>
      <c r="E48" s="137" t="s">
        <v>79</v>
      </c>
      <c r="F48" s="69" t="s">
        <v>170</v>
      </c>
      <c r="G48" s="137" t="s">
        <v>63</v>
      </c>
      <c r="H48" s="45">
        <v>1193900</v>
      </c>
      <c r="I48" s="45">
        <v>0</v>
      </c>
      <c r="J48" s="72">
        <f t="shared" si="7"/>
        <v>1273600</v>
      </c>
      <c r="K48" s="72">
        <f t="shared" si="8"/>
        <v>0</v>
      </c>
      <c r="L48" s="121">
        <f t="shared" si="6"/>
        <v>1369500</v>
      </c>
      <c r="M48" s="121">
        <f>ROUND(K48/120.4*122.3,-2)</f>
        <v>0</v>
      </c>
      <c r="N48" s="121">
        <v>1510000</v>
      </c>
      <c r="O48" s="121">
        <f t="shared" si="9"/>
        <v>0</v>
      </c>
      <c r="P48" s="72" t="s">
        <v>402</v>
      </c>
      <c r="Q48" s="93"/>
      <c r="R48" s="92"/>
      <c r="S48" s="93"/>
      <c r="T48" s="93"/>
      <c r="U48" s="93"/>
      <c r="V48" s="93"/>
      <c r="W48" s="93" t="s">
        <v>290</v>
      </c>
      <c r="X48" s="93"/>
      <c r="Y48" s="117"/>
      <c r="Z48" s="72" t="s">
        <v>333</v>
      </c>
      <c r="AA48" s="162">
        <v>43390</v>
      </c>
      <c r="AB48" s="46"/>
      <c r="AC48" s="46"/>
      <c r="AD48" s="46"/>
      <c r="AE48" s="46"/>
      <c r="AF48" s="46"/>
      <c r="AG48" s="46"/>
    </row>
    <row r="49" spans="1:33" s="46" customFormat="1" x14ac:dyDescent="0.2">
      <c r="A49" s="70">
        <v>60517</v>
      </c>
      <c r="B49" s="146" t="s">
        <v>129</v>
      </c>
      <c r="C49" s="137"/>
      <c r="D49" s="147"/>
      <c r="E49" s="134" t="s">
        <v>420</v>
      </c>
      <c r="F49" s="69"/>
      <c r="G49" s="137" t="s">
        <v>59</v>
      </c>
      <c r="H49" s="45">
        <v>81300</v>
      </c>
      <c r="I49" s="45">
        <v>0</v>
      </c>
      <c r="J49" s="72">
        <f t="shared" si="7"/>
        <v>86700</v>
      </c>
      <c r="K49" s="72">
        <f t="shared" si="8"/>
        <v>0</v>
      </c>
      <c r="L49" s="121">
        <f t="shared" si="6"/>
        <v>93200</v>
      </c>
      <c r="M49" s="121">
        <f>ROUND(K49/120.4*122.3,-2)</f>
        <v>0</v>
      </c>
      <c r="N49" s="121">
        <v>175000</v>
      </c>
      <c r="O49" s="121">
        <f t="shared" si="9"/>
        <v>0</v>
      </c>
      <c r="P49" s="72" t="s">
        <v>367</v>
      </c>
      <c r="Q49" s="93"/>
      <c r="R49" s="92"/>
      <c r="S49" s="93"/>
      <c r="T49" s="93"/>
      <c r="U49" s="93"/>
      <c r="V49" s="93"/>
      <c r="W49" s="93"/>
      <c r="X49" s="93"/>
      <c r="Y49" s="117"/>
      <c r="Z49" s="72" t="s">
        <v>334</v>
      </c>
      <c r="AA49" s="162">
        <v>44355</v>
      </c>
    </row>
    <row r="50" spans="1:33" s="46" customFormat="1" x14ac:dyDescent="0.2">
      <c r="A50" s="70">
        <v>60612</v>
      </c>
      <c r="B50" s="146" t="s">
        <v>40</v>
      </c>
      <c r="C50" s="137" t="s">
        <v>18</v>
      </c>
      <c r="D50" s="147"/>
      <c r="E50" s="137" t="s">
        <v>95</v>
      </c>
      <c r="F50" s="69" t="s">
        <v>171</v>
      </c>
      <c r="G50" s="137" t="s">
        <v>59</v>
      </c>
      <c r="H50" s="150">
        <v>803200</v>
      </c>
      <c r="I50" s="45">
        <v>0</v>
      </c>
      <c r="J50" s="72">
        <f t="shared" si="7"/>
        <v>856800</v>
      </c>
      <c r="K50" s="72">
        <f t="shared" si="8"/>
        <v>0</v>
      </c>
      <c r="L50" s="121">
        <f t="shared" si="6"/>
        <v>921300</v>
      </c>
      <c r="M50" s="121">
        <f>ROUND(K50/120.4*122.3,-2)</f>
        <v>0</v>
      </c>
      <c r="N50" s="121">
        <v>990000</v>
      </c>
      <c r="O50" s="121">
        <f t="shared" si="9"/>
        <v>0</v>
      </c>
      <c r="P50" s="72" t="s">
        <v>367</v>
      </c>
      <c r="Q50" s="93"/>
      <c r="R50" s="92"/>
      <c r="S50" s="93"/>
      <c r="T50" s="93"/>
      <c r="U50" s="109" t="s">
        <v>287</v>
      </c>
      <c r="V50" s="93"/>
      <c r="W50" s="93" t="s">
        <v>290</v>
      </c>
      <c r="X50" s="93"/>
      <c r="Y50" s="117"/>
      <c r="Z50" s="72"/>
      <c r="AA50" s="162">
        <v>43887</v>
      </c>
    </row>
    <row r="51" spans="1:33" s="46" customFormat="1" ht="25.5" x14ac:dyDescent="0.2">
      <c r="A51" s="70">
        <v>60005</v>
      </c>
      <c r="B51" s="146" t="s">
        <v>279</v>
      </c>
      <c r="C51" s="137"/>
      <c r="D51" s="147"/>
      <c r="E51" s="137" t="s">
        <v>302</v>
      </c>
      <c r="F51" s="69"/>
      <c r="G51" s="137" t="s">
        <v>59</v>
      </c>
      <c r="H51" s="72"/>
      <c r="I51" s="45"/>
      <c r="J51" s="72">
        <v>40000</v>
      </c>
      <c r="K51" s="72"/>
      <c r="L51" s="121">
        <f t="shared" si="6"/>
        <v>43000</v>
      </c>
      <c r="M51" s="121">
        <f>ROUND(K51/120.4*122.3,-2)</f>
        <v>0</v>
      </c>
      <c r="N51" s="121">
        <v>300000</v>
      </c>
      <c r="O51" s="121">
        <f t="shared" si="9"/>
        <v>0</v>
      </c>
      <c r="P51" s="72" t="s">
        <v>372</v>
      </c>
      <c r="Q51" s="93"/>
      <c r="R51" s="99"/>
      <c r="S51" s="93"/>
      <c r="T51" s="93"/>
      <c r="U51" s="93"/>
      <c r="V51" s="95"/>
      <c r="W51" s="93"/>
      <c r="X51" s="93"/>
      <c r="Y51" s="115"/>
      <c r="Z51" s="72"/>
      <c r="AA51" s="162" t="s">
        <v>411</v>
      </c>
    </row>
    <row r="52" spans="1:33" s="46" customFormat="1" x14ac:dyDescent="0.2">
      <c r="A52" s="70">
        <v>60506</v>
      </c>
      <c r="B52" s="146" t="s">
        <v>22</v>
      </c>
      <c r="C52" s="137">
        <v>0</v>
      </c>
      <c r="D52" s="147"/>
      <c r="E52" s="137" t="s">
        <v>78</v>
      </c>
      <c r="F52" s="69" t="s">
        <v>172</v>
      </c>
      <c r="G52" s="137" t="s">
        <v>59</v>
      </c>
      <c r="H52" s="45">
        <v>1649800</v>
      </c>
      <c r="I52" s="45">
        <v>211300</v>
      </c>
      <c r="J52" s="72">
        <f>ROUND(H52/125.8*134.2,-2)</f>
        <v>1760000</v>
      </c>
      <c r="K52" s="72">
        <f>ROUND(I52/118.2*120.4,-2)</f>
        <v>215200</v>
      </c>
      <c r="L52" s="121">
        <f t="shared" si="6"/>
        <v>1892500</v>
      </c>
      <c r="M52" s="121">
        <f>ROUND(K52/120.4*122.3,-2)</f>
        <v>218600</v>
      </c>
      <c r="N52" s="121">
        <v>3050000</v>
      </c>
      <c r="O52" s="121">
        <v>230000</v>
      </c>
      <c r="P52" s="72" t="s">
        <v>367</v>
      </c>
      <c r="Q52" s="72" t="s">
        <v>358</v>
      </c>
      <c r="R52" s="92"/>
      <c r="S52" s="93"/>
      <c r="T52" s="93"/>
      <c r="U52" s="93"/>
      <c r="V52" s="93"/>
      <c r="W52" s="93"/>
      <c r="X52" s="93"/>
      <c r="Y52" s="117"/>
      <c r="Z52" s="72"/>
      <c r="AA52" s="162">
        <v>43367</v>
      </c>
    </row>
    <row r="53" spans="1:33" s="46" customFormat="1" x14ac:dyDescent="0.2">
      <c r="A53" s="70">
        <v>60506</v>
      </c>
      <c r="B53" s="146" t="s">
        <v>25</v>
      </c>
      <c r="C53" s="137">
        <v>0</v>
      </c>
      <c r="D53" s="147"/>
      <c r="E53" s="137" t="s">
        <v>81</v>
      </c>
      <c r="F53" s="69" t="s">
        <v>173</v>
      </c>
      <c r="G53" s="137" t="s">
        <v>59</v>
      </c>
      <c r="H53" s="45">
        <v>1248200</v>
      </c>
      <c r="I53" s="45">
        <v>211300</v>
      </c>
      <c r="J53" s="72">
        <f>ROUND(H53/125.8*134.2,-2)</f>
        <v>1331500</v>
      </c>
      <c r="K53" s="72">
        <f>ROUND(I53/118.2*120.4,-2)</f>
        <v>215200</v>
      </c>
      <c r="L53" s="121">
        <f t="shared" si="6"/>
        <v>1431700</v>
      </c>
      <c r="M53" s="121">
        <f>ROUND(K53/120.4*122.3,-2)</f>
        <v>218600</v>
      </c>
      <c r="N53" s="121">
        <v>1570000</v>
      </c>
      <c r="O53" s="121">
        <v>220000</v>
      </c>
      <c r="P53" s="72" t="s">
        <v>367</v>
      </c>
      <c r="Q53" s="72" t="s">
        <v>358</v>
      </c>
      <c r="R53" s="92"/>
      <c r="S53" s="93"/>
      <c r="T53" s="93"/>
      <c r="U53" s="93"/>
      <c r="V53" s="93"/>
      <c r="W53" s="93"/>
      <c r="X53" s="93"/>
      <c r="Y53" s="117"/>
      <c r="Z53" s="72"/>
      <c r="AA53" s="162">
        <v>43306</v>
      </c>
    </row>
    <row r="54" spans="1:33" s="68" customFormat="1" x14ac:dyDescent="0.2">
      <c r="A54" s="182" t="s">
        <v>377</v>
      </c>
      <c r="B54" s="153" t="s">
        <v>375</v>
      </c>
      <c r="C54" s="153"/>
      <c r="D54" s="183"/>
      <c r="E54" s="74" t="s">
        <v>376</v>
      </c>
      <c r="F54" s="184" t="s">
        <v>178</v>
      </c>
      <c r="G54" s="74" t="s">
        <v>59</v>
      </c>
      <c r="H54" s="92"/>
      <c r="I54" s="92"/>
      <c r="J54" s="92"/>
      <c r="K54" s="92"/>
      <c r="L54" s="92"/>
      <c r="M54" s="92"/>
      <c r="N54" s="121">
        <v>450000</v>
      </c>
      <c r="O54" s="72"/>
      <c r="P54" s="72" t="s">
        <v>367</v>
      </c>
      <c r="Q54" s="72"/>
      <c r="R54" s="92"/>
      <c r="S54" s="180"/>
      <c r="T54" s="180"/>
      <c r="U54" s="180"/>
      <c r="V54" s="180"/>
      <c r="W54" s="180"/>
      <c r="X54" s="180"/>
      <c r="Y54" s="181"/>
      <c r="Z54" s="105"/>
      <c r="AA54" s="105"/>
      <c r="AB54" s="132"/>
      <c r="AC54" s="132"/>
      <c r="AD54" s="132"/>
      <c r="AE54" s="132"/>
      <c r="AF54" s="132"/>
      <c r="AG54" s="132"/>
    </row>
    <row r="55" spans="1:33" s="46" customFormat="1" x14ac:dyDescent="0.2">
      <c r="A55" s="70">
        <v>60802</v>
      </c>
      <c r="B55" s="146" t="s">
        <v>369</v>
      </c>
      <c r="C55" s="137" t="s">
        <v>10</v>
      </c>
      <c r="D55" s="147"/>
      <c r="E55" s="137" t="s">
        <v>208</v>
      </c>
      <c r="F55" s="69" t="s">
        <v>174</v>
      </c>
      <c r="G55" s="137" t="s">
        <v>59</v>
      </c>
      <c r="H55" s="45">
        <v>146500</v>
      </c>
      <c r="I55" s="45">
        <v>0</v>
      </c>
      <c r="J55" s="72">
        <f t="shared" ref="J55:J61" si="10">ROUND(H55/125.8*134.2,-2)</f>
        <v>156300</v>
      </c>
      <c r="K55" s="72">
        <f t="shared" ref="K55:K61" si="11">ROUND(I55/118.2*120.4,-2)</f>
        <v>0</v>
      </c>
      <c r="L55" s="121">
        <f t="shared" ref="L55:L79" si="12">ROUND(J55/134.2*144.3,-2)</f>
        <v>168100</v>
      </c>
      <c r="M55" s="121">
        <f t="shared" ref="M55:M69" si="13">ROUND(K55/120.4*122.3,-2)</f>
        <v>0</v>
      </c>
      <c r="N55" s="121">
        <v>215000</v>
      </c>
      <c r="O55" s="121">
        <f t="shared" ref="O55:O64" si="14">ROUND(M55/122.3*124.6,-2)</f>
        <v>0</v>
      </c>
      <c r="P55" s="72" t="s">
        <v>367</v>
      </c>
      <c r="Q55" s="93"/>
      <c r="R55" s="92"/>
      <c r="S55" s="93"/>
      <c r="T55" s="93"/>
      <c r="U55" s="93"/>
      <c r="V55" s="93"/>
      <c r="W55" s="93"/>
      <c r="X55" s="93"/>
      <c r="Y55" s="117"/>
      <c r="Z55" s="72"/>
      <c r="AA55" s="166" t="s">
        <v>410</v>
      </c>
    </row>
    <row r="56" spans="1:33" s="46" customFormat="1" x14ac:dyDescent="0.2">
      <c r="A56" s="70">
        <v>60802</v>
      </c>
      <c r="B56" s="146" t="s">
        <v>209</v>
      </c>
      <c r="C56" s="137" t="s">
        <v>10</v>
      </c>
      <c r="D56" s="147"/>
      <c r="E56" s="137" t="s">
        <v>206</v>
      </c>
      <c r="F56" s="69" t="s">
        <v>174</v>
      </c>
      <c r="G56" s="137" t="s">
        <v>59</v>
      </c>
      <c r="H56" s="45">
        <v>141300</v>
      </c>
      <c r="I56" s="45">
        <v>0</v>
      </c>
      <c r="J56" s="72">
        <f t="shared" si="10"/>
        <v>150700</v>
      </c>
      <c r="K56" s="72">
        <f t="shared" si="11"/>
        <v>0</v>
      </c>
      <c r="L56" s="121">
        <f t="shared" si="12"/>
        <v>162000</v>
      </c>
      <c r="M56" s="121">
        <f t="shared" si="13"/>
        <v>0</v>
      </c>
      <c r="N56" s="121">
        <v>170000</v>
      </c>
      <c r="O56" s="121">
        <f t="shared" si="14"/>
        <v>0</v>
      </c>
      <c r="P56" s="72" t="s">
        <v>367</v>
      </c>
      <c r="Q56" s="93"/>
      <c r="R56" s="101"/>
      <c r="S56" s="93"/>
      <c r="T56" s="93"/>
      <c r="U56" s="93"/>
      <c r="V56" s="93"/>
      <c r="W56" s="93"/>
      <c r="X56" s="93"/>
      <c r="Y56" s="117"/>
      <c r="Z56" s="72"/>
      <c r="AA56" s="166" t="s">
        <v>410</v>
      </c>
    </row>
    <row r="57" spans="1:33" s="46" customFormat="1" x14ac:dyDescent="0.2">
      <c r="A57" s="70">
        <v>60802</v>
      </c>
      <c r="B57" s="146" t="s">
        <v>209</v>
      </c>
      <c r="C57" s="137" t="s">
        <v>10</v>
      </c>
      <c r="D57" s="147"/>
      <c r="E57" s="137" t="s">
        <v>207</v>
      </c>
      <c r="F57" s="69" t="s">
        <v>174</v>
      </c>
      <c r="G57" s="137" t="s">
        <v>59</v>
      </c>
      <c r="H57" s="45">
        <v>146500</v>
      </c>
      <c r="I57" s="45">
        <v>0</v>
      </c>
      <c r="J57" s="72">
        <f t="shared" si="10"/>
        <v>156300</v>
      </c>
      <c r="K57" s="72">
        <f t="shared" si="11"/>
        <v>0</v>
      </c>
      <c r="L57" s="121">
        <f t="shared" si="12"/>
        <v>168100</v>
      </c>
      <c r="M57" s="121">
        <f t="shared" si="13"/>
        <v>0</v>
      </c>
      <c r="N57" s="121">
        <v>160000</v>
      </c>
      <c r="O57" s="121">
        <f t="shared" si="14"/>
        <v>0</v>
      </c>
      <c r="P57" s="72" t="s">
        <v>367</v>
      </c>
      <c r="Q57" s="93"/>
      <c r="R57" s="92"/>
      <c r="S57" s="93"/>
      <c r="T57" s="93"/>
      <c r="U57" s="93"/>
      <c r="V57" s="93"/>
      <c r="W57" s="93"/>
      <c r="X57" s="93"/>
      <c r="Y57" s="117"/>
      <c r="Z57" s="72"/>
      <c r="AA57" s="166" t="s">
        <v>410</v>
      </c>
    </row>
    <row r="58" spans="1:33" s="46" customFormat="1" x14ac:dyDescent="0.2">
      <c r="A58" s="70">
        <v>60730</v>
      </c>
      <c r="B58" s="146" t="s">
        <v>45</v>
      </c>
      <c r="C58" s="137">
        <v>0</v>
      </c>
      <c r="D58" s="147"/>
      <c r="E58" s="137" t="s">
        <v>98</v>
      </c>
      <c r="F58" s="69" t="s">
        <v>174</v>
      </c>
      <c r="G58" s="137" t="s">
        <v>59</v>
      </c>
      <c r="H58" s="45">
        <v>21700</v>
      </c>
      <c r="I58" s="45">
        <v>0</v>
      </c>
      <c r="J58" s="72">
        <f t="shared" si="10"/>
        <v>23100</v>
      </c>
      <c r="K58" s="72">
        <f t="shared" si="11"/>
        <v>0</v>
      </c>
      <c r="L58" s="121">
        <f t="shared" si="12"/>
        <v>24800</v>
      </c>
      <c r="M58" s="121">
        <f t="shared" si="13"/>
        <v>0</v>
      </c>
      <c r="N58" s="121">
        <v>30000</v>
      </c>
      <c r="O58" s="121">
        <f t="shared" si="14"/>
        <v>0</v>
      </c>
      <c r="P58" s="72" t="s">
        <v>367</v>
      </c>
      <c r="Q58" s="93"/>
      <c r="R58" s="90"/>
      <c r="S58" s="93"/>
      <c r="T58" s="93"/>
      <c r="U58" s="93"/>
      <c r="V58" s="93"/>
      <c r="W58" s="93"/>
      <c r="X58" s="93"/>
      <c r="Y58" s="117"/>
      <c r="Z58" s="72"/>
      <c r="AA58" s="162" t="s">
        <v>411</v>
      </c>
    </row>
    <row r="59" spans="1:33" s="46" customFormat="1" x14ac:dyDescent="0.2">
      <c r="A59" s="70">
        <v>60506</v>
      </c>
      <c r="B59" s="146" t="s">
        <v>300</v>
      </c>
      <c r="C59" s="137"/>
      <c r="D59" s="147"/>
      <c r="E59" s="137" t="s">
        <v>421</v>
      </c>
      <c r="F59" s="69" t="s">
        <v>201</v>
      </c>
      <c r="G59" s="137" t="s">
        <v>59</v>
      </c>
      <c r="H59" s="45">
        <v>998400</v>
      </c>
      <c r="I59" s="45">
        <v>0</v>
      </c>
      <c r="J59" s="72">
        <f t="shared" si="10"/>
        <v>1065100</v>
      </c>
      <c r="K59" s="72">
        <f t="shared" si="11"/>
        <v>0</v>
      </c>
      <c r="L59" s="121">
        <f t="shared" si="12"/>
        <v>1145300</v>
      </c>
      <c r="M59" s="121">
        <f t="shared" si="13"/>
        <v>0</v>
      </c>
      <c r="N59" s="121">
        <v>1370000</v>
      </c>
      <c r="O59" s="121">
        <f t="shared" si="14"/>
        <v>0</v>
      </c>
      <c r="P59" s="72" t="s">
        <v>367</v>
      </c>
      <c r="Q59" s="93"/>
      <c r="R59" s="92" t="s">
        <v>44</v>
      </c>
      <c r="S59" s="93"/>
      <c r="T59" s="93"/>
      <c r="U59" s="93"/>
      <c r="V59" s="93"/>
      <c r="W59" s="93"/>
      <c r="X59" s="93"/>
      <c r="Y59" s="117"/>
      <c r="Z59" s="72" t="s">
        <v>317</v>
      </c>
      <c r="AA59" s="162" t="s">
        <v>415</v>
      </c>
    </row>
    <row r="60" spans="1:33" s="46" customFormat="1" x14ac:dyDescent="0.2">
      <c r="A60" s="70">
        <v>60721</v>
      </c>
      <c r="B60" s="146" t="s">
        <v>232</v>
      </c>
      <c r="C60" s="137"/>
      <c r="D60" s="147"/>
      <c r="E60" s="137" t="s">
        <v>404</v>
      </c>
      <c r="F60" s="69"/>
      <c r="G60" s="137" t="s">
        <v>59</v>
      </c>
      <c r="H60" s="72"/>
      <c r="I60" s="45">
        <v>0</v>
      </c>
      <c r="J60" s="72">
        <f t="shared" si="10"/>
        <v>0</v>
      </c>
      <c r="K60" s="72">
        <f t="shared" si="11"/>
        <v>0</v>
      </c>
      <c r="L60" s="121">
        <f t="shared" si="12"/>
        <v>0</v>
      </c>
      <c r="M60" s="121">
        <f t="shared" si="13"/>
        <v>0</v>
      </c>
      <c r="N60" s="121">
        <v>200000</v>
      </c>
      <c r="O60" s="121">
        <f t="shared" si="14"/>
        <v>0</v>
      </c>
      <c r="P60" s="72" t="s">
        <v>406</v>
      </c>
      <c r="Q60" s="93"/>
      <c r="R60" s="92"/>
      <c r="S60" s="93"/>
      <c r="T60" s="93"/>
      <c r="U60" s="93"/>
      <c r="V60" s="93"/>
      <c r="W60" s="93"/>
      <c r="X60" s="93"/>
      <c r="Y60" s="117"/>
      <c r="Z60" s="72"/>
      <c r="AA60" s="162">
        <v>43276</v>
      </c>
    </row>
    <row r="61" spans="1:33" s="46" customFormat="1" x14ac:dyDescent="0.2">
      <c r="A61" s="70">
        <v>60730</v>
      </c>
      <c r="B61" s="146" t="s">
        <v>41</v>
      </c>
      <c r="C61" s="137"/>
      <c r="D61" s="147"/>
      <c r="E61" s="137" t="s">
        <v>278</v>
      </c>
      <c r="F61" s="69" t="s">
        <v>175</v>
      </c>
      <c r="G61" s="137" t="s">
        <v>59</v>
      </c>
      <c r="H61" s="45">
        <v>162900</v>
      </c>
      <c r="I61" s="45">
        <v>0</v>
      </c>
      <c r="J61" s="72">
        <f t="shared" si="10"/>
        <v>173800</v>
      </c>
      <c r="K61" s="72">
        <f t="shared" si="11"/>
        <v>0</v>
      </c>
      <c r="L61" s="121">
        <f t="shared" si="12"/>
        <v>186900</v>
      </c>
      <c r="M61" s="121">
        <f t="shared" si="13"/>
        <v>0</v>
      </c>
      <c r="N61" s="121">
        <v>205000</v>
      </c>
      <c r="O61" s="121">
        <f t="shared" si="14"/>
        <v>0</v>
      </c>
      <c r="P61" s="72" t="s">
        <v>367</v>
      </c>
      <c r="Q61" s="93"/>
      <c r="R61" s="92"/>
      <c r="S61" s="93"/>
      <c r="T61" s="93"/>
      <c r="U61" s="93"/>
      <c r="V61" s="93"/>
      <c r="W61" s="93"/>
      <c r="X61" s="93"/>
      <c r="Y61" s="117"/>
      <c r="Z61" s="72"/>
      <c r="AA61" s="162">
        <v>43115</v>
      </c>
    </row>
    <row r="62" spans="1:33" s="46" customFormat="1" x14ac:dyDescent="0.2">
      <c r="A62" s="70">
        <v>60730</v>
      </c>
      <c r="B62" s="146" t="s">
        <v>277</v>
      </c>
      <c r="C62" s="137"/>
      <c r="D62" s="147"/>
      <c r="E62" s="137" t="s">
        <v>278</v>
      </c>
      <c r="F62" s="69" t="s">
        <v>175</v>
      </c>
      <c r="G62" s="137" t="s">
        <v>59</v>
      </c>
      <c r="H62" s="72"/>
      <c r="I62" s="45"/>
      <c r="J62" s="72">
        <v>30000</v>
      </c>
      <c r="K62" s="72"/>
      <c r="L62" s="121">
        <f t="shared" si="12"/>
        <v>32300</v>
      </c>
      <c r="M62" s="121">
        <f t="shared" si="13"/>
        <v>0</v>
      </c>
      <c r="N62" s="121">
        <v>55000</v>
      </c>
      <c r="O62" s="121">
        <f t="shared" si="14"/>
        <v>0</v>
      </c>
      <c r="P62" s="72" t="s">
        <v>367</v>
      </c>
      <c r="Q62" s="93"/>
      <c r="R62" s="99"/>
      <c r="S62" s="93"/>
      <c r="T62" s="93"/>
      <c r="U62" s="93"/>
      <c r="V62" s="95"/>
      <c r="W62" s="93"/>
      <c r="X62" s="93"/>
      <c r="Y62" s="115"/>
      <c r="Z62" s="72"/>
      <c r="AA62" s="162" t="s">
        <v>411</v>
      </c>
    </row>
    <row r="63" spans="1:33" s="46" customFormat="1" x14ac:dyDescent="0.2">
      <c r="A63" s="70">
        <v>60721</v>
      </c>
      <c r="B63" s="146" t="s">
        <v>232</v>
      </c>
      <c r="C63" s="69">
        <v>0</v>
      </c>
      <c r="D63" s="71"/>
      <c r="E63" s="137" t="s">
        <v>405</v>
      </c>
      <c r="F63" s="69"/>
      <c r="G63" s="137" t="s">
        <v>59</v>
      </c>
      <c r="H63" s="72">
        <v>0</v>
      </c>
      <c r="I63" s="45">
        <v>0</v>
      </c>
      <c r="J63" s="72">
        <f t="shared" ref="J63:J69" si="15">ROUND(H63/125.8*134.2,-2)</f>
        <v>0</v>
      </c>
      <c r="K63" s="72">
        <f t="shared" ref="K63:K69" si="16">ROUND(I63/118.2*120.4,-2)</f>
        <v>0</v>
      </c>
      <c r="L63" s="121">
        <f t="shared" si="12"/>
        <v>0</v>
      </c>
      <c r="M63" s="121">
        <f t="shared" si="13"/>
        <v>0</v>
      </c>
      <c r="N63" s="121">
        <v>210000</v>
      </c>
      <c r="O63" s="121">
        <f t="shared" si="14"/>
        <v>0</v>
      </c>
      <c r="P63" s="72" t="s">
        <v>406</v>
      </c>
      <c r="Q63" s="72"/>
      <c r="R63" s="92"/>
      <c r="S63" s="93"/>
      <c r="T63" s="93"/>
      <c r="U63" s="93"/>
      <c r="V63" s="93"/>
      <c r="W63" s="93"/>
      <c r="X63" s="93"/>
      <c r="Y63" s="117"/>
      <c r="Z63" s="72"/>
      <c r="AA63" s="162">
        <v>43276</v>
      </c>
    </row>
    <row r="64" spans="1:33" s="46" customFormat="1" x14ac:dyDescent="0.2">
      <c r="A64" s="70">
        <v>60506</v>
      </c>
      <c r="B64" s="152" t="s">
        <v>130</v>
      </c>
      <c r="C64" s="137">
        <v>0</v>
      </c>
      <c r="D64" s="147"/>
      <c r="E64" s="137" t="s">
        <v>76</v>
      </c>
      <c r="F64" s="69" t="s">
        <v>176</v>
      </c>
      <c r="G64" s="137" t="s">
        <v>59</v>
      </c>
      <c r="H64" s="45">
        <v>499400</v>
      </c>
      <c r="I64" s="45">
        <v>0</v>
      </c>
      <c r="J64" s="72">
        <f t="shared" si="15"/>
        <v>532700</v>
      </c>
      <c r="K64" s="72">
        <f t="shared" si="16"/>
        <v>0</v>
      </c>
      <c r="L64" s="121">
        <f t="shared" si="12"/>
        <v>572800</v>
      </c>
      <c r="M64" s="121">
        <f t="shared" si="13"/>
        <v>0</v>
      </c>
      <c r="N64" s="121">
        <v>730000</v>
      </c>
      <c r="O64" s="121">
        <f t="shared" si="14"/>
        <v>0</v>
      </c>
      <c r="P64" s="72" t="s">
        <v>367</v>
      </c>
      <c r="Q64" s="93"/>
      <c r="R64" s="92"/>
      <c r="S64" s="93"/>
      <c r="T64" s="93"/>
      <c r="U64" s="93"/>
      <c r="V64" s="93"/>
      <c r="W64" s="93" t="s">
        <v>290</v>
      </c>
      <c r="X64" s="93"/>
      <c r="Y64" s="117"/>
      <c r="Z64" s="72"/>
      <c r="AA64" s="162">
        <v>43413</v>
      </c>
    </row>
    <row r="65" spans="1:33" s="46" customFormat="1" ht="25.5" x14ac:dyDescent="0.2">
      <c r="A65" s="70">
        <v>60103</v>
      </c>
      <c r="B65" s="146" t="s">
        <v>422</v>
      </c>
      <c r="C65" s="137">
        <v>0</v>
      </c>
      <c r="D65" s="147"/>
      <c r="E65" s="137" t="s">
        <v>296</v>
      </c>
      <c r="F65" s="69" t="s">
        <v>177</v>
      </c>
      <c r="G65" s="137" t="s">
        <v>59</v>
      </c>
      <c r="H65" s="45">
        <v>1747500</v>
      </c>
      <c r="I65" s="45">
        <v>36900</v>
      </c>
      <c r="J65" s="72">
        <f t="shared" si="15"/>
        <v>1864200</v>
      </c>
      <c r="K65" s="72">
        <f t="shared" si="16"/>
        <v>37600</v>
      </c>
      <c r="L65" s="121">
        <f t="shared" si="12"/>
        <v>2004500</v>
      </c>
      <c r="M65" s="121">
        <f t="shared" si="13"/>
        <v>38200</v>
      </c>
      <c r="N65" s="121">
        <v>1240000</v>
      </c>
      <c r="O65" s="121">
        <v>180000</v>
      </c>
      <c r="P65" s="72" t="s">
        <v>367</v>
      </c>
      <c r="Q65" s="72" t="s">
        <v>358</v>
      </c>
      <c r="R65" s="99"/>
      <c r="S65" s="93"/>
      <c r="T65" s="93"/>
      <c r="U65" s="93"/>
      <c r="V65" s="109" t="s">
        <v>287</v>
      </c>
      <c r="W65" s="93"/>
      <c r="X65" s="93"/>
      <c r="Y65" s="117"/>
      <c r="Z65" s="72"/>
      <c r="AA65" s="162">
        <v>44117</v>
      </c>
    </row>
    <row r="66" spans="1:33" s="46" customFormat="1" x14ac:dyDescent="0.2">
      <c r="A66" s="70">
        <v>60606</v>
      </c>
      <c r="B66" s="146" t="s">
        <v>33</v>
      </c>
      <c r="C66" s="137">
        <v>0</v>
      </c>
      <c r="D66" s="147"/>
      <c r="E66" s="137" t="s">
        <v>370</v>
      </c>
      <c r="F66" s="69" t="s">
        <v>178</v>
      </c>
      <c r="G66" s="137" t="s">
        <v>59</v>
      </c>
      <c r="H66" s="151">
        <v>341800</v>
      </c>
      <c r="I66" s="45">
        <v>0</v>
      </c>
      <c r="J66" s="72">
        <f t="shared" si="15"/>
        <v>364600</v>
      </c>
      <c r="K66" s="72">
        <f t="shared" si="16"/>
        <v>0</v>
      </c>
      <c r="L66" s="121">
        <f t="shared" si="12"/>
        <v>392000</v>
      </c>
      <c r="M66" s="121">
        <f t="shared" si="13"/>
        <v>0</v>
      </c>
      <c r="N66" s="121">
        <v>400000</v>
      </c>
      <c r="O66" s="121">
        <f t="shared" ref="O66:O71" si="17">ROUND(M66/122.3*124.6,-2)</f>
        <v>0</v>
      </c>
      <c r="P66" s="72" t="s">
        <v>367</v>
      </c>
      <c r="Q66" s="93"/>
      <c r="R66" s="92"/>
      <c r="S66" s="93"/>
      <c r="T66" s="93"/>
      <c r="U66" s="93"/>
      <c r="V66" s="93"/>
      <c r="W66" s="93"/>
      <c r="X66" s="93"/>
      <c r="Y66" s="117"/>
      <c r="Z66" s="72"/>
      <c r="AA66" s="162">
        <v>39377</v>
      </c>
    </row>
    <row r="67" spans="1:33" s="46" customFormat="1" x14ac:dyDescent="0.2">
      <c r="A67" s="169">
        <v>60505</v>
      </c>
      <c r="B67" s="146" t="s">
        <v>34</v>
      </c>
      <c r="C67" s="137">
        <v>0</v>
      </c>
      <c r="D67" s="147"/>
      <c r="E67" s="137" t="s">
        <v>90</v>
      </c>
      <c r="F67" s="111" t="s">
        <v>179</v>
      </c>
      <c r="G67" s="185" t="s">
        <v>59</v>
      </c>
      <c r="H67" s="110">
        <v>1362200</v>
      </c>
      <c r="I67" s="110">
        <v>0</v>
      </c>
      <c r="J67" s="72">
        <f t="shared" si="15"/>
        <v>1453200</v>
      </c>
      <c r="K67" s="72">
        <f t="shared" si="16"/>
        <v>0</v>
      </c>
      <c r="L67" s="121">
        <f t="shared" si="12"/>
        <v>1562600</v>
      </c>
      <c r="M67" s="121">
        <f t="shared" si="13"/>
        <v>0</v>
      </c>
      <c r="N67" s="121">
        <v>1700000</v>
      </c>
      <c r="O67" s="121">
        <f t="shared" si="17"/>
        <v>0</v>
      </c>
      <c r="P67" s="72" t="s">
        <v>367</v>
      </c>
      <c r="Q67" s="93"/>
      <c r="R67" s="92"/>
      <c r="S67" s="93"/>
      <c r="T67" s="93"/>
      <c r="U67" s="109" t="s">
        <v>287</v>
      </c>
      <c r="V67" s="109" t="s">
        <v>287</v>
      </c>
      <c r="W67" s="93"/>
      <c r="X67" s="93"/>
      <c r="Y67" s="117"/>
      <c r="Z67" s="72"/>
      <c r="AA67" s="162">
        <v>43123</v>
      </c>
    </row>
    <row r="68" spans="1:33" s="68" customFormat="1" x14ac:dyDescent="0.2">
      <c r="A68" s="70">
        <v>60004</v>
      </c>
      <c r="B68" s="146" t="s">
        <v>16</v>
      </c>
      <c r="C68" s="137">
        <v>0</v>
      </c>
      <c r="D68" s="147"/>
      <c r="E68" s="137" t="s">
        <v>423</v>
      </c>
      <c r="F68" s="69" t="s">
        <v>180</v>
      </c>
      <c r="G68" s="137" t="s">
        <v>59</v>
      </c>
      <c r="H68" s="72">
        <v>635000</v>
      </c>
      <c r="I68" s="45">
        <v>0</v>
      </c>
      <c r="J68" s="72">
        <f t="shared" si="15"/>
        <v>677400</v>
      </c>
      <c r="K68" s="72">
        <f t="shared" si="16"/>
        <v>0</v>
      </c>
      <c r="L68" s="121">
        <f t="shared" si="12"/>
        <v>728400</v>
      </c>
      <c r="M68" s="121">
        <f t="shared" si="13"/>
        <v>0</v>
      </c>
      <c r="N68" s="121">
        <v>745000</v>
      </c>
      <c r="O68" s="121">
        <f t="shared" si="17"/>
        <v>0</v>
      </c>
      <c r="P68" s="72" t="s">
        <v>372</v>
      </c>
      <c r="Q68" s="93"/>
      <c r="R68" s="92"/>
      <c r="S68" s="93"/>
      <c r="T68" s="93"/>
      <c r="U68" s="93"/>
      <c r="V68" s="93"/>
      <c r="W68" s="93"/>
      <c r="X68" s="93"/>
      <c r="Y68" s="117"/>
      <c r="Z68" s="72" t="s">
        <v>336</v>
      </c>
      <c r="AA68" s="166" t="s">
        <v>410</v>
      </c>
      <c r="AB68" s="46"/>
      <c r="AC68" s="46"/>
      <c r="AD68" s="46"/>
      <c r="AE68" s="46"/>
      <c r="AF68" s="46"/>
      <c r="AG68" s="46"/>
    </row>
    <row r="69" spans="1:33" s="46" customFormat="1" x14ac:dyDescent="0.2">
      <c r="A69" s="70">
        <v>60057</v>
      </c>
      <c r="B69" s="156" t="s">
        <v>371</v>
      </c>
      <c r="C69" s="156"/>
      <c r="D69" s="186"/>
      <c r="E69" s="156" t="s">
        <v>274</v>
      </c>
      <c r="F69" s="175" t="s">
        <v>180</v>
      </c>
      <c r="G69" s="137" t="s">
        <v>59</v>
      </c>
      <c r="H69" s="72">
        <v>2116600</v>
      </c>
      <c r="I69" s="72"/>
      <c r="J69" s="72">
        <f t="shared" si="15"/>
        <v>2257900</v>
      </c>
      <c r="K69" s="72">
        <f t="shared" si="16"/>
        <v>0</v>
      </c>
      <c r="L69" s="121">
        <f t="shared" si="12"/>
        <v>2427800</v>
      </c>
      <c r="M69" s="121">
        <f t="shared" si="13"/>
        <v>0</v>
      </c>
      <c r="N69" s="121">
        <v>2270000</v>
      </c>
      <c r="O69" s="141">
        <f t="shared" si="17"/>
        <v>0</v>
      </c>
      <c r="P69" s="72" t="s">
        <v>367</v>
      </c>
      <c r="Q69" s="93"/>
      <c r="R69" s="92"/>
      <c r="S69" s="93"/>
      <c r="T69" s="93"/>
      <c r="U69" s="93"/>
      <c r="V69" s="93"/>
      <c r="W69" s="93"/>
      <c r="X69" s="93"/>
      <c r="Y69" s="117"/>
      <c r="Z69" s="72"/>
      <c r="AA69" s="162">
        <v>43129</v>
      </c>
      <c r="AB69" s="68"/>
      <c r="AC69" s="68"/>
      <c r="AD69" s="68"/>
      <c r="AE69" s="68"/>
      <c r="AF69" s="68"/>
      <c r="AG69" s="68"/>
    </row>
    <row r="70" spans="1:33" s="68" customFormat="1" x14ac:dyDescent="0.2">
      <c r="A70" s="70"/>
      <c r="B70" s="148" t="s">
        <v>345</v>
      </c>
      <c r="C70" s="148"/>
      <c r="D70" s="149"/>
      <c r="E70" s="138" t="s">
        <v>424</v>
      </c>
      <c r="F70" s="128" t="s">
        <v>346</v>
      </c>
      <c r="G70" s="138" t="s">
        <v>59</v>
      </c>
      <c r="H70" s="72"/>
      <c r="I70" s="72"/>
      <c r="J70" s="90">
        <v>100000</v>
      </c>
      <c r="K70" s="72"/>
      <c r="L70" s="121">
        <f t="shared" si="12"/>
        <v>107500</v>
      </c>
      <c r="M70" s="121"/>
      <c r="N70" s="121">
        <v>230000</v>
      </c>
      <c r="O70" s="121">
        <f t="shared" si="17"/>
        <v>0</v>
      </c>
      <c r="P70" s="72" t="s">
        <v>367</v>
      </c>
      <c r="Q70" s="93"/>
      <c r="R70" s="90"/>
      <c r="S70" s="96"/>
      <c r="T70" s="96"/>
      <c r="U70" s="96"/>
      <c r="V70" s="96"/>
      <c r="W70" s="96"/>
      <c r="X70" s="96"/>
      <c r="Y70" s="116"/>
      <c r="Z70" s="100"/>
      <c r="AA70" s="170"/>
    </row>
    <row r="71" spans="1:33" s="46" customFormat="1" ht="25.5" x14ac:dyDescent="0.2">
      <c r="A71" s="70">
        <v>60808</v>
      </c>
      <c r="B71" s="146" t="s">
        <v>373</v>
      </c>
      <c r="C71" s="137">
        <v>0</v>
      </c>
      <c r="D71" s="147"/>
      <c r="E71" s="137" t="s">
        <v>374</v>
      </c>
      <c r="F71" s="69" t="s">
        <v>181</v>
      </c>
      <c r="G71" s="137" t="s">
        <v>59</v>
      </c>
      <c r="H71" s="72">
        <v>521000</v>
      </c>
      <c r="I71" s="45">
        <v>0</v>
      </c>
      <c r="J71" s="72">
        <f t="shared" ref="J71:J78" si="18">ROUND(H71/125.8*134.2,-2)</f>
        <v>555800</v>
      </c>
      <c r="K71" s="72">
        <f t="shared" ref="K71:K80" si="19">ROUND(I71/118.2*120.4,-2)</f>
        <v>0</v>
      </c>
      <c r="L71" s="121">
        <f t="shared" si="12"/>
        <v>597600</v>
      </c>
      <c r="M71" s="121">
        <f t="shared" ref="M71:M80" si="20">ROUND(K71/120.4*122.3,-2)</f>
        <v>0</v>
      </c>
      <c r="N71" s="121">
        <v>540000</v>
      </c>
      <c r="O71" s="121">
        <f t="shared" si="17"/>
        <v>0</v>
      </c>
      <c r="P71" s="72" t="s">
        <v>367</v>
      </c>
      <c r="Q71" s="93"/>
      <c r="R71" s="99"/>
      <c r="S71" s="93"/>
      <c r="T71" s="93"/>
      <c r="U71" s="93"/>
      <c r="V71" s="93"/>
      <c r="W71" s="93"/>
      <c r="X71" s="93"/>
      <c r="Y71" s="117"/>
      <c r="Z71" s="72" t="s">
        <v>322</v>
      </c>
      <c r="AA71" s="167">
        <v>2018</v>
      </c>
    </row>
    <row r="72" spans="1:33" s="46" customFormat="1" x14ac:dyDescent="0.2">
      <c r="A72" s="70">
        <v>60505</v>
      </c>
      <c r="B72" s="146" t="s">
        <v>131</v>
      </c>
      <c r="C72" s="137"/>
      <c r="D72" s="147"/>
      <c r="E72" s="137" t="s">
        <v>132</v>
      </c>
      <c r="F72" s="69" t="s">
        <v>183</v>
      </c>
      <c r="G72" s="137" t="s">
        <v>59</v>
      </c>
      <c r="H72" s="72">
        <v>824900</v>
      </c>
      <c r="I72" s="45">
        <v>68600</v>
      </c>
      <c r="J72" s="72">
        <f t="shared" si="18"/>
        <v>880000</v>
      </c>
      <c r="K72" s="72">
        <f t="shared" si="19"/>
        <v>69900</v>
      </c>
      <c r="L72" s="121">
        <f t="shared" si="12"/>
        <v>946200</v>
      </c>
      <c r="M72" s="121">
        <f t="shared" si="20"/>
        <v>71000</v>
      </c>
      <c r="N72" s="121">
        <v>1050000</v>
      </c>
      <c r="O72" s="121">
        <v>75000</v>
      </c>
      <c r="P72" s="72" t="s">
        <v>367</v>
      </c>
      <c r="Q72" s="72" t="s">
        <v>358</v>
      </c>
      <c r="R72" s="92"/>
      <c r="S72" s="93"/>
      <c r="T72" s="93"/>
      <c r="U72" s="93"/>
      <c r="V72" s="109" t="s">
        <v>287</v>
      </c>
      <c r="W72" s="93"/>
      <c r="X72" s="93"/>
      <c r="Y72" s="117"/>
      <c r="Z72" s="72"/>
      <c r="AA72" s="162">
        <v>43795</v>
      </c>
    </row>
    <row r="73" spans="1:33" s="46" customFormat="1" x14ac:dyDescent="0.2">
      <c r="A73" s="70">
        <v>60721</v>
      </c>
      <c r="B73" s="146" t="s">
        <v>232</v>
      </c>
      <c r="C73" s="137"/>
      <c r="D73" s="147"/>
      <c r="E73" s="137" t="s">
        <v>233</v>
      </c>
      <c r="F73" s="69" t="s">
        <v>183</v>
      </c>
      <c r="G73" s="137" t="s">
        <v>59</v>
      </c>
      <c r="H73" s="72">
        <v>298500</v>
      </c>
      <c r="I73" s="45">
        <v>0</v>
      </c>
      <c r="J73" s="72">
        <f t="shared" si="18"/>
        <v>318400</v>
      </c>
      <c r="K73" s="72">
        <f t="shared" si="19"/>
        <v>0</v>
      </c>
      <c r="L73" s="121">
        <f t="shared" si="12"/>
        <v>342400</v>
      </c>
      <c r="M73" s="121">
        <f t="shared" si="20"/>
        <v>0</v>
      </c>
      <c r="N73" s="121">
        <v>365000</v>
      </c>
      <c r="O73" s="121">
        <f>ROUND(M73/122.3*124.6,-2)</f>
        <v>0</v>
      </c>
      <c r="P73" s="72" t="s">
        <v>367</v>
      </c>
      <c r="Q73" s="93"/>
      <c r="R73" s="92"/>
      <c r="S73" s="93"/>
      <c r="T73" s="93"/>
      <c r="U73" s="93"/>
      <c r="V73" s="93"/>
      <c r="W73" s="93"/>
      <c r="X73" s="93"/>
      <c r="Y73" s="117"/>
      <c r="Z73" s="72"/>
      <c r="AA73" s="162">
        <v>43066</v>
      </c>
    </row>
    <row r="74" spans="1:33" s="46" customFormat="1" ht="38.25" x14ac:dyDescent="0.2">
      <c r="A74" s="70">
        <v>60608</v>
      </c>
      <c r="B74" s="146" t="s">
        <v>39</v>
      </c>
      <c r="C74" s="137">
        <v>0</v>
      </c>
      <c r="D74" s="147"/>
      <c r="E74" s="137" t="s">
        <v>94</v>
      </c>
      <c r="F74" s="69" t="s">
        <v>184</v>
      </c>
      <c r="G74" s="137" t="s">
        <v>59</v>
      </c>
      <c r="H74" s="72">
        <v>2235900</v>
      </c>
      <c r="I74" s="45">
        <v>0</v>
      </c>
      <c r="J74" s="72">
        <f t="shared" si="18"/>
        <v>2385200</v>
      </c>
      <c r="K74" s="72">
        <f t="shared" si="19"/>
        <v>0</v>
      </c>
      <c r="L74" s="121">
        <f t="shared" si="12"/>
        <v>2564700</v>
      </c>
      <c r="M74" s="121">
        <f t="shared" si="20"/>
        <v>0</v>
      </c>
      <c r="N74" s="121">
        <v>2810000</v>
      </c>
      <c r="O74" s="121">
        <f>ROUND(M74/122.3*124.6,-2)</f>
        <v>0</v>
      </c>
      <c r="P74" s="72" t="s">
        <v>367</v>
      </c>
      <c r="Q74" s="93"/>
      <c r="R74" s="92"/>
      <c r="S74" s="93"/>
      <c r="T74" s="93"/>
      <c r="U74" s="109" t="s">
        <v>287</v>
      </c>
      <c r="V74" s="109" t="s">
        <v>287</v>
      </c>
      <c r="W74" s="93" t="s">
        <v>290</v>
      </c>
      <c r="X74" s="93"/>
      <c r="Y74" s="117"/>
      <c r="Z74" s="72"/>
      <c r="AA74" s="162">
        <v>43118</v>
      </c>
    </row>
    <row r="75" spans="1:33" s="47" customFormat="1" x14ac:dyDescent="0.2">
      <c r="A75" s="70">
        <v>60005</v>
      </c>
      <c r="B75" s="146" t="s">
        <v>30</v>
      </c>
      <c r="C75" s="137">
        <v>0</v>
      </c>
      <c r="D75" s="147"/>
      <c r="E75" s="137" t="s">
        <v>87</v>
      </c>
      <c r="F75" s="69" t="s">
        <v>185</v>
      </c>
      <c r="G75" s="137" t="s">
        <v>59</v>
      </c>
      <c r="H75" s="72">
        <v>911800</v>
      </c>
      <c r="I75" s="45">
        <v>0</v>
      </c>
      <c r="J75" s="72">
        <f t="shared" si="18"/>
        <v>972700</v>
      </c>
      <c r="K75" s="72">
        <f t="shared" si="19"/>
        <v>0</v>
      </c>
      <c r="L75" s="121">
        <f t="shared" si="12"/>
        <v>1045900</v>
      </c>
      <c r="M75" s="121">
        <f t="shared" si="20"/>
        <v>0</v>
      </c>
      <c r="N75" s="121">
        <v>1110000</v>
      </c>
      <c r="O75" s="121">
        <f>ROUND(M75/122.3*124.6,-2)</f>
        <v>0</v>
      </c>
      <c r="P75" s="72" t="s">
        <v>367</v>
      </c>
      <c r="Q75" s="93"/>
      <c r="R75" s="92"/>
      <c r="S75" s="93"/>
      <c r="T75" s="93"/>
      <c r="U75" s="93"/>
      <c r="V75" s="109" t="s">
        <v>287</v>
      </c>
      <c r="W75" s="93" t="s">
        <v>290</v>
      </c>
      <c r="X75" s="93"/>
      <c r="Y75" s="117"/>
      <c r="Z75" s="72"/>
      <c r="AA75" s="162">
        <v>43115</v>
      </c>
      <c r="AB75" s="46"/>
      <c r="AC75" s="46"/>
      <c r="AD75" s="46"/>
      <c r="AE75" s="46"/>
      <c r="AF75" s="46"/>
      <c r="AG75" s="46"/>
    </row>
    <row r="76" spans="1:33" s="46" customFormat="1" ht="25.5" x14ac:dyDescent="0.2">
      <c r="A76" s="70">
        <v>60505</v>
      </c>
      <c r="B76" s="146" t="s">
        <v>295</v>
      </c>
      <c r="C76" s="137" t="s">
        <v>18</v>
      </c>
      <c r="D76" s="147"/>
      <c r="E76" s="137" t="s">
        <v>425</v>
      </c>
      <c r="F76" s="69" t="s">
        <v>368</v>
      </c>
      <c r="G76" s="137" t="s">
        <v>59</v>
      </c>
      <c r="H76" s="45">
        <v>5313100</v>
      </c>
      <c r="I76" s="45">
        <v>184900</v>
      </c>
      <c r="J76" s="72">
        <f t="shared" si="18"/>
        <v>5667900</v>
      </c>
      <c r="K76" s="72">
        <f t="shared" si="19"/>
        <v>188300</v>
      </c>
      <c r="L76" s="121">
        <f t="shared" si="12"/>
        <v>6094500</v>
      </c>
      <c r="M76" s="121">
        <f t="shared" si="20"/>
        <v>191300</v>
      </c>
      <c r="N76" s="121">
        <v>6630000</v>
      </c>
      <c r="O76" s="121">
        <v>200000</v>
      </c>
      <c r="P76" s="72" t="s">
        <v>367</v>
      </c>
      <c r="Q76" s="72" t="s">
        <v>358</v>
      </c>
      <c r="R76" s="99"/>
      <c r="S76" s="96"/>
      <c r="T76" s="96"/>
      <c r="U76" s="109" t="s">
        <v>287</v>
      </c>
      <c r="V76" s="109" t="s">
        <v>287</v>
      </c>
      <c r="W76" s="96"/>
      <c r="X76" s="96"/>
      <c r="Y76" s="114" t="s">
        <v>287</v>
      </c>
      <c r="Z76" s="79" t="s">
        <v>335</v>
      </c>
      <c r="AA76" s="164">
        <v>43034</v>
      </c>
      <c r="AB76" s="47"/>
      <c r="AC76" s="47"/>
      <c r="AD76" s="47"/>
      <c r="AE76" s="47"/>
      <c r="AF76" s="47"/>
      <c r="AG76" s="47"/>
    </row>
    <row r="77" spans="1:33" s="88" customFormat="1" x14ac:dyDescent="0.2">
      <c r="A77" s="70"/>
      <c r="B77" s="146" t="s">
        <v>203</v>
      </c>
      <c r="C77" s="137"/>
      <c r="D77" s="147"/>
      <c r="E77" s="137" t="s">
        <v>205</v>
      </c>
      <c r="F77" s="69"/>
      <c r="G77" s="137" t="s">
        <v>59</v>
      </c>
      <c r="H77" s="72">
        <v>20900</v>
      </c>
      <c r="I77" s="45">
        <v>0</v>
      </c>
      <c r="J77" s="72">
        <f t="shared" si="18"/>
        <v>22300</v>
      </c>
      <c r="K77" s="72">
        <f t="shared" si="19"/>
        <v>0</v>
      </c>
      <c r="L77" s="121">
        <f t="shared" si="12"/>
        <v>24000</v>
      </c>
      <c r="M77" s="121">
        <f t="shared" si="20"/>
        <v>0</v>
      </c>
      <c r="N77" s="121">
        <v>45000</v>
      </c>
      <c r="O77" s="121">
        <f>ROUND(M77/122.3*124.6,-2)</f>
        <v>0</v>
      </c>
      <c r="P77" s="72" t="s">
        <v>367</v>
      </c>
      <c r="Q77" s="93"/>
      <c r="R77" s="92"/>
      <c r="S77" s="93"/>
      <c r="T77" s="93"/>
      <c r="U77" s="93"/>
      <c r="V77" s="93"/>
      <c r="W77" s="93"/>
      <c r="X77" s="93"/>
      <c r="Y77" s="117"/>
      <c r="Z77" s="72" t="s">
        <v>320</v>
      </c>
      <c r="AA77" s="162" t="s">
        <v>411</v>
      </c>
      <c r="AB77" s="46"/>
      <c r="AC77" s="46"/>
      <c r="AD77" s="46"/>
      <c r="AE77" s="46"/>
      <c r="AF77" s="46"/>
      <c r="AG77" s="46"/>
    </row>
    <row r="78" spans="1:33" s="159" customFormat="1" x14ac:dyDescent="0.2">
      <c r="A78" s="158">
        <v>60057</v>
      </c>
      <c r="B78" s="137" t="s">
        <v>13</v>
      </c>
      <c r="C78" s="69" t="s">
        <v>10</v>
      </c>
      <c r="D78" s="71"/>
      <c r="E78" s="137" t="s">
        <v>70</v>
      </c>
      <c r="F78" s="69"/>
      <c r="G78" s="146" t="s">
        <v>61</v>
      </c>
      <c r="H78" s="72">
        <v>0</v>
      </c>
      <c r="I78" s="45">
        <v>924400</v>
      </c>
      <c r="J78" s="72">
        <f t="shared" si="18"/>
        <v>0</v>
      </c>
      <c r="K78" s="72">
        <f t="shared" si="19"/>
        <v>941600</v>
      </c>
      <c r="L78" s="121">
        <f t="shared" si="12"/>
        <v>0</v>
      </c>
      <c r="M78" s="121">
        <f t="shared" si="20"/>
        <v>956500</v>
      </c>
      <c r="N78" s="121">
        <f>ROUND(L78/144.3*151.5,-2)</f>
        <v>0</v>
      </c>
      <c r="O78" s="121">
        <f>ROUND(M78/122.3*124.6,-2)</f>
        <v>974500</v>
      </c>
      <c r="P78" s="72"/>
      <c r="Q78" s="72"/>
      <c r="R78" s="92"/>
      <c r="S78" s="93"/>
      <c r="T78" s="93"/>
      <c r="U78" s="93"/>
      <c r="V78" s="93"/>
      <c r="W78" s="93"/>
      <c r="X78" s="93"/>
      <c r="Y78" s="117"/>
      <c r="Z78" s="177"/>
      <c r="AA78" s="162"/>
      <c r="AB78" s="46"/>
      <c r="AC78" s="46"/>
      <c r="AD78" s="46"/>
      <c r="AE78" s="46"/>
      <c r="AF78" s="46"/>
      <c r="AG78" s="46"/>
    </row>
    <row r="79" spans="1:33" s="161" customFormat="1" x14ac:dyDescent="0.2">
      <c r="A79" s="70">
        <v>60506</v>
      </c>
      <c r="B79" s="146" t="s">
        <v>124</v>
      </c>
      <c r="C79" s="137" t="s">
        <v>7</v>
      </c>
      <c r="D79" s="147"/>
      <c r="E79" s="137" t="s">
        <v>126</v>
      </c>
      <c r="F79" s="69" t="s">
        <v>154</v>
      </c>
      <c r="G79" s="137" t="s">
        <v>64</v>
      </c>
      <c r="H79" s="72">
        <v>814100</v>
      </c>
      <c r="I79" s="45">
        <v>0</v>
      </c>
      <c r="J79" s="92">
        <f>ROUND(H79/125.8*134.2,-2)+200000</f>
        <v>1068500</v>
      </c>
      <c r="K79" s="72">
        <f t="shared" si="19"/>
        <v>0</v>
      </c>
      <c r="L79" s="121">
        <f t="shared" si="12"/>
        <v>1148900</v>
      </c>
      <c r="M79" s="121">
        <f t="shared" si="20"/>
        <v>0</v>
      </c>
      <c r="N79" s="121">
        <v>3520000</v>
      </c>
      <c r="O79" s="121">
        <f>ROUND(M79/122.3*124.6,-2)</f>
        <v>0</v>
      </c>
      <c r="P79" s="72" t="s">
        <v>350</v>
      </c>
      <c r="Q79" s="93"/>
      <c r="R79" s="132"/>
      <c r="S79" s="131"/>
      <c r="T79" s="131"/>
      <c r="U79" s="131"/>
      <c r="V79" s="145" t="s">
        <v>287</v>
      </c>
      <c r="W79" s="131"/>
      <c r="X79" s="131"/>
      <c r="Y79" s="131"/>
      <c r="Z79" s="129" t="s">
        <v>317</v>
      </c>
      <c r="AA79" s="168">
        <v>43171</v>
      </c>
      <c r="AB79" s="46"/>
      <c r="AC79" s="46"/>
      <c r="AD79" s="46"/>
      <c r="AE79" s="46"/>
      <c r="AF79" s="46"/>
      <c r="AG79" s="46"/>
    </row>
    <row r="80" spans="1:33" s="160" customFormat="1" ht="13.5" thickBot="1" x14ac:dyDescent="0.25">
      <c r="A80" s="70">
        <v>60506</v>
      </c>
      <c r="B80" s="146" t="s">
        <v>123</v>
      </c>
      <c r="C80" s="137" t="s">
        <v>7</v>
      </c>
      <c r="D80" s="147"/>
      <c r="E80" s="137" t="s">
        <v>125</v>
      </c>
      <c r="F80" s="69" t="s">
        <v>154</v>
      </c>
      <c r="G80" s="137" t="s">
        <v>64</v>
      </c>
      <c r="H80" s="72">
        <v>777800</v>
      </c>
      <c r="I80" s="45">
        <v>0</v>
      </c>
      <c r="J80" s="92">
        <f>ROUND(H80/125.8*134.2,-2)+400000</f>
        <v>1229700</v>
      </c>
      <c r="K80" s="72">
        <f t="shared" si="19"/>
        <v>0</v>
      </c>
      <c r="L80" s="121">
        <f>ROUND(J80/134.2*144.3,-2)+198375</f>
        <v>1520575</v>
      </c>
      <c r="M80" s="121">
        <f t="shared" si="20"/>
        <v>0</v>
      </c>
      <c r="N80" s="121">
        <v>2500000</v>
      </c>
      <c r="O80" s="121">
        <f>ROUND(M80/122.3*124.6,-2)</f>
        <v>0</v>
      </c>
      <c r="P80" s="72" t="s">
        <v>350</v>
      </c>
      <c r="Q80" s="93"/>
      <c r="R80" s="176"/>
      <c r="S80" s="131"/>
      <c r="T80" s="131"/>
      <c r="U80" s="131"/>
      <c r="V80" s="145" t="s">
        <v>287</v>
      </c>
      <c r="W80" s="131"/>
      <c r="X80" s="131"/>
      <c r="Y80" s="145" t="s">
        <v>287</v>
      </c>
      <c r="Z80" s="129" t="s">
        <v>317</v>
      </c>
      <c r="AA80" s="168">
        <v>43122</v>
      </c>
      <c r="AB80" s="46"/>
      <c r="AC80" s="46"/>
      <c r="AD80" s="46"/>
      <c r="AE80" s="46"/>
      <c r="AF80" s="46"/>
      <c r="AG80" s="46"/>
    </row>
    <row r="81" spans="2:27" s="2" customFormat="1" ht="13.5" thickBot="1" x14ac:dyDescent="0.25">
      <c r="B81" s="62" t="s">
        <v>49</v>
      </c>
      <c r="C81" s="63"/>
      <c r="D81" s="64"/>
      <c r="E81" s="139"/>
      <c r="F81" s="65"/>
      <c r="G81" s="65"/>
      <c r="H81" s="66">
        <v>96862700</v>
      </c>
      <c r="I81" s="66">
        <v>4223000</v>
      </c>
      <c r="J81" s="112">
        <f>SUM(J3:J77)</f>
        <v>98342191</v>
      </c>
      <c r="K81" s="112">
        <f>SUM(K3:K77)</f>
        <v>3430100</v>
      </c>
      <c r="L81" s="112">
        <f>SUM(L3:L77)</f>
        <v>106964666</v>
      </c>
      <c r="M81" s="112">
        <f>SUM(M3:M77)</f>
        <v>3484200</v>
      </c>
      <c r="N81" s="112">
        <f>SUM(N3:N80)</f>
        <v>122628000</v>
      </c>
      <c r="O81" s="112">
        <f>SUM(O3:O80)</f>
        <v>4971900</v>
      </c>
      <c r="P81" s="90"/>
      <c r="Q81" s="90"/>
      <c r="R81" s="88"/>
      <c r="S81" s="89"/>
      <c r="T81" s="89"/>
      <c r="U81" s="89"/>
      <c r="V81" s="89"/>
      <c r="W81" s="89"/>
      <c r="X81" s="89"/>
      <c r="Y81" s="89"/>
      <c r="Z81" s="1"/>
      <c r="AA81" s="1"/>
    </row>
  </sheetData>
  <autoFilter ref="A1:P81" xr:uid="{00000000-0009-0000-0000-000002000000}"/>
  <sortState xmlns:xlrd2="http://schemas.microsoft.com/office/spreadsheetml/2017/richdata2" ref="A3:AG80">
    <sortCondition ref="G3:G80"/>
    <sortCondition ref="E3:E80"/>
  </sortState>
  <customSheetViews>
    <customSheetView guid="{7F5D1218-4D93-4B14-B25A-0C03ABC4F8A6}" showPageBreaks="1" fitToPage="1" printArea="1" showAutoFilter="1" hiddenColumns="1">
      <selection activeCell="A18" sqref="A18"/>
      <pageMargins left="0.39370078740157483" right="0.39370078740157483" top="1.5748031496062993" bottom="0.98425196850393704" header="0.62992125984251968" footer="0.62992125984251968"/>
      <pageSetup paperSize="8" fitToHeight="4" orientation="portrait" r:id="rId1"/>
      <headerFooter alignWithMargins="0">
        <oddFooter>&amp;L&amp;F &amp;A&amp;C&amp;P&amp;R&amp;D</oddFooter>
      </headerFooter>
      <autoFilter ref="A1:O81" xr:uid="{00000000-0000-0000-0000-000000000000}"/>
    </customSheetView>
  </customSheetViews>
  <mergeCells count="2">
    <mergeCell ref="S1:V1"/>
    <mergeCell ref="X1:Y1"/>
  </mergeCells>
  <phoneticPr fontId="3" type="noConversion"/>
  <pageMargins left="0.59055118110236227" right="0.39370078740157483" top="1.5748031496062993" bottom="0.98425196850393704" header="0.62992125984251968" footer="0.70866141732283472"/>
  <pageSetup paperSize="9" fitToHeight="4" orientation="landscape" r:id="rId2"/>
  <headerFooter alignWithMargins="0">
    <oddFooter>&amp;L&amp;F &amp;A&amp;C&amp;P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1"/>
  <sheetViews>
    <sheetView zoomScaleNormal="100" workbookViewId="0">
      <selection activeCell="P2" sqref="P2:Q2"/>
    </sheetView>
  </sheetViews>
  <sheetFormatPr defaultRowHeight="12.75" x14ac:dyDescent="0.2"/>
  <cols>
    <col min="1" max="1" width="13.42578125" style="3" customWidth="1"/>
    <col min="2" max="2" width="38.42578125" style="4" customWidth="1"/>
    <col min="3" max="3" width="6.85546875" style="4" hidden="1" customWidth="1"/>
    <col min="4" max="4" width="6.7109375" style="5" hidden="1" customWidth="1"/>
    <col min="5" max="5" width="22.42578125" style="6" bestFit="1" customWidth="1"/>
    <col min="6" max="6" width="11" style="6" bestFit="1" customWidth="1"/>
    <col min="7" max="7" width="12.5703125" style="1" bestFit="1" customWidth="1"/>
    <col min="8" max="8" width="11.5703125" style="1" customWidth="1"/>
    <col min="9" max="9" width="11.28515625" style="1" hidden="1" customWidth="1"/>
    <col min="10" max="11" width="15.85546875" style="1" hidden="1" customWidth="1"/>
    <col min="12" max="15" width="18.28515625" style="1" hidden="1" customWidth="1"/>
    <col min="16" max="16" width="22" style="1" bestFit="1" customWidth="1"/>
    <col min="17" max="17" width="20.42578125" style="1" bestFit="1" customWidth="1"/>
    <col min="18" max="18" width="52" style="88" bestFit="1" customWidth="1"/>
    <col min="19" max="19" width="47" style="1" bestFit="1" customWidth="1"/>
    <col min="20" max="25" width="9.140625" style="1" customWidth="1"/>
    <col min="26" max="26" width="9.85546875" style="1" bestFit="1" customWidth="1"/>
    <col min="27" max="27" width="28.85546875" style="1" bestFit="1" customWidth="1"/>
    <col min="28" max="28" width="13.140625" style="1" bestFit="1" customWidth="1"/>
    <col min="29" max="16384" width="9.140625" style="1"/>
  </cols>
  <sheetData>
    <row r="1" spans="1:31" s="7" customFormat="1" ht="25.5" customHeight="1" x14ac:dyDescent="0.2">
      <c r="A1" s="37" t="s">
        <v>0</v>
      </c>
      <c r="B1" s="38" t="s">
        <v>1</v>
      </c>
      <c r="C1" s="38" t="s">
        <v>2</v>
      </c>
      <c r="D1" s="39"/>
      <c r="E1" s="38" t="s">
        <v>3</v>
      </c>
      <c r="F1" s="59" t="s">
        <v>140</v>
      </c>
      <c r="G1" s="60" t="s">
        <v>141</v>
      </c>
      <c r="H1" s="38" t="s">
        <v>138</v>
      </c>
      <c r="I1" s="39" t="s">
        <v>241</v>
      </c>
      <c r="J1" s="40" t="s">
        <v>236</v>
      </c>
      <c r="K1" s="40" t="s">
        <v>237</v>
      </c>
      <c r="L1" s="40" t="s">
        <v>259</v>
      </c>
      <c r="M1" s="40" t="s">
        <v>260</v>
      </c>
      <c r="N1" s="40" t="s">
        <v>341</v>
      </c>
      <c r="O1" s="40" t="s">
        <v>342</v>
      </c>
      <c r="P1" s="40" t="s">
        <v>347</v>
      </c>
      <c r="Q1" s="40" t="s">
        <v>348</v>
      </c>
      <c r="R1" s="99"/>
      <c r="S1" s="172"/>
      <c r="T1" s="196" t="s">
        <v>283</v>
      </c>
      <c r="U1" s="197"/>
      <c r="V1" s="197"/>
      <c r="W1" s="198"/>
      <c r="X1" s="155" t="s">
        <v>284</v>
      </c>
      <c r="Y1" s="196" t="s">
        <v>286</v>
      </c>
      <c r="Z1" s="198"/>
      <c r="AA1" s="120" t="s">
        <v>321</v>
      </c>
      <c r="AB1" s="33" t="s">
        <v>408</v>
      </c>
    </row>
    <row r="2" spans="1:31" s="2" customFormat="1" x14ac:dyDescent="0.2">
      <c r="B2" s="41" t="s">
        <v>50</v>
      </c>
      <c r="C2" s="9"/>
      <c r="D2" s="42"/>
      <c r="E2" s="43"/>
      <c r="F2" s="43"/>
      <c r="G2" s="44"/>
      <c r="H2" s="43"/>
      <c r="I2" s="44" t="s">
        <v>242</v>
      </c>
      <c r="J2" s="44" t="s">
        <v>238</v>
      </c>
      <c r="K2" s="44" t="s">
        <v>239</v>
      </c>
      <c r="L2" s="44" t="s">
        <v>261</v>
      </c>
      <c r="M2" s="102" t="s">
        <v>262</v>
      </c>
      <c r="N2" s="44" t="s">
        <v>343</v>
      </c>
      <c r="O2" s="44" t="s">
        <v>344</v>
      </c>
      <c r="P2" s="44" t="s">
        <v>426</v>
      </c>
      <c r="Q2" s="44" t="s">
        <v>427</v>
      </c>
      <c r="R2" s="90"/>
      <c r="S2" s="91"/>
      <c r="T2" s="91" t="s">
        <v>280</v>
      </c>
      <c r="U2" s="91" t="s">
        <v>282</v>
      </c>
      <c r="V2" s="91" t="s">
        <v>281</v>
      </c>
      <c r="W2" s="91" t="s">
        <v>289</v>
      </c>
      <c r="X2" s="91" t="s">
        <v>285</v>
      </c>
      <c r="Y2" s="91" t="s">
        <v>287</v>
      </c>
      <c r="Z2" s="91" t="s">
        <v>288</v>
      </c>
      <c r="AA2" s="100"/>
      <c r="AB2" s="100" t="s">
        <v>409</v>
      </c>
    </row>
    <row r="3" spans="1:31" s="68" customFormat="1" x14ac:dyDescent="0.2">
      <c r="A3" s="70">
        <v>60403</v>
      </c>
      <c r="B3" s="137" t="s">
        <v>245</v>
      </c>
      <c r="C3" s="69">
        <v>0</v>
      </c>
      <c r="D3" s="71"/>
      <c r="E3" s="137" t="s">
        <v>133</v>
      </c>
      <c r="F3" s="69" t="s">
        <v>186</v>
      </c>
      <c r="G3" s="143" t="s">
        <v>62</v>
      </c>
      <c r="H3" s="72"/>
      <c r="I3" s="73">
        <v>41281</v>
      </c>
      <c r="J3" s="72">
        <v>3364800</v>
      </c>
      <c r="K3" s="72">
        <v>197900</v>
      </c>
      <c r="L3" s="72">
        <f t="shared" ref="L3:L6" si="0">ROUND(J3/125.8*134.2,-2)</f>
        <v>3589500</v>
      </c>
      <c r="M3" s="103">
        <f t="shared" ref="M3:M6" si="1">ROUND(K3/118.2*120.4,-2)</f>
        <v>201600</v>
      </c>
      <c r="N3" s="121">
        <f t="shared" ref="N3:N6" si="2">ROUND(L3/134.2*144.3,-2)</f>
        <v>3859600</v>
      </c>
      <c r="O3" s="121">
        <f t="shared" ref="O3:O6" si="3">ROUND(M3/120.4*122.3,-2)</f>
        <v>204800</v>
      </c>
      <c r="P3" s="121">
        <v>7790000</v>
      </c>
      <c r="Q3" s="121">
        <v>305000</v>
      </c>
      <c r="R3" s="72" t="s">
        <v>382</v>
      </c>
      <c r="S3" s="79" t="s">
        <v>359</v>
      </c>
      <c r="T3" s="93"/>
      <c r="U3" s="93"/>
      <c r="V3" s="93"/>
      <c r="W3" s="93"/>
      <c r="X3" s="93"/>
      <c r="Y3" s="93"/>
      <c r="Z3" s="93"/>
      <c r="AA3" s="72"/>
      <c r="AB3" s="173"/>
      <c r="AC3" s="129"/>
      <c r="AD3" s="129"/>
    </row>
    <row r="4" spans="1:31" s="76" customFormat="1" ht="25.5" x14ac:dyDescent="0.2">
      <c r="A4" s="70">
        <v>60403</v>
      </c>
      <c r="B4" s="137" t="s">
        <v>303</v>
      </c>
      <c r="C4" s="69"/>
      <c r="D4" s="71"/>
      <c r="E4" s="137" t="s">
        <v>103</v>
      </c>
      <c r="F4" s="69" t="s">
        <v>187</v>
      </c>
      <c r="G4" s="143" t="s">
        <v>60</v>
      </c>
      <c r="H4" s="72" t="s">
        <v>6</v>
      </c>
      <c r="I4" s="73">
        <v>41281</v>
      </c>
      <c r="J4" s="72">
        <v>4287400</v>
      </c>
      <c r="K4" s="72">
        <v>195700</v>
      </c>
      <c r="L4" s="72">
        <f t="shared" si="0"/>
        <v>4573700</v>
      </c>
      <c r="M4" s="103">
        <f t="shared" si="1"/>
        <v>199300</v>
      </c>
      <c r="N4" s="121">
        <f t="shared" si="2"/>
        <v>4917900</v>
      </c>
      <c r="O4" s="121">
        <f t="shared" si="3"/>
        <v>202400</v>
      </c>
      <c r="P4" s="121">
        <v>5230000</v>
      </c>
      <c r="Q4" s="121">
        <f>430000+300000</f>
        <v>730000</v>
      </c>
      <c r="R4" s="72" t="s">
        <v>388</v>
      </c>
      <c r="S4" s="72" t="s">
        <v>351</v>
      </c>
      <c r="T4" s="93"/>
      <c r="U4" s="93"/>
      <c r="V4" s="109" t="s">
        <v>287</v>
      </c>
      <c r="W4" s="109" t="s">
        <v>287</v>
      </c>
      <c r="X4" s="93"/>
      <c r="Y4" s="109" t="s">
        <v>287</v>
      </c>
      <c r="Z4" s="93"/>
      <c r="AA4" s="72"/>
      <c r="AB4" s="173"/>
      <c r="AC4" s="129"/>
      <c r="AD4" s="129"/>
      <c r="AE4" s="68"/>
    </row>
    <row r="5" spans="1:31" s="76" customFormat="1" x14ac:dyDescent="0.2">
      <c r="A5" s="70">
        <v>60403</v>
      </c>
      <c r="B5" s="137" t="s">
        <v>246</v>
      </c>
      <c r="C5" s="69">
        <v>0</v>
      </c>
      <c r="D5" s="71"/>
      <c r="E5" s="137" t="s">
        <v>109</v>
      </c>
      <c r="F5" s="69" t="s">
        <v>146</v>
      </c>
      <c r="G5" s="143" t="s">
        <v>60</v>
      </c>
      <c r="H5" s="72"/>
      <c r="I5" s="73">
        <v>41281</v>
      </c>
      <c r="J5" s="72">
        <v>3218300</v>
      </c>
      <c r="K5" s="72">
        <v>276000</v>
      </c>
      <c r="L5" s="72">
        <f t="shared" si="0"/>
        <v>3433200</v>
      </c>
      <c r="M5" s="103">
        <f t="shared" si="1"/>
        <v>281100</v>
      </c>
      <c r="N5" s="121">
        <f t="shared" si="2"/>
        <v>3691600</v>
      </c>
      <c r="O5" s="121">
        <f t="shared" si="3"/>
        <v>285500</v>
      </c>
      <c r="P5" s="121">
        <v>4030000</v>
      </c>
      <c r="Q5" s="121">
        <f>540000+360000</f>
        <v>900000</v>
      </c>
      <c r="R5" s="72" t="s">
        <v>388</v>
      </c>
      <c r="S5" s="72" t="s">
        <v>351</v>
      </c>
      <c r="T5" s="93"/>
      <c r="U5" s="93"/>
      <c r="V5" s="109" t="s">
        <v>287</v>
      </c>
      <c r="W5" s="93"/>
      <c r="X5" s="93" t="s">
        <v>290</v>
      </c>
      <c r="Y5" s="93"/>
      <c r="Z5" s="93"/>
      <c r="AA5" s="72"/>
      <c r="AB5" s="173"/>
      <c r="AC5" s="129"/>
      <c r="AD5" s="129"/>
      <c r="AE5" s="68"/>
    </row>
    <row r="6" spans="1:31" s="68" customFormat="1" x14ac:dyDescent="0.2">
      <c r="A6" s="70">
        <v>60403</v>
      </c>
      <c r="B6" s="137" t="s">
        <v>291</v>
      </c>
      <c r="C6" s="69"/>
      <c r="D6" s="71"/>
      <c r="E6" s="137" t="s">
        <v>52</v>
      </c>
      <c r="F6" s="69" t="s">
        <v>146</v>
      </c>
      <c r="G6" s="143" t="s">
        <v>60</v>
      </c>
      <c r="H6" s="72"/>
      <c r="I6" s="74"/>
      <c r="J6" s="72">
        <v>298500</v>
      </c>
      <c r="K6" s="72">
        <v>0</v>
      </c>
      <c r="L6" s="72">
        <f t="shared" si="0"/>
        <v>318400</v>
      </c>
      <c r="M6" s="103">
        <f t="shared" si="1"/>
        <v>0</v>
      </c>
      <c r="N6" s="121">
        <f t="shared" si="2"/>
        <v>342400</v>
      </c>
      <c r="O6" s="121">
        <f t="shared" si="3"/>
        <v>0</v>
      </c>
      <c r="P6" s="121">
        <v>605000</v>
      </c>
      <c r="Q6" s="121">
        <f>ROUND(O6/122.3*124.6,-2)</f>
        <v>0</v>
      </c>
      <c r="R6" s="72" t="s">
        <v>388</v>
      </c>
      <c r="S6" s="93"/>
      <c r="T6" s="93"/>
      <c r="U6" s="93"/>
      <c r="V6" s="109" t="s">
        <v>287</v>
      </c>
      <c r="W6" s="93"/>
      <c r="X6" s="93"/>
      <c r="Y6" s="93"/>
      <c r="Z6" s="93"/>
      <c r="AA6" s="72"/>
      <c r="AB6" s="173"/>
      <c r="AC6" s="129"/>
    </row>
    <row r="7" spans="1:31" s="68" customFormat="1" x14ac:dyDescent="0.2">
      <c r="A7" s="70">
        <v>60403</v>
      </c>
      <c r="B7" s="137" t="s">
        <v>134</v>
      </c>
      <c r="C7" s="69">
        <v>0</v>
      </c>
      <c r="D7" s="71"/>
      <c r="E7" s="137" t="s">
        <v>114</v>
      </c>
      <c r="F7" s="69" t="s">
        <v>147</v>
      </c>
      <c r="G7" s="143" t="s">
        <v>60</v>
      </c>
      <c r="H7" s="72"/>
      <c r="I7" s="75"/>
      <c r="J7" s="72">
        <v>16145400</v>
      </c>
      <c r="K7" s="72">
        <v>1901500</v>
      </c>
      <c r="L7" s="72">
        <f t="shared" ref="L7:L14" si="4">ROUND(J7/125.8*134.2,-2)</f>
        <v>17223500</v>
      </c>
      <c r="M7" s="103">
        <f t="shared" ref="M7:M14" si="5">ROUND(K7/118.2*120.4,-2)</f>
        <v>1936900</v>
      </c>
      <c r="N7" s="121">
        <f t="shared" ref="N7:N14" si="6">ROUND(L7/134.2*144.3,-2)</f>
        <v>18519800</v>
      </c>
      <c r="O7" s="121">
        <f t="shared" ref="O7:O14" si="7">ROUND(M7/120.4*122.3,-2)</f>
        <v>1967500</v>
      </c>
      <c r="P7" s="121">
        <v>22950000</v>
      </c>
      <c r="Q7" s="121">
        <f>ROUND(O7/122.3*124.6,-2)</f>
        <v>2004500</v>
      </c>
      <c r="R7" s="72" t="s">
        <v>388</v>
      </c>
      <c r="S7" s="93"/>
      <c r="T7" s="93"/>
      <c r="U7" s="93"/>
      <c r="V7" s="109" t="s">
        <v>287</v>
      </c>
      <c r="W7" s="109" t="s">
        <v>287</v>
      </c>
      <c r="X7" s="93" t="s">
        <v>290</v>
      </c>
      <c r="Y7" s="93"/>
      <c r="Z7" s="93"/>
      <c r="AA7" s="72"/>
      <c r="AB7" s="173"/>
      <c r="AC7" s="129"/>
    </row>
    <row r="8" spans="1:31" s="76" customFormat="1" x14ac:dyDescent="0.2">
      <c r="A8" s="70">
        <v>60403</v>
      </c>
      <c r="B8" s="137" t="s">
        <v>304</v>
      </c>
      <c r="C8" s="69">
        <v>0</v>
      </c>
      <c r="D8" s="71"/>
      <c r="E8" s="137" t="s">
        <v>113</v>
      </c>
      <c r="F8" s="69" t="s">
        <v>188</v>
      </c>
      <c r="G8" s="143" t="s">
        <v>60</v>
      </c>
      <c r="H8" s="72"/>
      <c r="I8" s="73">
        <v>41281</v>
      </c>
      <c r="J8" s="72">
        <v>6018600</v>
      </c>
      <c r="K8" s="72">
        <v>218200</v>
      </c>
      <c r="L8" s="72">
        <f t="shared" si="4"/>
        <v>6420500</v>
      </c>
      <c r="M8" s="103">
        <f t="shared" si="5"/>
        <v>222300</v>
      </c>
      <c r="N8" s="121">
        <f t="shared" si="6"/>
        <v>6903700</v>
      </c>
      <c r="O8" s="121">
        <f t="shared" si="7"/>
        <v>225800</v>
      </c>
      <c r="P8" s="121">
        <v>7790000</v>
      </c>
      <c r="Q8" s="121">
        <f>600000+370000</f>
        <v>970000</v>
      </c>
      <c r="R8" s="72" t="s">
        <v>388</v>
      </c>
      <c r="S8" s="72" t="s">
        <v>351</v>
      </c>
      <c r="T8" s="96"/>
      <c r="U8" s="96"/>
      <c r="V8" s="109" t="s">
        <v>287</v>
      </c>
      <c r="W8" s="109" t="s">
        <v>287</v>
      </c>
      <c r="X8" s="96"/>
      <c r="Y8" s="96"/>
      <c r="Z8" s="96"/>
      <c r="AA8" s="79" t="s">
        <v>331</v>
      </c>
      <c r="AB8" s="174"/>
      <c r="AC8" s="129"/>
      <c r="AD8" s="129"/>
    </row>
    <row r="9" spans="1:31" s="68" customFormat="1" x14ac:dyDescent="0.2">
      <c r="A9" s="70">
        <v>60403</v>
      </c>
      <c r="B9" s="137" t="s">
        <v>305</v>
      </c>
      <c r="C9" s="77"/>
      <c r="D9" s="78"/>
      <c r="E9" s="142" t="s">
        <v>116</v>
      </c>
      <c r="F9" s="77" t="s">
        <v>148</v>
      </c>
      <c r="G9" s="144" t="s">
        <v>60</v>
      </c>
      <c r="H9" s="79" t="s">
        <v>21</v>
      </c>
      <c r="I9" s="80"/>
      <c r="J9" s="72">
        <v>9497300</v>
      </c>
      <c r="K9" s="72">
        <v>950600</v>
      </c>
      <c r="L9" s="72">
        <f t="shared" si="4"/>
        <v>10131500</v>
      </c>
      <c r="M9" s="103">
        <f t="shared" si="5"/>
        <v>968300</v>
      </c>
      <c r="N9" s="121">
        <f t="shared" si="6"/>
        <v>10894000</v>
      </c>
      <c r="O9" s="121">
        <f t="shared" si="7"/>
        <v>983600</v>
      </c>
      <c r="P9" s="121">
        <v>12640000</v>
      </c>
      <c r="Q9" s="121">
        <f>ROUND(O9/122.3*124.6,-2)</f>
        <v>1002100</v>
      </c>
      <c r="R9" s="72" t="s">
        <v>388</v>
      </c>
      <c r="S9" s="93"/>
      <c r="T9" s="93"/>
      <c r="U9" s="109" t="s">
        <v>287</v>
      </c>
      <c r="V9" s="109" t="s">
        <v>287</v>
      </c>
      <c r="W9" s="109" t="s">
        <v>287</v>
      </c>
      <c r="X9" s="93"/>
      <c r="Y9" s="93"/>
      <c r="Z9" s="109" t="s">
        <v>287</v>
      </c>
      <c r="AA9" s="72"/>
      <c r="AB9" s="173"/>
      <c r="AC9" s="129"/>
    </row>
    <row r="10" spans="1:31" s="68" customFormat="1" x14ac:dyDescent="0.2">
      <c r="A10" s="70">
        <v>60403</v>
      </c>
      <c r="B10" s="137" t="s">
        <v>247</v>
      </c>
      <c r="C10" s="69">
        <v>0</v>
      </c>
      <c r="D10" s="71"/>
      <c r="E10" s="171" t="s">
        <v>108</v>
      </c>
      <c r="F10" s="69" t="s">
        <v>189</v>
      </c>
      <c r="G10" s="143" t="s">
        <v>60</v>
      </c>
      <c r="H10" s="72"/>
      <c r="I10" s="73">
        <v>41281</v>
      </c>
      <c r="J10" s="72">
        <v>2778600</v>
      </c>
      <c r="K10" s="72">
        <v>250000</v>
      </c>
      <c r="L10" s="72">
        <f t="shared" si="4"/>
        <v>2964100</v>
      </c>
      <c r="M10" s="103">
        <f t="shared" si="5"/>
        <v>254700</v>
      </c>
      <c r="N10" s="121">
        <f t="shared" si="6"/>
        <v>3187200</v>
      </c>
      <c r="O10" s="121">
        <f t="shared" si="7"/>
        <v>258700</v>
      </c>
      <c r="P10" s="121">
        <v>4310000</v>
      </c>
      <c r="Q10" s="121">
        <f>665000+405000</f>
        <v>1070000</v>
      </c>
      <c r="R10" s="72" t="s">
        <v>388</v>
      </c>
      <c r="S10" s="72" t="s">
        <v>351</v>
      </c>
      <c r="T10" s="96"/>
      <c r="U10" s="96"/>
      <c r="V10" s="109" t="s">
        <v>287</v>
      </c>
      <c r="W10" s="109" t="s">
        <v>287</v>
      </c>
      <c r="X10" s="96" t="s">
        <v>290</v>
      </c>
      <c r="Y10" s="96"/>
      <c r="Z10" s="109" t="s">
        <v>287</v>
      </c>
      <c r="AA10" s="79"/>
      <c r="AB10" s="174"/>
      <c r="AC10" s="129"/>
      <c r="AD10" s="76"/>
      <c r="AE10" s="76"/>
    </row>
    <row r="11" spans="1:31" s="68" customFormat="1" x14ac:dyDescent="0.2">
      <c r="A11" s="70">
        <v>60403</v>
      </c>
      <c r="B11" s="137" t="s">
        <v>248</v>
      </c>
      <c r="C11" s="69">
        <v>0</v>
      </c>
      <c r="D11" s="71"/>
      <c r="E11" s="137" t="s">
        <v>106</v>
      </c>
      <c r="F11" s="69" t="s">
        <v>190</v>
      </c>
      <c r="G11" s="143" t="s">
        <v>60</v>
      </c>
      <c r="H11" s="72"/>
      <c r="I11" s="73">
        <v>41281</v>
      </c>
      <c r="J11" s="72">
        <v>1465200</v>
      </c>
      <c r="K11" s="72">
        <v>171700</v>
      </c>
      <c r="L11" s="72">
        <f t="shared" si="4"/>
        <v>1563000</v>
      </c>
      <c r="M11" s="103">
        <f t="shared" si="5"/>
        <v>174900</v>
      </c>
      <c r="N11" s="121">
        <f t="shared" si="6"/>
        <v>1680600</v>
      </c>
      <c r="O11" s="121">
        <f t="shared" si="7"/>
        <v>177700</v>
      </c>
      <c r="P11" s="121">
        <v>2080000</v>
      </c>
      <c r="Q11" s="121">
        <f>305000+235000</f>
        <v>540000</v>
      </c>
      <c r="R11" s="72" t="s">
        <v>388</v>
      </c>
      <c r="S11" s="72" t="s">
        <v>351</v>
      </c>
      <c r="T11" s="96"/>
      <c r="U11" s="96"/>
      <c r="V11" s="109" t="s">
        <v>287</v>
      </c>
      <c r="W11" s="109" t="s">
        <v>287</v>
      </c>
      <c r="X11" s="96"/>
      <c r="Y11" s="96"/>
      <c r="Z11" s="96"/>
      <c r="AA11" s="79"/>
      <c r="AB11" s="174"/>
      <c r="AC11" s="82"/>
      <c r="AD11" s="76"/>
      <c r="AE11" s="76"/>
    </row>
    <row r="12" spans="1:31" s="68" customFormat="1" x14ac:dyDescent="0.2">
      <c r="A12" s="70">
        <v>60403</v>
      </c>
      <c r="B12" s="137" t="s">
        <v>249</v>
      </c>
      <c r="C12" s="77"/>
      <c r="D12" s="78"/>
      <c r="E12" s="142" t="s">
        <v>106</v>
      </c>
      <c r="F12" s="77" t="s">
        <v>190</v>
      </c>
      <c r="G12" s="144" t="s">
        <v>60</v>
      </c>
      <c r="H12" s="79" t="s">
        <v>21</v>
      </c>
      <c r="I12" s="80"/>
      <c r="J12" s="72">
        <v>141100</v>
      </c>
      <c r="K12" s="72">
        <v>0</v>
      </c>
      <c r="L12" s="72">
        <f t="shared" si="4"/>
        <v>150500</v>
      </c>
      <c r="M12" s="103">
        <f t="shared" si="5"/>
        <v>0</v>
      </c>
      <c r="N12" s="121">
        <f t="shared" si="6"/>
        <v>161800</v>
      </c>
      <c r="O12" s="121">
        <f t="shared" si="7"/>
        <v>0</v>
      </c>
      <c r="P12" s="121">
        <v>175000</v>
      </c>
      <c r="Q12" s="121">
        <f>ROUND(O12/122.3*124.6,-2)</f>
        <v>0</v>
      </c>
      <c r="R12" s="72" t="s">
        <v>388</v>
      </c>
      <c r="S12" s="119" t="s">
        <v>352</v>
      </c>
      <c r="T12" s="93"/>
      <c r="U12" s="93"/>
      <c r="V12" s="93"/>
      <c r="W12" s="93"/>
      <c r="X12" s="93"/>
      <c r="Y12" s="93"/>
      <c r="Z12" s="93"/>
      <c r="AA12" s="72"/>
      <c r="AB12" s="173"/>
      <c r="AC12" s="129"/>
    </row>
    <row r="13" spans="1:31" s="76" customFormat="1" ht="25.5" x14ac:dyDescent="0.2">
      <c r="A13" s="70">
        <v>60403</v>
      </c>
      <c r="B13" s="137" t="s">
        <v>390</v>
      </c>
      <c r="C13" s="69"/>
      <c r="D13" s="71"/>
      <c r="E13" s="137" t="s">
        <v>256</v>
      </c>
      <c r="F13" s="69" t="s">
        <v>257</v>
      </c>
      <c r="G13" s="144" t="s">
        <v>60</v>
      </c>
      <c r="H13" s="79"/>
      <c r="I13" s="74"/>
      <c r="J13" s="72">
        <v>515700</v>
      </c>
      <c r="K13" s="72">
        <v>0</v>
      </c>
      <c r="L13" s="72">
        <f t="shared" si="4"/>
        <v>550100</v>
      </c>
      <c r="M13" s="103">
        <f t="shared" si="5"/>
        <v>0</v>
      </c>
      <c r="N13" s="121">
        <f t="shared" si="6"/>
        <v>591500</v>
      </c>
      <c r="O13" s="121">
        <f t="shared" si="7"/>
        <v>0</v>
      </c>
      <c r="P13" s="121">
        <v>3190000</v>
      </c>
      <c r="Q13" s="121">
        <f>ROUND(O13/122.3*124.6,-2)</f>
        <v>0</v>
      </c>
      <c r="R13" s="72" t="s">
        <v>388</v>
      </c>
      <c r="S13" s="119" t="s">
        <v>387</v>
      </c>
      <c r="T13" s="93"/>
      <c r="U13" s="93"/>
      <c r="V13" s="109" t="s">
        <v>287</v>
      </c>
      <c r="W13" s="93"/>
      <c r="X13" s="93"/>
      <c r="Y13" s="93"/>
      <c r="Z13" s="93"/>
      <c r="AA13" s="72" t="s">
        <v>338</v>
      </c>
      <c r="AB13" s="173"/>
      <c r="AC13" s="129"/>
      <c r="AD13" s="68"/>
      <c r="AE13" s="68"/>
    </row>
    <row r="14" spans="1:31" s="76" customFormat="1" x14ac:dyDescent="0.2">
      <c r="A14" s="70">
        <v>60403</v>
      </c>
      <c r="B14" s="137" t="s">
        <v>250</v>
      </c>
      <c r="C14" s="77"/>
      <c r="D14" s="78"/>
      <c r="E14" s="142" t="s">
        <v>112</v>
      </c>
      <c r="F14" s="77" t="s">
        <v>155</v>
      </c>
      <c r="G14" s="144" t="s">
        <v>60</v>
      </c>
      <c r="H14" s="79" t="s">
        <v>21</v>
      </c>
      <c r="I14" s="73">
        <v>41281</v>
      </c>
      <c r="J14" s="72">
        <v>1970200</v>
      </c>
      <c r="K14" s="72">
        <v>433100</v>
      </c>
      <c r="L14" s="72">
        <f t="shared" si="4"/>
        <v>2101800</v>
      </c>
      <c r="M14" s="103">
        <f t="shared" si="5"/>
        <v>441200</v>
      </c>
      <c r="N14" s="121">
        <f t="shared" si="6"/>
        <v>2260000</v>
      </c>
      <c r="O14" s="121">
        <f t="shared" si="7"/>
        <v>448200</v>
      </c>
      <c r="P14" s="121">
        <v>2790000</v>
      </c>
      <c r="Q14" s="121">
        <f>450000+190000</f>
        <v>640000</v>
      </c>
      <c r="R14" s="72" t="s">
        <v>388</v>
      </c>
      <c r="S14" s="72" t="s">
        <v>351</v>
      </c>
      <c r="T14" s="93"/>
      <c r="U14" s="93"/>
      <c r="V14" s="93"/>
      <c r="W14" s="93"/>
      <c r="X14" s="93"/>
      <c r="Y14" s="109" t="s">
        <v>287</v>
      </c>
      <c r="Z14" s="93"/>
      <c r="AA14" s="72"/>
      <c r="AB14" s="173"/>
      <c r="AC14" s="129"/>
      <c r="AD14" s="129"/>
      <c r="AE14" s="68"/>
    </row>
    <row r="15" spans="1:31" s="68" customFormat="1" x14ac:dyDescent="0.2">
      <c r="A15" s="70">
        <v>60403</v>
      </c>
      <c r="B15" s="137" t="s">
        <v>393</v>
      </c>
      <c r="C15" s="69">
        <v>0</v>
      </c>
      <c r="D15" s="71"/>
      <c r="E15" s="137" t="s">
        <v>107</v>
      </c>
      <c r="F15" s="69" t="s">
        <v>191</v>
      </c>
      <c r="G15" s="143" t="s">
        <v>65</v>
      </c>
      <c r="H15" s="72"/>
      <c r="I15" s="75"/>
      <c r="J15" s="72">
        <v>0</v>
      </c>
      <c r="K15" s="72">
        <v>158600</v>
      </c>
      <c r="L15" s="72">
        <f t="shared" ref="L15:L29" si="8">ROUND(J15/125.8*134.2,-2)</f>
        <v>0</v>
      </c>
      <c r="M15" s="103">
        <f t="shared" ref="M15:M29" si="9">ROUND(K15/118.2*120.4,-2)</f>
        <v>161600</v>
      </c>
      <c r="N15" s="121">
        <f t="shared" ref="N15:N29" si="10">ROUND(L15/134.2*144.3,-2)</f>
        <v>0</v>
      </c>
      <c r="O15" s="121">
        <f t="shared" ref="O15:O29" si="11">ROUND(M15/120.4*122.3,-2)</f>
        <v>164200</v>
      </c>
      <c r="P15" s="121">
        <v>850000</v>
      </c>
      <c r="Q15" s="121">
        <f>275000+14000</f>
        <v>289000</v>
      </c>
      <c r="R15" s="72" t="s">
        <v>391</v>
      </c>
      <c r="S15" s="72" t="s">
        <v>353</v>
      </c>
      <c r="T15" s="93"/>
      <c r="U15" s="93"/>
      <c r="V15" s="93" t="s">
        <v>287</v>
      </c>
      <c r="W15" s="93" t="s">
        <v>287</v>
      </c>
      <c r="X15" s="93" t="s">
        <v>290</v>
      </c>
      <c r="Y15" s="93"/>
      <c r="Z15" s="93"/>
      <c r="AA15" s="72"/>
      <c r="AB15" s="173"/>
      <c r="AC15" s="129"/>
      <c r="AD15" s="129"/>
    </row>
    <row r="16" spans="1:31" s="129" customFormat="1" ht="25.5" x14ac:dyDescent="0.2">
      <c r="A16" s="70">
        <v>60403</v>
      </c>
      <c r="B16" s="137" t="s">
        <v>306</v>
      </c>
      <c r="C16" s="69">
        <v>0</v>
      </c>
      <c r="D16" s="71"/>
      <c r="E16" s="137" t="s">
        <v>104</v>
      </c>
      <c r="F16" s="69" t="s">
        <v>193</v>
      </c>
      <c r="G16" s="143" t="s">
        <v>58</v>
      </c>
      <c r="H16" s="72"/>
      <c r="I16" s="75"/>
      <c r="J16" s="72">
        <v>0</v>
      </c>
      <c r="K16" s="72">
        <v>117400</v>
      </c>
      <c r="L16" s="72">
        <f t="shared" si="8"/>
        <v>0</v>
      </c>
      <c r="M16" s="103">
        <f t="shared" si="9"/>
        <v>119600</v>
      </c>
      <c r="N16" s="121">
        <f t="shared" si="10"/>
        <v>0</v>
      </c>
      <c r="O16" s="121">
        <f t="shared" si="11"/>
        <v>121500</v>
      </c>
      <c r="P16" s="121">
        <v>4210000</v>
      </c>
      <c r="Q16" s="121">
        <f>360000+265000</f>
        <v>625000</v>
      </c>
      <c r="R16" s="72" t="s">
        <v>394</v>
      </c>
      <c r="S16" s="72" t="s">
        <v>354</v>
      </c>
      <c r="T16" s="93"/>
      <c r="U16" s="93"/>
      <c r="V16" s="93" t="s">
        <v>287</v>
      </c>
      <c r="W16" s="93"/>
      <c r="X16" s="93" t="s">
        <v>290</v>
      </c>
      <c r="Y16" s="93"/>
      <c r="Z16" s="93"/>
      <c r="AA16" s="72"/>
      <c r="AB16" s="173"/>
      <c r="AD16" s="68"/>
      <c r="AE16" s="68"/>
    </row>
    <row r="17" spans="1:31" s="68" customFormat="1" x14ac:dyDescent="0.2">
      <c r="A17" s="70">
        <v>60403</v>
      </c>
      <c r="B17" s="137" t="s">
        <v>364</v>
      </c>
      <c r="C17" s="69">
        <v>0</v>
      </c>
      <c r="D17" s="71"/>
      <c r="E17" s="137" t="s">
        <v>135</v>
      </c>
      <c r="F17" s="69" t="s">
        <v>193</v>
      </c>
      <c r="G17" s="143" t="s">
        <v>58</v>
      </c>
      <c r="H17" s="72"/>
      <c r="I17" s="75"/>
      <c r="J17" s="72">
        <v>0</v>
      </c>
      <c r="K17" s="72">
        <v>315300</v>
      </c>
      <c r="L17" s="72">
        <f>ROUND(J17/125.8*134.2,-2)</f>
        <v>0</v>
      </c>
      <c r="M17" s="103">
        <f>ROUND(K17/118.2*120.4,-2)</f>
        <v>321200</v>
      </c>
      <c r="N17" s="121">
        <f>ROUND(L17/134.2*144.3,-2)</f>
        <v>0</v>
      </c>
      <c r="O17" s="121">
        <f>ROUND(M17/120.4*122.3,-2)</f>
        <v>326300</v>
      </c>
      <c r="P17" s="121">
        <v>3410000</v>
      </c>
      <c r="Q17" s="121"/>
      <c r="R17" s="72" t="s">
        <v>394</v>
      </c>
      <c r="T17" s="93"/>
      <c r="U17" s="93"/>
      <c r="V17" s="109"/>
      <c r="W17" s="93"/>
      <c r="X17" s="93"/>
      <c r="Y17" s="93"/>
      <c r="Z17" s="93"/>
      <c r="AA17" s="72"/>
      <c r="AB17" s="173"/>
      <c r="AC17" s="129"/>
      <c r="AD17" s="129"/>
      <c r="AE17" s="129"/>
    </row>
    <row r="18" spans="1:31" s="68" customFormat="1" ht="25.5" x14ac:dyDescent="0.2">
      <c r="A18" s="70"/>
      <c r="B18" s="137" t="s">
        <v>398</v>
      </c>
      <c r="C18" s="69"/>
      <c r="D18" s="71"/>
      <c r="E18" s="137" t="s">
        <v>356</v>
      </c>
      <c r="F18" s="85" t="s">
        <v>397</v>
      </c>
      <c r="G18" s="153" t="s">
        <v>396</v>
      </c>
      <c r="H18" s="72"/>
      <c r="I18" s="75"/>
      <c r="J18" s="72"/>
      <c r="K18" s="72"/>
      <c r="L18" s="72"/>
      <c r="M18" s="103"/>
      <c r="N18" s="121"/>
      <c r="O18" s="121"/>
      <c r="P18" s="121"/>
      <c r="Q18" s="121">
        <f>775000+355000</f>
        <v>1130000</v>
      </c>
      <c r="R18" s="72"/>
      <c r="S18" s="72" t="s">
        <v>354</v>
      </c>
      <c r="T18" s="96"/>
      <c r="U18" s="96"/>
      <c r="V18" s="109" t="s">
        <v>287</v>
      </c>
      <c r="W18" s="96"/>
      <c r="X18" s="96" t="s">
        <v>290</v>
      </c>
      <c r="Y18" s="96"/>
      <c r="Z18" s="96"/>
      <c r="AA18" s="79"/>
      <c r="AB18" s="174"/>
      <c r="AC18" s="129"/>
      <c r="AD18" s="129"/>
      <c r="AE18" s="129"/>
    </row>
    <row r="19" spans="1:31" s="82" customFormat="1" x14ac:dyDescent="0.2">
      <c r="A19" s="70">
        <v>60403</v>
      </c>
      <c r="B19" s="137" t="s">
        <v>399</v>
      </c>
      <c r="C19" s="69">
        <v>0</v>
      </c>
      <c r="D19" s="71"/>
      <c r="E19" s="137" t="s">
        <v>110</v>
      </c>
      <c r="F19" s="72" t="s">
        <v>194</v>
      </c>
      <c r="G19" s="143" t="s">
        <v>58</v>
      </c>
      <c r="H19" s="72"/>
      <c r="I19" s="73">
        <v>41281</v>
      </c>
      <c r="J19" s="72">
        <v>2833000</v>
      </c>
      <c r="K19" s="72">
        <v>0</v>
      </c>
      <c r="L19" s="72">
        <f t="shared" ref="L19:L25" si="12">ROUND(J19/125.8*134.2,-2)</f>
        <v>3022200</v>
      </c>
      <c r="M19" s="103">
        <f t="shared" ref="M19:M25" si="13">ROUND(K19/118.2*120.4,-2)</f>
        <v>0</v>
      </c>
      <c r="N19" s="121">
        <f t="shared" ref="N19:N25" si="14">ROUND(L19/134.2*144.3,-2)</f>
        <v>3249700</v>
      </c>
      <c r="O19" s="121">
        <f t="shared" ref="O19:O25" si="15">ROUND(M19/120.4*122.3,-2)</f>
        <v>0</v>
      </c>
      <c r="P19" s="121">
        <v>3980000</v>
      </c>
      <c r="Q19" s="121">
        <f>ROUND(O19/122.3*124.6,-2)</f>
        <v>0</v>
      </c>
      <c r="R19" s="72" t="s">
        <v>394</v>
      </c>
      <c r="S19" s="93"/>
      <c r="T19" s="93"/>
      <c r="U19" s="93"/>
      <c r="V19" s="109" t="s">
        <v>287</v>
      </c>
      <c r="W19" s="93"/>
      <c r="X19" s="93" t="s">
        <v>290</v>
      </c>
      <c r="Y19" s="93"/>
      <c r="Z19" s="93"/>
      <c r="AA19" s="72"/>
      <c r="AB19" s="173"/>
      <c r="AC19" s="129"/>
      <c r="AD19" s="68"/>
      <c r="AE19" s="68"/>
    </row>
    <row r="20" spans="1:31" s="82" customFormat="1" x14ac:dyDescent="0.2">
      <c r="A20" s="70">
        <v>64230090</v>
      </c>
      <c r="B20" s="137" t="s">
        <v>251</v>
      </c>
      <c r="C20" s="69"/>
      <c r="D20" s="71"/>
      <c r="E20" s="137" t="s">
        <v>111</v>
      </c>
      <c r="F20" s="69" t="s">
        <v>195</v>
      </c>
      <c r="G20" s="143" t="s">
        <v>63</v>
      </c>
      <c r="H20" s="72"/>
      <c r="I20" s="74"/>
      <c r="J20" s="72">
        <v>2496500</v>
      </c>
      <c r="K20" s="72">
        <v>184800</v>
      </c>
      <c r="L20" s="72">
        <f t="shared" si="12"/>
        <v>2663200</v>
      </c>
      <c r="M20" s="103">
        <f t="shared" si="13"/>
        <v>188200</v>
      </c>
      <c r="N20" s="121">
        <f t="shared" si="14"/>
        <v>2863600</v>
      </c>
      <c r="O20" s="121">
        <f t="shared" si="15"/>
        <v>191200</v>
      </c>
      <c r="P20" s="121">
        <v>3260000</v>
      </c>
      <c r="Q20" s="121">
        <f>375000+145000</f>
        <v>520000</v>
      </c>
      <c r="R20" s="72" t="s">
        <v>402</v>
      </c>
      <c r="S20" s="79" t="s">
        <v>360</v>
      </c>
      <c r="T20" s="96"/>
      <c r="U20" s="96"/>
      <c r="V20" s="109" t="s">
        <v>287</v>
      </c>
      <c r="W20" s="96"/>
      <c r="X20" s="96"/>
      <c r="Y20" s="96"/>
      <c r="Z20" s="96"/>
      <c r="AA20" s="79"/>
      <c r="AB20" s="174"/>
      <c r="AE20" s="76"/>
    </row>
    <row r="21" spans="1:31" s="68" customFormat="1" x14ac:dyDescent="0.2">
      <c r="A21" s="70">
        <v>60403</v>
      </c>
      <c r="B21" s="137" t="s">
        <v>403</v>
      </c>
      <c r="C21" s="69"/>
      <c r="D21" s="71"/>
      <c r="E21" s="137" t="s">
        <v>111</v>
      </c>
      <c r="F21" s="69" t="s">
        <v>195</v>
      </c>
      <c r="G21" s="143" t="s">
        <v>63</v>
      </c>
      <c r="H21" s="72"/>
      <c r="I21" s="74"/>
      <c r="J21" s="72">
        <v>0</v>
      </c>
      <c r="K21" s="72">
        <v>68600</v>
      </c>
      <c r="L21" s="72">
        <f t="shared" si="12"/>
        <v>0</v>
      </c>
      <c r="M21" s="103">
        <f t="shared" si="13"/>
        <v>69900</v>
      </c>
      <c r="N21" s="121">
        <f t="shared" si="14"/>
        <v>0</v>
      </c>
      <c r="O21" s="121">
        <f t="shared" si="15"/>
        <v>71000</v>
      </c>
      <c r="P21" s="121">
        <f>ROUND(N21/144.3*151.5,-2)</f>
        <v>0</v>
      </c>
      <c r="Q21" s="121">
        <v>75000</v>
      </c>
      <c r="R21" s="72"/>
      <c r="S21" s="72" t="s">
        <v>357</v>
      </c>
      <c r="T21" s="93"/>
      <c r="U21" s="93"/>
      <c r="V21" s="109" t="s">
        <v>287</v>
      </c>
      <c r="W21" s="93"/>
      <c r="X21" s="93"/>
      <c r="Y21" s="93"/>
      <c r="Z21" s="93"/>
      <c r="AA21" s="72" t="s">
        <v>339</v>
      </c>
      <c r="AB21" s="173"/>
      <c r="AC21" s="129"/>
    </row>
    <row r="22" spans="1:31" s="76" customFormat="1" x14ac:dyDescent="0.2">
      <c r="A22" s="70">
        <v>60403</v>
      </c>
      <c r="B22" s="137" t="s">
        <v>252</v>
      </c>
      <c r="C22" s="77"/>
      <c r="D22" s="78"/>
      <c r="E22" s="142" t="s">
        <v>115</v>
      </c>
      <c r="F22" s="77" t="s">
        <v>176</v>
      </c>
      <c r="G22" s="144" t="s">
        <v>59</v>
      </c>
      <c r="H22" s="79" t="s">
        <v>21</v>
      </c>
      <c r="I22" s="80"/>
      <c r="J22" s="72">
        <v>15684300</v>
      </c>
      <c r="K22" s="72">
        <v>2429500</v>
      </c>
      <c r="L22" s="72">
        <f t="shared" si="12"/>
        <v>16731600</v>
      </c>
      <c r="M22" s="103">
        <f t="shared" si="13"/>
        <v>2474700</v>
      </c>
      <c r="N22" s="121">
        <f t="shared" si="14"/>
        <v>17990800</v>
      </c>
      <c r="O22" s="121">
        <f t="shared" si="15"/>
        <v>2513800</v>
      </c>
      <c r="P22" s="121">
        <v>20850000</v>
      </c>
      <c r="Q22" s="121">
        <f>ROUND(O22/122.3*124.6,-2)</f>
        <v>2561100</v>
      </c>
      <c r="R22" s="72" t="s">
        <v>367</v>
      </c>
      <c r="S22" s="93"/>
      <c r="T22" s="93"/>
      <c r="U22" s="109" t="s">
        <v>287</v>
      </c>
      <c r="V22" s="109" t="s">
        <v>287</v>
      </c>
      <c r="W22" s="109" t="s">
        <v>287</v>
      </c>
      <c r="X22" s="93" t="s">
        <v>290</v>
      </c>
      <c r="Y22" s="93"/>
      <c r="Z22" s="93"/>
      <c r="AA22" s="72"/>
      <c r="AB22" s="173"/>
      <c r="AC22" s="68"/>
      <c r="AD22" s="68"/>
      <c r="AE22" s="68"/>
    </row>
    <row r="23" spans="1:31" s="68" customFormat="1" x14ac:dyDescent="0.2">
      <c r="A23" s="70">
        <v>60403</v>
      </c>
      <c r="B23" s="137" t="s">
        <v>307</v>
      </c>
      <c r="C23" s="69"/>
      <c r="D23" s="71"/>
      <c r="E23" s="137" t="s">
        <v>105</v>
      </c>
      <c r="F23" s="69" t="s">
        <v>196</v>
      </c>
      <c r="G23" s="143" t="s">
        <v>59</v>
      </c>
      <c r="H23" s="72" t="s">
        <v>6</v>
      </c>
      <c r="I23" s="81">
        <v>41044</v>
      </c>
      <c r="J23" s="72">
        <v>0</v>
      </c>
      <c r="K23" s="72">
        <v>379100</v>
      </c>
      <c r="L23" s="72">
        <f t="shared" si="12"/>
        <v>0</v>
      </c>
      <c r="M23" s="103">
        <f t="shared" si="13"/>
        <v>386200</v>
      </c>
      <c r="N23" s="121">
        <f t="shared" si="14"/>
        <v>0</v>
      </c>
      <c r="O23" s="121">
        <f t="shared" si="15"/>
        <v>392300</v>
      </c>
      <c r="P23" s="121">
        <f>ROUND(N23/144.3*151.5,-2)</f>
        <v>0</v>
      </c>
      <c r="Q23" s="121">
        <v>370000</v>
      </c>
      <c r="R23" s="79"/>
      <c r="S23" s="72" t="s">
        <v>358</v>
      </c>
      <c r="T23" s="96"/>
      <c r="U23" s="96"/>
      <c r="V23" s="109" t="s">
        <v>287</v>
      </c>
      <c r="W23" s="109" t="s">
        <v>287</v>
      </c>
      <c r="X23" s="96"/>
      <c r="Y23" s="96"/>
      <c r="Z23" s="96"/>
      <c r="AA23" s="79"/>
      <c r="AB23" s="174"/>
      <c r="AC23" s="82"/>
      <c r="AD23" s="82"/>
      <c r="AE23" s="82"/>
    </row>
    <row r="24" spans="1:31" s="82" customFormat="1" ht="38.25" x14ac:dyDescent="0.2">
      <c r="A24" s="70">
        <v>60403</v>
      </c>
      <c r="B24" s="137" t="s">
        <v>380</v>
      </c>
      <c r="C24" s="69"/>
      <c r="D24" s="71"/>
      <c r="E24" s="137" t="s">
        <v>255</v>
      </c>
      <c r="F24" s="69" t="s">
        <v>196</v>
      </c>
      <c r="G24" s="143" t="s">
        <v>59</v>
      </c>
      <c r="H24" s="72"/>
      <c r="I24" s="83">
        <v>41039</v>
      </c>
      <c r="J24" s="72">
        <v>5546400</v>
      </c>
      <c r="K24" s="72">
        <v>0</v>
      </c>
      <c r="L24" s="72">
        <f t="shared" si="12"/>
        <v>5916700</v>
      </c>
      <c r="M24" s="103">
        <f t="shared" si="13"/>
        <v>0</v>
      </c>
      <c r="N24" s="121">
        <f t="shared" si="14"/>
        <v>6362000</v>
      </c>
      <c r="O24" s="121">
        <f t="shared" si="15"/>
        <v>0</v>
      </c>
      <c r="P24" s="121">
        <v>8910000</v>
      </c>
      <c r="Q24" s="121">
        <f>ROUND(O24/122.3*124.6,-2)</f>
        <v>0</v>
      </c>
      <c r="R24" s="72" t="s">
        <v>367</v>
      </c>
      <c r="S24" s="96"/>
      <c r="T24" s="96"/>
      <c r="U24" s="96"/>
      <c r="V24" s="109" t="s">
        <v>287</v>
      </c>
      <c r="W24" s="109" t="s">
        <v>287</v>
      </c>
      <c r="X24" s="96"/>
      <c r="Y24" s="96"/>
      <c r="Z24" s="96"/>
      <c r="AA24" s="79"/>
      <c r="AB24" s="174"/>
    </row>
    <row r="25" spans="1:31" s="68" customFormat="1" x14ac:dyDescent="0.2">
      <c r="A25" s="70">
        <v>60403</v>
      </c>
      <c r="B25" s="137" t="s">
        <v>253</v>
      </c>
      <c r="C25" s="69"/>
      <c r="D25" s="71"/>
      <c r="E25" s="137" t="s">
        <v>136</v>
      </c>
      <c r="F25" s="69" t="s">
        <v>196</v>
      </c>
      <c r="G25" s="143" t="s">
        <v>59</v>
      </c>
      <c r="H25" s="72"/>
      <c r="I25" s="81">
        <v>41044</v>
      </c>
      <c r="J25" s="72">
        <v>0</v>
      </c>
      <c r="K25" s="72">
        <v>410100</v>
      </c>
      <c r="L25" s="72">
        <f t="shared" si="12"/>
        <v>0</v>
      </c>
      <c r="M25" s="103">
        <f t="shared" si="13"/>
        <v>417700</v>
      </c>
      <c r="N25" s="121">
        <f t="shared" si="14"/>
        <v>0</v>
      </c>
      <c r="O25" s="121">
        <f t="shared" si="15"/>
        <v>424300</v>
      </c>
      <c r="P25" s="121">
        <f>ROUND(N25/144.3*151.5,-2)</f>
        <v>0</v>
      </c>
      <c r="Q25" s="121">
        <v>375000</v>
      </c>
      <c r="R25" s="72"/>
      <c r="S25" s="72" t="s">
        <v>358</v>
      </c>
      <c r="T25" s="93"/>
      <c r="U25" s="93"/>
      <c r="V25" s="93"/>
      <c r="W25" s="93"/>
      <c r="X25" s="93"/>
      <c r="Y25" s="93"/>
      <c r="Z25" s="93"/>
      <c r="AA25" s="72"/>
      <c r="AB25" s="173"/>
      <c r="AC25" s="129"/>
    </row>
    <row r="26" spans="1:31" s="82" customFormat="1" ht="25.5" x14ac:dyDescent="0.2">
      <c r="A26" s="70">
        <v>60403</v>
      </c>
      <c r="B26" s="137" t="s">
        <v>379</v>
      </c>
      <c r="C26" s="77"/>
      <c r="D26" s="78"/>
      <c r="E26" s="142" t="s">
        <v>378</v>
      </c>
      <c r="F26" s="77" t="s">
        <v>197</v>
      </c>
      <c r="G26" s="144" t="s">
        <v>59</v>
      </c>
      <c r="H26" s="79" t="s">
        <v>21</v>
      </c>
      <c r="I26" s="80"/>
      <c r="J26" s="72">
        <v>4477300</v>
      </c>
      <c r="K26" s="72">
        <v>156500</v>
      </c>
      <c r="L26" s="72">
        <f t="shared" si="8"/>
        <v>4776300</v>
      </c>
      <c r="M26" s="103">
        <f t="shared" si="9"/>
        <v>159400</v>
      </c>
      <c r="N26" s="121">
        <f t="shared" si="10"/>
        <v>5135800</v>
      </c>
      <c r="O26" s="121">
        <f t="shared" si="11"/>
        <v>161900</v>
      </c>
      <c r="P26" s="121">
        <v>7200000</v>
      </c>
      <c r="Q26" s="121">
        <v>1095000</v>
      </c>
      <c r="R26" s="72" t="s">
        <v>367</v>
      </c>
      <c r="S26" s="129" t="s">
        <v>358</v>
      </c>
      <c r="T26" s="96"/>
      <c r="U26" s="109" t="s">
        <v>287</v>
      </c>
      <c r="V26" s="109" t="s">
        <v>287</v>
      </c>
      <c r="W26" s="109" t="s">
        <v>287</v>
      </c>
      <c r="X26" s="96"/>
      <c r="Y26" s="109" t="s">
        <v>287</v>
      </c>
      <c r="Z26" s="96"/>
      <c r="AA26" s="79"/>
      <c r="AB26" s="174"/>
    </row>
    <row r="27" spans="1:31" s="68" customFormat="1" ht="25.5" x14ac:dyDescent="0.2">
      <c r="A27" s="70">
        <v>60403</v>
      </c>
      <c r="B27" s="137" t="s">
        <v>292</v>
      </c>
      <c r="C27" s="69" t="s">
        <v>18</v>
      </c>
      <c r="D27" s="71" t="s">
        <v>51</v>
      </c>
      <c r="E27" s="137" t="s">
        <v>240</v>
      </c>
      <c r="F27" s="69" t="s">
        <v>182</v>
      </c>
      <c r="G27" s="143" t="s">
        <v>59</v>
      </c>
      <c r="H27" s="72"/>
      <c r="I27" s="75"/>
      <c r="J27" s="72">
        <v>4444700</v>
      </c>
      <c r="K27" s="72">
        <v>221700</v>
      </c>
      <c r="L27" s="72">
        <f t="shared" si="8"/>
        <v>4741500</v>
      </c>
      <c r="M27" s="103">
        <f t="shared" si="9"/>
        <v>225800</v>
      </c>
      <c r="N27" s="121">
        <f t="shared" si="10"/>
        <v>5098300</v>
      </c>
      <c r="O27" s="121">
        <f t="shared" si="11"/>
        <v>229400</v>
      </c>
      <c r="P27" s="121">
        <v>6400000</v>
      </c>
      <c r="Q27" s="121">
        <v>1110000</v>
      </c>
      <c r="R27" s="72" t="s">
        <v>367</v>
      </c>
      <c r="S27" s="72" t="s">
        <v>358</v>
      </c>
      <c r="T27" s="96"/>
      <c r="U27" s="96"/>
      <c r="V27" s="109" t="s">
        <v>287</v>
      </c>
      <c r="W27" s="96"/>
      <c r="X27" s="96"/>
      <c r="Y27" s="96"/>
      <c r="Z27" s="96"/>
      <c r="AA27" s="79"/>
      <c r="AB27" s="174"/>
      <c r="AC27" s="82"/>
      <c r="AD27" s="82"/>
      <c r="AE27" s="82"/>
    </row>
    <row r="28" spans="1:31" s="68" customFormat="1" x14ac:dyDescent="0.2">
      <c r="A28" s="70">
        <v>60403</v>
      </c>
      <c r="B28" s="137" t="s">
        <v>254</v>
      </c>
      <c r="C28" s="69"/>
      <c r="D28" s="71"/>
      <c r="E28" s="137" t="s">
        <v>137</v>
      </c>
      <c r="F28" s="69" t="s">
        <v>198</v>
      </c>
      <c r="G28" s="143" t="s">
        <v>59</v>
      </c>
      <c r="H28" s="72"/>
      <c r="I28" s="74"/>
      <c r="J28" s="72">
        <v>3647100</v>
      </c>
      <c r="K28" s="72">
        <v>234800</v>
      </c>
      <c r="L28" s="72">
        <f t="shared" si="8"/>
        <v>3890600</v>
      </c>
      <c r="M28" s="103">
        <f t="shared" si="9"/>
        <v>239200</v>
      </c>
      <c r="N28" s="121">
        <f t="shared" si="10"/>
        <v>4183400</v>
      </c>
      <c r="O28" s="121">
        <f t="shared" si="11"/>
        <v>243000</v>
      </c>
      <c r="P28" s="121">
        <v>4890000</v>
      </c>
      <c r="Q28" s="121">
        <v>910000</v>
      </c>
      <c r="R28" s="72" t="s">
        <v>367</v>
      </c>
      <c r="S28" s="72" t="s">
        <v>358</v>
      </c>
      <c r="T28" s="96"/>
      <c r="U28" s="96"/>
      <c r="V28" s="109" t="s">
        <v>287</v>
      </c>
      <c r="W28" s="96"/>
      <c r="X28" s="96"/>
      <c r="Y28" s="109" t="s">
        <v>287</v>
      </c>
      <c r="Z28" s="96"/>
      <c r="AA28" s="79" t="s">
        <v>340</v>
      </c>
      <c r="AB28" s="174"/>
      <c r="AC28" s="82"/>
      <c r="AD28" s="82"/>
      <c r="AE28" s="82"/>
    </row>
    <row r="29" spans="1:31" s="68" customFormat="1" x14ac:dyDescent="0.2">
      <c r="A29" s="70">
        <v>60403</v>
      </c>
      <c r="B29" s="134" t="s">
        <v>381</v>
      </c>
      <c r="C29" s="69"/>
      <c r="D29" s="71"/>
      <c r="E29" s="137" t="s">
        <v>258</v>
      </c>
      <c r="F29" s="69" t="s">
        <v>198</v>
      </c>
      <c r="G29" s="143" t="s">
        <v>59</v>
      </c>
      <c r="H29" s="72"/>
      <c r="I29" s="74" t="s">
        <v>202</v>
      </c>
      <c r="J29" s="72">
        <v>141100</v>
      </c>
      <c r="K29" s="72">
        <v>0</v>
      </c>
      <c r="L29" s="72">
        <f t="shared" si="8"/>
        <v>150500</v>
      </c>
      <c r="M29" s="103">
        <f t="shared" si="9"/>
        <v>0</v>
      </c>
      <c r="N29" s="121">
        <f t="shared" si="10"/>
        <v>161800</v>
      </c>
      <c r="O29" s="121">
        <f t="shared" si="11"/>
        <v>0</v>
      </c>
      <c r="P29" s="121">
        <v>170000</v>
      </c>
      <c r="Q29" s="121">
        <f>ROUND(O29/122.3*124.6,-2)</f>
        <v>0</v>
      </c>
      <c r="R29" s="72" t="s">
        <v>367</v>
      </c>
      <c r="S29" s="96"/>
      <c r="T29" s="96"/>
      <c r="U29" s="96"/>
      <c r="V29" s="96"/>
      <c r="W29" s="96"/>
      <c r="X29" s="96"/>
      <c r="Y29" s="96"/>
      <c r="Z29" s="96"/>
      <c r="AA29" s="79"/>
      <c r="AB29" s="174">
        <v>43315</v>
      </c>
      <c r="AC29" s="82"/>
      <c r="AD29" s="82"/>
      <c r="AE29" s="82"/>
    </row>
    <row r="30" spans="1:31" s="10" customFormat="1" ht="13.5" thickBot="1" x14ac:dyDescent="0.25">
      <c r="A30" s="48"/>
      <c r="B30" s="49"/>
      <c r="C30" s="49"/>
      <c r="D30" s="50"/>
      <c r="E30" s="49"/>
      <c r="F30" s="49"/>
      <c r="G30" s="51"/>
      <c r="H30" s="51"/>
      <c r="I30" s="52"/>
      <c r="J30" s="51"/>
      <c r="K30" s="51"/>
      <c r="L30" s="51"/>
      <c r="M30" s="51"/>
      <c r="N30" s="51"/>
      <c r="O30" s="51"/>
      <c r="P30" s="51"/>
      <c r="Q30" s="51"/>
      <c r="R30" s="67"/>
    </row>
    <row r="31" spans="1:31" ht="13.5" thickBot="1" x14ac:dyDescent="0.25">
      <c r="A31" s="53"/>
      <c r="B31" s="53" t="s">
        <v>53</v>
      </c>
      <c r="C31" s="54"/>
      <c r="D31" s="55"/>
      <c r="E31" s="56"/>
      <c r="F31" s="56"/>
      <c r="I31" s="57" t="s">
        <v>44</v>
      </c>
      <c r="J31" s="58">
        <v>89042000</v>
      </c>
      <c r="K31" s="58">
        <v>9271100</v>
      </c>
      <c r="L31" s="58">
        <f t="shared" ref="L31:Q31" si="16">SUM(L3:L29)</f>
        <v>94912400</v>
      </c>
      <c r="M31" s="58">
        <f t="shared" si="16"/>
        <v>9443800</v>
      </c>
      <c r="N31" s="58">
        <f t="shared" si="16"/>
        <v>102055500</v>
      </c>
      <c r="O31" s="58">
        <f t="shared" si="16"/>
        <v>9593100</v>
      </c>
      <c r="P31" s="58">
        <f t="shared" si="16"/>
        <v>137710000</v>
      </c>
      <c r="Q31" s="58">
        <f t="shared" si="16"/>
        <v>17221700</v>
      </c>
    </row>
  </sheetData>
  <customSheetViews>
    <customSheetView guid="{7F5D1218-4D93-4B14-B25A-0C03ABC4F8A6}" showPageBreaks="1" fitToPage="1" printArea="1" hiddenColumns="1">
      <selection activeCell="E12" sqref="E12"/>
      <pageMargins left="0.59055118110236227" right="0" top="1.5748031496062993" bottom="0.98425196850393704" header="0.62992125984251968" footer="0.70866141732283472"/>
      <pageSetup paperSize="8" fitToHeight="2" orientation="portrait" r:id="rId1"/>
      <headerFooter alignWithMargins="0">
        <oddFooter>&amp;L&amp;8&amp;F &amp;A&amp;C&amp;8&amp;P&amp;R&amp;8&amp;D</oddFooter>
      </headerFooter>
    </customSheetView>
  </customSheetViews>
  <mergeCells count="2">
    <mergeCell ref="T1:W1"/>
    <mergeCell ref="Y1:Z1"/>
  </mergeCells>
  <phoneticPr fontId="3" type="noConversion"/>
  <pageMargins left="0.59055118110236227" right="0.39370078740157483" top="1.5748031496062993" bottom="0.98425196850393704" header="0.62992125984251968" footer="0.70866141732283472"/>
  <pageSetup paperSize="9" fitToHeight="2" orientation="landscape" r:id="rId2"/>
  <headerFooter alignWithMargins="0">
    <oddFooter>&amp;L&amp;9&amp;F &amp;A&amp;C&amp;9&amp;P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6"/>
  <sheetViews>
    <sheetView zoomScaleNormal="100" workbookViewId="0">
      <selection activeCell="G15" sqref="G15"/>
    </sheetView>
  </sheetViews>
  <sheetFormatPr defaultRowHeight="12.75" x14ac:dyDescent="0.2"/>
  <cols>
    <col min="1" max="1" width="13.42578125" style="3" customWidth="1"/>
    <col min="2" max="2" width="34.7109375" style="4" customWidth="1"/>
    <col min="3" max="3" width="27.140625" style="6" bestFit="1" customWidth="1"/>
    <col min="4" max="4" width="11" style="36" bestFit="1" customWidth="1"/>
    <col min="5" max="5" width="14.42578125" style="36" bestFit="1" customWidth="1"/>
    <col min="6" max="6" width="18.7109375" style="8" bestFit="1" customWidth="1"/>
    <col min="7" max="7" width="18.7109375" style="8" customWidth="1"/>
    <col min="8" max="8" width="30.7109375" style="88" customWidth="1"/>
    <col min="9" max="16384" width="9.140625" style="1"/>
  </cols>
  <sheetData>
    <row r="1" spans="1:15" s="7" customFormat="1" ht="26.25" customHeight="1" thickBot="1" x14ac:dyDescent="0.25">
      <c r="A1" s="28" t="s">
        <v>0</v>
      </c>
      <c r="B1" s="38" t="s">
        <v>1</v>
      </c>
      <c r="C1" s="38" t="s">
        <v>3</v>
      </c>
      <c r="D1" s="59" t="s">
        <v>140</v>
      </c>
      <c r="E1" s="59" t="s">
        <v>141</v>
      </c>
      <c r="F1" s="124" t="s">
        <v>210</v>
      </c>
      <c r="G1" s="201" t="s">
        <v>428</v>
      </c>
      <c r="H1" s="99"/>
      <c r="I1" s="199" t="s">
        <v>283</v>
      </c>
      <c r="J1" s="199"/>
      <c r="K1" s="199"/>
      <c r="L1" s="199"/>
      <c r="M1" s="108" t="s">
        <v>284</v>
      </c>
      <c r="N1" s="199" t="s">
        <v>286</v>
      </c>
      <c r="O1" s="199"/>
    </row>
    <row r="2" spans="1:15" s="2" customFormat="1" ht="25.5" x14ac:dyDescent="0.2">
      <c r="A2" s="29"/>
      <c r="B2" s="125" t="s">
        <v>211</v>
      </c>
      <c r="C2" s="126"/>
      <c r="D2" s="127"/>
      <c r="E2" s="127"/>
      <c r="F2" s="123"/>
      <c r="G2" s="123"/>
      <c r="H2" s="90"/>
      <c r="I2" s="91" t="s">
        <v>280</v>
      </c>
      <c r="J2" s="91" t="s">
        <v>282</v>
      </c>
      <c r="K2" s="91" t="s">
        <v>281</v>
      </c>
      <c r="L2" s="91" t="s">
        <v>289</v>
      </c>
      <c r="M2" s="91" t="s">
        <v>285</v>
      </c>
      <c r="N2" s="91" t="s">
        <v>287</v>
      </c>
      <c r="O2" s="91" t="s">
        <v>288</v>
      </c>
    </row>
    <row r="3" spans="1:15" s="2" customFormat="1" x14ac:dyDescent="0.2">
      <c r="A3" s="70">
        <v>60510</v>
      </c>
      <c r="B3" s="30" t="s">
        <v>213</v>
      </c>
      <c r="C3" s="30" t="s">
        <v>214</v>
      </c>
      <c r="D3" s="34" t="s">
        <v>165</v>
      </c>
      <c r="E3" s="34" t="s">
        <v>58</v>
      </c>
      <c r="F3" s="123">
        <v>18000</v>
      </c>
      <c r="G3" s="123"/>
      <c r="H3" s="90"/>
      <c r="I3" s="100"/>
      <c r="J3" s="100"/>
      <c r="K3" s="100"/>
      <c r="L3" s="100"/>
      <c r="M3" s="100"/>
      <c r="N3" s="100"/>
      <c r="O3" s="100"/>
    </row>
    <row r="4" spans="1:15" s="2" customFormat="1" x14ac:dyDescent="0.2">
      <c r="A4" s="70">
        <v>60510</v>
      </c>
      <c r="B4" s="30" t="s">
        <v>293</v>
      </c>
      <c r="C4" s="30" t="s">
        <v>215</v>
      </c>
      <c r="D4" s="34" t="s">
        <v>150</v>
      </c>
      <c r="E4" s="34" t="s">
        <v>60</v>
      </c>
      <c r="F4" s="123">
        <v>15000</v>
      </c>
      <c r="G4" s="123"/>
      <c r="H4" s="84"/>
      <c r="I4" s="100"/>
      <c r="J4" s="100"/>
      <c r="K4" s="100"/>
      <c r="L4" s="100"/>
      <c r="M4" s="100"/>
      <c r="N4" s="100"/>
      <c r="O4" s="100"/>
    </row>
    <row r="5" spans="1:15" s="2" customFormat="1" ht="25.5" x14ac:dyDescent="0.2">
      <c r="A5" s="70">
        <v>60510</v>
      </c>
      <c r="B5" s="30" t="s">
        <v>216</v>
      </c>
      <c r="C5" s="30" t="s">
        <v>217</v>
      </c>
      <c r="D5" s="34" t="s">
        <v>218</v>
      </c>
      <c r="E5" s="34" t="s">
        <v>60</v>
      </c>
      <c r="F5" s="123">
        <v>21000</v>
      </c>
      <c r="G5" s="123"/>
      <c r="H5" s="90"/>
      <c r="I5" s="100"/>
      <c r="J5" s="100"/>
      <c r="K5" s="100"/>
      <c r="L5" s="100"/>
      <c r="M5" s="100"/>
      <c r="N5" s="100"/>
      <c r="O5" s="100"/>
    </row>
    <row r="6" spans="1:15" s="2" customFormat="1" x14ac:dyDescent="0.2">
      <c r="A6" s="70">
        <v>60510</v>
      </c>
      <c r="B6" s="30" t="s">
        <v>219</v>
      </c>
      <c r="C6" s="30" t="s">
        <v>212</v>
      </c>
      <c r="D6" s="34" t="s">
        <v>167</v>
      </c>
      <c r="E6" s="34" t="s">
        <v>58</v>
      </c>
      <c r="F6" s="123">
        <v>30000</v>
      </c>
      <c r="G6" s="123"/>
      <c r="H6" s="90"/>
      <c r="I6" s="100"/>
      <c r="J6" s="100"/>
      <c r="K6" s="100"/>
      <c r="L6" s="100"/>
      <c r="M6" s="100"/>
      <c r="N6" s="100"/>
      <c r="O6" s="100"/>
    </row>
    <row r="7" spans="1:15" s="2" customFormat="1" x14ac:dyDescent="0.2">
      <c r="A7" s="70">
        <v>60510</v>
      </c>
      <c r="B7" s="30" t="s">
        <v>220</v>
      </c>
      <c r="C7" s="30" t="s">
        <v>221</v>
      </c>
      <c r="D7" s="34" t="s">
        <v>222</v>
      </c>
      <c r="E7" s="34" t="s">
        <v>60</v>
      </c>
      <c r="F7" s="123">
        <v>9000</v>
      </c>
      <c r="G7" s="123"/>
      <c r="H7" s="90"/>
      <c r="I7" s="100"/>
      <c r="J7" s="100"/>
      <c r="K7" s="100"/>
      <c r="L7" s="100"/>
      <c r="M7" s="100"/>
      <c r="N7" s="100"/>
      <c r="O7" s="100"/>
    </row>
    <row r="8" spans="1:15" s="2" customFormat="1" ht="25.5" x14ac:dyDescent="0.2">
      <c r="A8" s="70">
        <v>60510</v>
      </c>
      <c r="B8" s="30" t="s">
        <v>223</v>
      </c>
      <c r="C8" s="30" t="s">
        <v>224</v>
      </c>
      <c r="D8" s="34" t="s">
        <v>225</v>
      </c>
      <c r="E8" s="34" t="s">
        <v>59</v>
      </c>
      <c r="F8" s="123">
        <v>30000</v>
      </c>
      <c r="G8" s="123"/>
      <c r="H8" s="90"/>
      <c r="I8" s="100"/>
      <c r="J8" s="100"/>
      <c r="K8" s="100"/>
      <c r="L8" s="100"/>
      <c r="M8" s="100"/>
      <c r="N8" s="100"/>
      <c r="O8" s="100"/>
    </row>
    <row r="9" spans="1:15" s="2" customFormat="1" ht="25.5" x14ac:dyDescent="0.2">
      <c r="A9" s="70">
        <v>60057</v>
      </c>
      <c r="B9" s="30" t="s">
        <v>226</v>
      </c>
      <c r="C9" s="30" t="s">
        <v>67</v>
      </c>
      <c r="D9" s="34" t="s">
        <v>150</v>
      </c>
      <c r="E9" s="34" t="s">
        <v>60</v>
      </c>
      <c r="F9" s="123">
        <v>51000</v>
      </c>
      <c r="G9" s="123"/>
      <c r="H9" s="90"/>
      <c r="I9" s="100"/>
      <c r="J9" s="100"/>
      <c r="K9" s="100"/>
      <c r="L9" s="100"/>
      <c r="M9" s="100"/>
      <c r="N9" s="100"/>
      <c r="O9" s="100"/>
    </row>
    <row r="10" spans="1:15" s="2" customFormat="1" ht="25.5" x14ac:dyDescent="0.2">
      <c r="A10" s="70">
        <v>60057</v>
      </c>
      <c r="B10" s="30" t="s">
        <v>227</v>
      </c>
      <c r="C10" s="30" t="s">
        <v>67</v>
      </c>
      <c r="D10" s="34" t="s">
        <v>150</v>
      </c>
      <c r="E10" s="34" t="s">
        <v>60</v>
      </c>
      <c r="F10" s="123">
        <v>18000</v>
      </c>
      <c r="G10" s="123"/>
      <c r="H10" s="90"/>
      <c r="I10" s="100"/>
      <c r="J10" s="100"/>
      <c r="K10" s="100"/>
      <c r="L10" s="100"/>
      <c r="M10" s="100"/>
      <c r="N10" s="100"/>
      <c r="O10" s="100"/>
    </row>
    <row r="11" spans="1:15" s="2" customFormat="1" x14ac:dyDescent="0.2">
      <c r="A11" s="70">
        <v>60057</v>
      </c>
      <c r="B11" s="30" t="s">
        <v>228</v>
      </c>
      <c r="C11" s="30" t="s">
        <v>67</v>
      </c>
      <c r="D11" s="34" t="s">
        <v>150</v>
      </c>
      <c r="E11" s="34" t="s">
        <v>60</v>
      </c>
      <c r="F11" s="123">
        <v>74000</v>
      </c>
      <c r="G11" s="123"/>
      <c r="H11" s="104" t="s">
        <v>275</v>
      </c>
      <c r="I11" s="100"/>
      <c r="J11" s="100"/>
      <c r="K11" s="100"/>
      <c r="L11" s="100"/>
      <c r="M11" s="100"/>
      <c r="N11" s="100"/>
      <c r="O11" s="100"/>
    </row>
    <row r="12" spans="1:15" s="10" customFormat="1" x14ac:dyDescent="0.2">
      <c r="A12" s="70">
        <v>60057</v>
      </c>
      <c r="B12" s="31" t="s">
        <v>229</v>
      </c>
      <c r="C12" s="30" t="s">
        <v>67</v>
      </c>
      <c r="D12" s="34" t="s">
        <v>150</v>
      </c>
      <c r="E12" s="34" t="s">
        <v>60</v>
      </c>
      <c r="F12" s="123">
        <v>35500</v>
      </c>
      <c r="G12" s="123"/>
      <c r="H12" s="92"/>
      <c r="I12" s="105"/>
      <c r="J12" s="105"/>
      <c r="K12" s="105"/>
      <c r="L12" s="105"/>
      <c r="M12" s="105"/>
      <c r="N12" s="105"/>
      <c r="O12" s="105"/>
    </row>
    <row r="13" spans="1:15" s="2" customFormat="1" ht="25.5" x14ac:dyDescent="0.2">
      <c r="A13" s="70">
        <v>60510</v>
      </c>
      <c r="B13" s="30" t="s">
        <v>266</v>
      </c>
      <c r="C13" s="30" t="s">
        <v>270</v>
      </c>
      <c r="D13" s="34"/>
      <c r="E13" s="34" t="s">
        <v>60</v>
      </c>
      <c r="F13" s="123">
        <v>25000</v>
      </c>
      <c r="G13" s="123"/>
      <c r="H13" s="90"/>
      <c r="I13" s="100"/>
      <c r="J13" s="100"/>
      <c r="K13" s="100"/>
      <c r="L13" s="100"/>
      <c r="M13" s="100"/>
      <c r="N13" s="100"/>
      <c r="O13" s="100"/>
    </row>
    <row r="14" spans="1:15" s="2" customFormat="1" ht="38.25" x14ac:dyDescent="0.2">
      <c r="A14" s="70"/>
      <c r="B14" s="30" t="s">
        <v>366</v>
      </c>
      <c r="C14" s="30" t="s">
        <v>67</v>
      </c>
      <c r="D14" s="34" t="s">
        <v>150</v>
      </c>
      <c r="E14" s="34" t="s">
        <v>60</v>
      </c>
      <c r="F14" s="123">
        <v>755300</v>
      </c>
      <c r="G14" s="202" t="s">
        <v>365</v>
      </c>
      <c r="H14" s="90"/>
      <c r="I14" s="100"/>
      <c r="J14" s="100"/>
      <c r="K14" s="100"/>
      <c r="L14" s="100"/>
      <c r="M14" s="100"/>
      <c r="N14" s="100"/>
      <c r="O14" s="100"/>
    </row>
    <row r="15" spans="1:15" s="2" customFormat="1" ht="25.5" x14ac:dyDescent="0.2">
      <c r="A15" s="70">
        <v>60510</v>
      </c>
      <c r="B15" s="30" t="s">
        <v>308</v>
      </c>
      <c r="C15" s="30" t="s">
        <v>271</v>
      </c>
      <c r="D15" s="34"/>
      <c r="E15" s="34" t="s">
        <v>65</v>
      </c>
      <c r="F15" s="123">
        <v>15000</v>
      </c>
      <c r="G15" s="123"/>
      <c r="H15" s="90"/>
      <c r="I15" s="100"/>
      <c r="J15" s="100"/>
      <c r="K15" s="100"/>
      <c r="L15" s="100"/>
      <c r="M15" s="100"/>
      <c r="N15" s="100"/>
      <c r="O15" s="100"/>
    </row>
    <row r="16" spans="1:15" s="2" customFormat="1" x14ac:dyDescent="0.2">
      <c r="A16" s="70">
        <v>60510</v>
      </c>
      <c r="B16" s="30" t="s">
        <v>267</v>
      </c>
      <c r="C16" s="30" t="s">
        <v>309</v>
      </c>
      <c r="D16" s="34"/>
      <c r="E16" s="34" t="s">
        <v>58</v>
      </c>
      <c r="F16" s="123">
        <v>20000</v>
      </c>
      <c r="G16" s="123"/>
      <c r="H16" s="90"/>
      <c r="I16" s="100"/>
      <c r="J16" s="100"/>
      <c r="K16" s="100"/>
      <c r="L16" s="100"/>
      <c r="M16" s="100"/>
      <c r="N16" s="100"/>
      <c r="O16" s="100"/>
    </row>
    <row r="17" spans="1:15" s="2" customFormat="1" x14ac:dyDescent="0.2">
      <c r="A17" s="70">
        <v>60510</v>
      </c>
      <c r="B17" s="30" t="s">
        <v>268</v>
      </c>
      <c r="C17" s="30" t="s">
        <v>310</v>
      </c>
      <c r="D17" s="34"/>
      <c r="E17" s="34" t="s">
        <v>58</v>
      </c>
      <c r="F17" s="123">
        <v>15000</v>
      </c>
      <c r="G17" s="123"/>
      <c r="H17" s="90"/>
      <c r="I17" s="100"/>
      <c r="J17" s="100"/>
      <c r="K17" s="100"/>
      <c r="L17" s="100"/>
      <c r="M17" s="100"/>
      <c r="N17" s="100"/>
      <c r="O17" s="100"/>
    </row>
    <row r="18" spans="1:15" s="2" customFormat="1" x14ac:dyDescent="0.2">
      <c r="A18" s="70">
        <v>60510</v>
      </c>
      <c r="B18" s="30" t="s">
        <v>269</v>
      </c>
      <c r="C18" s="30" t="s">
        <v>311</v>
      </c>
      <c r="D18" s="34"/>
      <c r="E18" s="34" t="s">
        <v>58</v>
      </c>
      <c r="F18" s="123">
        <v>40000</v>
      </c>
      <c r="G18" s="123"/>
      <c r="H18" s="90"/>
      <c r="I18" s="100"/>
      <c r="J18" s="100"/>
      <c r="K18" s="100"/>
      <c r="L18" s="100"/>
      <c r="M18" s="100"/>
      <c r="N18" s="100"/>
      <c r="O18" s="100"/>
    </row>
    <row r="19" spans="1:15" s="2" customFormat="1" x14ac:dyDescent="0.2">
      <c r="A19" s="70">
        <v>60510</v>
      </c>
      <c r="B19" s="30" t="s">
        <v>312</v>
      </c>
      <c r="C19" s="30" t="s">
        <v>272</v>
      </c>
      <c r="D19" s="34"/>
      <c r="E19" s="34" t="s">
        <v>59</v>
      </c>
      <c r="F19" s="123">
        <v>20000</v>
      </c>
      <c r="G19" s="123"/>
      <c r="H19" s="90"/>
      <c r="I19" s="100"/>
      <c r="J19" s="100"/>
      <c r="K19" s="100"/>
      <c r="L19" s="100"/>
      <c r="M19" s="100"/>
      <c r="N19" s="100"/>
      <c r="O19" s="100"/>
    </row>
    <row r="20" spans="1:15" s="2" customFormat="1" x14ac:dyDescent="0.2">
      <c r="A20" s="70">
        <v>60510</v>
      </c>
      <c r="B20" s="30" t="s">
        <v>313</v>
      </c>
      <c r="C20" s="30" t="s">
        <v>273</v>
      </c>
      <c r="D20" s="34"/>
      <c r="E20" s="34" t="s">
        <v>59</v>
      </c>
      <c r="F20" s="123">
        <v>10000</v>
      </c>
      <c r="G20" s="123"/>
      <c r="H20" s="90"/>
      <c r="I20" s="100"/>
      <c r="J20" s="100"/>
      <c r="K20" s="100"/>
      <c r="L20" s="100"/>
      <c r="M20" s="100"/>
      <c r="N20" s="100"/>
      <c r="O20" s="100"/>
    </row>
    <row r="21" spans="1:15" s="2" customFormat="1" x14ac:dyDescent="0.2">
      <c r="A21" s="70">
        <v>60510</v>
      </c>
      <c r="B21" s="30" t="s">
        <v>314</v>
      </c>
      <c r="C21" s="30" t="s">
        <v>273</v>
      </c>
      <c r="D21" s="34"/>
      <c r="E21" s="34" t="s">
        <v>59</v>
      </c>
      <c r="F21" s="123">
        <v>10000</v>
      </c>
      <c r="G21" s="123"/>
      <c r="H21" s="90"/>
      <c r="I21" s="100"/>
      <c r="J21" s="100"/>
      <c r="K21" s="100"/>
      <c r="L21" s="100"/>
      <c r="M21" s="100"/>
      <c r="N21" s="100"/>
      <c r="O21" s="100"/>
    </row>
    <row r="22" spans="1:15" s="2" customFormat="1" x14ac:dyDescent="0.2">
      <c r="A22" s="70">
        <v>60510</v>
      </c>
      <c r="B22" s="30" t="s">
        <v>315</v>
      </c>
      <c r="C22" s="30" t="s">
        <v>72</v>
      </c>
      <c r="D22" s="34"/>
      <c r="E22" s="34" t="s">
        <v>59</v>
      </c>
      <c r="F22" s="123">
        <v>5000</v>
      </c>
      <c r="G22" s="123"/>
      <c r="H22" s="90"/>
      <c r="I22" s="100"/>
      <c r="J22" s="100"/>
      <c r="K22" s="100"/>
      <c r="L22" s="100"/>
      <c r="M22" s="100"/>
      <c r="N22" s="100"/>
      <c r="O22" s="100"/>
    </row>
    <row r="23" spans="1:15" s="2" customFormat="1" ht="13.5" thickBot="1" x14ac:dyDescent="0.25">
      <c r="A23" s="100"/>
      <c r="B23" s="32" t="s">
        <v>230</v>
      </c>
      <c r="C23" s="33"/>
      <c r="D23" s="35"/>
      <c r="E23" s="35"/>
      <c r="F23" s="122">
        <f>SUM(F3:F22)</f>
        <v>1216800</v>
      </c>
      <c r="G23" s="200"/>
      <c r="H23" s="90"/>
      <c r="I23" s="100"/>
      <c r="J23" s="100"/>
      <c r="K23" s="100"/>
      <c r="L23" s="100"/>
      <c r="M23" s="100"/>
      <c r="N23" s="100"/>
      <c r="O23" s="100"/>
    </row>
    <row r="24" spans="1:15" x14ac:dyDescent="0.2">
      <c r="H24" s="106"/>
      <c r="I24" s="107"/>
      <c r="J24" s="107"/>
      <c r="K24" s="107"/>
      <c r="L24" s="107"/>
      <c r="M24" s="107"/>
      <c r="N24" s="107"/>
      <c r="O24" s="107"/>
    </row>
    <row r="26" spans="1:15" x14ac:dyDescent="0.2">
      <c r="A26" s="3" t="s">
        <v>294</v>
      </c>
    </row>
  </sheetData>
  <customSheetViews>
    <customSheetView guid="{7F5D1218-4D93-4B14-B25A-0C03ABC4F8A6}" showPageBreaks="1" fitToPage="1" printArea="1">
      <selection activeCell="H43" sqref="H43"/>
      <pageMargins left="0.70866141732283472" right="0.70866141732283472" top="1.5354330708661419" bottom="0.94488188976377963" header="0.31496062992125984" footer="0.70866141732283472"/>
      <pageSetup paperSize="8" orientation="portrait" r:id="rId1"/>
      <headerFooter>
        <oddFooter>&amp;L&amp;F &amp;A&amp;C&amp;P&amp;R&amp;D</oddFooter>
      </headerFooter>
    </customSheetView>
  </customSheetViews>
  <mergeCells count="2">
    <mergeCell ref="I1:L1"/>
    <mergeCell ref="N1:O1"/>
  </mergeCells>
  <pageMargins left="0.59055118110236227" right="0.39370078740157483" top="1.5748031496062993" bottom="0.98425196850393704" header="0.31496062992125984" footer="0.70866141732283472"/>
  <pageSetup paperSize="9" orientation="landscape" r:id="rId2"/>
  <headerFooter>
    <oddFooter>&amp;L&amp;F &amp;A&amp;C&amp;P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6</vt:i4>
      </vt:variant>
    </vt:vector>
  </HeadingPairs>
  <TitlesOfParts>
    <vt:vector size="10" baseType="lpstr">
      <vt:lpstr>Totaal</vt:lpstr>
      <vt:lpstr>Gem Bezit</vt:lpstr>
      <vt:lpstr>PO en VO</vt:lpstr>
      <vt:lpstr>kunst</vt:lpstr>
      <vt:lpstr>'Gem Bezit'!Afdrukbereik</vt:lpstr>
      <vt:lpstr>kunst!Afdrukbereik</vt:lpstr>
      <vt:lpstr>'PO en VO'!Afdrukbereik</vt:lpstr>
      <vt:lpstr>Totaal!Afdrukbereik</vt:lpstr>
      <vt:lpstr>'Gem Bezit'!Afdruktitels</vt:lpstr>
      <vt:lpstr>'PO en VO'!Afdruktitels</vt:lpstr>
    </vt:vector>
  </TitlesOfParts>
  <Company>PixxelMedia V.O.F.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Ramkisoen</dc:creator>
  <cp:lastModifiedBy>Siebe van Aalderen</cp:lastModifiedBy>
  <cp:lastPrinted>2021-10-20T09:04:48Z</cp:lastPrinted>
  <dcterms:created xsi:type="dcterms:W3CDTF">2007-10-05T06:33:25Z</dcterms:created>
  <dcterms:modified xsi:type="dcterms:W3CDTF">2021-10-21T07:25:53Z</dcterms:modified>
</cp:coreProperties>
</file>