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J:\Control\Europese Aanbesteding\calculatiebladen gewijzigd na vragenronde\"/>
    </mc:Choice>
  </mc:AlternateContent>
  <xr:revisionPtr revIDLastSave="0" documentId="13_ncr:1_{2D29E91F-7856-4697-B68D-FDE32982C939}" xr6:coauthVersionLast="46" xr6:coauthVersionMax="46" xr10:uidLastSave="{00000000-0000-0000-0000-000000000000}"/>
  <workbookProtection workbookAlgorithmName="SHA-512" workbookHashValue="faOXaEZyvaFeFuayfZs8B+rVqHKb07+iIwWRLxLVUURDG4yS07ST5ZynEP8DL0IxaoWQyVEpo9runOXVZJQtHA==" workbookSaltValue="T3NBf1hJBNpB9Z90uwRUWQ==" workbookSpinCount="100000" lockStructure="1"/>
  <bookViews>
    <workbookView xWindow="28680" yWindow="195" windowWidth="25440" windowHeight="15390" activeTab="5" xr2:uid="{00000000-000D-0000-FFFF-FFFF00000000}"/>
  </bookViews>
  <sheets>
    <sheet name="Perceel 24" sheetId="10" r:id="rId1"/>
    <sheet name="Perceel 3" sheetId="1" r:id="rId2"/>
    <sheet name="Perceel 6" sheetId="4" r:id="rId3"/>
    <sheet name="Perceel 9" sheetId="5" r:id="rId4"/>
    <sheet name="Perceel 12" sheetId="6" r:id="rId5"/>
    <sheet name="Perceel 15" sheetId="7" r:id="rId6"/>
    <sheet name="Perceel 18" sheetId="8" r:id="rId7"/>
    <sheet name="Perceel 21" sheetId="9" r:id="rId8"/>
    <sheet name="Blad2" sheetId="3" state="hidden" r:id="rId9"/>
  </sheets>
  <definedNames>
    <definedName name="_xlnm.Print_Area" localSheetId="4">'Perceel 12'!$B$2:$W$99,'Perceel 12'!$X$2:$AN$56</definedName>
    <definedName name="_xlnm.Print_Area" localSheetId="5">'Perceel 15'!$B$2:$W$90,'Perceel 15'!$X$2:$AN$47</definedName>
    <definedName name="_xlnm.Print_Area" localSheetId="6">'Perceel 18'!$B$2:$W$88,'Perceel 18'!$X$2:$AN$45</definedName>
    <definedName name="_xlnm.Print_Area" localSheetId="7">'Perceel 21'!$B$2:$W$99,'Perceel 21'!$X$2:$AN$55</definedName>
    <definedName name="_xlnm.Print_Area" localSheetId="1">'Perceel 3'!$B$2:$W$101,'Perceel 3'!$X$2:$AN$56</definedName>
    <definedName name="_xlnm.Print_Area" localSheetId="2">'Perceel 6'!$B$2:$W$99,'Perceel 6'!$X$2:$AN$56</definedName>
    <definedName name="_xlnm.Print_Area" localSheetId="3">'Perceel 9'!$B$2:$W$91,'Perceel 9'!$X$2:$AN$48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4" i="1" l="1"/>
  <c r="W33" i="1"/>
  <c r="W32" i="1"/>
  <c r="W31" i="1"/>
  <c r="W30" i="1"/>
  <c r="W29" i="1"/>
  <c r="W34" i="4"/>
  <c r="W33" i="4"/>
  <c r="W32" i="4"/>
  <c r="W31" i="4"/>
  <c r="W30" i="4"/>
  <c r="W29" i="4"/>
  <c r="W34" i="6"/>
  <c r="W33" i="6"/>
  <c r="W32" i="6"/>
  <c r="W31" i="6"/>
  <c r="W30" i="6"/>
  <c r="W29" i="6"/>
  <c r="W33" i="9"/>
  <c r="AD44" i="1"/>
  <c r="D83" i="4"/>
  <c r="E83" i="6" l="1"/>
  <c r="D83" i="6" s="1"/>
  <c r="K83" i="6" s="1"/>
  <c r="E81" i="4" l="1"/>
  <c r="K81" i="4" l="1"/>
  <c r="F33" i="9" l="1"/>
  <c r="F32" i="9"/>
  <c r="F31" i="9"/>
  <c r="F30" i="9"/>
  <c r="F29" i="9"/>
  <c r="F28" i="9"/>
  <c r="F27" i="9"/>
  <c r="F24" i="9"/>
  <c r="F23" i="9"/>
  <c r="F20" i="9"/>
  <c r="AJ44" i="1"/>
  <c r="K86" i="9" l="1"/>
  <c r="K85" i="9"/>
  <c r="K84" i="9"/>
  <c r="K83" i="9"/>
  <c r="E50" i="9"/>
  <c r="K93" i="9"/>
  <c r="E46" i="9"/>
  <c r="E49" i="9" s="1"/>
  <c r="AJ39" i="9" s="1"/>
  <c r="AK39" i="9" s="1"/>
  <c r="D64" i="9"/>
  <c r="AJ46" i="9"/>
  <c r="AK46" i="9" s="1"/>
  <c r="AD46" i="9"/>
  <c r="AE46" i="9" s="1"/>
  <c r="AL46" i="9" s="1"/>
  <c r="Z46" i="9"/>
  <c r="D46" i="9"/>
  <c r="AD43" i="9"/>
  <c r="AE43" i="9" s="1"/>
  <c r="AE40" i="9"/>
  <c r="AD40" i="9"/>
  <c r="Z40" i="9"/>
  <c r="AD39" i="9"/>
  <c r="AE39" i="9" s="1"/>
  <c r="Z39" i="9"/>
  <c r="AJ38" i="9"/>
  <c r="AK38" i="9" s="1"/>
  <c r="AD38" i="9"/>
  <c r="AE38" i="9" s="1"/>
  <c r="Z38" i="9"/>
  <c r="AJ37" i="9"/>
  <c r="AK37" i="9" s="1"/>
  <c r="AD37" i="9"/>
  <c r="AE37" i="9" s="1"/>
  <c r="AL37" i="9" s="1"/>
  <c r="Z37" i="9"/>
  <c r="Z35" i="9"/>
  <c r="AI33" i="9"/>
  <c r="AG33" i="9"/>
  <c r="AC33" i="9"/>
  <c r="AA33" i="9"/>
  <c r="AB33" i="9" s="1"/>
  <c r="AD33" i="9"/>
  <c r="T33" i="9"/>
  <c r="AH33" i="9" s="1"/>
  <c r="Q33" i="9"/>
  <c r="E33" i="9"/>
  <c r="T32" i="9"/>
  <c r="Q32" i="9"/>
  <c r="T31" i="9"/>
  <c r="Q31" i="9"/>
  <c r="T30" i="9"/>
  <c r="Q30" i="9"/>
  <c r="D30" i="9"/>
  <c r="T29" i="9"/>
  <c r="Q29" i="9"/>
  <c r="D29" i="9"/>
  <c r="T28" i="9"/>
  <c r="Q28" i="9"/>
  <c r="D28" i="9"/>
  <c r="AA28" i="9" s="1"/>
  <c r="AB28" i="9" s="1"/>
  <c r="T27" i="9"/>
  <c r="Q27" i="9"/>
  <c r="D27" i="9"/>
  <c r="AA27" i="9" s="1"/>
  <c r="AB27" i="9" s="1"/>
  <c r="T24" i="9"/>
  <c r="Q24" i="9"/>
  <c r="D24" i="9"/>
  <c r="AJ24" i="9" s="1"/>
  <c r="T23" i="9"/>
  <c r="Q23" i="9"/>
  <c r="D23" i="9"/>
  <c r="T20" i="9"/>
  <c r="Q20" i="9"/>
  <c r="E15" i="9"/>
  <c r="AL14" i="9"/>
  <c r="AL13" i="9"/>
  <c r="Z12" i="9"/>
  <c r="E11" i="9"/>
  <c r="E10" i="9"/>
  <c r="E9" i="9"/>
  <c r="E4" i="9"/>
  <c r="AA30" i="9" l="1"/>
  <c r="AB30" i="9" s="1"/>
  <c r="W30" i="9"/>
  <c r="AA29" i="9"/>
  <c r="AB29" i="9" s="1"/>
  <c r="W29" i="9"/>
  <c r="AH23" i="9"/>
  <c r="AL38" i="9"/>
  <c r="AG27" i="9"/>
  <c r="AG28" i="9"/>
  <c r="AG29" i="9"/>
  <c r="AJ33" i="9"/>
  <c r="AK33" i="9" s="1"/>
  <c r="AC23" i="9"/>
  <c r="AG30" i="9"/>
  <c r="AI23" i="9"/>
  <c r="AJ40" i="9"/>
  <c r="AK40" i="9" s="1"/>
  <c r="AL40" i="9" s="1"/>
  <c r="AJ43" i="9"/>
  <c r="AK43" i="9" s="1"/>
  <c r="AL43" i="9" s="1"/>
  <c r="K80" i="9"/>
  <c r="AL39" i="9"/>
  <c r="AE33" i="9"/>
  <c r="AG24" i="9"/>
  <c r="AJ23" i="9"/>
  <c r="E24" i="9"/>
  <c r="AH24" i="9"/>
  <c r="AC27" i="9"/>
  <c r="AH27" i="9"/>
  <c r="AC28" i="9"/>
  <c r="AH28" i="9"/>
  <c r="AC29" i="9"/>
  <c r="AH29" i="9"/>
  <c r="AC30" i="9"/>
  <c r="AH30" i="9"/>
  <c r="K92" i="9"/>
  <c r="K94" i="9"/>
  <c r="AA24" i="9"/>
  <c r="AB24" i="9" s="1"/>
  <c r="AA23" i="9"/>
  <c r="AB23" i="9" s="1"/>
  <c r="AI27" i="9"/>
  <c r="W28" i="9"/>
  <c r="AI29" i="9"/>
  <c r="AI30" i="9"/>
  <c r="D31" i="9"/>
  <c r="W31" i="9" s="1"/>
  <c r="D32" i="9"/>
  <c r="W32" i="9" s="1"/>
  <c r="AG23" i="9"/>
  <c r="AC24" i="9"/>
  <c r="AI24" i="9"/>
  <c r="W27" i="9"/>
  <c r="AI28" i="9"/>
  <c r="E23" i="9"/>
  <c r="E27" i="9"/>
  <c r="E28" i="9"/>
  <c r="E29" i="9"/>
  <c r="E30" i="9"/>
  <c r="K91" i="9"/>
  <c r="AE23" i="9" l="1"/>
  <c r="AL33" i="9"/>
  <c r="D20" i="9"/>
  <c r="AG20" i="9" s="1"/>
  <c r="AJ30" i="9"/>
  <c r="AK30" i="9" s="1"/>
  <c r="AD30" i="9"/>
  <c r="AE30" i="9" s="1"/>
  <c r="AJ27" i="9"/>
  <c r="AK27" i="9" s="1"/>
  <c r="AD27" i="9"/>
  <c r="AK24" i="9"/>
  <c r="AA32" i="9"/>
  <c r="AB32" i="9" s="1"/>
  <c r="E32" i="9"/>
  <c r="AI32" i="9"/>
  <c r="AH32" i="9"/>
  <c r="AC32" i="9"/>
  <c r="AG32" i="9"/>
  <c r="K95" i="9"/>
  <c r="AL51" i="9" s="1"/>
  <c r="AA31" i="9"/>
  <c r="AB31" i="9" s="1"/>
  <c r="E31" i="9"/>
  <c r="AI31" i="9"/>
  <c r="AH31" i="9"/>
  <c r="AC31" i="9"/>
  <c r="AG31" i="9"/>
  <c r="AJ29" i="9"/>
  <c r="AK29" i="9" s="1"/>
  <c r="AD29" i="9"/>
  <c r="AE29" i="9" s="1"/>
  <c r="AE24" i="9"/>
  <c r="AJ28" i="9"/>
  <c r="AK28" i="9" s="1"/>
  <c r="AD28" i="9"/>
  <c r="AE28" i="9" s="1"/>
  <c r="AK23" i="9"/>
  <c r="AL23" i="9" s="1"/>
  <c r="E20" i="9" l="1"/>
  <c r="AC20" i="9"/>
  <c r="AA20" i="9"/>
  <c r="AB20" i="9" s="1"/>
  <c r="AI20" i="9"/>
  <c r="AI53" i="9" s="1"/>
  <c r="E82" i="9"/>
  <c r="D82" i="9" s="1"/>
  <c r="K82" i="9" s="1"/>
  <c r="E81" i="9"/>
  <c r="D81" i="9" s="1"/>
  <c r="K81" i="9" s="1"/>
  <c r="AH20" i="9"/>
  <c r="AH53" i="9" s="1"/>
  <c r="AC53" i="9"/>
  <c r="AL29" i="9"/>
  <c r="AL28" i="9"/>
  <c r="AL30" i="9"/>
  <c r="AJ31" i="9"/>
  <c r="AD31" i="9"/>
  <c r="AE31" i="9" s="1"/>
  <c r="AG53" i="9"/>
  <c r="AL24" i="9"/>
  <c r="AK20" i="9"/>
  <c r="AJ32" i="9"/>
  <c r="AK32" i="9" s="1"/>
  <c r="AD32" i="9"/>
  <c r="AA53" i="9"/>
  <c r="AE27" i="9"/>
  <c r="AL27" i="9" s="1"/>
  <c r="K97" i="9" l="1"/>
  <c r="K87" i="9"/>
  <c r="AL50" i="9" s="1"/>
  <c r="AD53" i="9"/>
  <c r="AJ53" i="9"/>
  <c r="AK53" i="9" s="1"/>
  <c r="AE32" i="9"/>
  <c r="AL32" i="9" s="1"/>
  <c r="AK31" i="9"/>
  <c r="AL31" i="9" s="1"/>
  <c r="AB53" i="9"/>
  <c r="AE20" i="9"/>
  <c r="AL20" i="9" s="1"/>
  <c r="AE53" i="9" l="1"/>
  <c r="AL53" i="9"/>
  <c r="C15" i="10" s="1"/>
  <c r="K73" i="8"/>
  <c r="K72" i="8"/>
  <c r="D75" i="8"/>
  <c r="K75" i="8" s="1"/>
  <c r="K82" i="8"/>
  <c r="E36" i="8"/>
  <c r="E40" i="8" s="1"/>
  <c r="D54" i="8"/>
  <c r="E39" i="8"/>
  <c r="AJ36" i="8"/>
  <c r="AK36" i="8" s="1"/>
  <c r="Z36" i="8"/>
  <c r="D36" i="8"/>
  <c r="D42" i="8" s="1"/>
  <c r="AD30" i="8"/>
  <c r="AE30" i="8" s="1"/>
  <c r="Z30" i="8"/>
  <c r="AJ29" i="8"/>
  <c r="AK29" i="8" s="1"/>
  <c r="AD29" i="8"/>
  <c r="AE29" i="8" s="1"/>
  <c r="Z29" i="8"/>
  <c r="AJ28" i="8"/>
  <c r="AK28" i="8" s="1"/>
  <c r="AE28" i="8"/>
  <c r="AD28" i="8"/>
  <c r="Z28" i="8"/>
  <c r="AJ27" i="8"/>
  <c r="AK27" i="8" s="1"/>
  <c r="AE27" i="8"/>
  <c r="AD27" i="8"/>
  <c r="Z27" i="8"/>
  <c r="Z25" i="8"/>
  <c r="T23" i="8"/>
  <c r="Q23" i="8"/>
  <c r="D23" i="8"/>
  <c r="AI23" i="8" s="1"/>
  <c r="T20" i="8"/>
  <c r="Q20" i="8"/>
  <c r="AL14" i="8"/>
  <c r="AL13" i="8"/>
  <c r="Z12" i="8"/>
  <c r="D10" i="8"/>
  <c r="E23" i="8" s="1"/>
  <c r="E4" i="8"/>
  <c r="AM53" i="9" l="1"/>
  <c r="AL29" i="8"/>
  <c r="AL28" i="8"/>
  <c r="AA23" i="8"/>
  <c r="AB23" i="8" s="1"/>
  <c r="AL27" i="8"/>
  <c r="D71" i="8"/>
  <c r="K71" i="8" s="1"/>
  <c r="D44" i="8"/>
  <c r="AD36" i="8" s="1"/>
  <c r="AE36" i="8" s="1"/>
  <c r="AL36" i="8" s="1"/>
  <c r="AD33" i="8"/>
  <c r="AE33" i="8" s="1"/>
  <c r="AJ33" i="8"/>
  <c r="AK33" i="8" s="1"/>
  <c r="AJ30" i="8"/>
  <c r="AK30" i="8" s="1"/>
  <c r="AL30" i="8" s="1"/>
  <c r="AG23" i="8"/>
  <c r="D74" i="8"/>
  <c r="K74" i="8" s="1"/>
  <c r="K81" i="8"/>
  <c r="K83" i="8"/>
  <c r="D20" i="8"/>
  <c r="AC23" i="8"/>
  <c r="AH23" i="8"/>
  <c r="K70" i="8"/>
  <c r="W23" i="8"/>
  <c r="K80" i="8"/>
  <c r="K83" i="7"/>
  <c r="K76" i="7"/>
  <c r="K75" i="7"/>
  <c r="K74" i="7"/>
  <c r="D77" i="7"/>
  <c r="K77" i="7" s="1"/>
  <c r="K84" i="7"/>
  <c r="E38" i="7"/>
  <c r="D56" i="7"/>
  <c r="D44" i="7"/>
  <c r="D46" i="7" s="1"/>
  <c r="AD38" i="7" s="1"/>
  <c r="AE38" i="7" s="1"/>
  <c r="AJ38" i="7"/>
  <c r="AK38" i="7" s="1"/>
  <c r="Z38" i="7"/>
  <c r="D38" i="7"/>
  <c r="AJ35" i="7"/>
  <c r="AK35" i="7" s="1"/>
  <c r="AJ32" i="7"/>
  <c r="AK32" i="7" s="1"/>
  <c r="AD32" i="7"/>
  <c r="AE32" i="7" s="1"/>
  <c r="Z32" i="7"/>
  <c r="AJ31" i="7"/>
  <c r="AK31" i="7" s="1"/>
  <c r="AE31" i="7"/>
  <c r="AL31" i="7" s="1"/>
  <c r="AD31" i="7"/>
  <c r="Z31" i="7"/>
  <c r="AJ30" i="7"/>
  <c r="AK30" i="7" s="1"/>
  <c r="AD30" i="7"/>
  <c r="AE30" i="7" s="1"/>
  <c r="Z30" i="7"/>
  <c r="AJ29" i="7"/>
  <c r="AK29" i="7" s="1"/>
  <c r="AD29" i="7"/>
  <c r="AE29" i="7" s="1"/>
  <c r="Z29" i="7"/>
  <c r="Z27" i="7"/>
  <c r="T25" i="7"/>
  <c r="Q25" i="7"/>
  <c r="T24" i="7"/>
  <c r="Q24" i="7"/>
  <c r="AC23" i="7"/>
  <c r="T23" i="7"/>
  <c r="AH23" i="7" s="1"/>
  <c r="Q23" i="7"/>
  <c r="D23" i="7"/>
  <c r="AG23" i="7" s="1"/>
  <c r="T20" i="7"/>
  <c r="Q20" i="7"/>
  <c r="AL14" i="7"/>
  <c r="AL13" i="7"/>
  <c r="Z12" i="7"/>
  <c r="D10" i="7"/>
  <c r="E4" i="7"/>
  <c r="AL30" i="7" l="1"/>
  <c r="AL32" i="7"/>
  <c r="K85" i="7"/>
  <c r="AL29" i="7"/>
  <c r="AL33" i="8"/>
  <c r="K84" i="8"/>
  <c r="AL41" i="8" s="1"/>
  <c r="AH20" i="8"/>
  <c r="E20" i="8"/>
  <c r="AC20" i="8"/>
  <c r="AC43" i="8" s="1"/>
  <c r="AG20" i="8"/>
  <c r="AG43" i="8" s="1"/>
  <c r="AA20" i="8"/>
  <c r="AI20" i="8"/>
  <c r="AI43" i="8" s="1"/>
  <c r="AD23" i="8"/>
  <c r="AD43" i="8" s="1"/>
  <c r="AJ23" i="8"/>
  <c r="AJ43" i="8" s="1"/>
  <c r="K86" i="8"/>
  <c r="K76" i="8"/>
  <c r="AL40" i="8" s="1"/>
  <c r="AL38" i="7"/>
  <c r="D24" i="7"/>
  <c r="E23" i="7"/>
  <c r="AA23" i="7"/>
  <c r="AB23" i="7" s="1"/>
  <c r="AD35" i="7"/>
  <c r="AE35" i="7" s="1"/>
  <c r="AL35" i="7" s="1"/>
  <c r="K72" i="7"/>
  <c r="W23" i="7"/>
  <c r="AI23" i="7"/>
  <c r="K82" i="7"/>
  <c r="K87" i="6"/>
  <c r="D86" i="6"/>
  <c r="K86" i="6" s="1"/>
  <c r="K93" i="6"/>
  <c r="D65" i="6"/>
  <c r="E50" i="6"/>
  <c r="AJ40" i="6" s="1"/>
  <c r="AK40" i="6" s="1"/>
  <c r="E48" i="6"/>
  <c r="AJ38" i="6" s="1"/>
  <c r="AK38" i="6" s="1"/>
  <c r="AJ47" i="6"/>
  <c r="AK47" i="6" s="1"/>
  <c r="AD47" i="6"/>
  <c r="AE47" i="6" s="1"/>
  <c r="Z47" i="6"/>
  <c r="E47" i="6"/>
  <c r="AJ44" i="6"/>
  <c r="AK44" i="6" s="1"/>
  <c r="AD44" i="6"/>
  <c r="AE44" i="6" s="1"/>
  <c r="AJ41" i="6"/>
  <c r="AK41" i="6" s="1"/>
  <c r="AE41" i="6"/>
  <c r="AD41" i="6"/>
  <c r="Z41" i="6"/>
  <c r="AD40" i="6"/>
  <c r="AE40" i="6" s="1"/>
  <c r="Z40" i="6"/>
  <c r="AJ39" i="6"/>
  <c r="AK39" i="6" s="1"/>
  <c r="AD39" i="6"/>
  <c r="AE39" i="6" s="1"/>
  <c r="Z39" i="6"/>
  <c r="AD38" i="6"/>
  <c r="AE38" i="6" s="1"/>
  <c r="Z38" i="6"/>
  <c r="Z36" i="6"/>
  <c r="T34" i="6"/>
  <c r="Q34" i="6"/>
  <c r="AI33" i="6"/>
  <c r="AG33" i="6"/>
  <c r="AC33" i="6"/>
  <c r="AA33" i="6"/>
  <c r="AB33" i="6" s="1"/>
  <c r="AD33" i="6"/>
  <c r="T33" i="6"/>
  <c r="AH33" i="6" s="1"/>
  <c r="Q33" i="6"/>
  <c r="E33" i="6"/>
  <c r="T32" i="6"/>
  <c r="Q32" i="6"/>
  <c r="T31" i="6"/>
  <c r="Q31" i="6"/>
  <c r="T30" i="6"/>
  <c r="Q30" i="6"/>
  <c r="D30" i="6"/>
  <c r="AH30" i="6" s="1"/>
  <c r="T29" i="6"/>
  <c r="Q29" i="6"/>
  <c r="D29" i="6"/>
  <c r="T28" i="6"/>
  <c r="Q28" i="6"/>
  <c r="D28" i="6"/>
  <c r="T27" i="6"/>
  <c r="Q27" i="6"/>
  <c r="D27" i="6"/>
  <c r="T24" i="6"/>
  <c r="Q24" i="6"/>
  <c r="D24" i="6"/>
  <c r="AG24" i="6" s="1"/>
  <c r="T23" i="6"/>
  <c r="Q23" i="6"/>
  <c r="D23" i="6"/>
  <c r="AJ23" i="6" s="1"/>
  <c r="T20" i="6"/>
  <c r="Q20" i="6"/>
  <c r="E15" i="6"/>
  <c r="AL14" i="6"/>
  <c r="AL13" i="6"/>
  <c r="Z12" i="6"/>
  <c r="E11" i="6"/>
  <c r="E10" i="6"/>
  <c r="E9" i="6"/>
  <c r="E4" i="6"/>
  <c r="AH29" i="6" l="1"/>
  <c r="K86" i="7"/>
  <c r="AL43" i="7" s="1"/>
  <c r="AL39" i="6"/>
  <c r="AL41" i="6"/>
  <c r="AH28" i="6"/>
  <c r="AH27" i="6"/>
  <c r="AE33" i="6"/>
  <c r="AJ33" i="6"/>
  <c r="AK33" i="6" s="1"/>
  <c r="AL44" i="6"/>
  <c r="AL40" i="6"/>
  <c r="AK23" i="8"/>
  <c r="AB20" i="8"/>
  <c r="AA43" i="8"/>
  <c r="AK20" i="8"/>
  <c r="AH43" i="8"/>
  <c r="AK43" i="8" s="1"/>
  <c r="AE23" i="8"/>
  <c r="AJ23" i="7"/>
  <c r="AD23" i="7"/>
  <c r="AE23" i="7" s="1"/>
  <c r="AG24" i="7"/>
  <c r="AI24" i="7"/>
  <c r="W24" i="7"/>
  <c r="AH24" i="7"/>
  <c r="AC24" i="7"/>
  <c r="AA24" i="7"/>
  <c r="AB24" i="7" s="1"/>
  <c r="E24" i="7"/>
  <c r="D25" i="7"/>
  <c r="D20" i="7" s="1"/>
  <c r="AC24" i="6"/>
  <c r="E24" i="6"/>
  <c r="AH24" i="6"/>
  <c r="AI24" i="6"/>
  <c r="AL38" i="6"/>
  <c r="AL47" i="6"/>
  <c r="AA23" i="6"/>
  <c r="AB23" i="6" s="1"/>
  <c r="W27" i="6"/>
  <c r="AI27" i="6"/>
  <c r="W28" i="6"/>
  <c r="AI28" i="6"/>
  <c r="AI29" i="6"/>
  <c r="D31" i="6"/>
  <c r="D32" i="6"/>
  <c r="E23" i="6"/>
  <c r="AH23" i="6"/>
  <c r="AJ24" i="6"/>
  <c r="E27" i="6"/>
  <c r="AA27" i="6"/>
  <c r="AB27" i="6" s="1"/>
  <c r="E28" i="6"/>
  <c r="AA28" i="6"/>
  <c r="AB28" i="6" s="1"/>
  <c r="E29" i="6"/>
  <c r="AA29" i="6"/>
  <c r="AB29" i="6" s="1"/>
  <c r="E30" i="6"/>
  <c r="AA30" i="6"/>
  <c r="AB30" i="6" s="1"/>
  <c r="D85" i="6"/>
  <c r="K85" i="6" s="1"/>
  <c r="K92" i="6"/>
  <c r="K94" i="6"/>
  <c r="AG23" i="6"/>
  <c r="AI30" i="6"/>
  <c r="AC23" i="6"/>
  <c r="AI23" i="6"/>
  <c r="AA24" i="6"/>
  <c r="AB24" i="6" s="1"/>
  <c r="AG27" i="6"/>
  <c r="AG28" i="6"/>
  <c r="AG29" i="6"/>
  <c r="AG30" i="6"/>
  <c r="AC27" i="6"/>
  <c r="AC28" i="6"/>
  <c r="AC29" i="6"/>
  <c r="AC30" i="6"/>
  <c r="K81" i="6"/>
  <c r="D84" i="6"/>
  <c r="K84" i="6" s="1"/>
  <c r="AL33" i="6" l="1"/>
  <c r="AL23" i="8"/>
  <c r="AB43" i="8"/>
  <c r="AE43" i="8" s="1"/>
  <c r="AE20" i="8"/>
  <c r="AL20" i="8" s="1"/>
  <c r="AJ24" i="7"/>
  <c r="AD24" i="7"/>
  <c r="AE24" i="7" s="1"/>
  <c r="AH20" i="7"/>
  <c r="E20" i="7"/>
  <c r="AG20" i="7"/>
  <c r="AA20" i="7"/>
  <c r="AI20" i="7"/>
  <c r="AI45" i="7" s="1"/>
  <c r="AC20" i="7"/>
  <c r="AG25" i="7"/>
  <c r="AI25" i="7"/>
  <c r="W25" i="7"/>
  <c r="AH25" i="7"/>
  <c r="AC25" i="7"/>
  <c r="AA25" i="7"/>
  <c r="AB25" i="7" s="1"/>
  <c r="E25" i="7"/>
  <c r="AK23" i="7"/>
  <c r="AL23" i="7" s="1"/>
  <c r="AE24" i="6"/>
  <c r="AE23" i="6"/>
  <c r="AK24" i="6"/>
  <c r="AK23" i="6"/>
  <c r="AD30" i="6"/>
  <c r="AE30" i="6" s="1"/>
  <c r="AJ30" i="6"/>
  <c r="AK30" i="6" s="1"/>
  <c r="AJ28" i="6"/>
  <c r="AK28" i="6" s="1"/>
  <c r="AD28" i="6"/>
  <c r="AE28" i="6" s="1"/>
  <c r="AL28" i="6" s="1"/>
  <c r="K95" i="6"/>
  <c r="AL52" i="6" s="1"/>
  <c r="D34" i="6"/>
  <c r="AH31" i="6"/>
  <c r="AC31" i="6"/>
  <c r="AG31" i="6"/>
  <c r="AI31" i="6"/>
  <c r="AA31" i="6"/>
  <c r="AB31" i="6" s="1"/>
  <c r="E31" i="6"/>
  <c r="D20" i="6"/>
  <c r="AH32" i="6"/>
  <c r="AC32" i="6"/>
  <c r="AG32" i="6"/>
  <c r="AA32" i="6"/>
  <c r="AB32" i="6" s="1"/>
  <c r="E32" i="6"/>
  <c r="AI32" i="6"/>
  <c r="AJ29" i="6"/>
  <c r="AK29" i="6" s="1"/>
  <c r="AD29" i="6"/>
  <c r="AE29" i="6" s="1"/>
  <c r="AJ27" i="6"/>
  <c r="AK27" i="6" s="1"/>
  <c r="AD27" i="6"/>
  <c r="AE27" i="6" s="1"/>
  <c r="AL43" i="8" l="1"/>
  <c r="C14" i="10" s="1"/>
  <c r="AD25" i="7"/>
  <c r="AE25" i="7" s="1"/>
  <c r="AJ25" i="7"/>
  <c r="AK25" i="7" s="1"/>
  <c r="AB20" i="7"/>
  <c r="AA45" i="7"/>
  <c r="AK20" i="7"/>
  <c r="AH45" i="7"/>
  <c r="AG45" i="7"/>
  <c r="AK24" i="7"/>
  <c r="AL24" i="7" s="1"/>
  <c r="AC45" i="7"/>
  <c r="K73" i="7"/>
  <c r="AL23" i="6"/>
  <c r="AL24" i="6"/>
  <c r="AL29" i="6"/>
  <c r="AL27" i="6"/>
  <c r="AL30" i="6"/>
  <c r="AJ31" i="6"/>
  <c r="AK31" i="6" s="1"/>
  <c r="AD31" i="6"/>
  <c r="AE31" i="6" s="1"/>
  <c r="AJ32" i="6"/>
  <c r="AK32" i="6" s="1"/>
  <c r="AD32" i="6"/>
  <c r="AE32" i="6" s="1"/>
  <c r="AG20" i="6"/>
  <c r="AA20" i="6"/>
  <c r="D82" i="6"/>
  <c r="K82" i="6" s="1"/>
  <c r="AI20" i="6"/>
  <c r="AC20" i="6"/>
  <c r="AH20" i="6"/>
  <c r="E20" i="6"/>
  <c r="AI34" i="6"/>
  <c r="AH34" i="6"/>
  <c r="AC34" i="6"/>
  <c r="AG34" i="6"/>
  <c r="AA34" i="6"/>
  <c r="AB34" i="6" s="1"/>
  <c r="E34" i="6"/>
  <c r="AM43" i="8" l="1"/>
  <c r="AL32" i="6"/>
  <c r="AL25" i="7"/>
  <c r="AB45" i="7"/>
  <c r="AE20" i="7"/>
  <c r="AL20" i="7" s="1"/>
  <c r="AJ45" i="7"/>
  <c r="K88" i="7"/>
  <c r="K78" i="7"/>
  <c r="AL42" i="7" s="1"/>
  <c r="AD45" i="7"/>
  <c r="AK45" i="7"/>
  <c r="AL31" i="6"/>
  <c r="AI54" i="6"/>
  <c r="AG54" i="6"/>
  <c r="K97" i="6"/>
  <c r="K88" i="6"/>
  <c r="AL51" i="6" s="1"/>
  <c r="AH54" i="6"/>
  <c r="AK20" i="6"/>
  <c r="AD34" i="6"/>
  <c r="AD54" i="6" s="1"/>
  <c r="AJ34" i="6"/>
  <c r="AJ54" i="6" s="1"/>
  <c r="AC54" i="6"/>
  <c r="AA54" i="6"/>
  <c r="AB20" i="6"/>
  <c r="AE45" i="7" l="1"/>
  <c r="AL45" i="7"/>
  <c r="AE20" i="6"/>
  <c r="AL20" i="6" s="1"/>
  <c r="AB54" i="6"/>
  <c r="AE54" i="6" s="1"/>
  <c r="AE34" i="6"/>
  <c r="AK34" i="6"/>
  <c r="AK54" i="6"/>
  <c r="AM45" i="7" l="1"/>
  <c r="C13" i="10"/>
  <c r="AL34" i="6"/>
  <c r="AL54" i="6" s="1"/>
  <c r="C12" i="10" l="1"/>
  <c r="AM54" i="6"/>
  <c r="K78" i="5"/>
  <c r="K77" i="5"/>
  <c r="K75" i="5"/>
  <c r="K74" i="5"/>
  <c r="K85" i="5"/>
  <c r="D73" i="5"/>
  <c r="D57" i="5"/>
  <c r="AJ39" i="5"/>
  <c r="AK39" i="5" s="1"/>
  <c r="AD39" i="5"/>
  <c r="AE39" i="5" s="1"/>
  <c r="Z39" i="5"/>
  <c r="AJ36" i="5"/>
  <c r="AK36" i="5" s="1"/>
  <c r="AD36" i="5"/>
  <c r="AE36" i="5" s="1"/>
  <c r="AJ33" i="5"/>
  <c r="AK33" i="5" s="1"/>
  <c r="AD33" i="5"/>
  <c r="AE33" i="5" s="1"/>
  <c r="Z33" i="5"/>
  <c r="AK32" i="5"/>
  <c r="AJ32" i="5"/>
  <c r="AE32" i="5"/>
  <c r="AD32" i="5"/>
  <c r="Z32" i="5"/>
  <c r="AJ31" i="5"/>
  <c r="AK31" i="5" s="1"/>
  <c r="AD31" i="5"/>
  <c r="AE31" i="5" s="1"/>
  <c r="AL31" i="5" s="1"/>
  <c r="Z31" i="5"/>
  <c r="AK30" i="5"/>
  <c r="AJ30" i="5"/>
  <c r="AE30" i="5"/>
  <c r="AL30" i="5" s="1"/>
  <c r="AD30" i="5"/>
  <c r="Z30" i="5"/>
  <c r="Z28" i="5"/>
  <c r="T26" i="5"/>
  <c r="Q26" i="5"/>
  <c r="T25" i="5"/>
  <c r="Q25" i="5"/>
  <c r="D25" i="5"/>
  <c r="AI25" i="5" s="1"/>
  <c r="T24" i="5"/>
  <c r="Q24" i="5"/>
  <c r="D24" i="5"/>
  <c r="AI24" i="5" s="1"/>
  <c r="T23" i="5"/>
  <c r="Q23" i="5"/>
  <c r="D23" i="5"/>
  <c r="E23" i="5" s="1"/>
  <c r="T20" i="5"/>
  <c r="Q20" i="5"/>
  <c r="AL14" i="5"/>
  <c r="AL13" i="5"/>
  <c r="Z12" i="5"/>
  <c r="E11" i="5"/>
  <c r="E10" i="5"/>
  <c r="E9" i="5"/>
  <c r="E4" i="5"/>
  <c r="AL32" i="5" l="1"/>
  <c r="AL36" i="5"/>
  <c r="AA24" i="5"/>
  <c r="AB24" i="5" s="1"/>
  <c r="E24" i="5"/>
  <c r="AA25" i="5"/>
  <c r="AB25" i="5" s="1"/>
  <c r="E25" i="5"/>
  <c r="D26" i="5"/>
  <c r="AH26" i="5" s="1"/>
  <c r="AA23" i="5"/>
  <c r="AB23" i="5" s="1"/>
  <c r="AL33" i="5"/>
  <c r="AL39" i="5"/>
  <c r="AG23" i="5"/>
  <c r="AG24" i="5"/>
  <c r="AG25" i="5"/>
  <c r="D76" i="5"/>
  <c r="K76" i="5" s="1"/>
  <c r="K84" i="5"/>
  <c r="K86" i="5"/>
  <c r="D20" i="5"/>
  <c r="AC23" i="5"/>
  <c r="AH23" i="5"/>
  <c r="AC24" i="5"/>
  <c r="AH24" i="5"/>
  <c r="AC25" i="5"/>
  <c r="AH25" i="5"/>
  <c r="W23" i="5"/>
  <c r="AI23" i="5"/>
  <c r="W24" i="5"/>
  <c r="W25" i="5"/>
  <c r="K73" i="5"/>
  <c r="K83" i="5"/>
  <c r="E26" i="5" l="1"/>
  <c r="AG26" i="5"/>
  <c r="W26" i="5"/>
  <c r="K87" i="5"/>
  <c r="AL44" i="5" s="1"/>
  <c r="AA26" i="5"/>
  <c r="AB26" i="5" s="1"/>
  <c r="AC26" i="5"/>
  <c r="AI26" i="5"/>
  <c r="AH20" i="5"/>
  <c r="E20" i="5"/>
  <c r="AG20" i="5"/>
  <c r="AG46" i="5" s="1"/>
  <c r="AA20" i="5"/>
  <c r="AI20" i="5"/>
  <c r="AI46" i="5" s="1"/>
  <c r="AC20" i="5"/>
  <c r="AD24" i="5"/>
  <c r="AE24" i="5" s="1"/>
  <c r="AJ24" i="5"/>
  <c r="AK24" i="5" s="1"/>
  <c r="AD23" i="5"/>
  <c r="AE23" i="5" s="1"/>
  <c r="AJ23" i="5"/>
  <c r="K89" i="5"/>
  <c r="K79" i="5"/>
  <c r="AL43" i="5" s="1"/>
  <c r="AD25" i="5"/>
  <c r="AE25" i="5" s="1"/>
  <c r="AJ25" i="5"/>
  <c r="AK25" i="5" s="1"/>
  <c r="AD26" i="5"/>
  <c r="AJ26" i="5"/>
  <c r="AK26" i="5" s="1"/>
  <c r="AC46" i="5" l="1"/>
  <c r="AE26" i="5"/>
  <c r="AL26" i="5" s="1"/>
  <c r="AL25" i="5"/>
  <c r="AL24" i="5"/>
  <c r="AB20" i="5"/>
  <c r="AA46" i="5"/>
  <c r="AJ46" i="5"/>
  <c r="AK23" i="5"/>
  <c r="AL23" i="5" s="1"/>
  <c r="AH46" i="5"/>
  <c r="AK20" i="5"/>
  <c r="AD46" i="5"/>
  <c r="AK46" i="5" l="1"/>
  <c r="AB46" i="5"/>
  <c r="AE46" i="5" s="1"/>
  <c r="AE20" i="5"/>
  <c r="AL20" i="5" s="1"/>
  <c r="AL46" i="5" s="1"/>
  <c r="C11" i="10" l="1"/>
  <c r="AM46" i="5"/>
  <c r="K87" i="4"/>
  <c r="K84" i="4"/>
  <c r="D85" i="4"/>
  <c r="K85" i="4" s="1"/>
  <c r="K93" i="4"/>
  <c r="D65" i="4"/>
  <c r="E51" i="4"/>
  <c r="AJ41" i="4" s="1"/>
  <c r="AK41" i="4" s="1"/>
  <c r="E50" i="4"/>
  <c r="E49" i="4"/>
  <c r="E48" i="4"/>
  <c r="AJ38" i="4" s="1"/>
  <c r="AK38" i="4" s="1"/>
  <c r="AK47" i="4"/>
  <c r="AJ47" i="4"/>
  <c r="AD47" i="4"/>
  <c r="AE47" i="4" s="1"/>
  <c r="Z47" i="4"/>
  <c r="AD44" i="4"/>
  <c r="AE44" i="4" s="1"/>
  <c r="AD41" i="4"/>
  <c r="AE41" i="4" s="1"/>
  <c r="Z41" i="4"/>
  <c r="AJ40" i="4"/>
  <c r="AK40" i="4" s="1"/>
  <c r="AD40" i="4"/>
  <c r="AE40" i="4" s="1"/>
  <c r="Z40" i="4"/>
  <c r="AJ39" i="4"/>
  <c r="AK39" i="4" s="1"/>
  <c r="AD39" i="4"/>
  <c r="AE39" i="4" s="1"/>
  <c r="AL39" i="4" s="1"/>
  <c r="Z39" i="4"/>
  <c r="AD38" i="4"/>
  <c r="AE38" i="4" s="1"/>
  <c r="Z38" i="4"/>
  <c r="Z36" i="4"/>
  <c r="T34" i="4"/>
  <c r="Q34" i="4"/>
  <c r="AI33" i="4"/>
  <c r="AG33" i="4"/>
  <c r="AC33" i="4"/>
  <c r="AA33" i="4"/>
  <c r="AB33" i="4" s="1"/>
  <c r="AJ33" i="4"/>
  <c r="T33" i="4"/>
  <c r="AH33" i="4" s="1"/>
  <c r="Q33" i="4"/>
  <c r="E33" i="4"/>
  <c r="T32" i="4"/>
  <c r="Q32" i="4"/>
  <c r="T31" i="4"/>
  <c r="Q31" i="4"/>
  <c r="T30" i="4"/>
  <c r="Q30" i="4"/>
  <c r="D30" i="4"/>
  <c r="AG30" i="4" s="1"/>
  <c r="T29" i="4"/>
  <c r="Q29" i="4"/>
  <c r="D29" i="4"/>
  <c r="AG29" i="4" s="1"/>
  <c r="T28" i="4"/>
  <c r="Q28" i="4"/>
  <c r="D28" i="4"/>
  <c r="AG28" i="4" s="1"/>
  <c r="T27" i="4"/>
  <c r="Q27" i="4"/>
  <c r="D27" i="4"/>
  <c r="AG27" i="4" s="1"/>
  <c r="T24" i="4"/>
  <c r="Q24" i="4"/>
  <c r="D24" i="4"/>
  <c r="AG24" i="4" s="1"/>
  <c r="T23" i="4"/>
  <c r="Q23" i="4"/>
  <c r="D23" i="4"/>
  <c r="AI23" i="4" s="1"/>
  <c r="T20" i="4"/>
  <c r="Q20" i="4"/>
  <c r="E15" i="4"/>
  <c r="AL14" i="4"/>
  <c r="AL13" i="4"/>
  <c r="Z12" i="4"/>
  <c r="E11" i="4"/>
  <c r="E10" i="4"/>
  <c r="E9" i="4"/>
  <c r="E4" i="4"/>
  <c r="AL47" i="4" l="1"/>
  <c r="AL41" i="4"/>
  <c r="AJ44" i="4"/>
  <c r="AK44" i="4" s="1"/>
  <c r="AL44" i="4" s="1"/>
  <c r="AL38" i="4"/>
  <c r="AK33" i="4"/>
  <c r="E23" i="4"/>
  <c r="AJ24" i="4"/>
  <c r="AH27" i="4"/>
  <c r="E28" i="4"/>
  <c r="AC28" i="4"/>
  <c r="AH29" i="4"/>
  <c r="E30" i="4"/>
  <c r="AC30" i="4"/>
  <c r="AH24" i="4"/>
  <c r="AA28" i="4"/>
  <c r="AB28" i="4" s="1"/>
  <c r="AA30" i="4"/>
  <c r="AB30" i="4" s="1"/>
  <c r="E24" i="4"/>
  <c r="AH23" i="4"/>
  <c r="AA27" i="4"/>
  <c r="AB27" i="4" s="1"/>
  <c r="AA29" i="4"/>
  <c r="AB29" i="4" s="1"/>
  <c r="AJ23" i="4"/>
  <c r="E27" i="4"/>
  <c r="AC27" i="4"/>
  <c r="AH28" i="4"/>
  <c r="E29" i="4"/>
  <c r="AC29" i="4"/>
  <c r="AH30" i="4"/>
  <c r="AL40" i="4"/>
  <c r="AD33" i="4"/>
  <c r="AE33" i="4" s="1"/>
  <c r="D86" i="4"/>
  <c r="K86" i="4" s="1"/>
  <c r="AA23" i="4"/>
  <c r="AB23" i="4" s="1"/>
  <c r="AG23" i="4"/>
  <c r="AC24" i="4"/>
  <c r="AI24" i="4"/>
  <c r="AK24" i="4" s="1"/>
  <c r="W27" i="4"/>
  <c r="AI27" i="4"/>
  <c r="W28" i="4"/>
  <c r="AI28" i="4"/>
  <c r="AI29" i="4"/>
  <c r="AI30" i="4"/>
  <c r="D31" i="4"/>
  <c r="D32" i="4"/>
  <c r="K92" i="4"/>
  <c r="K94" i="4"/>
  <c r="AC23" i="4"/>
  <c r="AA24" i="4"/>
  <c r="AB24" i="4" s="1"/>
  <c r="AL33" i="4" l="1"/>
  <c r="AE23" i="4"/>
  <c r="AE24" i="4"/>
  <c r="AL24" i="4" s="1"/>
  <c r="AK23" i="4"/>
  <c r="AJ29" i="4"/>
  <c r="AK29" i="4" s="1"/>
  <c r="AD29" i="4"/>
  <c r="AE29" i="4" s="1"/>
  <c r="AG31" i="4"/>
  <c r="AH31" i="4"/>
  <c r="AA31" i="4"/>
  <c r="AB31" i="4" s="1"/>
  <c r="E31" i="4"/>
  <c r="AI31" i="4"/>
  <c r="D34" i="4"/>
  <c r="AC31" i="4"/>
  <c r="AJ27" i="4"/>
  <c r="AK27" i="4" s="1"/>
  <c r="AD27" i="4"/>
  <c r="K95" i="4"/>
  <c r="AL52" i="4" s="1"/>
  <c r="AG32" i="4"/>
  <c r="AH32" i="4"/>
  <c r="AC32" i="4"/>
  <c r="AA32" i="4"/>
  <c r="AB32" i="4" s="1"/>
  <c r="E32" i="4"/>
  <c r="AI32" i="4"/>
  <c r="AJ30" i="4"/>
  <c r="AK30" i="4" s="1"/>
  <c r="AD30" i="4"/>
  <c r="AE30" i="4" s="1"/>
  <c r="AJ28" i="4"/>
  <c r="AK28" i="4" s="1"/>
  <c r="AD28" i="4"/>
  <c r="AE28" i="4" s="1"/>
  <c r="AL23" i="4" l="1"/>
  <c r="AL28" i="4"/>
  <c r="AH34" i="4"/>
  <c r="AC34" i="4"/>
  <c r="AI34" i="4"/>
  <c r="AG34" i="4"/>
  <c r="AA34" i="4"/>
  <c r="AB34" i="4" s="1"/>
  <c r="E34" i="4"/>
  <c r="AL29" i="4"/>
  <c r="AJ32" i="4"/>
  <c r="AK32" i="4" s="1"/>
  <c r="AD32" i="4"/>
  <c r="AE32" i="4" s="1"/>
  <c r="AE27" i="4"/>
  <c r="AL27" i="4" s="1"/>
  <c r="AJ31" i="4"/>
  <c r="AK31" i="4" s="1"/>
  <c r="AD31" i="4"/>
  <c r="AE31" i="4" s="1"/>
  <c r="D20" i="4"/>
  <c r="AL30" i="4"/>
  <c r="E83" i="4" l="1"/>
  <c r="K83" i="4" s="1"/>
  <c r="D82" i="4"/>
  <c r="E82" i="4"/>
  <c r="AL32" i="4"/>
  <c r="AL31" i="4"/>
  <c r="AI20" i="4"/>
  <c r="AI54" i="4" s="1"/>
  <c r="AC20" i="4"/>
  <c r="AC54" i="4" s="1"/>
  <c r="AG20" i="4"/>
  <c r="AG54" i="4" s="1"/>
  <c r="AA20" i="4"/>
  <c r="AH20" i="4"/>
  <c r="E20" i="4"/>
  <c r="AD34" i="4"/>
  <c r="AD54" i="4" s="1"/>
  <c r="AJ34" i="4"/>
  <c r="AJ54" i="4" s="1"/>
  <c r="K82" i="4" l="1"/>
  <c r="AK20" i="4"/>
  <c r="AH54" i="4"/>
  <c r="AK54" i="4" s="1"/>
  <c r="AK34" i="4"/>
  <c r="AA54" i="4"/>
  <c r="AB20" i="4"/>
  <c r="AE34" i="4"/>
  <c r="K88" i="4"/>
  <c r="AL51" i="4" s="1"/>
  <c r="K97" i="4"/>
  <c r="AL34" i="4" l="1"/>
  <c r="AB54" i="4"/>
  <c r="AE54" i="4" s="1"/>
  <c r="AE20" i="4"/>
  <c r="AL20" i="4" s="1"/>
  <c r="AL54" i="4" s="1"/>
  <c r="C10" i="10" l="1"/>
  <c r="AM54" i="4"/>
  <c r="D30" i="1" l="1"/>
  <c r="E11" i="1" l="1"/>
  <c r="E10" i="1"/>
  <c r="E15" i="1"/>
  <c r="E4" i="1"/>
  <c r="E9" i="1"/>
  <c r="K93" i="1" l="1"/>
  <c r="D86" i="1" l="1"/>
  <c r="D85" i="1"/>
  <c r="AI33" i="1"/>
  <c r="AL14" i="1"/>
  <c r="D29" i="1"/>
  <c r="AI29" i="1" s="1"/>
  <c r="D28" i="1"/>
  <c r="AA28" i="1" s="1"/>
  <c r="AB28" i="1" s="1"/>
  <c r="D27" i="1"/>
  <c r="AI27" i="1" l="1"/>
  <c r="AI28" i="1"/>
  <c r="T31" i="1"/>
  <c r="Q31" i="1"/>
  <c r="D87" i="1"/>
  <c r="D24" i="1" l="1"/>
  <c r="D65" i="1"/>
  <c r="AI24" i="1" l="1"/>
  <c r="K84" i="1"/>
  <c r="E33" i="1"/>
  <c r="K85" i="1"/>
  <c r="K96" i="1"/>
  <c r="K95" i="1"/>
  <c r="K94" i="1"/>
  <c r="K92" i="1"/>
  <c r="K86" i="1" l="1"/>
  <c r="K87" i="1"/>
  <c r="AJ41" i="1" l="1"/>
  <c r="AJ39" i="1"/>
  <c r="E29" i="1" l="1"/>
  <c r="D23" i="1"/>
  <c r="AI23" i="1" l="1"/>
  <c r="AI30" i="1"/>
  <c r="E23" i="1"/>
  <c r="E30" i="1"/>
  <c r="E24" i="1"/>
  <c r="AC29" i="1"/>
  <c r="D32" i="1"/>
  <c r="T29" i="1"/>
  <c r="AH29" i="1" s="1"/>
  <c r="Q29" i="1"/>
  <c r="AJ33" i="1"/>
  <c r="AI32" i="1" l="1"/>
  <c r="E27" i="1"/>
  <c r="D31" i="1"/>
  <c r="E28" i="1"/>
  <c r="AD33" i="1"/>
  <c r="AA29" i="1"/>
  <c r="AB29" i="1" s="1"/>
  <c r="AG29" i="1"/>
  <c r="AH31" i="1" l="1"/>
  <c r="AI31" i="1"/>
  <c r="D34" i="1"/>
  <c r="AC31" i="1"/>
  <c r="AA31" i="1"/>
  <c r="AB31" i="1" s="1"/>
  <c r="E31" i="1"/>
  <c r="AG31" i="1"/>
  <c r="E32" i="1"/>
  <c r="AJ29" i="1"/>
  <c r="AK29" i="1" s="1"/>
  <c r="AD29" i="1"/>
  <c r="AE29" i="1" s="1"/>
  <c r="D20" i="1" l="1"/>
  <c r="AI34" i="1"/>
  <c r="E34" i="1"/>
  <c r="AJ32" i="1"/>
  <c r="AD32" i="1"/>
  <c r="AJ31" i="1"/>
  <c r="AK31" i="1" s="1"/>
  <c r="AD31" i="1"/>
  <c r="AE31" i="1" s="1"/>
  <c r="AL29" i="1"/>
  <c r="W28" i="1"/>
  <c r="W27" i="1"/>
  <c r="K81" i="1"/>
  <c r="E83" i="1" l="1"/>
  <c r="D83" i="1" s="1"/>
  <c r="K83" i="1" s="1"/>
  <c r="E82" i="1"/>
  <c r="D82" i="1"/>
  <c r="E20" i="1"/>
  <c r="AJ34" i="1"/>
  <c r="AD34" i="1"/>
  <c r="AL31" i="1"/>
  <c r="AJ27" i="1"/>
  <c r="AD27" i="1"/>
  <c r="AJ28" i="1"/>
  <c r="AD28" i="1"/>
  <c r="AJ30" i="1"/>
  <c r="AD30" i="1"/>
  <c r="K82" i="1" l="1"/>
  <c r="K88" i="1" l="1"/>
  <c r="AL51" i="1" s="1"/>
  <c r="K97" i="1"/>
  <c r="AL52" i="1" s="1"/>
  <c r="K99" i="1"/>
  <c r="AJ23" i="1" l="1"/>
  <c r="E47" i="1"/>
  <c r="AK44" i="1"/>
  <c r="AE44" i="1"/>
  <c r="AJ38" i="1" l="1"/>
  <c r="AJ40" i="1"/>
  <c r="AL44" i="1"/>
  <c r="AJ24" i="1" l="1"/>
  <c r="AA24" i="1"/>
  <c r="AB24" i="1" s="1"/>
  <c r="AC24" i="1"/>
  <c r="AD38" i="1" l="1"/>
  <c r="AJ47" i="1" l="1"/>
  <c r="AA20" i="1" l="1"/>
  <c r="AG33" i="1" l="1"/>
  <c r="AC33" i="1"/>
  <c r="AA33" i="1"/>
  <c r="AB33" i="1" s="1"/>
  <c r="T33" i="1"/>
  <c r="AH33" i="1" s="1"/>
  <c r="Q33" i="1"/>
  <c r="AG28" i="1"/>
  <c r="AC28" i="1"/>
  <c r="T28" i="1"/>
  <c r="AH28" i="1" s="1"/>
  <c r="Q28" i="1"/>
  <c r="AG27" i="1"/>
  <c r="AC27" i="1"/>
  <c r="AA27" i="1"/>
  <c r="AB27" i="1" s="1"/>
  <c r="T27" i="1"/>
  <c r="AH27" i="1" s="1"/>
  <c r="Q27" i="1"/>
  <c r="AG20" i="1"/>
  <c r="AC20" i="1"/>
  <c r="AB20" i="1"/>
  <c r="AI20" i="1"/>
  <c r="T20" i="1"/>
  <c r="AH20" i="1" s="1"/>
  <c r="Q20" i="1"/>
  <c r="AG23" i="1"/>
  <c r="AC23" i="1"/>
  <c r="AA23" i="1"/>
  <c r="T23" i="1"/>
  <c r="AH23" i="1" s="1"/>
  <c r="Q23" i="1"/>
  <c r="AE28" i="1" l="1"/>
  <c r="AE27" i="1"/>
  <c r="AE33" i="1"/>
  <c r="AB23" i="1"/>
  <c r="AE23" i="1" s="1"/>
  <c r="AK23" i="1"/>
  <c r="AK28" i="1"/>
  <c r="AK33" i="1"/>
  <c r="AE20" i="1"/>
  <c r="AL33" i="1" l="1"/>
  <c r="AK20" i="1"/>
  <c r="AL20" i="1" s="1"/>
  <c r="AK27" i="1"/>
  <c r="AL27" i="1" s="1"/>
  <c r="AL23" i="1"/>
  <c r="AL28" i="1"/>
  <c r="T24" i="1"/>
  <c r="AH24" i="1" s="1"/>
  <c r="Q24" i="1"/>
  <c r="AK47" i="1" l="1"/>
  <c r="AD47" i="1"/>
  <c r="AE47" i="1" s="1"/>
  <c r="Z47" i="1"/>
  <c r="AK41" i="1"/>
  <c r="AD41" i="1"/>
  <c r="AE41" i="1" s="1"/>
  <c r="Z41" i="1"/>
  <c r="AK40" i="1"/>
  <c r="AD40" i="1"/>
  <c r="AE40" i="1" s="1"/>
  <c r="Z40" i="1"/>
  <c r="AK39" i="1"/>
  <c r="AD39" i="1"/>
  <c r="AE39" i="1" s="1"/>
  <c r="Z39" i="1"/>
  <c r="AK38" i="1"/>
  <c r="AE38" i="1"/>
  <c r="Z38" i="1"/>
  <c r="Z36" i="1"/>
  <c r="AG34" i="1"/>
  <c r="AC34" i="1"/>
  <c r="AA34" i="1"/>
  <c r="AB34" i="1" s="1"/>
  <c r="T34" i="1"/>
  <c r="AH34" i="1" s="1"/>
  <c r="Q34" i="1"/>
  <c r="AG32" i="1"/>
  <c r="AC32" i="1"/>
  <c r="AA32" i="1"/>
  <c r="AB32" i="1" s="1"/>
  <c r="T32" i="1"/>
  <c r="AH32" i="1" s="1"/>
  <c r="Q32" i="1"/>
  <c r="AG30" i="1"/>
  <c r="AC30" i="1"/>
  <c r="AA30" i="1"/>
  <c r="AB30" i="1" s="1"/>
  <c r="T30" i="1"/>
  <c r="AH30" i="1" s="1"/>
  <c r="Q30" i="1"/>
  <c r="AK24" i="1"/>
  <c r="AG24" i="1"/>
  <c r="AL13" i="1"/>
  <c r="Z12" i="1"/>
  <c r="AJ54" i="1" l="1"/>
  <c r="AC54" i="1"/>
  <c r="AE30" i="1"/>
  <c r="AE32" i="1"/>
  <c r="AE34" i="1"/>
  <c r="AA54" i="1"/>
  <c r="AD54" i="1"/>
  <c r="AG54" i="1"/>
  <c r="AI54" i="1"/>
  <c r="AK30" i="1"/>
  <c r="AK32" i="1"/>
  <c r="AL47" i="1"/>
  <c r="AK34" i="1"/>
  <c r="AL39" i="1"/>
  <c r="AL41" i="1"/>
  <c r="AL38" i="1"/>
  <c r="AL40" i="1"/>
  <c r="AB54" i="1"/>
  <c r="AL32" i="1" l="1"/>
  <c r="AL34" i="1"/>
  <c r="AL30" i="1"/>
  <c r="AH54" i="1"/>
  <c r="AK54" i="1" s="1"/>
  <c r="AE24" i="1"/>
  <c r="AE54" i="1"/>
  <c r="AL24" i="1" l="1"/>
  <c r="AL54" i="1" s="1"/>
  <c r="C9" i="10" l="1"/>
  <c r="C16" i="10" s="1"/>
  <c r="AM54" i="1"/>
  <c r="B18" i="10" s="1"/>
</calcChain>
</file>

<file path=xl/sharedStrings.xml><?xml version="1.0" encoding="utf-8"?>
<sst xmlns="http://schemas.openxmlformats.org/spreadsheetml/2006/main" count="1716" uniqueCount="243">
  <si>
    <t>RFP naam:</t>
  </si>
  <si>
    <t>Inschrijver:</t>
  </si>
  <si>
    <t/>
  </si>
  <si>
    <t>Aantal edities:</t>
  </si>
  <si>
    <t>Legenda:</t>
  </si>
  <si>
    <t>In te vullen door inschrijver</t>
  </si>
  <si>
    <t>Ingevuld door opdrachtverlener en/of berekende cel</t>
  </si>
  <si>
    <t>Oplage:</t>
  </si>
  <si>
    <t>Druktechniek:</t>
  </si>
  <si>
    <t>SCA; 51 grams</t>
  </si>
  <si>
    <t>Afwerking:</t>
  </si>
  <si>
    <t>Geniet in de rug</t>
  </si>
  <si>
    <t>Artikel</t>
  </si>
  <si>
    <t>Informatie vraag</t>
  </si>
  <si>
    <t>Vaste kosten</t>
  </si>
  <si>
    <t>Variabele kosten per 10.000 ex.</t>
  </si>
  <si>
    <t>VASTE KOSTEN</t>
  </si>
  <si>
    <t>VARIABELE KOSTEN</t>
  </si>
  <si>
    <t>TOTALE KOSTEN</t>
  </si>
  <si>
    <t>Frequentie</t>
  </si>
  <si>
    <t>Omvang katern (pag's)</t>
  </si>
  <si>
    <t>Rolbreedte katern (mm)</t>
  </si>
  <si>
    <t>Velhoogte (mm)</t>
  </si>
  <si>
    <t>Velbreedte (mm)</t>
  </si>
  <si>
    <t>Calculatieprijs (eur/1000kg)</t>
  </si>
  <si>
    <t>Papier katern (kg)</t>
  </si>
  <si>
    <t>Technische kosten DRUKKEN (eur)</t>
  </si>
  <si>
    <t>Papier kosten totaal (eur)</t>
  </si>
  <si>
    <t>Aantal katernen bij deze omvang</t>
  </si>
  <si>
    <t>Papier KG</t>
  </si>
  <si>
    <t>Papier EUR</t>
  </si>
  <si>
    <t>Techniek drukken</t>
  </si>
  <si>
    <t>Techniek hechten</t>
  </si>
  <si>
    <t>TOTAAL VASTE KOSTEN</t>
  </si>
  <si>
    <t>TOTAAL VARIABELE KOSTEN</t>
  </si>
  <si>
    <t>Binnenwerk (INNLINE FINISHING)</t>
  </si>
  <si>
    <t>kg</t>
  </si>
  <si>
    <t>eur</t>
  </si>
  <si>
    <t>n.v.t.</t>
  </si>
  <si>
    <t>Binnenwerk 
(OFFLINE FINISHING)</t>
  </si>
  <si>
    <t>aantal</t>
  </si>
  <si>
    <t>Aantal stations - prijs per 10.000 stuks</t>
  </si>
  <si>
    <t>hechtkosten vast (indien van toepassing)</t>
  </si>
  <si>
    <t>hechtkosten variabel</t>
  </si>
  <si>
    <t>Totaal kosten</t>
  </si>
  <si>
    <t>Extra bewerkingen (Pluspropositie):</t>
  </si>
  <si>
    <t>per 10.000</t>
  </si>
  <si>
    <t>Meehechten extra katern / insert / outsert</t>
  </si>
  <si>
    <t>Meehechten via plano oplegstation (outsert)</t>
  </si>
  <si>
    <t>Plakkaart (op katernscheiding)</t>
  </si>
  <si>
    <t xml:space="preserve">Insteekkaart, kaart los insteken tijdens hechten (willekeurig) </t>
  </si>
  <si>
    <t>Transportkosten (1 adres in Nederland)</t>
  </si>
  <si>
    <t>Avrobode</t>
  </si>
  <si>
    <t>KRO Magazine</t>
  </si>
  <si>
    <t>MikroGids</t>
  </si>
  <si>
    <t>NCRVGids</t>
  </si>
  <si>
    <t>Televizier</t>
  </si>
  <si>
    <t>TVFilm</t>
  </si>
  <si>
    <t>Looprichting</t>
  </si>
  <si>
    <t>LG</t>
  </si>
  <si>
    <t>SG</t>
  </si>
  <si>
    <t>Cover (OPTIONEEL)</t>
  </si>
  <si>
    <t>Brocheerkosten bij offline finishing:</t>
  </si>
  <si>
    <t>Breedte</t>
  </si>
  <si>
    <t>Hoogte</t>
  </si>
  <si>
    <t>AVROBODE</t>
  </si>
  <si>
    <t>Aangeboden formaat</t>
  </si>
  <si>
    <t>Huidige breedte:</t>
  </si>
  <si>
    <t>Huidige hoogte:</t>
  </si>
  <si>
    <t xml:space="preserve">Papier binnenwerk: </t>
  </si>
  <si>
    <t xml:space="preserve">Papier omslag (optioneel): </t>
  </si>
  <si>
    <t>245 mm</t>
  </si>
  <si>
    <t>84 pagina's</t>
  </si>
  <si>
    <t>84 pagina's (cover optioneel)</t>
  </si>
  <si>
    <t>80 pagina's (cover vereist; regel 17)</t>
  </si>
  <si>
    <t>88 pagina's</t>
  </si>
  <si>
    <t>156 pagina's</t>
  </si>
  <si>
    <t>164 pagina's</t>
  </si>
  <si>
    <t>168 pagina's</t>
  </si>
  <si>
    <t>4 pagina's (bij 80p of 84p binnenwerk)</t>
  </si>
  <si>
    <t>Adresseren tijdens hechten</t>
  </si>
  <si>
    <t>202 mm</t>
  </si>
  <si>
    <t>LWC X; 90 grs</t>
  </si>
  <si>
    <t>Oplage per editie</t>
  </si>
  <si>
    <t>Wissel en stelkosten</t>
  </si>
  <si>
    <t>Eenzijdige zwartwissel cover, inclusief papier verbruik</t>
  </si>
  <si>
    <t xml:space="preserve">Transportkosten, hiervoor geldt geen afname verplichting </t>
  </si>
  <si>
    <t>diepdruk</t>
  </si>
  <si>
    <t>offset</t>
  </si>
  <si>
    <t>Afwerkings methode</t>
  </si>
  <si>
    <t>Inline</t>
  </si>
  <si>
    <t>Offline</t>
  </si>
  <si>
    <t>84 p. binnenwerk + 4 p. omslag</t>
  </si>
  <si>
    <t>84 p. selfcovered</t>
  </si>
  <si>
    <t>88 p. selfcovered</t>
  </si>
  <si>
    <t>88 p. binnenwerk + 4 p. omslag</t>
  </si>
  <si>
    <t>Omvang:</t>
  </si>
  <si>
    <t>Binnenwerk (INLINE FINISHING)</t>
  </si>
  <si>
    <t>80 p. binnenwerk + 4 p. omslag</t>
  </si>
  <si>
    <t>voor VARA</t>
  </si>
  <si>
    <t>Drukken en hechten in combinatie met</t>
  </si>
  <si>
    <t>Postaal verwerken</t>
  </si>
  <si>
    <t>Vervolg Perceel 3</t>
  </si>
  <si>
    <t xml:space="preserve"> </t>
  </si>
  <si>
    <t>Totaaloplage exclusief inschiet Postaal verwerken:</t>
  </si>
  <si>
    <t>Inschiet Postaal verwerken:</t>
  </si>
  <si>
    <t>Totale abonneeoplage welke afgeleverd wordt bij verzendhuis:</t>
  </si>
  <si>
    <t>Uitganspunt aantal gemiddelde edities per jaar</t>
  </si>
  <si>
    <t>Totale losse verkoop oplage welke afgeleverd wordt bij verzendhuis</t>
  </si>
  <si>
    <t>aantal jaar</t>
  </si>
  <si>
    <t>Totale leesportefeuillehouders aantallen welke wordt afgeleverd bij verzendhuis</t>
  </si>
  <si>
    <t>Totale kosten op jaarbasis</t>
  </si>
  <si>
    <t>Toeslag los insteken tijdens adresseren</t>
  </si>
  <si>
    <t>Toeslag oplegger bij sealen</t>
  </si>
  <si>
    <t>Toeslag insteker bij sealen</t>
  </si>
  <si>
    <t>Toeslag gimmick feader bij sealen</t>
  </si>
  <si>
    <t>Prijzen in Euro</t>
  </si>
  <si>
    <t>2. Transport</t>
  </si>
  <si>
    <t>Prijs per week</t>
  </si>
  <si>
    <t>Transportkosten hoofdzending (abonnementen oplage) Nieuwegein</t>
  </si>
  <si>
    <t>Transportkosten wekelijks aanleveren losse verkoop exemplaren (Gilze NL)</t>
  </si>
  <si>
    <t>Transportkosten t.b.v. nazendingen (Houten)</t>
  </si>
  <si>
    <t>Kosten Postaal verwerken</t>
  </si>
  <si>
    <t>1. Postaal verwerken</t>
  </si>
  <si>
    <t>2. Transportkosten</t>
  </si>
  <si>
    <t>PERCEEL 3</t>
  </si>
  <si>
    <t>84 pagina's (cover vereist)</t>
  </si>
  <si>
    <t>80 pagina's (cover vereist)</t>
  </si>
  <si>
    <t xml:space="preserve">84 pagina's </t>
  </si>
  <si>
    <t>Vaste kosten (indien van toepassing)</t>
  </si>
  <si>
    <t>frequentie</t>
  </si>
  <si>
    <t>Inschatting per editie</t>
  </si>
  <si>
    <t>Prijs per 1.000</t>
  </si>
  <si>
    <t>Inschatting per week</t>
  </si>
  <si>
    <t>197 mm</t>
  </si>
  <si>
    <t>LL</t>
  </si>
  <si>
    <t>198 mm</t>
  </si>
  <si>
    <t>BL</t>
  </si>
  <si>
    <t>199 mm</t>
  </si>
  <si>
    <t>200 mm</t>
  </si>
  <si>
    <t>201 mm</t>
  </si>
  <si>
    <t>Gekozen pagina breedte:</t>
  </si>
  <si>
    <t>152 pagina's</t>
  </si>
  <si>
    <t>Adresseren (eventueel tijdens hechtproces)</t>
  </si>
  <si>
    <t>Transportkosten leesportefeuillehouders Hilversum</t>
  </si>
  <si>
    <t>Looprichting (LL / BL)</t>
  </si>
  <si>
    <t>1. Postaal verwerken             kosten</t>
  </si>
  <si>
    <t>t.b.v. van losse verkoop kaart, insteken tijdens hechtproces of op andere wijze</t>
  </si>
  <si>
    <t>Transportkosten exemplaren wekelijks één adres Hilversum</t>
  </si>
  <si>
    <t>PERCEEL 6</t>
  </si>
  <si>
    <t>KRO MAGAZINE</t>
  </si>
  <si>
    <t>Vervolg Perceel 6</t>
  </si>
  <si>
    <t>1. Postaal verwerken           kosten</t>
  </si>
  <si>
    <t>PERCEEL 9</t>
  </si>
  <si>
    <t>VARA GIDS</t>
  </si>
  <si>
    <t>SC B; 50 grams</t>
  </si>
  <si>
    <t>Cover</t>
  </si>
  <si>
    <t>4 pagina's</t>
  </si>
  <si>
    <t>Binnenwerk</t>
  </si>
  <si>
    <t>96 pagina's</t>
  </si>
  <si>
    <t>144 pagina's</t>
  </si>
  <si>
    <t>Brocheerkosten:</t>
  </si>
  <si>
    <t>Vervolg Perceel 9</t>
  </si>
  <si>
    <t>1. Postaal verwerken            kosten</t>
  </si>
  <si>
    <t>96 p. binnenwerk + 4 p. omslag</t>
  </si>
  <si>
    <t>PERCEEL 12</t>
  </si>
  <si>
    <t>NCRV GIDS</t>
  </si>
  <si>
    <t>Vervolg Perceel 12</t>
  </si>
  <si>
    <t>NCRV Gids</t>
  </si>
  <si>
    <t>1. Postaal verwerken       kosten</t>
  </si>
  <si>
    <t>PERCEEL 15</t>
  </si>
  <si>
    <t>TELEVIZIER</t>
  </si>
  <si>
    <t>265 mm</t>
  </si>
  <si>
    <t>UMI 52 grs</t>
  </si>
  <si>
    <t>LWC X; 100 grs</t>
  </si>
  <si>
    <t xml:space="preserve">Binnenwerk
</t>
  </si>
  <si>
    <t>104 pagina's</t>
  </si>
  <si>
    <t>176 pagina's</t>
  </si>
  <si>
    <t>Brocheerkosten :</t>
  </si>
  <si>
    <t>Vervolg Perceel 15</t>
  </si>
  <si>
    <t>PERCEEL 18</t>
  </si>
  <si>
    <t>TVFILM</t>
  </si>
  <si>
    <t>128 p. binnenwerk + 4 p. omslag</t>
  </si>
  <si>
    <t>UMI; 52 grams</t>
  </si>
  <si>
    <t>128 pagina's</t>
  </si>
  <si>
    <t>Vervolg Perceel 18</t>
  </si>
  <si>
    <t>PERCEEL 21</t>
  </si>
  <si>
    <t>MIKRO GIDS</t>
  </si>
  <si>
    <t>SCA; 56 grams</t>
  </si>
  <si>
    <t>Gemiddelde oplage per editie</t>
  </si>
  <si>
    <t>Vervolg Perceel 21</t>
  </si>
  <si>
    <t>Mikro Gids</t>
  </si>
  <si>
    <t>Let op: er mogen max. 5 percelen ingevuld worden.</t>
  </si>
  <si>
    <t xml:space="preserve">Totaal </t>
  </si>
  <si>
    <t>COMBINATIE: DRUKKEN, HECHTEN EN POSTAAL VERWERKEN</t>
  </si>
  <si>
    <t>Perceel 3</t>
  </si>
  <si>
    <t>Perceel 6</t>
  </si>
  <si>
    <t>Perceel 9</t>
  </si>
  <si>
    <t>Perceel 12</t>
  </si>
  <si>
    <t>Perceel 15</t>
  </si>
  <si>
    <t>Perceel 18</t>
  </si>
  <si>
    <t>Perceel 21</t>
  </si>
  <si>
    <t>MG</t>
  </si>
  <si>
    <t>203 mm</t>
  </si>
  <si>
    <t>204 mm</t>
  </si>
  <si>
    <t>205 mm</t>
  </si>
  <si>
    <t>206 mm</t>
  </si>
  <si>
    <t>207 mm</t>
  </si>
  <si>
    <t>208 mm</t>
  </si>
  <si>
    <t>209 mm</t>
  </si>
  <si>
    <t>210 mm</t>
  </si>
  <si>
    <t>Toeslag sealen bij niet-selfcover en/of bijlage(s)</t>
  </si>
  <si>
    <t>Toeslag sealen bij selfcover</t>
  </si>
  <si>
    <t>zie vervolg Perceel 3 hieronder</t>
  </si>
  <si>
    <t>zie Postaal verwerken</t>
  </si>
  <si>
    <t>71000 exemplaren in 1 transport per week</t>
  </si>
  <si>
    <t>14500 exemplaren in 1 transport per week</t>
  </si>
  <si>
    <t>700 exemplaren in 1 transport per week</t>
  </si>
  <si>
    <t>11500 exemplaren in 1 transport per week</t>
  </si>
  <si>
    <t> 1000 exemplaren in 1 transport per week</t>
  </si>
  <si>
    <t>zie vervolg Perceel 6 hieronder</t>
  </si>
  <si>
    <t>52000 exemplaren in 1 transport per week</t>
  </si>
  <si>
    <t>1400 exemplaren in 1 transport per week</t>
  </si>
  <si>
    <t>122000 exemplaren in 1 transport per week</t>
  </si>
  <si>
    <t>1000 exemplaren in 1 transport per week</t>
  </si>
  <si>
    <t>14000 exemplaren in 1 transport per week</t>
  </si>
  <si>
    <t>zie vervolg perceel 9 hieronder</t>
  </si>
  <si>
    <t>zie vervolg Perceel 12 hieronder</t>
  </si>
  <si>
    <t>101000 exemplaren in 1 transport per week</t>
  </si>
  <si>
    <t>50500 exemplaren in 1 transport per week</t>
  </si>
  <si>
    <t>19000 exemplaren in 1 transport per week</t>
  </si>
  <si>
    <t>Toeslag sealen t.b.v. bijlage(s)</t>
  </si>
  <si>
    <t>zie vervolg Perceel 18 hieronder</t>
  </si>
  <si>
    <t>zie vervolg Perceel 15 hieronder</t>
  </si>
  <si>
    <t>40000 exemplaren in 1 transport per week</t>
  </si>
  <si>
    <t>1300 exemplaren in 1 transport per week</t>
  </si>
  <si>
    <t>68000 exemplaren in 1 transport per week</t>
  </si>
  <si>
    <t>zie vervolg Perceel 21 hieronder</t>
  </si>
  <si>
    <t>138000 exemplaren in 1 transport per week</t>
  </si>
  <si>
    <t>1550 exemplaren in 1 transport per week</t>
  </si>
  <si>
    <t>30500 exemplaren in 1 transport per week</t>
  </si>
  <si>
    <t>PERCEEL 24</t>
  </si>
  <si>
    <t>285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</si>
</sst>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_-;_-@_-"/>
    <numFmt numFmtId="165" formatCode="_-* #,##0.00_-;_-* #,##0.00\-;_-* &quot;-&quot;??_-;_-@_-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_-* #,##0_-;_-* #,##0\-;_-* &quot;-&quot;??_-;_-@_-"/>
    <numFmt numFmtId="169" formatCode="#,##0_ ;\-#,##0\ "/>
    <numFmt numFmtId="170" formatCode="_-&quot;€&quot;\ * #,##0.00_-;_-&quot;€&quot;\ * #,##0.00\-;_-&quot;€&quot;\ * &quot;-&quot;??_-;_-@_-"/>
    <numFmt numFmtId="171" formatCode="_ &quot;€&quot;\ * #,##0.0000_ ;_ &quot;€&quot;\ * \-#,##0.0000_ ;_ &quot;€&quot;\ * &quot;-&quot;??_ ;_ @_ 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Muli"/>
    </font>
    <font>
      <sz val="9"/>
      <name val="Muli"/>
    </font>
    <font>
      <b/>
      <sz val="10"/>
      <color indexed="8"/>
      <name val="Muli"/>
    </font>
    <font>
      <b/>
      <sz val="10"/>
      <color theme="0"/>
      <name val="Muli"/>
    </font>
    <font>
      <u/>
      <sz val="9"/>
      <color indexed="8"/>
      <name val="Muli"/>
    </font>
    <font>
      <b/>
      <sz val="9"/>
      <color theme="1"/>
      <name val="Muli"/>
    </font>
    <font>
      <u/>
      <sz val="10"/>
      <color indexed="8"/>
      <name val="Muli"/>
    </font>
    <font>
      <u/>
      <sz val="9"/>
      <name val="Muli"/>
    </font>
    <font>
      <b/>
      <sz val="11"/>
      <color theme="0"/>
      <name val="Muli"/>
    </font>
    <font>
      <b/>
      <sz val="9"/>
      <color indexed="8"/>
      <name val="Muli"/>
    </font>
    <font>
      <u/>
      <sz val="10"/>
      <color theme="0"/>
      <name val="Muli"/>
    </font>
    <font>
      <b/>
      <sz val="11"/>
      <name val="Muli"/>
    </font>
    <font>
      <b/>
      <sz val="10"/>
      <name val="Muli"/>
    </font>
    <font>
      <b/>
      <sz val="9"/>
      <color theme="0"/>
      <name val="Muli"/>
    </font>
    <font>
      <b/>
      <sz val="14"/>
      <color theme="1"/>
      <name val="Muli"/>
    </font>
    <font>
      <b/>
      <sz val="12"/>
      <color theme="0"/>
      <name val="Muli"/>
    </font>
    <font>
      <b/>
      <sz val="11"/>
      <color indexed="8"/>
      <name val="Muli"/>
    </font>
    <font>
      <b/>
      <sz val="12"/>
      <color indexed="8"/>
      <name val="Muli"/>
    </font>
    <font>
      <b/>
      <sz val="9"/>
      <name val="Muli"/>
    </font>
    <font>
      <sz val="10"/>
      <name val="Muli"/>
    </font>
    <font>
      <sz val="11"/>
      <name val="Muli"/>
    </font>
    <font>
      <b/>
      <sz val="11"/>
      <color theme="1"/>
      <name val="Muli"/>
    </font>
    <font>
      <i/>
      <sz val="10"/>
      <name val="Muli"/>
    </font>
    <font>
      <sz val="9"/>
      <color theme="0"/>
      <name val="Muli"/>
    </font>
    <font>
      <b/>
      <sz val="20"/>
      <color theme="1"/>
      <name val="Muli"/>
    </font>
    <font>
      <b/>
      <sz val="12"/>
      <name val="Muli"/>
    </font>
    <font>
      <sz val="12"/>
      <name val="Muli"/>
    </font>
    <font>
      <sz val="10"/>
      <color theme="1"/>
      <name val="Muli"/>
    </font>
    <font>
      <b/>
      <u/>
      <sz val="10"/>
      <color theme="0"/>
      <name val="Muli"/>
    </font>
    <font>
      <b/>
      <sz val="18"/>
      <color theme="0"/>
      <name val="Muli"/>
    </font>
    <font>
      <sz val="9"/>
      <color rgb="FFFF0000"/>
      <name val="Muli"/>
    </font>
    <font>
      <b/>
      <sz val="11"/>
      <color rgb="FFFF0000"/>
      <name val="Muli"/>
    </font>
    <font>
      <sz val="11"/>
      <color rgb="FFFF0000"/>
      <name val="Muli"/>
    </font>
    <font>
      <b/>
      <sz val="10"/>
      <name val="Arial"/>
      <family val="2"/>
      <charset val="204"/>
    </font>
    <font>
      <b/>
      <sz val="18"/>
      <name val="Muli"/>
    </font>
    <font>
      <sz val="18"/>
      <name val="Muli"/>
    </font>
    <font>
      <b/>
      <sz val="10"/>
      <color theme="0" tint="-0.14999847407452621"/>
      <name val="Muli"/>
    </font>
    <font>
      <sz val="10"/>
      <name val="Arial"/>
      <family val="2"/>
      <charset val="204"/>
    </font>
    <font>
      <sz val="10"/>
      <color theme="0"/>
      <name val="Muli"/>
    </font>
    <font>
      <i/>
      <sz val="9"/>
      <name val="Muli"/>
    </font>
    <font>
      <i/>
      <sz val="10"/>
      <color theme="0"/>
      <name val="Muli"/>
    </font>
    <font>
      <sz val="11"/>
      <color theme="0" tint="-0.249977111117893"/>
      <name val="Muli"/>
    </font>
    <font>
      <b/>
      <sz val="12"/>
      <color theme="1"/>
      <name val="Muli"/>
    </font>
    <font>
      <sz val="10"/>
      <color theme="0" tint="-0.249977111117893"/>
      <name val="Muli"/>
    </font>
    <font>
      <b/>
      <sz val="14"/>
      <color theme="0"/>
      <name val="Muli"/>
    </font>
    <font>
      <b/>
      <i/>
      <sz val="10"/>
      <color theme="1"/>
      <name val="Muli"/>
    </font>
    <font>
      <sz val="9"/>
      <color rgb="FF00B050"/>
      <name val="Muli"/>
    </font>
    <font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rgb="FF00B050"/>
      </left>
      <right/>
      <top/>
      <bottom style="thin">
        <color auto="1"/>
      </bottom>
      <diagonal/>
    </border>
    <border>
      <left/>
      <right style="thick">
        <color rgb="FF00B05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B050"/>
      </left>
      <right/>
      <top style="thin">
        <color auto="1"/>
      </top>
      <bottom style="thin">
        <color auto="1"/>
      </bottom>
      <diagonal/>
    </border>
    <border>
      <left/>
      <right style="thick">
        <color rgb="FF00B050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18">
    <xf numFmtId="0" fontId="0" fillId="0" borderId="0" xfId="0"/>
    <xf numFmtId="0" fontId="3" fillId="0" borderId="0" xfId="0" applyFont="1"/>
    <xf numFmtId="0" fontId="4" fillId="2" borderId="0" xfId="2" applyFont="1" applyFill="1" applyAlignment="1">
      <alignment vertical="top"/>
    </xf>
    <xf numFmtId="0" fontId="3" fillId="0" borderId="0" xfId="0" applyFont="1" applyFill="1"/>
    <xf numFmtId="1" fontId="4" fillId="2" borderId="0" xfId="2" applyNumberFormat="1" applyFont="1" applyFill="1" applyAlignment="1">
      <alignment vertical="top"/>
    </xf>
    <xf numFmtId="0" fontId="3" fillId="0" borderId="0" xfId="0" applyFont="1" applyFill="1" applyBorder="1"/>
    <xf numFmtId="4" fontId="4" fillId="2" borderId="0" xfId="2" applyNumberFormat="1" applyFont="1" applyFill="1" applyAlignment="1">
      <alignment vertical="top"/>
    </xf>
    <xf numFmtId="3" fontId="4" fillId="2" borderId="0" xfId="2" applyNumberFormat="1" applyFont="1" applyFill="1" applyAlignment="1">
      <alignment vertical="top"/>
    </xf>
    <xf numFmtId="164" fontId="4" fillId="2" borderId="0" xfId="2" applyNumberFormat="1" applyFont="1" applyFill="1" applyAlignment="1">
      <alignment vertical="top"/>
    </xf>
    <xf numFmtId="0" fontId="3" fillId="3" borderId="1" xfId="0" applyFont="1" applyFill="1" applyBorder="1"/>
    <xf numFmtId="0" fontId="4" fillId="3" borderId="2" xfId="2" applyFont="1" applyFill="1" applyBorder="1" applyAlignment="1">
      <alignment vertical="top"/>
    </xf>
    <xf numFmtId="0" fontId="3" fillId="3" borderId="2" xfId="0" applyFont="1" applyFill="1" applyBorder="1"/>
    <xf numFmtId="1" fontId="4" fillId="3" borderId="2" xfId="2" applyNumberFormat="1" applyFont="1" applyFill="1" applyBorder="1" applyAlignment="1">
      <alignment vertical="top"/>
    </xf>
    <xf numFmtId="4" fontId="4" fillId="3" borderId="2" xfId="2" applyNumberFormat="1" applyFont="1" applyFill="1" applyBorder="1" applyAlignment="1">
      <alignment vertical="top"/>
    </xf>
    <xf numFmtId="0" fontId="3" fillId="3" borderId="3" xfId="0" applyFont="1" applyFill="1" applyBorder="1"/>
    <xf numFmtId="3" fontId="4" fillId="3" borderId="2" xfId="2" applyNumberFormat="1" applyFont="1" applyFill="1" applyBorder="1" applyAlignment="1">
      <alignment vertical="top"/>
    </xf>
    <xf numFmtId="164" fontId="4" fillId="3" borderId="2" xfId="2" applyNumberFormat="1" applyFont="1" applyFill="1" applyBorder="1" applyAlignment="1">
      <alignment vertical="top"/>
    </xf>
    <xf numFmtId="0" fontId="4" fillId="3" borderId="3" xfId="2" applyFont="1" applyFill="1" applyBorder="1" applyAlignment="1">
      <alignment vertical="top"/>
    </xf>
    <xf numFmtId="0" fontId="3" fillId="3" borderId="4" xfId="0" applyFont="1" applyFill="1" applyBorder="1"/>
    <xf numFmtId="0" fontId="7" fillId="3" borderId="2" xfId="2" applyFont="1" applyFill="1" applyBorder="1" applyAlignment="1">
      <alignment horizontal="left" vertical="top"/>
    </xf>
    <xf numFmtId="4" fontId="7" fillId="3" borderId="2" xfId="2" applyNumberFormat="1" applyFont="1" applyFill="1" applyBorder="1" applyAlignment="1">
      <alignment horizontal="left" vertical="top"/>
    </xf>
    <xf numFmtId="4" fontId="7" fillId="3" borderId="3" xfId="2" applyNumberFormat="1" applyFont="1" applyFill="1" applyBorder="1" applyAlignment="1">
      <alignment horizontal="left" vertical="top"/>
    </xf>
    <xf numFmtId="0" fontId="3" fillId="3" borderId="7" xfId="0" applyFont="1" applyFill="1" applyBorder="1"/>
    <xf numFmtId="0" fontId="3" fillId="3" borderId="0" xfId="0" applyFont="1" applyFill="1" applyBorder="1"/>
    <xf numFmtId="3" fontId="4" fillId="3" borderId="0" xfId="2" applyNumberFormat="1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164" fontId="4" fillId="3" borderId="0" xfId="2" applyNumberFormat="1" applyFont="1" applyFill="1" applyBorder="1" applyAlignment="1">
      <alignment vertical="top"/>
    </xf>
    <xf numFmtId="0" fontId="4" fillId="3" borderId="7" xfId="2" applyFont="1" applyFill="1" applyBorder="1" applyAlignment="1">
      <alignment vertical="top"/>
    </xf>
    <xf numFmtId="0" fontId="9" fillId="3" borderId="0" xfId="2" applyFont="1" applyFill="1" applyBorder="1" applyAlignment="1">
      <alignment horizontal="left" vertical="top"/>
    </xf>
    <xf numFmtId="0" fontId="7" fillId="3" borderId="0" xfId="2" applyFont="1" applyFill="1" applyBorder="1" applyAlignment="1">
      <alignment horizontal="left" vertical="top"/>
    </xf>
    <xf numFmtId="1" fontId="4" fillId="3" borderId="0" xfId="2" applyNumberFormat="1" applyFont="1" applyFill="1" applyBorder="1" applyAlignment="1">
      <alignment vertical="top"/>
    </xf>
    <xf numFmtId="4" fontId="7" fillId="3" borderId="0" xfId="2" applyNumberFormat="1" applyFont="1" applyFill="1" applyBorder="1" applyAlignment="1">
      <alignment horizontal="left" vertical="top"/>
    </xf>
    <xf numFmtId="4" fontId="7" fillId="3" borderId="7" xfId="2" applyNumberFormat="1" applyFont="1" applyFill="1" applyBorder="1" applyAlignment="1">
      <alignment horizontal="left" vertical="top"/>
    </xf>
    <xf numFmtId="3" fontId="10" fillId="3" borderId="0" xfId="2" applyNumberFormat="1" applyFont="1" applyFill="1" applyBorder="1" applyAlignment="1">
      <alignment vertical="top"/>
    </xf>
    <xf numFmtId="1" fontId="11" fillId="4" borderId="9" xfId="2" applyNumberFormat="1" applyFont="1" applyFill="1" applyBorder="1" applyAlignment="1">
      <alignment horizontal="left" vertical="center"/>
    </xf>
    <xf numFmtId="0" fontId="5" fillId="5" borderId="10" xfId="2" applyFont="1" applyFill="1" applyBorder="1" applyAlignment="1">
      <alignment horizontal="left" vertical="center"/>
    </xf>
    <xf numFmtId="0" fontId="9" fillId="5" borderId="11" xfId="2" applyFont="1" applyFill="1" applyBorder="1" applyAlignment="1">
      <alignment horizontal="left" vertical="top"/>
    </xf>
    <xf numFmtId="0" fontId="7" fillId="5" borderId="11" xfId="2" applyFont="1" applyFill="1" applyBorder="1" applyAlignment="1">
      <alignment horizontal="left" vertical="top"/>
    </xf>
    <xf numFmtId="0" fontId="7" fillId="5" borderId="12" xfId="2" applyFont="1" applyFill="1" applyBorder="1" applyAlignment="1">
      <alignment horizontal="left" vertical="top"/>
    </xf>
    <xf numFmtId="4" fontId="12" fillId="3" borderId="0" xfId="2" applyNumberFormat="1" applyFont="1" applyFill="1" applyBorder="1" applyAlignment="1">
      <alignment horizontal="left" vertical="top"/>
    </xf>
    <xf numFmtId="3" fontId="12" fillId="3" borderId="0" xfId="2" applyNumberFormat="1" applyFont="1" applyFill="1" applyBorder="1" applyAlignment="1">
      <alignment horizontal="left" vertical="top"/>
    </xf>
    <xf numFmtId="0" fontId="5" fillId="0" borderId="4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top"/>
    </xf>
    <xf numFmtId="0" fontId="7" fillId="0" borderId="0" xfId="2" applyFont="1" applyFill="1" applyBorder="1" applyAlignment="1">
      <alignment horizontal="left" vertical="top"/>
    </xf>
    <xf numFmtId="0" fontId="5" fillId="0" borderId="7" xfId="2" applyFont="1" applyFill="1" applyBorder="1" applyAlignment="1">
      <alignment horizontal="left" vertical="top"/>
    </xf>
    <xf numFmtId="0" fontId="6" fillId="4" borderId="13" xfId="2" applyFont="1" applyFill="1" applyBorder="1" applyAlignment="1">
      <alignment horizontal="left" vertical="center"/>
    </xf>
    <xf numFmtId="0" fontId="13" fillId="4" borderId="14" xfId="2" applyFont="1" applyFill="1" applyBorder="1" applyAlignment="1">
      <alignment horizontal="left" vertical="top"/>
    </xf>
    <xf numFmtId="1" fontId="13" fillId="4" borderId="14" xfId="2" applyNumberFormat="1" applyFont="1" applyFill="1" applyBorder="1" applyAlignment="1">
      <alignment horizontal="left" vertical="top"/>
    </xf>
    <xf numFmtId="1" fontId="13" fillId="4" borderId="15" xfId="2" applyNumberFormat="1" applyFont="1" applyFill="1" applyBorder="1" applyAlignment="1">
      <alignment horizontal="left" vertical="top"/>
    </xf>
    <xf numFmtId="3" fontId="11" fillId="4" borderId="9" xfId="2" applyNumberFormat="1" applyFont="1" applyFill="1" applyBorder="1" applyAlignment="1">
      <alignment horizontal="left" vertical="center"/>
    </xf>
    <xf numFmtId="1" fontId="7" fillId="3" borderId="0" xfId="2" applyNumberFormat="1" applyFont="1" applyFill="1" applyBorder="1" applyAlignment="1">
      <alignment horizontal="left" vertical="top"/>
    </xf>
    <xf numFmtId="0" fontId="12" fillId="3" borderId="0" xfId="2" applyFont="1" applyFill="1" applyBorder="1" applyAlignment="1">
      <alignment horizontal="left" vertical="top"/>
    </xf>
    <xf numFmtId="0" fontId="14" fillId="3" borderId="0" xfId="2" applyFont="1" applyFill="1" applyBorder="1" applyAlignment="1">
      <alignment horizontal="right" vertical="top"/>
    </xf>
    <xf numFmtId="3" fontId="15" fillId="3" borderId="0" xfId="0" applyNumberFormat="1" applyFont="1" applyFill="1" applyBorder="1" applyAlignment="1">
      <alignment horizontal="center" vertical="center"/>
    </xf>
    <xf numFmtId="3" fontId="14" fillId="3" borderId="0" xfId="2" applyNumberFormat="1" applyFont="1" applyFill="1" applyBorder="1" applyAlignment="1">
      <alignment vertical="top"/>
    </xf>
    <xf numFmtId="0" fontId="3" fillId="6" borderId="0" xfId="0" applyFont="1" applyFill="1" applyBorder="1"/>
    <xf numFmtId="0" fontId="17" fillId="6" borderId="0" xfId="0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top"/>
    </xf>
    <xf numFmtId="0" fontId="7" fillId="3" borderId="14" xfId="2" applyFont="1" applyFill="1" applyBorder="1" applyAlignment="1">
      <alignment horizontal="left" vertical="top"/>
    </xf>
    <xf numFmtId="4" fontId="7" fillId="3" borderId="14" xfId="2" applyNumberFormat="1" applyFont="1" applyFill="1" applyBorder="1" applyAlignment="1">
      <alignment horizontal="left" vertical="top"/>
    </xf>
    <xf numFmtId="3" fontId="17" fillId="6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18" fillId="5" borderId="17" xfId="0" applyFont="1" applyFill="1" applyBorder="1" applyAlignment="1">
      <alignment vertical="center"/>
    </xf>
    <xf numFmtId="0" fontId="18" fillId="5" borderId="17" xfId="0" applyFont="1" applyFill="1" applyBorder="1" applyAlignment="1">
      <alignment horizontal="center" vertical="center" wrapText="1"/>
    </xf>
    <xf numFmtId="0" fontId="4" fillId="6" borderId="0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9" fillId="3" borderId="3" xfId="2" applyFont="1" applyFill="1" applyBorder="1" applyAlignment="1">
      <alignment horizontal="center" textRotation="90"/>
    </xf>
    <xf numFmtId="0" fontId="20" fillId="4" borderId="17" xfId="2" applyFont="1" applyFill="1" applyBorder="1" applyAlignment="1">
      <alignment horizontal="right" textRotation="90"/>
    </xf>
    <xf numFmtId="0" fontId="19" fillId="4" borderId="16" xfId="2" applyFont="1" applyFill="1" applyBorder="1" applyAlignment="1">
      <alignment horizontal="center" textRotation="90"/>
    </xf>
    <xf numFmtId="0" fontId="3" fillId="3" borderId="17" xfId="0" applyFont="1" applyFill="1" applyBorder="1"/>
    <xf numFmtId="0" fontId="20" fillId="3" borderId="10" xfId="0" applyFont="1" applyFill="1" applyBorder="1" applyAlignment="1">
      <alignment horizontal="right" textRotation="90"/>
    </xf>
    <xf numFmtId="0" fontId="20" fillId="3" borderId="11" xfId="0" applyFont="1" applyFill="1" applyBorder="1" applyAlignment="1">
      <alignment horizontal="right" textRotation="90"/>
    </xf>
    <xf numFmtId="0" fontId="20" fillId="3" borderId="17" xfId="0" applyFont="1" applyFill="1" applyBorder="1" applyAlignment="1">
      <alignment horizontal="center" textRotation="90"/>
    </xf>
    <xf numFmtId="0" fontId="20" fillId="3" borderId="12" xfId="0" applyFont="1" applyFill="1" applyBorder="1" applyAlignment="1">
      <alignment horizontal="right" textRotation="90"/>
    </xf>
    <xf numFmtId="0" fontId="20" fillId="3" borderId="10" xfId="0" applyFont="1" applyFill="1" applyBorder="1" applyAlignment="1">
      <alignment horizontal="center" textRotation="90"/>
    </xf>
    <xf numFmtId="0" fontId="21" fillId="7" borderId="16" xfId="0" applyFont="1" applyFill="1" applyBorder="1" applyAlignment="1">
      <alignment horizontal="center" textRotation="90"/>
    </xf>
    <xf numFmtId="0" fontId="7" fillId="7" borderId="3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horizontal="left" vertical="top"/>
    </xf>
    <xf numFmtId="165" fontId="15" fillId="4" borderId="1" xfId="3" applyFont="1" applyFill="1" applyBorder="1"/>
    <xf numFmtId="165" fontId="15" fillId="4" borderId="2" xfId="3" applyFont="1" applyFill="1" applyBorder="1"/>
    <xf numFmtId="165" fontId="15" fillId="4" borderId="18" xfId="3" applyFont="1" applyFill="1" applyBorder="1"/>
    <xf numFmtId="0" fontId="22" fillId="3" borderId="0" xfId="0" applyFont="1" applyFill="1" applyBorder="1"/>
    <xf numFmtId="165" fontId="15" fillId="4" borderId="4" xfId="3" applyFont="1" applyFill="1" applyBorder="1"/>
    <xf numFmtId="165" fontId="15" fillId="4" borderId="0" xfId="3" applyFont="1" applyFill="1" applyBorder="1"/>
    <xf numFmtId="44" fontId="15" fillId="4" borderId="1" xfId="1" applyNumberFormat="1" applyFont="1" applyFill="1" applyBorder="1"/>
    <xf numFmtId="0" fontId="12" fillId="3" borderId="4" xfId="2" applyFont="1" applyFill="1" applyBorder="1" applyAlignment="1">
      <alignment horizontal="left" vertical="top"/>
    </xf>
    <xf numFmtId="0" fontId="19" fillId="3" borderId="7" xfId="2" applyFont="1" applyFill="1" applyBorder="1" applyAlignment="1">
      <alignment horizontal="center" textRotation="90"/>
    </xf>
    <xf numFmtId="0" fontId="12" fillId="3" borderId="4" xfId="2" applyFont="1" applyFill="1" applyBorder="1" applyAlignment="1">
      <alignment horizontal="right" textRotation="90"/>
    </xf>
    <xf numFmtId="0" fontId="12" fillId="3" borderId="0" xfId="2" applyFont="1" applyFill="1" applyBorder="1" applyAlignment="1">
      <alignment horizontal="right" textRotation="90"/>
    </xf>
    <xf numFmtId="0" fontId="12" fillId="3" borderId="7" xfId="2" applyFont="1" applyFill="1" applyBorder="1" applyAlignment="1">
      <alignment horizontal="right" textRotation="90"/>
    </xf>
    <xf numFmtId="0" fontId="20" fillId="4" borderId="16" xfId="2" applyFont="1" applyFill="1" applyBorder="1" applyAlignment="1">
      <alignment horizontal="right" textRotation="90"/>
    </xf>
    <xf numFmtId="0" fontId="12" fillId="3" borderId="4" xfId="2" applyFont="1" applyFill="1" applyBorder="1" applyAlignment="1">
      <alignment horizontal="center" textRotation="90"/>
    </xf>
    <xf numFmtId="0" fontId="12" fillId="3" borderId="0" xfId="2" applyFont="1" applyFill="1" applyBorder="1" applyAlignment="1">
      <alignment horizontal="center" textRotation="90"/>
    </xf>
    <xf numFmtId="0" fontId="12" fillId="3" borderId="7" xfId="2" applyFont="1" applyFill="1" applyBorder="1" applyAlignment="1">
      <alignment horizontal="center" textRotation="90"/>
    </xf>
    <xf numFmtId="0" fontId="3" fillId="3" borderId="18" xfId="0" applyFont="1" applyFill="1" applyBorder="1"/>
    <xf numFmtId="0" fontId="20" fillId="4" borderId="4" xfId="0" applyFont="1" applyFill="1" applyBorder="1" applyAlignment="1">
      <alignment horizontal="right" textRotation="90"/>
    </xf>
    <xf numFmtId="0" fontId="20" fillId="4" borderId="0" xfId="0" applyFont="1" applyFill="1" applyBorder="1" applyAlignment="1">
      <alignment horizontal="right" textRotation="90"/>
    </xf>
    <xf numFmtId="0" fontId="20" fillId="4" borderId="16" xfId="0" applyFont="1" applyFill="1" applyBorder="1" applyAlignment="1">
      <alignment horizontal="center" textRotation="90"/>
    </xf>
    <xf numFmtId="0" fontId="5" fillId="3" borderId="8" xfId="2" applyFont="1" applyFill="1" applyBorder="1" applyAlignment="1">
      <alignment horizontal="left" vertical="center" wrapText="1"/>
    </xf>
    <xf numFmtId="166" fontId="16" fillId="4" borderId="20" xfId="1" applyNumberFormat="1" applyFont="1" applyFill="1" applyBorder="1" applyAlignment="1">
      <alignment vertical="top"/>
    </xf>
    <xf numFmtId="0" fontId="19" fillId="3" borderId="34" xfId="2" applyFont="1" applyFill="1" applyBorder="1" applyAlignment="1">
      <alignment horizontal="left" vertical="center" wrapText="1"/>
    </xf>
    <xf numFmtId="0" fontId="11" fillId="7" borderId="18" xfId="2" applyFont="1" applyFill="1" applyBorder="1" applyAlignment="1">
      <alignment vertical="top" wrapText="1"/>
    </xf>
    <xf numFmtId="0" fontId="15" fillId="3" borderId="8" xfId="2" applyFont="1" applyFill="1" applyBorder="1" applyAlignment="1">
      <alignment horizontal="left" vertical="top"/>
    </xf>
    <xf numFmtId="3" fontId="4" fillId="0" borderId="8" xfId="2" applyNumberFormat="1" applyFont="1" applyFill="1" applyBorder="1" applyAlignment="1" applyProtection="1">
      <alignment vertical="center" wrapText="1"/>
      <protection locked="0"/>
    </xf>
    <xf numFmtId="3" fontId="4" fillId="0" borderId="19" xfId="2" applyNumberFormat="1" applyFont="1" applyFill="1" applyBorder="1" applyAlignment="1" applyProtection="1">
      <alignment vertical="center" wrapText="1"/>
      <protection locked="0"/>
    </xf>
    <xf numFmtId="3" fontId="4" fillId="3" borderId="24" xfId="2" applyNumberFormat="1" applyFont="1" applyFill="1" applyBorder="1" applyAlignment="1">
      <alignment horizontal="center" vertical="top" wrapText="1"/>
    </xf>
    <xf numFmtId="3" fontId="4" fillId="0" borderId="9" xfId="2" applyNumberFormat="1" applyFont="1" applyFill="1" applyBorder="1" applyAlignment="1" applyProtection="1">
      <alignment vertical="center" wrapText="1"/>
      <protection locked="0"/>
    </xf>
    <xf numFmtId="166" fontId="4" fillId="0" borderId="19" xfId="1" applyNumberFormat="1" applyFont="1" applyFill="1" applyBorder="1" applyAlignment="1" applyProtection="1">
      <alignment horizontal="center" vertical="center"/>
      <protection locked="0"/>
    </xf>
    <xf numFmtId="0" fontId="14" fillId="3" borderId="20" xfId="2" applyFont="1" applyFill="1" applyBorder="1" applyAlignment="1">
      <alignment horizontal="left" vertical="top"/>
    </xf>
    <xf numFmtId="3" fontId="4" fillId="3" borderId="19" xfId="2" applyNumberFormat="1" applyFont="1" applyFill="1" applyBorder="1" applyAlignment="1">
      <alignment horizontal="center" vertical="top" wrapText="1"/>
    </xf>
    <xf numFmtId="0" fontId="4" fillId="2" borderId="0" xfId="2" applyFont="1" applyFill="1" applyAlignment="1">
      <alignment vertical="center"/>
    </xf>
    <xf numFmtId="0" fontId="5" fillId="3" borderId="23" xfId="2" applyFont="1" applyFill="1" applyBorder="1" applyAlignment="1">
      <alignment horizontal="left" vertical="center"/>
    </xf>
    <xf numFmtId="44" fontId="4" fillId="0" borderId="19" xfId="1" applyNumberFormat="1" applyFont="1" applyFill="1" applyBorder="1" applyAlignment="1" applyProtection="1">
      <alignment horizontal="center" vertical="center"/>
      <protection locked="0"/>
    </xf>
    <xf numFmtId="3" fontId="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26" xfId="2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center"/>
    </xf>
    <xf numFmtId="0" fontId="4" fillId="3" borderId="7" xfId="2" applyFont="1" applyFill="1" applyBorder="1" applyAlignment="1">
      <alignment vertical="center"/>
    </xf>
    <xf numFmtId="0" fontId="5" fillId="3" borderId="13" xfId="2" applyFont="1" applyFill="1" applyBorder="1" applyAlignment="1">
      <alignment horizontal="left" vertical="center"/>
    </xf>
    <xf numFmtId="3" fontId="4" fillId="0" borderId="13" xfId="2" applyNumberFormat="1" applyFont="1" applyFill="1" applyBorder="1" applyAlignment="1" applyProtection="1">
      <alignment vertical="center" wrapText="1"/>
      <protection locked="0"/>
    </xf>
    <xf numFmtId="3" fontId="4" fillId="0" borderId="14" xfId="2" applyNumberFormat="1" applyFont="1" applyFill="1" applyBorder="1" applyAlignment="1" applyProtection="1">
      <alignment vertical="center" wrapText="1"/>
      <protection locked="0"/>
    </xf>
    <xf numFmtId="3" fontId="4" fillId="3" borderId="14" xfId="2" applyNumberFormat="1" applyFont="1" applyFill="1" applyBorder="1" applyAlignment="1">
      <alignment horizontal="center" vertical="top" wrapText="1"/>
    </xf>
    <xf numFmtId="166" fontId="16" fillId="4" borderId="22" xfId="1" applyNumberFormat="1" applyFont="1" applyFill="1" applyBorder="1" applyAlignment="1">
      <alignment vertical="top"/>
    </xf>
    <xf numFmtId="44" fontId="4" fillId="0" borderId="14" xfId="1" applyNumberFormat="1" applyFont="1" applyFill="1" applyBorder="1" applyAlignment="1" applyProtection="1">
      <alignment horizontal="center" vertical="center"/>
      <protection locked="0"/>
    </xf>
    <xf numFmtId="3" fontId="4" fillId="0" borderId="15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22" xfId="2" applyFont="1" applyFill="1" applyBorder="1" applyAlignment="1">
      <alignment horizontal="left" vertical="center"/>
    </xf>
    <xf numFmtId="0" fontId="4" fillId="3" borderId="7" xfId="2" applyFont="1" applyFill="1" applyBorder="1" applyAlignment="1">
      <alignment horizontal="center" vertical="top"/>
    </xf>
    <xf numFmtId="0" fontId="4" fillId="3" borderId="4" xfId="2" applyFont="1" applyFill="1" applyBorder="1" applyAlignment="1">
      <alignment vertical="top"/>
    </xf>
    <xf numFmtId="4" fontId="4" fillId="3" borderId="3" xfId="2" applyNumberFormat="1" applyFont="1" applyFill="1" applyBorder="1" applyAlignment="1">
      <alignment vertical="top"/>
    </xf>
    <xf numFmtId="4" fontId="4" fillId="3" borderId="4" xfId="2" applyNumberFormat="1" applyFont="1" applyFill="1" applyBorder="1" applyAlignment="1">
      <alignment vertical="top"/>
    </xf>
    <xf numFmtId="4" fontId="4" fillId="3" borderId="0" xfId="2" applyNumberFormat="1" applyFont="1" applyFill="1" applyBorder="1" applyAlignment="1">
      <alignment vertical="top"/>
    </xf>
    <xf numFmtId="4" fontId="4" fillId="3" borderId="12" xfId="2" applyNumberFormat="1" applyFont="1" applyFill="1" applyBorder="1" applyAlignment="1">
      <alignment vertical="top"/>
    </xf>
    <xf numFmtId="167" fontId="4" fillId="3" borderId="0" xfId="2" applyNumberFormat="1" applyFont="1" applyFill="1" applyBorder="1" applyAlignment="1">
      <alignment vertical="top"/>
    </xf>
    <xf numFmtId="4" fontId="4" fillId="3" borderId="7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vertical="top"/>
    </xf>
    <xf numFmtId="0" fontId="15" fillId="3" borderId="8" xfId="2" applyFont="1" applyFill="1" applyBorder="1" applyAlignment="1">
      <alignment horizontal="left" vertical="center"/>
    </xf>
    <xf numFmtId="0" fontId="14" fillId="3" borderId="20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12" fillId="3" borderId="13" xfId="2" applyFont="1" applyFill="1" applyBorder="1" applyAlignment="1">
      <alignment horizontal="left" vertical="top"/>
    </xf>
    <xf numFmtId="4" fontId="4" fillId="3" borderId="15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vertical="top"/>
    </xf>
    <xf numFmtId="0" fontId="11" fillId="7" borderId="2" xfId="2" applyFont="1" applyFill="1" applyBorder="1" applyAlignment="1">
      <alignment vertical="top"/>
    </xf>
    <xf numFmtId="0" fontId="14" fillId="7" borderId="2" xfId="2" applyFont="1" applyFill="1" applyBorder="1" applyAlignment="1">
      <alignment vertical="top"/>
    </xf>
    <xf numFmtId="0" fontId="11" fillId="7" borderId="3" xfId="2" applyFont="1" applyFill="1" applyBorder="1" applyAlignment="1">
      <alignment vertical="top"/>
    </xf>
    <xf numFmtId="4" fontId="4" fillId="3" borderId="1" xfId="2" applyNumberFormat="1" applyFont="1" applyFill="1" applyBorder="1" applyAlignment="1">
      <alignment vertical="top"/>
    </xf>
    <xf numFmtId="4" fontId="21" fillId="3" borderId="3" xfId="2" applyNumberFormat="1" applyFont="1" applyFill="1" applyBorder="1" applyAlignment="1">
      <alignment horizontal="right" vertical="top"/>
    </xf>
    <xf numFmtId="0" fontId="12" fillId="3" borderId="8" xfId="2" applyFont="1" applyFill="1" applyBorder="1" applyAlignment="1">
      <alignment horizontal="left" vertical="center"/>
    </xf>
    <xf numFmtId="0" fontId="12" fillId="4" borderId="27" xfId="2" applyFont="1" applyFill="1" applyBorder="1" applyAlignment="1">
      <alignment horizontal="right" vertical="center"/>
    </xf>
    <xf numFmtId="0" fontId="12" fillId="3" borderId="23" xfId="2" applyFont="1" applyFill="1" applyBorder="1" applyAlignment="1">
      <alignment horizontal="left" vertical="center"/>
    </xf>
    <xf numFmtId="0" fontId="12" fillId="4" borderId="28" xfId="2" applyFont="1" applyFill="1" applyBorder="1" applyAlignment="1">
      <alignment horizontal="right" vertical="center"/>
    </xf>
    <xf numFmtId="0" fontId="12" fillId="3" borderId="8" xfId="2" applyFont="1" applyFill="1" applyBorder="1" applyAlignment="1">
      <alignment horizontal="left" vertical="top"/>
    </xf>
    <xf numFmtId="0" fontId="18" fillId="7" borderId="0" xfId="2" applyFont="1" applyFill="1" applyBorder="1" applyAlignment="1">
      <alignment vertical="top"/>
    </xf>
    <xf numFmtId="4" fontId="18" fillId="7" borderId="0" xfId="1" applyNumberFormat="1" applyFont="1" applyFill="1" applyBorder="1" applyAlignment="1" applyProtection="1">
      <alignment vertical="top"/>
    </xf>
    <xf numFmtId="44" fontId="18" fillId="7" borderId="0" xfId="1" applyFont="1" applyFill="1" applyBorder="1" applyAlignment="1" applyProtection="1">
      <alignment vertical="top"/>
    </xf>
    <xf numFmtId="4" fontId="18" fillId="7" borderId="0" xfId="1" applyNumberFormat="1" applyFont="1" applyFill="1" applyBorder="1" applyAlignment="1" applyProtection="1">
      <alignment horizontal="right" vertical="top"/>
    </xf>
    <xf numFmtId="0" fontId="12" fillId="4" borderId="29" xfId="2" applyFont="1" applyFill="1" applyBorder="1" applyAlignment="1">
      <alignment horizontal="right" vertical="center"/>
    </xf>
    <xf numFmtId="0" fontId="4" fillId="3" borderId="14" xfId="2" applyFont="1" applyFill="1" applyBorder="1" applyAlignment="1">
      <alignment vertical="top"/>
    </xf>
    <xf numFmtId="1" fontId="4" fillId="3" borderId="14" xfId="2" applyNumberFormat="1" applyFont="1" applyFill="1" applyBorder="1" applyAlignment="1">
      <alignment vertical="top"/>
    </xf>
    <xf numFmtId="0" fontId="4" fillId="3" borderId="13" xfId="2" applyFont="1" applyFill="1" applyBorder="1" applyAlignment="1">
      <alignment vertical="top"/>
    </xf>
    <xf numFmtId="0" fontId="4" fillId="3" borderId="15" xfId="2" applyFont="1" applyFill="1" applyBorder="1" applyAlignment="1">
      <alignment vertical="top"/>
    </xf>
    <xf numFmtId="4" fontId="4" fillId="3" borderId="14" xfId="2" applyNumberFormat="1" applyFont="1" applyFill="1" applyBorder="1" applyAlignment="1">
      <alignment vertical="top"/>
    </xf>
    <xf numFmtId="166" fontId="4" fillId="3" borderId="15" xfId="1" applyNumberFormat="1" applyFont="1" applyFill="1" applyBorder="1" applyAlignment="1">
      <alignment vertical="top"/>
    </xf>
    <xf numFmtId="0" fontId="12" fillId="3" borderId="10" xfId="2" applyFont="1" applyFill="1" applyBorder="1" applyAlignment="1">
      <alignment horizontal="left" vertical="top"/>
    </xf>
    <xf numFmtId="165" fontId="22" fillId="3" borderId="0" xfId="3" applyFont="1" applyFill="1" applyBorder="1"/>
    <xf numFmtId="1" fontId="11" fillId="4" borderId="30" xfId="2" applyNumberFormat="1" applyFont="1" applyFill="1" applyBorder="1" applyAlignment="1">
      <alignment horizontal="center" vertical="top"/>
    </xf>
    <xf numFmtId="166" fontId="4" fillId="3" borderId="7" xfId="1" applyNumberFormat="1" applyFont="1" applyFill="1" applyBorder="1" applyAlignment="1">
      <alignment vertical="top"/>
    </xf>
    <xf numFmtId="0" fontId="12" fillId="3" borderId="8" xfId="2" applyFont="1" applyFill="1" applyBorder="1" applyAlignment="1">
      <alignment horizontal="left"/>
    </xf>
    <xf numFmtId="1" fontId="11" fillId="4" borderId="32" xfId="2" applyNumberFormat="1" applyFont="1" applyFill="1" applyBorder="1" applyAlignment="1">
      <alignment horizontal="center" vertical="top"/>
    </xf>
    <xf numFmtId="0" fontId="3" fillId="3" borderId="14" xfId="0" applyFont="1" applyFill="1" applyBorder="1"/>
    <xf numFmtId="1" fontId="7" fillId="3" borderId="14" xfId="2" applyNumberFormat="1" applyFont="1" applyFill="1" applyBorder="1" applyAlignment="1">
      <alignment horizontal="left" vertical="top"/>
    </xf>
    <xf numFmtId="0" fontId="7" fillId="3" borderId="15" xfId="2" applyFont="1" applyFill="1" applyBorder="1" applyAlignment="1">
      <alignment horizontal="left" vertical="top"/>
    </xf>
    <xf numFmtId="4" fontId="7" fillId="3" borderId="13" xfId="2" applyNumberFormat="1" applyFont="1" applyFill="1" applyBorder="1" applyAlignment="1">
      <alignment horizontal="left" vertical="top"/>
    </xf>
    <xf numFmtId="0" fontId="3" fillId="3" borderId="13" xfId="0" applyFont="1" applyFill="1" applyBorder="1"/>
    <xf numFmtId="0" fontId="3" fillId="3" borderId="15" xfId="0" applyFont="1" applyFill="1" applyBorder="1"/>
    <xf numFmtId="165" fontId="22" fillId="3" borderId="14" xfId="3" applyFont="1" applyFill="1" applyBorder="1"/>
    <xf numFmtId="44" fontId="22" fillId="3" borderId="14" xfId="1" applyFont="1" applyFill="1" applyBorder="1"/>
    <xf numFmtId="0" fontId="22" fillId="3" borderId="14" xfId="0" applyFont="1" applyFill="1" applyBorder="1"/>
    <xf numFmtId="165" fontId="25" fillId="3" borderId="14" xfId="3" applyFont="1" applyFill="1" applyBorder="1"/>
    <xf numFmtId="0" fontId="4" fillId="2" borderId="0" xfId="2" applyFont="1" applyFill="1" applyAlignment="1">
      <alignment horizontal="right" vertical="top" wrapText="1"/>
    </xf>
    <xf numFmtId="1" fontId="4" fillId="2" borderId="0" xfId="2" applyNumberFormat="1" applyFont="1" applyFill="1" applyAlignment="1">
      <alignment horizontal="right" vertical="top" wrapText="1"/>
    </xf>
    <xf numFmtId="0" fontId="26" fillId="2" borderId="0" xfId="2" applyFont="1" applyFill="1" applyAlignment="1">
      <alignment vertical="top"/>
    </xf>
    <xf numFmtId="2" fontId="4" fillId="2" borderId="0" xfId="2" applyNumberFormat="1" applyFont="1" applyFill="1" applyAlignment="1">
      <alignment vertical="top"/>
    </xf>
    <xf numFmtId="0" fontId="6" fillId="5" borderId="1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left" vertical="top"/>
    </xf>
    <xf numFmtId="0" fontId="19" fillId="3" borderId="10" xfId="2" applyFont="1" applyFill="1" applyBorder="1" applyAlignment="1">
      <alignment horizontal="right" textRotation="90"/>
    </xf>
    <xf numFmtId="0" fontId="19" fillId="3" borderId="11" xfId="2" applyFont="1" applyFill="1" applyBorder="1" applyAlignment="1">
      <alignment horizontal="right" textRotation="90"/>
    </xf>
    <xf numFmtId="0" fontId="19" fillId="3" borderId="12" xfId="2" applyFont="1" applyFill="1" applyBorder="1" applyAlignment="1">
      <alignment horizontal="right" textRotation="90"/>
    </xf>
    <xf numFmtId="0" fontId="19" fillId="3" borderId="1" xfId="2" applyFont="1" applyFill="1" applyBorder="1" applyAlignment="1">
      <alignment horizontal="center" textRotation="90"/>
    </xf>
    <xf numFmtId="0" fontId="19" fillId="3" borderId="2" xfId="2" applyFont="1" applyFill="1" applyBorder="1" applyAlignment="1">
      <alignment horizontal="center" textRotation="90"/>
    </xf>
    <xf numFmtId="0" fontId="30" fillId="3" borderId="0" xfId="0" applyFont="1" applyFill="1" applyBorder="1"/>
    <xf numFmtId="0" fontId="9" fillId="7" borderId="4" xfId="2" applyFont="1" applyFill="1" applyBorder="1" applyAlignment="1">
      <alignment horizontal="left" vertical="top"/>
    </xf>
    <xf numFmtId="0" fontId="9" fillId="7" borderId="0" xfId="2" applyFont="1" applyFill="1" applyBorder="1" applyAlignment="1">
      <alignment horizontal="left" vertical="top"/>
    </xf>
    <xf numFmtId="0" fontId="9" fillId="7" borderId="7" xfId="2" applyFont="1" applyFill="1" applyBorder="1" applyAlignment="1">
      <alignment horizontal="left" vertical="top"/>
    </xf>
    <xf numFmtId="1" fontId="9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vertical="top" wrapText="1"/>
    </xf>
    <xf numFmtId="4" fontId="6" fillId="7" borderId="0" xfId="2" applyNumberFormat="1" applyFont="1" applyFill="1" applyBorder="1" applyAlignment="1">
      <alignment horizontal="center" vertical="top" wrapText="1"/>
    </xf>
    <xf numFmtId="4" fontId="6" fillId="7" borderId="16" xfId="2" applyNumberFormat="1" applyFont="1" applyFill="1" applyBorder="1" applyAlignment="1">
      <alignment horizontal="center" vertical="top"/>
    </xf>
    <xf numFmtId="4" fontId="6" fillId="7" borderId="0" xfId="2" applyNumberFormat="1" applyFont="1" applyFill="1" applyBorder="1" applyAlignment="1">
      <alignment horizontal="center" vertical="top"/>
    </xf>
    <xf numFmtId="4" fontId="6" fillId="7" borderId="7" xfId="2" applyNumberFormat="1" applyFont="1" applyFill="1" applyBorder="1" applyAlignment="1">
      <alignment horizontal="center" vertical="top" wrapText="1"/>
    </xf>
    <xf numFmtId="0" fontId="31" fillId="7" borderId="4" xfId="2" applyFont="1" applyFill="1" applyBorder="1" applyAlignment="1">
      <alignment horizontal="left" vertical="top"/>
    </xf>
    <xf numFmtId="0" fontId="31" fillId="7" borderId="0" xfId="2" applyFont="1" applyFill="1" applyBorder="1" applyAlignment="1">
      <alignment horizontal="left" vertical="top"/>
    </xf>
    <xf numFmtId="0" fontId="31" fillId="7" borderId="7" xfId="2" applyFont="1" applyFill="1" applyBorder="1" applyAlignment="1">
      <alignment horizontal="left" vertical="top"/>
    </xf>
    <xf numFmtId="1" fontId="31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wrapText="1"/>
    </xf>
    <xf numFmtId="4" fontId="6" fillId="7" borderId="0" xfId="2" applyNumberFormat="1" applyFont="1" applyFill="1" applyBorder="1" applyAlignment="1">
      <alignment horizontal="center" wrapText="1"/>
    </xf>
    <xf numFmtId="4" fontId="6" fillId="7" borderId="16" xfId="2" applyNumberFormat="1" applyFont="1" applyFill="1" applyBorder="1" applyAlignment="1">
      <alignment horizontal="center"/>
    </xf>
    <xf numFmtId="4" fontId="6" fillId="7" borderId="0" xfId="2" applyNumberFormat="1" applyFont="1" applyFill="1" applyBorder="1" applyAlignment="1">
      <alignment horizontal="center"/>
    </xf>
    <xf numFmtId="4" fontId="6" fillId="7" borderId="7" xfId="2" applyNumberFormat="1" applyFont="1" applyFill="1" applyBorder="1" applyAlignment="1">
      <alignment horizontal="center" wrapText="1"/>
    </xf>
    <xf numFmtId="0" fontId="31" fillId="7" borderId="23" xfId="2" applyFont="1" applyFill="1" applyBorder="1" applyAlignment="1">
      <alignment horizontal="left" vertical="top"/>
    </xf>
    <xf numFmtId="0" fontId="31" fillId="7" borderId="24" xfId="2" applyFont="1" applyFill="1" applyBorder="1" applyAlignment="1">
      <alignment horizontal="left" vertical="top"/>
    </xf>
    <xf numFmtId="4" fontId="6" fillId="7" borderId="1" xfId="2" applyNumberFormat="1" applyFont="1" applyFill="1" applyBorder="1" applyAlignment="1">
      <alignment horizontal="center" wrapText="1"/>
    </xf>
    <xf numFmtId="4" fontId="6" fillId="7" borderId="2" xfId="2" applyNumberFormat="1" applyFont="1" applyFill="1" applyBorder="1" applyAlignment="1">
      <alignment horizontal="center" wrapText="1"/>
    </xf>
    <xf numFmtId="4" fontId="6" fillId="7" borderId="18" xfId="2" applyNumberFormat="1" applyFont="1" applyFill="1" applyBorder="1" applyAlignment="1">
      <alignment horizontal="center"/>
    </xf>
    <xf numFmtId="167" fontId="6" fillId="7" borderId="2" xfId="2" applyNumberFormat="1" applyFont="1" applyFill="1" applyBorder="1" applyAlignment="1">
      <alignment horizontal="center"/>
    </xf>
    <xf numFmtId="4" fontId="6" fillId="7" borderId="3" xfId="2" applyNumberFormat="1" applyFont="1" applyFill="1" applyBorder="1" applyAlignment="1">
      <alignment horizontal="center" wrapText="1"/>
    </xf>
    <xf numFmtId="0" fontId="6" fillId="7" borderId="2" xfId="2" applyFont="1" applyFill="1" applyBorder="1" applyAlignment="1">
      <alignment vertical="top"/>
    </xf>
    <xf numFmtId="0" fontId="6" fillId="7" borderId="1" xfId="2" applyFont="1" applyFill="1" applyBorder="1" applyAlignment="1">
      <alignment vertical="top"/>
    </xf>
    <xf numFmtId="0" fontId="6" fillId="7" borderId="2" xfId="2" applyFont="1" applyFill="1" applyBorder="1" applyAlignment="1">
      <alignment horizontal="right" vertical="top"/>
    </xf>
    <xf numFmtId="0" fontId="6" fillId="7" borderId="3" xfId="2" applyFont="1" applyFill="1" applyBorder="1" applyAlignment="1">
      <alignment vertical="top"/>
    </xf>
    <xf numFmtId="4" fontId="15" fillId="3" borderId="2" xfId="2" applyNumberFormat="1" applyFont="1" applyFill="1" applyBorder="1" applyAlignment="1">
      <alignment horizontal="right" vertical="top"/>
    </xf>
    <xf numFmtId="0" fontId="6" fillId="7" borderId="0" xfId="2" applyFont="1" applyFill="1" applyBorder="1" applyAlignment="1">
      <alignment horizontal="center" vertical="top" wrapText="1"/>
    </xf>
    <xf numFmtId="0" fontId="6" fillId="7" borderId="7" xfId="2" applyFont="1" applyFill="1" applyBorder="1" applyAlignment="1">
      <alignment horizontal="center" vertical="top" wrapText="1"/>
    </xf>
    <xf numFmtId="0" fontId="6" fillId="7" borderId="25" xfId="2" applyFont="1" applyFill="1" applyBorder="1" applyAlignment="1">
      <alignment horizontal="center" vertical="top" wrapText="1"/>
    </xf>
    <xf numFmtId="0" fontId="32" fillId="5" borderId="12" xfId="2" applyFont="1" applyFill="1" applyBorder="1" applyAlignment="1">
      <alignment vertical="top"/>
    </xf>
    <xf numFmtId="0" fontId="32" fillId="5" borderId="10" xfId="2" applyFont="1" applyFill="1" applyBorder="1" applyAlignment="1">
      <alignment vertical="center"/>
    </xf>
    <xf numFmtId="3" fontId="4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4" fillId="0" borderId="19" xfId="2" applyNumberFormat="1" applyFont="1" applyFill="1" applyBorder="1" applyAlignment="1" applyProtection="1">
      <alignment horizontal="right" vertical="center" wrapText="1"/>
      <protection locked="0"/>
    </xf>
    <xf numFmtId="0" fontId="27" fillId="6" borderId="0" xfId="0" applyFont="1" applyFill="1" applyBorder="1" applyAlignment="1">
      <alignment horizontal="center" vertical="center"/>
    </xf>
    <xf numFmtId="0" fontId="19" fillId="3" borderId="3" xfId="2" applyFont="1" applyFill="1" applyBorder="1" applyAlignment="1">
      <alignment horizontal="center" textRotation="90" wrapText="1"/>
    </xf>
    <xf numFmtId="1" fontId="11" fillId="4" borderId="9" xfId="2" applyNumberFormat="1" applyFont="1" applyFill="1" applyBorder="1" applyAlignment="1" applyProtection="1">
      <alignment horizontal="left" vertical="center"/>
    </xf>
    <xf numFmtId="0" fontId="12" fillId="9" borderId="9" xfId="2" applyFont="1" applyFill="1" applyBorder="1" applyAlignment="1" applyProtection="1">
      <alignment horizontal="center" vertical="center" wrapText="1"/>
    </xf>
    <xf numFmtId="0" fontId="12" fillId="3" borderId="31" xfId="2" applyFont="1" applyFill="1" applyBorder="1" applyAlignment="1">
      <alignment horizontal="left" vertical="top"/>
    </xf>
    <xf numFmtId="0" fontId="11" fillId="3" borderId="5" xfId="2" applyFont="1" applyFill="1" applyBorder="1" applyAlignment="1">
      <alignment vertical="top"/>
    </xf>
    <xf numFmtId="0" fontId="12" fillId="3" borderId="23" xfId="2" applyFont="1" applyFill="1" applyBorder="1" applyAlignment="1">
      <alignment horizontal="left"/>
    </xf>
    <xf numFmtId="0" fontId="5" fillId="3" borderId="5" xfId="2" applyFont="1" applyFill="1" applyBorder="1" applyAlignment="1">
      <alignment horizontal="left" vertical="center"/>
    </xf>
    <xf numFmtId="0" fontId="18" fillId="5" borderId="10" xfId="2" applyFont="1" applyFill="1" applyBorder="1" applyAlignment="1">
      <alignment horizontal="center" vertical="center"/>
    </xf>
    <xf numFmtId="0" fontId="34" fillId="3" borderId="1" xfId="2" applyFont="1" applyFill="1" applyBorder="1" applyAlignment="1">
      <alignment horizontal="left" vertical="top" wrapText="1"/>
    </xf>
    <xf numFmtId="0" fontId="33" fillId="3" borderId="14" xfId="2" applyFont="1" applyFill="1" applyBorder="1" applyAlignment="1">
      <alignment vertical="top"/>
    </xf>
    <xf numFmtId="0" fontId="35" fillId="3" borderId="4" xfId="0" applyFont="1" applyFill="1" applyBorder="1"/>
    <xf numFmtId="0" fontId="4" fillId="3" borderId="0" xfId="2" applyFont="1" applyFill="1" applyAlignment="1">
      <alignment vertical="top"/>
    </xf>
    <xf numFmtId="0" fontId="3" fillId="3" borderId="0" xfId="0" applyFont="1" applyFill="1"/>
    <xf numFmtId="3" fontId="11" fillId="4" borderId="30" xfId="2" applyNumberFormat="1" applyFont="1" applyFill="1" applyBorder="1" applyAlignment="1">
      <alignment horizontal="center" vertical="top"/>
    </xf>
    <xf numFmtId="3" fontId="11" fillId="4" borderId="32" xfId="2" applyNumberFormat="1" applyFont="1" applyFill="1" applyBorder="1" applyAlignment="1">
      <alignment horizontal="center" vertical="top"/>
    </xf>
    <xf numFmtId="0" fontId="21" fillId="3" borderId="8" xfId="2" applyFont="1" applyFill="1" applyBorder="1" applyAlignment="1">
      <alignment horizontal="left"/>
    </xf>
    <xf numFmtId="0" fontId="21" fillId="3" borderId="31" xfId="2" applyFont="1" applyFill="1" applyBorder="1" applyAlignment="1">
      <alignment horizontal="left"/>
    </xf>
    <xf numFmtId="3" fontId="14" fillId="0" borderId="15" xfId="2" applyNumberFormat="1" applyFont="1" applyFill="1" applyBorder="1" applyAlignment="1" applyProtection="1">
      <alignment horizontal="left" vertical="center"/>
      <protection locked="0"/>
    </xf>
    <xf numFmtId="3" fontId="11" fillId="4" borderId="9" xfId="2" applyNumberFormat="1" applyFont="1" applyFill="1" applyBorder="1" applyAlignment="1" applyProtection="1">
      <alignment horizontal="left" vertical="center"/>
    </xf>
    <xf numFmtId="3" fontId="4" fillId="8" borderId="9" xfId="2" applyNumberFormat="1" applyFont="1" applyFill="1" applyBorder="1" applyAlignment="1">
      <alignment horizontal="center" vertical="center"/>
    </xf>
    <xf numFmtId="0" fontId="0" fillId="11" borderId="0" xfId="0" applyFill="1"/>
    <xf numFmtId="4" fontId="4" fillId="3" borderId="0" xfId="2" applyNumberFormat="1" applyFont="1" applyFill="1" applyAlignment="1">
      <alignment vertical="top"/>
    </xf>
    <xf numFmtId="3" fontId="14" fillId="10" borderId="9" xfId="2" applyNumberFormat="1" applyFont="1" applyFill="1" applyBorder="1" applyAlignment="1" applyProtection="1">
      <alignment horizontal="left" vertical="center" wrapText="1"/>
      <protection locked="0"/>
    </xf>
    <xf numFmtId="4" fontId="21" fillId="3" borderId="0" xfId="2" applyNumberFormat="1" applyFont="1" applyFill="1" applyBorder="1" applyAlignment="1">
      <alignment vertical="center"/>
    </xf>
    <xf numFmtId="0" fontId="12" fillId="3" borderId="4" xfId="2" applyFont="1" applyFill="1" applyBorder="1" applyAlignment="1">
      <alignment horizontal="right" vertical="center"/>
    </xf>
    <xf numFmtId="0" fontId="36" fillId="8" borderId="0" xfId="0" applyFont="1" applyFill="1"/>
    <xf numFmtId="0" fontId="3" fillId="8" borderId="0" xfId="0" applyFont="1" applyFill="1"/>
    <xf numFmtId="0" fontId="37" fillId="8" borderId="0" xfId="0" applyFont="1" applyFill="1" applyAlignment="1">
      <alignment horizontal="left" vertical="center"/>
    </xf>
    <xf numFmtId="0" fontId="37" fillId="8" borderId="0" xfId="0" applyFont="1" applyFill="1" applyAlignment="1">
      <alignment vertical="center"/>
    </xf>
    <xf numFmtId="0" fontId="38" fillId="8" borderId="0" xfId="0" applyFont="1" applyFill="1" applyAlignment="1">
      <alignment horizontal="right" vertical="center"/>
    </xf>
    <xf numFmtId="0" fontId="15" fillId="8" borderId="0" xfId="0" applyFont="1" applyFill="1"/>
    <xf numFmtId="0" fontId="15" fillId="8" borderId="0" xfId="0" applyFont="1" applyFill="1" applyAlignment="1">
      <alignment horizontal="center"/>
    </xf>
    <xf numFmtId="0" fontId="39" fillId="8" borderId="0" xfId="0" applyFont="1" applyFill="1" applyAlignment="1">
      <alignment vertical="center"/>
    </xf>
    <xf numFmtId="0" fontId="22" fillId="8" borderId="0" xfId="0" applyFont="1" applyFill="1"/>
    <xf numFmtId="0" fontId="22" fillId="8" borderId="0" xfId="0" applyFont="1" applyFill="1" applyAlignment="1">
      <alignment horizontal="right"/>
    </xf>
    <xf numFmtId="0" fontId="15" fillId="8" borderId="37" xfId="0" applyFont="1" applyFill="1" applyBorder="1" applyAlignment="1">
      <alignment horizontal="left" wrapText="1"/>
    </xf>
    <xf numFmtId="0" fontId="15" fillId="8" borderId="38" xfId="0" applyFont="1" applyFill="1" applyBorder="1" applyAlignment="1">
      <alignment horizontal="left" wrapText="1"/>
    </xf>
    <xf numFmtId="3" fontId="15" fillId="8" borderId="35" xfId="0" applyNumberFormat="1" applyFont="1" applyFill="1" applyBorder="1" applyAlignment="1">
      <alignment horizontal="right"/>
    </xf>
    <xf numFmtId="0" fontId="15" fillId="8" borderId="0" xfId="0" applyFont="1" applyFill="1" applyAlignment="1">
      <alignment vertical="center"/>
    </xf>
    <xf numFmtId="0" fontId="40" fillId="8" borderId="0" xfId="0" applyFont="1" applyFill="1"/>
    <xf numFmtId="0" fontId="15" fillId="8" borderId="38" xfId="0" applyFont="1" applyFill="1" applyBorder="1" applyAlignment="1">
      <alignment horizontal="left" vertical="top" wrapText="1"/>
    </xf>
    <xf numFmtId="0" fontId="15" fillId="8" borderId="0" xfId="0" applyFont="1" applyFill="1" applyAlignment="1">
      <alignment horizontal="right"/>
    </xf>
    <xf numFmtId="0" fontId="15" fillId="8" borderId="0" xfId="0" applyFont="1" applyFill="1" applyAlignment="1">
      <alignment horizontal="left" wrapText="1"/>
    </xf>
    <xf numFmtId="3" fontId="15" fillId="8" borderId="0" xfId="0" applyNumberFormat="1" applyFont="1" applyFill="1" applyAlignment="1">
      <alignment horizontal="right"/>
    </xf>
    <xf numFmtId="3" fontId="41" fillId="7" borderId="2" xfId="0" applyNumberFormat="1" applyFont="1" applyFill="1" applyBorder="1" applyAlignment="1">
      <alignment horizontal="center"/>
    </xf>
    <xf numFmtId="3" fontId="41" fillId="7" borderId="0" xfId="0" applyNumberFormat="1" applyFont="1" applyFill="1"/>
    <xf numFmtId="0" fontId="41" fillId="7" borderId="4" xfId="0" applyFont="1" applyFill="1" applyBorder="1" applyAlignment="1">
      <alignment horizontal="center"/>
    </xf>
    <xf numFmtId="0" fontId="41" fillId="7" borderId="0" xfId="0" applyFont="1" applyFill="1" applyAlignment="1">
      <alignment horizontal="center"/>
    </xf>
    <xf numFmtId="3" fontId="22" fillId="8" borderId="19" xfId="0" applyNumberFormat="1" applyFont="1" applyFill="1" applyBorder="1" applyAlignment="1">
      <alignment horizontal="left"/>
    </xf>
    <xf numFmtId="44" fontId="22" fillId="2" borderId="41" xfId="1" applyFont="1" applyFill="1" applyBorder="1" applyProtection="1">
      <protection locked="0"/>
    </xf>
    <xf numFmtId="44" fontId="22" fillId="8" borderId="5" xfId="1" applyFont="1" applyFill="1" applyBorder="1" applyAlignment="1" applyProtection="1">
      <alignment horizontal="right"/>
    </xf>
    <xf numFmtId="3" fontId="22" fillId="8" borderId="19" xfId="0" applyNumberFormat="1" applyFont="1" applyFill="1" applyBorder="1"/>
    <xf numFmtId="44" fontId="22" fillId="8" borderId="8" xfId="1" applyFont="1" applyFill="1" applyBorder="1" applyAlignment="1" applyProtection="1">
      <alignment horizontal="center"/>
    </xf>
    <xf numFmtId="3" fontId="22" fillId="8" borderId="33" xfId="0" applyNumberFormat="1" applyFont="1" applyFill="1" applyBorder="1"/>
    <xf numFmtId="44" fontId="22" fillId="2" borderId="42" xfId="1" applyFont="1" applyFill="1" applyBorder="1" applyProtection="1">
      <protection locked="0"/>
    </xf>
    <xf numFmtId="44" fontId="22" fillId="8" borderId="31" xfId="1" applyFont="1" applyFill="1" applyBorder="1" applyAlignment="1" applyProtection="1">
      <alignment horizontal="center"/>
    </xf>
    <xf numFmtId="0" fontId="3" fillId="8" borderId="0" xfId="0" applyFont="1" applyFill="1" applyAlignment="1">
      <alignment textRotation="90"/>
    </xf>
    <xf numFmtId="0" fontId="42" fillId="8" borderId="0" xfId="0" applyFont="1" applyFill="1"/>
    <xf numFmtId="9" fontId="41" fillId="8" borderId="2" xfId="0" applyNumberFormat="1" applyFont="1" applyFill="1" applyBorder="1" applyAlignment="1">
      <alignment horizontal="center"/>
    </xf>
    <xf numFmtId="44" fontId="22" fillId="8" borderId="0" xfId="1" applyFont="1" applyFill="1" applyBorder="1" applyProtection="1"/>
    <xf numFmtId="44" fontId="6" fillId="7" borderId="43" xfId="1" applyFont="1" applyFill="1" applyBorder="1" applyAlignment="1" applyProtection="1">
      <alignment horizontal="center"/>
    </xf>
    <xf numFmtId="0" fontId="4" fillId="8" borderId="0" xfId="2" applyFont="1" applyFill="1" applyAlignment="1">
      <alignment vertical="top"/>
    </xf>
    <xf numFmtId="0" fontId="22" fillId="7" borderId="1" xfId="0" applyFont="1" applyFill="1" applyBorder="1" applyAlignment="1">
      <alignment horizontal="left"/>
    </xf>
    <xf numFmtId="0" fontId="22" fillId="7" borderId="13" xfId="0" applyFont="1" applyFill="1" applyBorder="1" applyAlignment="1">
      <alignment horizontal="left"/>
    </xf>
    <xf numFmtId="0" fontId="22" fillId="8" borderId="8" xfId="0" applyFont="1" applyFill="1" applyBorder="1"/>
    <xf numFmtId="44" fontId="22" fillId="2" borderId="27" xfId="1" applyFont="1" applyFill="1" applyBorder="1" applyProtection="1">
      <protection locked="0"/>
    </xf>
    <xf numFmtId="44" fontId="22" fillId="8" borderId="36" xfId="1" applyFont="1" applyFill="1" applyBorder="1" applyAlignment="1" applyProtection="1">
      <alignment horizontal="center"/>
    </xf>
    <xf numFmtId="44" fontId="22" fillId="8" borderId="46" xfId="1" applyFont="1" applyFill="1" applyBorder="1" applyAlignment="1" applyProtection="1">
      <alignment horizontal="center"/>
    </xf>
    <xf numFmtId="0" fontId="22" fillId="8" borderId="31" xfId="0" applyFont="1" applyFill="1" applyBorder="1"/>
    <xf numFmtId="44" fontId="22" fillId="2" borderId="29" xfId="1" applyFont="1" applyFill="1" applyBorder="1" applyProtection="1">
      <protection locked="0"/>
    </xf>
    <xf numFmtId="9" fontId="41" fillId="8" borderId="0" xfId="0" applyNumberFormat="1" applyFont="1" applyFill="1" applyAlignment="1">
      <alignment horizontal="center"/>
    </xf>
    <xf numFmtId="169" fontId="22" fillId="8" borderId="0" xfId="1" applyNumberFormat="1" applyFont="1" applyFill="1" applyBorder="1" applyProtection="1"/>
    <xf numFmtId="44" fontId="6" fillId="7" borderId="47" xfId="1" applyFont="1" applyFill="1" applyBorder="1" applyAlignment="1" applyProtection="1">
      <alignment horizontal="center"/>
    </xf>
    <xf numFmtId="44" fontId="6" fillId="7" borderId="48" xfId="1" applyFont="1" applyFill="1" applyBorder="1" applyAlignment="1" applyProtection="1">
      <alignment horizontal="center"/>
    </xf>
    <xf numFmtId="0" fontId="22" fillId="14" borderId="10" xfId="0" applyFont="1" applyFill="1" applyBorder="1"/>
    <xf numFmtId="0" fontId="22" fillId="14" borderId="11" xfId="0" applyFont="1" applyFill="1" applyBorder="1"/>
    <xf numFmtId="170" fontId="15" fillId="14" borderId="11" xfId="0" applyNumberFormat="1" applyFont="1" applyFill="1" applyBorder="1"/>
    <xf numFmtId="170" fontId="15" fillId="14" borderId="12" xfId="0" applyNumberFormat="1" applyFont="1" applyFill="1" applyBorder="1"/>
    <xf numFmtId="0" fontId="22" fillId="3" borderId="0" xfId="0" applyFont="1" applyFill="1"/>
    <xf numFmtId="0" fontId="24" fillId="3" borderId="8" xfId="0" applyFont="1" applyFill="1" applyBorder="1"/>
    <xf numFmtId="165" fontId="22" fillId="3" borderId="19" xfId="3" applyFont="1" applyFill="1" applyBorder="1"/>
    <xf numFmtId="0" fontId="22" fillId="3" borderId="19" xfId="0" applyFont="1" applyFill="1" applyBorder="1"/>
    <xf numFmtId="0" fontId="24" fillId="3" borderId="13" xfId="0" applyFont="1" applyFill="1" applyBorder="1"/>
    <xf numFmtId="3" fontId="4" fillId="8" borderId="9" xfId="2" applyNumberFormat="1" applyFont="1" applyFill="1" applyBorder="1" applyAlignment="1" applyProtection="1">
      <alignment horizontal="center" vertical="center" wrapText="1"/>
    </xf>
    <xf numFmtId="0" fontId="44" fillId="3" borderId="7" xfId="0" applyFont="1" applyFill="1" applyBorder="1" applyAlignment="1">
      <alignment horizontal="left"/>
    </xf>
    <xf numFmtId="44" fontId="4" fillId="3" borderId="24" xfId="1" applyNumberFormat="1" applyFont="1" applyFill="1" applyBorder="1" applyAlignment="1" applyProtection="1">
      <alignment vertical="top"/>
      <protection locked="0"/>
    </xf>
    <xf numFmtId="3" fontId="4" fillId="3" borderId="0" xfId="2" applyNumberFormat="1" applyFont="1" applyFill="1" applyAlignment="1">
      <alignment vertical="top"/>
    </xf>
    <xf numFmtId="0" fontId="14" fillId="2" borderId="9" xfId="2" applyFont="1" applyFill="1" applyBorder="1" applyAlignment="1" applyProtection="1">
      <alignment vertical="top"/>
      <protection locked="0"/>
    </xf>
    <xf numFmtId="166" fontId="4" fillId="3" borderId="0" xfId="2" applyNumberFormat="1" applyFont="1" applyFill="1" applyAlignment="1">
      <alignment vertical="top"/>
    </xf>
    <xf numFmtId="166" fontId="4" fillId="3" borderId="2" xfId="2" applyNumberFormat="1" applyFont="1" applyFill="1" applyBorder="1" applyAlignment="1">
      <alignment vertical="top"/>
    </xf>
    <xf numFmtId="166" fontId="22" fillId="3" borderId="0" xfId="3" applyNumberFormat="1" applyFont="1" applyFill="1" applyBorder="1"/>
    <xf numFmtId="166" fontId="22" fillId="3" borderId="19" xfId="3" applyNumberFormat="1" applyFont="1" applyFill="1" applyBorder="1"/>
    <xf numFmtId="166" fontId="22" fillId="3" borderId="14" xfId="3" applyNumberFormat="1" applyFont="1" applyFill="1" applyBorder="1"/>
    <xf numFmtId="166" fontId="18" fillId="7" borderId="0" xfId="1" applyNumberFormat="1" applyFont="1" applyFill="1" applyBorder="1" applyAlignment="1" applyProtection="1">
      <alignment vertical="top"/>
    </xf>
    <xf numFmtId="166" fontId="22" fillId="3" borderId="0" xfId="1" applyNumberFormat="1" applyFont="1" applyFill="1" applyBorder="1"/>
    <xf numFmtId="166" fontId="22" fillId="3" borderId="19" xfId="1" applyNumberFormat="1" applyFont="1" applyFill="1" applyBorder="1"/>
    <xf numFmtId="166" fontId="22" fillId="3" borderId="14" xfId="1" applyNumberFormat="1" applyFont="1" applyFill="1" applyBorder="1"/>
    <xf numFmtId="166" fontId="20" fillId="4" borderId="0" xfId="0" applyNumberFormat="1" applyFont="1" applyFill="1" applyBorder="1" applyAlignment="1">
      <alignment horizontal="right" textRotation="90"/>
    </xf>
    <xf numFmtId="166" fontId="11" fillId="7" borderId="16" xfId="1" applyNumberFormat="1" applyFont="1" applyFill="1" applyBorder="1" applyAlignment="1" applyProtection="1">
      <alignment horizontal="right"/>
    </xf>
    <xf numFmtId="166" fontId="26" fillId="7" borderId="3" xfId="2" applyNumberFormat="1" applyFont="1" applyFill="1" applyBorder="1" applyAlignment="1">
      <alignment vertical="top"/>
    </xf>
    <xf numFmtId="166" fontId="43" fillId="7" borderId="7" xfId="3" applyNumberFormat="1" applyFont="1" applyFill="1" applyBorder="1"/>
    <xf numFmtId="44" fontId="22" fillId="8" borderId="6" xfId="1" applyNumberFormat="1" applyFont="1" applyFill="1" applyBorder="1" applyAlignment="1" applyProtection="1">
      <alignment horizontal="right"/>
    </xf>
    <xf numFmtId="44" fontId="22" fillId="8" borderId="9" xfId="1" applyNumberFormat="1" applyFont="1" applyFill="1" applyBorder="1" applyAlignment="1" applyProtection="1">
      <alignment horizontal="center"/>
    </xf>
    <xf numFmtId="44" fontId="22" fillId="8" borderId="21" xfId="1" applyNumberFormat="1" applyFont="1" applyFill="1" applyBorder="1" applyAlignment="1" applyProtection="1">
      <alignment horizontal="center"/>
    </xf>
    <xf numFmtId="44" fontId="6" fillId="7" borderId="44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right"/>
    </xf>
    <xf numFmtId="0" fontId="12" fillId="3" borderId="27" xfId="2" applyFont="1" applyFill="1" applyBorder="1" applyAlignment="1">
      <alignment horizontal="center" vertical="center" wrapText="1"/>
    </xf>
    <xf numFmtId="3" fontId="4" fillId="0" borderId="21" xfId="2" applyNumberFormat="1" applyFont="1" applyFill="1" applyBorder="1" applyAlignment="1" applyProtection="1">
      <alignment vertical="center" wrapText="1"/>
      <protection locked="0"/>
    </xf>
    <xf numFmtId="0" fontId="11" fillId="7" borderId="5" xfId="2" applyFont="1" applyFill="1" applyBorder="1" applyAlignment="1">
      <alignment vertical="top"/>
    </xf>
    <xf numFmtId="0" fontId="11" fillId="7" borderId="49" xfId="2" applyFont="1" applyFill="1" applyBorder="1" applyAlignment="1">
      <alignment vertical="top"/>
    </xf>
    <xf numFmtId="0" fontId="3" fillId="3" borderId="50" xfId="0" applyFont="1" applyFill="1" applyBorder="1"/>
    <xf numFmtId="0" fontId="7" fillId="3" borderId="50" xfId="2" applyFont="1" applyFill="1" applyBorder="1" applyAlignment="1">
      <alignment horizontal="left" vertical="top"/>
    </xf>
    <xf numFmtId="1" fontId="7" fillId="3" borderId="50" xfId="2" applyNumberFormat="1" applyFont="1" applyFill="1" applyBorder="1" applyAlignment="1">
      <alignment horizontal="left" vertical="top"/>
    </xf>
    <xf numFmtId="4" fontId="7" fillId="3" borderId="51" xfId="2" applyNumberFormat="1" applyFont="1" applyFill="1" applyBorder="1" applyAlignment="1">
      <alignment horizontal="left" vertical="top"/>
    </xf>
    <xf numFmtId="4" fontId="4" fillId="3" borderId="52" xfId="2" applyNumberFormat="1" applyFont="1" applyFill="1" applyBorder="1" applyAlignment="1">
      <alignment vertical="top"/>
    </xf>
    <xf numFmtId="4" fontId="7" fillId="3" borderId="50" xfId="2" applyNumberFormat="1" applyFont="1" applyFill="1" applyBorder="1" applyAlignment="1">
      <alignment horizontal="left" vertical="top"/>
    </xf>
    <xf numFmtId="0" fontId="28" fillId="8" borderId="35" xfId="0" applyFont="1" applyFill="1" applyBorder="1" applyAlignment="1" applyProtection="1">
      <alignment vertical="center"/>
    </xf>
    <xf numFmtId="0" fontId="12" fillId="8" borderId="0" xfId="2" applyFont="1" applyFill="1" applyBorder="1" applyAlignment="1">
      <alignment horizontal="left" vertical="center"/>
    </xf>
    <xf numFmtId="0" fontId="4" fillId="8" borderId="0" xfId="2" applyFont="1" applyFill="1" applyBorder="1" applyAlignment="1" applyProtection="1">
      <alignment vertical="top"/>
    </xf>
    <xf numFmtId="166" fontId="4" fillId="8" borderId="0" xfId="2" applyNumberFormat="1" applyFont="1" applyFill="1" applyBorder="1" applyAlignment="1" applyProtection="1">
      <alignment vertical="top"/>
    </xf>
    <xf numFmtId="166" fontId="14" fillId="8" borderId="0" xfId="1" applyNumberFormat="1" applyFont="1" applyFill="1" applyBorder="1" applyProtection="1"/>
    <xf numFmtId="166" fontId="28" fillId="8" borderId="0" xfId="1" applyNumberFormat="1" applyFont="1" applyFill="1" applyBorder="1" applyProtection="1"/>
    <xf numFmtId="166" fontId="28" fillId="8" borderId="0" xfId="1" applyNumberFormat="1" applyFont="1" applyFill="1" applyBorder="1" applyAlignment="1" applyProtection="1">
      <alignment vertical="top"/>
    </xf>
    <xf numFmtId="0" fontId="29" fillId="8" borderId="0" xfId="2" applyFont="1" applyFill="1" applyBorder="1" applyAlignment="1" applyProtection="1">
      <alignment vertical="top"/>
    </xf>
    <xf numFmtId="166" fontId="29" fillId="8" borderId="0" xfId="2" applyNumberFormat="1" applyFont="1" applyFill="1" applyBorder="1" applyAlignment="1" applyProtection="1">
      <alignment vertical="top"/>
    </xf>
    <xf numFmtId="166" fontId="28" fillId="8" borderId="0" xfId="2" applyNumberFormat="1" applyFont="1" applyFill="1" applyBorder="1" applyAlignment="1" applyProtection="1">
      <alignment vertical="top"/>
    </xf>
    <xf numFmtId="166" fontId="28" fillId="8" borderId="0" xfId="3" applyNumberFormat="1" applyFont="1" applyFill="1" applyBorder="1" applyProtection="1"/>
    <xf numFmtId="166" fontId="21" fillId="8" borderId="3" xfId="2" applyNumberFormat="1" applyFont="1" applyFill="1" applyBorder="1" applyAlignment="1">
      <alignment vertical="center"/>
    </xf>
    <xf numFmtId="0" fontId="21" fillId="8" borderId="0" xfId="2" applyFont="1" applyFill="1" applyBorder="1" applyAlignment="1">
      <alignment vertical="center"/>
    </xf>
    <xf numFmtId="166" fontId="21" fillId="8" borderId="0" xfId="2" applyNumberFormat="1" applyFont="1" applyFill="1" applyBorder="1" applyAlignment="1" applyProtection="1">
      <alignment vertical="center"/>
    </xf>
    <xf numFmtId="0" fontId="18" fillId="4" borderId="6" xfId="2" applyFont="1" applyFill="1" applyBorder="1" applyAlignment="1">
      <alignment horizontal="left" vertical="center" wrapText="1"/>
    </xf>
    <xf numFmtId="44" fontId="16" fillId="4" borderId="19" xfId="1" applyNumberFormat="1" applyFont="1" applyFill="1" applyBorder="1" applyAlignment="1">
      <alignment vertical="top"/>
    </xf>
    <xf numFmtId="0" fontId="37" fillId="8" borderId="0" xfId="0" applyFont="1" applyFill="1" applyAlignment="1">
      <alignment horizontal="right" vertical="center"/>
    </xf>
    <xf numFmtId="44" fontId="4" fillId="0" borderId="24" xfId="1" applyNumberFormat="1" applyFont="1" applyFill="1" applyBorder="1" applyAlignment="1" applyProtection="1">
      <alignment vertical="center"/>
      <protection locked="0"/>
    </xf>
    <xf numFmtId="44" fontId="4" fillId="0" borderId="33" xfId="1" applyNumberFormat="1" applyFont="1" applyFill="1" applyBorder="1" applyAlignment="1" applyProtection="1">
      <alignment vertical="center"/>
      <protection locked="0"/>
    </xf>
    <xf numFmtId="44" fontId="4" fillId="0" borderId="14" xfId="1" applyNumberFormat="1" applyFont="1" applyFill="1" applyBorder="1" applyAlignment="1" applyProtection="1">
      <alignment vertical="center"/>
      <protection locked="0"/>
    </xf>
    <xf numFmtId="44" fontId="4" fillId="0" borderId="19" xfId="1" applyNumberFormat="1" applyFont="1" applyFill="1" applyBorder="1" applyAlignment="1" applyProtection="1">
      <alignment vertical="center"/>
      <protection locked="0"/>
    </xf>
    <xf numFmtId="0" fontId="11" fillId="7" borderId="5" xfId="2" applyFont="1" applyFill="1" applyBorder="1" applyAlignment="1">
      <alignment vertical="center"/>
    </xf>
    <xf numFmtId="44" fontId="4" fillId="3" borderId="19" xfId="1" applyNumberFormat="1" applyFont="1" applyFill="1" applyBorder="1" applyAlignment="1" applyProtection="1">
      <alignment vertical="center"/>
    </xf>
    <xf numFmtId="4" fontId="4" fillId="0" borderId="8" xfId="2" applyNumberFormat="1" applyFont="1" applyFill="1" applyBorder="1" applyAlignment="1" applyProtection="1">
      <alignment horizontal="center" vertical="center"/>
      <protection locked="0"/>
    </xf>
    <xf numFmtId="4" fontId="4" fillId="0" borderId="13" xfId="2" applyNumberFormat="1" applyFont="1" applyFill="1" applyBorder="1" applyAlignment="1" applyProtection="1">
      <alignment horizontal="center" vertical="center"/>
      <protection locked="0"/>
    </xf>
    <xf numFmtId="44" fontId="12" fillId="3" borderId="0" xfId="2" applyNumberFormat="1" applyFont="1" applyFill="1" applyBorder="1" applyAlignment="1">
      <alignment horizontal="center" textRotation="90"/>
    </xf>
    <xf numFmtId="44" fontId="6" fillId="7" borderId="0" xfId="2" applyNumberFormat="1" applyFont="1" applyFill="1" applyBorder="1" applyAlignment="1">
      <alignment horizontal="center" wrapText="1"/>
    </xf>
    <xf numFmtId="44" fontId="4" fillId="3" borderId="0" xfId="2" applyNumberFormat="1" applyFont="1" applyFill="1" applyBorder="1" applyAlignment="1">
      <alignment vertical="top"/>
    </xf>
    <xf numFmtId="44" fontId="6" fillId="7" borderId="2" xfId="2" applyNumberFormat="1" applyFont="1" applyFill="1" applyBorder="1" applyAlignment="1">
      <alignment horizontal="center" wrapText="1"/>
    </xf>
    <xf numFmtId="44" fontId="16" fillId="4" borderId="20" xfId="1" applyNumberFormat="1" applyFont="1" applyFill="1" applyBorder="1" applyAlignment="1">
      <alignment vertical="top"/>
    </xf>
    <xf numFmtId="44" fontId="16" fillId="4" borderId="22" xfId="1" applyNumberFormat="1" applyFont="1" applyFill="1" applyBorder="1" applyAlignment="1">
      <alignment vertical="top"/>
    </xf>
    <xf numFmtId="0" fontId="35" fillId="3" borderId="0" xfId="0" applyFont="1" applyFill="1" applyBorder="1" applyProtection="1">
      <protection hidden="1"/>
    </xf>
    <xf numFmtId="0" fontId="45" fillId="0" borderId="9" xfId="2" applyFont="1" applyFill="1" applyBorder="1" applyAlignment="1" applyProtection="1">
      <alignment horizontal="left" vertical="center" wrapText="1"/>
      <protection locked="0"/>
    </xf>
    <xf numFmtId="3" fontId="11" fillId="4" borderId="9" xfId="2" applyNumberFormat="1" applyFont="1" applyFill="1" applyBorder="1" applyAlignment="1" applyProtection="1">
      <alignment horizontal="center" vertical="top"/>
      <protection hidden="1"/>
    </xf>
    <xf numFmtId="3" fontId="11" fillId="4" borderId="25" xfId="2" applyNumberFormat="1" applyFont="1" applyFill="1" applyBorder="1" applyAlignment="1" applyProtection="1">
      <alignment horizontal="center" vertical="top"/>
      <protection hidden="1"/>
    </xf>
    <xf numFmtId="3" fontId="11" fillId="4" borderId="15" xfId="2" applyNumberFormat="1" applyFont="1" applyFill="1" applyBorder="1" applyAlignment="1" applyProtection="1">
      <alignment horizontal="center" vertical="top"/>
      <protection hidden="1"/>
    </xf>
    <xf numFmtId="0" fontId="22" fillId="8" borderId="23" xfId="0" applyFont="1" applyFill="1" applyBorder="1" applyAlignment="1">
      <alignment horizontal="left"/>
    </xf>
    <xf numFmtId="0" fontId="8" fillId="3" borderId="0" xfId="0" applyFont="1" applyFill="1" applyBorder="1"/>
    <xf numFmtId="0" fontId="6" fillId="5" borderId="12" xfId="2" applyFont="1" applyFill="1" applyBorder="1" applyAlignment="1">
      <alignment horizontal="center" vertical="center"/>
    </xf>
    <xf numFmtId="0" fontId="41" fillId="7" borderId="4" xfId="0" applyFont="1" applyFill="1" applyBorder="1" applyAlignment="1">
      <alignment horizontal="center"/>
    </xf>
    <xf numFmtId="0" fontId="41" fillId="7" borderId="0" xfId="0" applyFont="1" applyFill="1" applyAlignment="1">
      <alignment horizontal="center"/>
    </xf>
    <xf numFmtId="0" fontId="11" fillId="7" borderId="1" xfId="2" applyFont="1" applyFill="1" applyBorder="1" applyAlignment="1">
      <alignment horizontal="left" vertical="top"/>
    </xf>
    <xf numFmtId="164" fontId="4" fillId="3" borderId="0" xfId="2" applyNumberFormat="1" applyFont="1" applyFill="1" applyAlignment="1">
      <alignment vertical="top"/>
    </xf>
    <xf numFmtId="0" fontId="8" fillId="0" borderId="9" xfId="2" applyFont="1" applyBorder="1" applyAlignment="1" applyProtection="1">
      <alignment horizontal="left" vertical="center" wrapText="1"/>
      <protection locked="0"/>
    </xf>
    <xf numFmtId="0" fontId="35" fillId="3" borderId="0" xfId="0" applyFont="1" applyFill="1" applyProtection="1">
      <protection hidden="1"/>
    </xf>
    <xf numFmtId="0" fontId="9" fillId="3" borderId="0" xfId="2" applyFont="1" applyFill="1" applyAlignment="1">
      <alignment horizontal="left" vertical="top"/>
    </xf>
    <xf numFmtId="0" fontId="7" fillId="3" borderId="0" xfId="2" applyFont="1" applyFill="1" applyAlignment="1">
      <alignment horizontal="left" vertical="top"/>
    </xf>
    <xf numFmtId="1" fontId="4" fillId="3" borderId="0" xfId="2" applyNumberFormat="1" applyFont="1" applyFill="1" applyAlignment="1">
      <alignment vertical="top"/>
    </xf>
    <xf numFmtId="4" fontId="7" fillId="3" borderId="0" xfId="2" applyNumberFormat="1" applyFont="1" applyFill="1" applyAlignment="1">
      <alignment horizontal="left" vertical="top"/>
    </xf>
    <xf numFmtId="3" fontId="10" fillId="3" borderId="0" xfId="2" applyNumberFormat="1" applyFont="1" applyFill="1" applyAlignment="1">
      <alignment vertical="top"/>
    </xf>
    <xf numFmtId="4" fontId="12" fillId="3" borderId="0" xfId="2" applyNumberFormat="1" applyFont="1" applyFill="1" applyAlignment="1">
      <alignment horizontal="left" vertical="top"/>
    </xf>
    <xf numFmtId="3" fontId="12" fillId="3" borderId="0" xfId="2" applyNumberFormat="1" applyFont="1" applyFill="1" applyAlignment="1">
      <alignment horizontal="left" vertical="top"/>
    </xf>
    <xf numFmtId="0" fontId="5" fillId="0" borderId="4" xfId="2" applyFont="1" applyBorder="1" applyAlignment="1">
      <alignment horizontal="left" vertical="center"/>
    </xf>
    <xf numFmtId="0" fontId="5" fillId="0" borderId="0" xfId="2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5" fillId="0" borderId="7" xfId="2" applyFont="1" applyBorder="1" applyAlignment="1">
      <alignment horizontal="left" vertical="top"/>
    </xf>
    <xf numFmtId="1" fontId="7" fillId="3" borderId="0" xfId="2" applyNumberFormat="1" applyFont="1" applyFill="1" applyAlignment="1">
      <alignment horizontal="left" vertical="top"/>
    </xf>
    <xf numFmtId="0" fontId="12" fillId="3" borderId="0" xfId="2" applyFont="1" applyFill="1" applyAlignment="1">
      <alignment horizontal="left" vertical="top"/>
    </xf>
    <xf numFmtId="0" fontId="14" fillId="3" borderId="0" xfId="2" applyFont="1" applyFill="1" applyAlignment="1">
      <alignment horizontal="right" vertical="top"/>
    </xf>
    <xf numFmtId="3" fontId="15" fillId="3" borderId="0" xfId="0" applyNumberFormat="1" applyFont="1" applyFill="1" applyAlignment="1">
      <alignment horizontal="center" vertical="center"/>
    </xf>
    <xf numFmtId="3" fontId="14" fillId="3" borderId="0" xfId="2" applyNumberFormat="1" applyFont="1" applyFill="1" applyAlignment="1">
      <alignment vertical="top"/>
    </xf>
    <xf numFmtId="0" fontId="3" fillId="6" borderId="0" xfId="0" applyFont="1" applyFill="1"/>
    <xf numFmtId="0" fontId="4" fillId="6" borderId="0" xfId="2" applyFont="1" applyFill="1" applyAlignment="1">
      <alignment vertical="top"/>
    </xf>
    <xf numFmtId="0" fontId="17" fillId="6" borderId="0" xfId="0" applyFont="1" applyFill="1" applyAlignment="1">
      <alignment horizontal="left" vertical="center"/>
    </xf>
    <xf numFmtId="3" fontId="11" fillId="4" borderId="15" xfId="2" applyNumberFormat="1" applyFont="1" applyFill="1" applyBorder="1" applyAlignment="1">
      <alignment horizontal="left" vertical="center"/>
    </xf>
    <xf numFmtId="3" fontId="17" fillId="6" borderId="0" xfId="0" applyNumberFormat="1" applyFont="1" applyFill="1" applyAlignment="1">
      <alignment vertical="center"/>
    </xf>
    <xf numFmtId="3" fontId="14" fillId="0" borderId="15" xfId="2" applyNumberFormat="1" applyFont="1" applyBorder="1" applyAlignment="1" applyProtection="1">
      <alignment horizontal="left" vertical="center"/>
      <protection locked="0"/>
    </xf>
    <xf numFmtId="0" fontId="27" fillId="6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4" fillId="6" borderId="0" xfId="2" applyFont="1" applyFill="1" applyAlignment="1">
      <alignment horizontal="center" vertical="center"/>
    </xf>
    <xf numFmtId="0" fontId="6" fillId="7" borderId="0" xfId="2" applyFont="1" applyFill="1" applyAlignment="1">
      <alignment horizontal="center" vertical="top" wrapText="1"/>
    </xf>
    <xf numFmtId="0" fontId="30" fillId="3" borderId="0" xfId="0" applyFont="1" applyFill="1"/>
    <xf numFmtId="0" fontId="9" fillId="7" borderId="0" xfId="2" applyFont="1" applyFill="1" applyAlignment="1">
      <alignment horizontal="left" vertical="top"/>
    </xf>
    <xf numFmtId="4" fontId="6" fillId="7" borderId="0" xfId="2" applyNumberFormat="1" applyFont="1" applyFill="1" applyAlignment="1">
      <alignment horizontal="center" vertical="top" wrapText="1"/>
    </xf>
    <xf numFmtId="4" fontId="6" fillId="7" borderId="0" xfId="2" applyNumberFormat="1" applyFont="1" applyFill="1" applyAlignment="1">
      <alignment horizontal="center" vertical="top"/>
    </xf>
    <xf numFmtId="44" fontId="15" fillId="4" borderId="1" xfId="1" applyFont="1" applyFill="1" applyBorder="1"/>
    <xf numFmtId="0" fontId="12" fillId="3" borderId="0" xfId="2" applyFont="1" applyFill="1" applyAlignment="1">
      <alignment horizontal="right" textRotation="90"/>
    </xf>
    <xf numFmtId="0" fontId="12" fillId="3" borderId="0" xfId="2" applyFont="1" applyFill="1" applyAlignment="1">
      <alignment horizontal="center" textRotation="90"/>
    </xf>
    <xf numFmtId="0" fontId="20" fillId="4" borderId="0" xfId="0" applyFont="1" applyFill="1" applyAlignment="1">
      <alignment horizontal="right" textRotation="90"/>
    </xf>
    <xf numFmtId="166" fontId="20" fillId="4" borderId="0" xfId="0" applyNumberFormat="1" applyFont="1" applyFill="1" applyAlignment="1">
      <alignment horizontal="right" textRotation="90"/>
    </xf>
    <xf numFmtId="0" fontId="12" fillId="9" borderId="9" xfId="2" applyFont="1" applyFill="1" applyBorder="1" applyAlignment="1">
      <alignment horizontal="center" vertical="center" wrapText="1"/>
    </xf>
    <xf numFmtId="3" fontId="4" fillId="0" borderId="8" xfId="2" applyNumberFormat="1" applyFont="1" applyBorder="1" applyAlignment="1" applyProtection="1">
      <alignment horizontal="right" vertical="center" wrapText="1"/>
      <protection locked="0"/>
    </xf>
    <xf numFmtId="3" fontId="4" fillId="0" borderId="19" xfId="2" applyNumberFormat="1" applyFont="1" applyBorder="1" applyAlignment="1" applyProtection="1">
      <alignment horizontal="right" vertical="center" wrapText="1"/>
      <protection locked="0"/>
    </xf>
    <xf numFmtId="3" fontId="4" fillId="0" borderId="19" xfId="2" applyNumberFormat="1" applyFont="1" applyBorder="1" applyAlignment="1" applyProtection="1">
      <alignment vertical="center" wrapText="1"/>
      <protection locked="0"/>
    </xf>
    <xf numFmtId="3" fontId="4" fillId="0" borderId="9" xfId="2" applyNumberFormat="1" applyFont="1" applyBorder="1" applyAlignment="1" applyProtection="1">
      <alignment vertical="center" wrapText="1"/>
      <protection locked="0"/>
    </xf>
    <xf numFmtId="4" fontId="4" fillId="0" borderId="8" xfId="2" applyNumberFormat="1" applyFont="1" applyBorder="1" applyAlignment="1" applyProtection="1">
      <alignment horizontal="center" vertical="center"/>
      <protection locked="0"/>
    </xf>
    <xf numFmtId="44" fontId="4" fillId="0" borderId="19" xfId="1" applyFont="1" applyFill="1" applyBorder="1" applyAlignment="1" applyProtection="1">
      <alignment horizontal="center" vertical="center"/>
      <protection locked="0"/>
    </xf>
    <xf numFmtId="44" fontId="16" fillId="4" borderId="20" xfId="1" applyFont="1" applyFill="1" applyBorder="1" applyAlignment="1">
      <alignment vertical="top"/>
    </xf>
    <xf numFmtId="44" fontId="16" fillId="4" borderId="19" xfId="1" applyFont="1" applyFill="1" applyBorder="1" applyAlignment="1">
      <alignment vertical="top"/>
    </xf>
    <xf numFmtId="3" fontId="4" fillId="8" borderId="9" xfId="2" applyNumberFormat="1" applyFont="1" applyFill="1" applyBorder="1" applyAlignment="1">
      <alignment horizontal="center" vertical="center" wrapText="1"/>
    </xf>
    <xf numFmtId="168" fontId="14" fillId="4" borderId="13" xfId="3" applyNumberFormat="1" applyFont="1" applyFill="1" applyBorder="1" applyAlignment="1" applyProtection="1">
      <alignment horizontal="right"/>
      <protection hidden="1"/>
    </xf>
    <xf numFmtId="166" fontId="14" fillId="4" borderId="14" xfId="1" applyNumberFormat="1" applyFont="1" applyFill="1" applyBorder="1" applyAlignment="1" applyProtection="1">
      <alignment horizontal="right"/>
      <protection hidden="1"/>
    </xf>
    <xf numFmtId="166" fontId="14" fillId="4" borderId="22" xfId="1" applyNumberFormat="1" applyFont="1" applyFill="1" applyBorder="1" applyAlignment="1" applyProtection="1">
      <alignment horizontal="right"/>
      <protection hidden="1"/>
    </xf>
    <xf numFmtId="0" fontId="23" fillId="3" borderId="0" xfId="0" applyFont="1" applyFill="1" applyAlignment="1" applyProtection="1">
      <alignment horizontal="right"/>
      <protection hidden="1"/>
    </xf>
    <xf numFmtId="166" fontId="14" fillId="4" borderId="13" xfId="1" applyNumberFormat="1" applyFont="1" applyFill="1" applyBorder="1" applyAlignment="1" applyProtection="1">
      <alignment horizontal="right"/>
      <protection hidden="1"/>
    </xf>
    <xf numFmtId="166" fontId="11" fillId="7" borderId="16" xfId="1" applyNumberFormat="1" applyFont="1" applyFill="1" applyBorder="1" applyAlignment="1" applyProtection="1">
      <alignment horizontal="right"/>
      <protection hidden="1"/>
    </xf>
    <xf numFmtId="168" fontId="20" fillId="3" borderId="1" xfId="0" applyNumberFormat="1" applyFont="1" applyFill="1" applyBorder="1" applyAlignment="1" applyProtection="1">
      <alignment horizontal="right" textRotation="90"/>
      <protection hidden="1"/>
    </xf>
    <xf numFmtId="166" fontId="20" fillId="3" borderId="2" xfId="0" applyNumberFormat="1" applyFont="1" applyFill="1" applyBorder="1" applyAlignment="1" applyProtection="1">
      <alignment horizontal="right" textRotation="90"/>
      <protection hidden="1"/>
    </xf>
    <xf numFmtId="166" fontId="20" fillId="3" borderId="18" xfId="0" applyNumberFormat="1" applyFont="1" applyFill="1" applyBorder="1" applyAlignment="1" applyProtection="1">
      <alignment horizontal="center" textRotation="90"/>
      <protection hidden="1"/>
    </xf>
    <xf numFmtId="0" fontId="3" fillId="3" borderId="0" xfId="0" applyFont="1" applyFill="1" applyProtection="1">
      <protection hidden="1"/>
    </xf>
    <xf numFmtId="166" fontId="20" fillId="3" borderId="1" xfId="0" applyNumberFormat="1" applyFont="1" applyFill="1" applyBorder="1" applyAlignment="1" applyProtection="1">
      <alignment horizontal="center" textRotation="90"/>
      <protection hidden="1"/>
    </xf>
    <xf numFmtId="166" fontId="21" fillId="7" borderId="16" xfId="0" applyNumberFormat="1" applyFont="1" applyFill="1" applyBorder="1" applyAlignment="1" applyProtection="1">
      <alignment horizontal="center" textRotation="90"/>
      <protection hidden="1"/>
    </xf>
    <xf numFmtId="0" fontId="31" fillId="7" borderId="0" xfId="2" applyFont="1" applyFill="1" applyAlignment="1">
      <alignment horizontal="left" vertical="top"/>
    </xf>
    <xf numFmtId="4" fontId="6" fillId="7" borderId="0" xfId="2" applyNumberFormat="1" applyFont="1" applyFill="1" applyAlignment="1">
      <alignment horizontal="center" wrapText="1"/>
    </xf>
    <xf numFmtId="4" fontId="6" fillId="7" borderId="0" xfId="2" applyNumberFormat="1" applyFont="1" applyFill="1" applyAlignment="1">
      <alignment horizontal="center"/>
    </xf>
    <xf numFmtId="168" fontId="11" fillId="4" borderId="1" xfId="2" applyNumberFormat="1" applyFont="1" applyFill="1" applyBorder="1" applyAlignment="1" applyProtection="1">
      <alignment horizontal="right"/>
      <protection hidden="1"/>
    </xf>
    <xf numFmtId="166" fontId="15" fillId="4" borderId="2" xfId="3" applyNumberFormat="1" applyFont="1" applyFill="1" applyBorder="1" applyAlignment="1" applyProtection="1">
      <alignment horizontal="right"/>
      <protection hidden="1"/>
    </xf>
    <xf numFmtId="166" fontId="15" fillId="4" borderId="18" xfId="3" applyNumberFormat="1" applyFont="1" applyFill="1" applyBorder="1" applyAlignment="1" applyProtection="1">
      <alignment horizontal="right"/>
      <protection hidden="1"/>
    </xf>
    <xf numFmtId="0" fontId="22" fillId="3" borderId="0" xfId="0" applyFont="1" applyFill="1" applyAlignment="1" applyProtection="1">
      <alignment horizontal="right"/>
      <protection hidden="1"/>
    </xf>
    <xf numFmtId="168" fontId="15" fillId="4" borderId="1" xfId="3" applyNumberFormat="1" applyFont="1" applyFill="1" applyBorder="1" applyAlignment="1" applyProtection="1">
      <alignment horizontal="right"/>
      <protection hidden="1"/>
    </xf>
    <xf numFmtId="166" fontId="15" fillId="4" borderId="1" xfId="1" applyNumberFormat="1" applyFont="1" applyFill="1" applyBorder="1" applyAlignment="1" applyProtection="1">
      <alignment horizontal="right"/>
      <protection hidden="1"/>
    </xf>
    <xf numFmtId="166" fontId="14" fillId="7" borderId="16" xfId="1" applyNumberFormat="1" applyFont="1" applyFill="1" applyBorder="1" applyAlignment="1" applyProtection="1">
      <alignment horizontal="right"/>
      <protection hidden="1"/>
    </xf>
    <xf numFmtId="3" fontId="4" fillId="0" borderId="8" xfId="2" applyNumberFormat="1" applyFont="1" applyBorder="1" applyAlignment="1" applyProtection="1">
      <alignment vertical="center" wrapText="1"/>
      <protection locked="0"/>
    </xf>
    <xf numFmtId="168" fontId="14" fillId="4" borderId="4" xfId="3" applyNumberFormat="1" applyFont="1" applyFill="1" applyBorder="1" applyAlignment="1" applyProtection="1">
      <alignment horizontal="right"/>
      <protection hidden="1"/>
    </xf>
    <xf numFmtId="166" fontId="14" fillId="4" borderId="0" xfId="1" applyNumberFormat="1" applyFont="1" applyFill="1" applyBorder="1" applyAlignment="1" applyProtection="1">
      <alignment horizontal="right"/>
      <protection hidden="1"/>
    </xf>
    <xf numFmtId="166" fontId="14" fillId="4" borderId="16" xfId="1" applyNumberFormat="1" applyFont="1" applyFill="1" applyBorder="1" applyAlignment="1" applyProtection="1">
      <alignment horizontal="right"/>
      <protection hidden="1"/>
    </xf>
    <xf numFmtId="166" fontId="14" fillId="4" borderId="4" xfId="1" applyNumberFormat="1" applyFont="1" applyFill="1" applyBorder="1" applyAlignment="1" applyProtection="1">
      <alignment horizontal="right"/>
      <protection hidden="1"/>
    </xf>
    <xf numFmtId="167" fontId="4" fillId="3" borderId="0" xfId="2" applyNumberFormat="1" applyFont="1" applyFill="1" applyAlignment="1">
      <alignment vertical="top"/>
    </xf>
    <xf numFmtId="166" fontId="14" fillId="4" borderId="0" xfId="3" applyNumberFormat="1" applyFont="1" applyFill="1" applyBorder="1" applyAlignment="1" applyProtection="1">
      <alignment horizontal="right"/>
      <protection hidden="1"/>
    </xf>
    <xf numFmtId="166" fontId="14" fillId="4" borderId="16" xfId="3" applyNumberFormat="1" applyFont="1" applyFill="1" applyBorder="1" applyAlignment="1" applyProtection="1">
      <alignment horizontal="right"/>
      <protection hidden="1"/>
    </xf>
    <xf numFmtId="168" fontId="24" fillId="4" borderId="1" xfId="0" applyNumberFormat="1" applyFont="1" applyFill="1" applyBorder="1" applyAlignment="1" applyProtection="1">
      <alignment horizontal="right"/>
      <protection hidden="1"/>
    </xf>
    <xf numFmtId="166" fontId="14" fillId="4" borderId="2" xfId="3" applyNumberFormat="1" applyFont="1" applyFill="1" applyBorder="1" applyAlignment="1" applyProtection="1">
      <alignment horizontal="right"/>
      <protection hidden="1"/>
    </xf>
    <xf numFmtId="166" fontId="14" fillId="4" borderId="18" xfId="3" applyNumberFormat="1" applyFont="1" applyFill="1" applyBorder="1" applyAlignment="1" applyProtection="1">
      <alignment horizontal="right"/>
      <protection hidden="1"/>
    </xf>
    <xf numFmtId="168" fontId="14" fillId="4" borderId="1" xfId="3" applyNumberFormat="1" applyFont="1" applyFill="1" applyBorder="1" applyAlignment="1" applyProtection="1">
      <alignment horizontal="right"/>
      <protection hidden="1"/>
    </xf>
    <xf numFmtId="166" fontId="14" fillId="4" borderId="1" xfId="1" applyNumberFormat="1" applyFont="1" applyFill="1" applyBorder="1" applyAlignment="1" applyProtection="1">
      <alignment horizontal="right"/>
      <protection hidden="1"/>
    </xf>
    <xf numFmtId="3" fontId="4" fillId="0" borderId="9" xfId="2" applyNumberFormat="1" applyFont="1" applyBorder="1" applyAlignment="1" applyProtection="1">
      <alignment horizontal="center" vertical="center" wrapText="1"/>
      <protection locked="0"/>
    </xf>
    <xf numFmtId="0" fontId="4" fillId="6" borderId="0" xfId="2" applyFont="1" applyFill="1" applyAlignment="1">
      <alignment vertical="center"/>
    </xf>
    <xf numFmtId="3" fontId="4" fillId="0" borderId="13" xfId="2" applyNumberFormat="1" applyFont="1" applyBorder="1" applyAlignment="1" applyProtection="1">
      <alignment vertical="center" wrapText="1"/>
      <protection locked="0"/>
    </xf>
    <xf numFmtId="3" fontId="4" fillId="0" borderId="14" xfId="2" applyNumberFormat="1" applyFont="1" applyBorder="1" applyAlignment="1" applyProtection="1">
      <alignment vertical="center" wrapText="1"/>
      <protection locked="0"/>
    </xf>
    <xf numFmtId="3" fontId="4" fillId="0" borderId="21" xfId="2" applyNumberFormat="1" applyFont="1" applyBorder="1" applyAlignment="1" applyProtection="1">
      <alignment vertical="center" wrapText="1"/>
      <protection locked="0"/>
    </xf>
    <xf numFmtId="4" fontId="4" fillId="0" borderId="13" xfId="2" applyNumberFormat="1" applyFont="1" applyBorder="1" applyAlignment="1" applyProtection="1">
      <alignment horizontal="center" vertical="center"/>
      <protection locked="0"/>
    </xf>
    <xf numFmtId="44" fontId="4" fillId="0" borderId="14" xfId="1" applyFont="1" applyFill="1" applyBorder="1" applyAlignment="1" applyProtection="1">
      <alignment horizontal="center" vertical="center"/>
      <protection locked="0"/>
    </xf>
    <xf numFmtId="44" fontId="16" fillId="4" borderId="22" xfId="1" applyFont="1" applyFill="1" applyBorder="1" applyAlignment="1">
      <alignment vertical="top"/>
    </xf>
    <xf numFmtId="44" fontId="16" fillId="4" borderId="14" xfId="1" applyFont="1" applyFill="1" applyBorder="1" applyAlignment="1">
      <alignment vertical="top"/>
    </xf>
    <xf numFmtId="3" fontId="4" fillId="0" borderId="15" xfId="2" applyNumberFormat="1" applyFont="1" applyBorder="1" applyAlignment="1" applyProtection="1">
      <alignment horizontal="center" vertical="center" wrapText="1"/>
      <protection locked="0"/>
    </xf>
    <xf numFmtId="165" fontId="14" fillId="4" borderId="4" xfId="3" applyFont="1" applyFill="1" applyBorder="1" applyAlignment="1" applyProtection="1">
      <alignment horizontal="right"/>
      <protection hidden="1"/>
    </xf>
    <xf numFmtId="0" fontId="23" fillId="3" borderId="16" xfId="0" applyFont="1" applyFill="1" applyBorder="1" applyAlignment="1" applyProtection="1">
      <alignment horizontal="right"/>
      <protection hidden="1"/>
    </xf>
    <xf numFmtId="0" fontId="4" fillId="4" borderId="2" xfId="2" applyFont="1" applyFill="1" applyBorder="1" applyAlignment="1" applyProtection="1">
      <alignment vertical="top"/>
      <protection hidden="1"/>
    </xf>
    <xf numFmtId="166" fontId="4" fillId="4" borderId="2" xfId="2" applyNumberFormat="1" applyFont="1" applyFill="1" applyBorder="1" applyAlignment="1" applyProtection="1">
      <alignment vertical="top"/>
      <protection hidden="1"/>
    </xf>
    <xf numFmtId="166" fontId="4" fillId="4" borderId="18" xfId="2" applyNumberFormat="1" applyFont="1" applyFill="1" applyBorder="1" applyAlignment="1" applyProtection="1">
      <alignment vertical="top"/>
      <protection hidden="1"/>
    </xf>
    <xf numFmtId="0" fontId="4" fillId="3" borderId="2" xfId="2" applyFont="1" applyFill="1" applyBorder="1" applyAlignment="1" applyProtection="1">
      <alignment vertical="top"/>
      <protection hidden="1"/>
    </xf>
    <xf numFmtId="0" fontId="4" fillId="4" borderId="1" xfId="2" applyFont="1" applyFill="1" applyBorder="1" applyAlignment="1" applyProtection="1">
      <alignment vertical="top"/>
      <protection hidden="1"/>
    </xf>
    <xf numFmtId="166" fontId="4" fillId="4" borderId="1" xfId="2" applyNumberFormat="1" applyFont="1" applyFill="1" applyBorder="1" applyAlignment="1" applyProtection="1">
      <alignment vertical="top"/>
      <protection hidden="1"/>
    </xf>
    <xf numFmtId="166" fontId="11" fillId="7" borderId="18" xfId="1" applyNumberFormat="1" applyFont="1" applyFill="1" applyBorder="1" applyAlignment="1" applyProtection="1">
      <alignment horizontal="right"/>
      <protection hidden="1"/>
    </xf>
    <xf numFmtId="0" fontId="4" fillId="4" borderId="24" xfId="2" applyFont="1" applyFill="1" applyBorder="1" applyAlignment="1" applyProtection="1">
      <alignment vertical="top"/>
      <protection hidden="1"/>
    </xf>
    <xf numFmtId="166" fontId="4" fillId="4" borderId="24" xfId="2" applyNumberFormat="1" applyFont="1" applyFill="1" applyBorder="1" applyAlignment="1" applyProtection="1">
      <alignment vertical="top"/>
      <protection hidden="1"/>
    </xf>
    <xf numFmtId="166" fontId="4" fillId="4" borderId="26" xfId="2" applyNumberFormat="1" applyFont="1" applyFill="1" applyBorder="1" applyAlignment="1" applyProtection="1">
      <alignment vertical="top"/>
      <protection hidden="1"/>
    </xf>
    <xf numFmtId="0" fontId="4" fillId="3" borderId="0" xfId="2" applyFont="1" applyFill="1" applyAlignment="1" applyProtection="1">
      <alignment vertical="top"/>
      <protection hidden="1"/>
    </xf>
    <xf numFmtId="0" fontId="4" fillId="4" borderId="23" xfId="2" applyFont="1" applyFill="1" applyBorder="1" applyAlignment="1" applyProtection="1">
      <alignment vertical="top"/>
      <protection hidden="1"/>
    </xf>
    <xf numFmtId="44" fontId="4" fillId="0" borderId="24" xfId="1" applyFont="1" applyFill="1" applyBorder="1" applyAlignment="1" applyProtection="1">
      <alignment vertical="center"/>
      <protection locked="0"/>
    </xf>
    <xf numFmtId="166" fontId="14" fillId="4" borderId="24" xfId="1" applyNumberFormat="1" applyFont="1" applyFill="1" applyBorder="1" applyAlignment="1" applyProtection="1">
      <alignment vertical="top"/>
      <protection hidden="1"/>
    </xf>
    <xf numFmtId="166" fontId="14" fillId="4" borderId="26" xfId="1" applyNumberFormat="1" applyFont="1" applyFill="1" applyBorder="1" applyAlignment="1" applyProtection="1">
      <protection hidden="1"/>
    </xf>
    <xf numFmtId="0" fontId="23" fillId="3" borderId="0" xfId="2" applyFont="1" applyFill="1" applyAlignment="1" applyProtection="1">
      <alignment vertical="top"/>
      <protection hidden="1"/>
    </xf>
    <xf numFmtId="0" fontId="23" fillId="4" borderId="23" xfId="2" applyFont="1" applyFill="1" applyBorder="1" applyAlignment="1" applyProtection="1">
      <alignment vertical="top"/>
      <protection hidden="1"/>
    </xf>
    <xf numFmtId="166" fontId="23" fillId="4" borderId="24" xfId="2" applyNumberFormat="1" applyFont="1" applyFill="1" applyBorder="1" applyAlignment="1" applyProtection="1">
      <alignment vertical="top"/>
      <protection hidden="1"/>
    </xf>
    <xf numFmtId="166" fontId="14" fillId="4" borderId="24" xfId="2" applyNumberFormat="1" applyFont="1" applyFill="1" applyBorder="1" applyAlignment="1" applyProtection="1">
      <alignment vertical="top"/>
      <protection hidden="1"/>
    </xf>
    <xf numFmtId="166" fontId="14" fillId="4" borderId="23" xfId="2" applyNumberFormat="1" applyFont="1" applyFill="1" applyBorder="1" applyAlignment="1" applyProtection="1">
      <alignment vertical="top"/>
      <protection hidden="1"/>
    </xf>
    <xf numFmtId="165" fontId="22" fillId="4" borderId="19" xfId="3" applyFont="1" applyFill="1" applyBorder="1" applyProtection="1">
      <protection hidden="1"/>
    </xf>
    <xf numFmtId="166" fontId="22" fillId="4" borderId="19" xfId="3" applyNumberFormat="1" applyFont="1" applyFill="1" applyBorder="1" applyProtection="1">
      <protection hidden="1"/>
    </xf>
    <xf numFmtId="166" fontId="14" fillId="4" borderId="19" xfId="1" applyNumberFormat="1" applyFont="1" applyFill="1" applyBorder="1" applyProtection="1">
      <protection hidden="1"/>
    </xf>
    <xf numFmtId="166" fontId="14" fillId="4" borderId="20" xfId="1" applyNumberFormat="1" applyFont="1" applyFill="1" applyBorder="1" applyAlignment="1" applyProtection="1">
      <protection hidden="1"/>
    </xf>
    <xf numFmtId="0" fontId="23" fillId="3" borderId="0" xfId="0" applyFont="1" applyFill="1" applyProtection="1">
      <protection hidden="1"/>
    </xf>
    <xf numFmtId="165" fontId="23" fillId="4" borderId="8" xfId="3" applyFont="1" applyFill="1" applyBorder="1" applyProtection="1">
      <protection hidden="1"/>
    </xf>
    <xf numFmtId="166" fontId="23" fillId="4" borderId="19" xfId="3" applyNumberFormat="1" applyFont="1" applyFill="1" applyBorder="1" applyProtection="1">
      <protection hidden="1"/>
    </xf>
    <xf numFmtId="166" fontId="14" fillId="4" borderId="19" xfId="2" applyNumberFormat="1" applyFont="1" applyFill="1" applyBorder="1" applyAlignment="1" applyProtection="1">
      <alignment vertical="top"/>
      <protection hidden="1"/>
    </xf>
    <xf numFmtId="166" fontId="14" fillId="4" borderId="8" xfId="3" applyNumberFormat="1" applyFont="1" applyFill="1" applyBorder="1" applyProtection="1">
      <protection hidden="1"/>
    </xf>
    <xf numFmtId="165" fontId="22" fillId="3" borderId="19" xfId="3" applyFont="1" applyFill="1" applyBorder="1" applyProtection="1">
      <protection hidden="1"/>
    </xf>
    <xf numFmtId="3" fontId="4" fillId="3" borderId="0" xfId="2" applyNumberFormat="1" applyFont="1" applyFill="1" applyAlignment="1" applyProtection="1">
      <alignment vertical="top"/>
      <protection hidden="1"/>
    </xf>
    <xf numFmtId="166" fontId="4" fillId="3" borderId="0" xfId="2" applyNumberFormat="1" applyFont="1" applyFill="1" applyAlignment="1" applyProtection="1">
      <alignment vertical="top"/>
      <protection hidden="1"/>
    </xf>
    <xf numFmtId="166" fontId="23" fillId="3" borderId="0" xfId="2" applyNumberFormat="1" applyFont="1" applyFill="1" applyAlignment="1" applyProtection="1">
      <alignment vertical="top"/>
      <protection hidden="1"/>
    </xf>
    <xf numFmtId="166" fontId="23" fillId="3" borderId="9" xfId="2" applyNumberFormat="1" applyFont="1" applyFill="1" applyBorder="1" applyAlignment="1" applyProtection="1">
      <alignment vertical="top"/>
      <protection hidden="1"/>
    </xf>
    <xf numFmtId="164" fontId="23" fillId="3" borderId="8" xfId="2" applyNumberFormat="1" applyFont="1" applyFill="1" applyBorder="1" applyAlignment="1" applyProtection="1">
      <alignment vertical="top"/>
      <protection hidden="1"/>
    </xf>
    <xf numFmtId="166" fontId="23" fillId="3" borderId="19" xfId="2" applyNumberFormat="1" applyFont="1" applyFill="1" applyBorder="1" applyAlignment="1" applyProtection="1">
      <alignment vertical="top"/>
      <protection hidden="1"/>
    </xf>
    <xf numFmtId="3" fontId="4" fillId="4" borderId="19" xfId="2" applyNumberFormat="1" applyFont="1" applyFill="1" applyBorder="1" applyAlignment="1" applyProtection="1">
      <alignment vertical="top"/>
      <protection hidden="1"/>
    </xf>
    <xf numFmtId="166" fontId="4" fillId="4" borderId="19" xfId="2" applyNumberFormat="1" applyFont="1" applyFill="1" applyBorder="1" applyAlignment="1" applyProtection="1">
      <alignment vertical="top"/>
      <protection hidden="1"/>
    </xf>
    <xf numFmtId="166" fontId="23" fillId="4" borderId="19" xfId="2" applyNumberFormat="1" applyFont="1" applyFill="1" applyBorder="1" applyAlignment="1" applyProtection="1">
      <alignment vertical="top"/>
      <protection hidden="1"/>
    </xf>
    <xf numFmtId="166" fontId="23" fillId="4" borderId="9" xfId="2" applyNumberFormat="1" applyFont="1" applyFill="1" applyBorder="1" applyAlignment="1" applyProtection="1">
      <alignment vertical="top"/>
      <protection hidden="1"/>
    </xf>
    <xf numFmtId="164" fontId="23" fillId="4" borderId="8" xfId="2" applyNumberFormat="1" applyFont="1" applyFill="1" applyBorder="1" applyAlignment="1" applyProtection="1">
      <alignment vertical="top"/>
      <protection hidden="1"/>
    </xf>
    <xf numFmtId="166" fontId="23" fillId="4" borderId="0" xfId="2" applyNumberFormat="1" applyFont="1" applyFill="1" applyAlignment="1" applyProtection="1">
      <alignment vertical="top"/>
      <protection hidden="1"/>
    </xf>
    <xf numFmtId="44" fontId="4" fillId="0" borderId="33" xfId="1" applyFont="1" applyFill="1" applyBorder="1" applyAlignment="1" applyProtection="1">
      <alignment vertical="center"/>
      <protection locked="0"/>
    </xf>
    <xf numFmtId="44" fontId="4" fillId="0" borderId="14" xfId="1" applyFont="1" applyFill="1" applyBorder="1" applyAlignment="1" applyProtection="1">
      <alignment vertical="center"/>
      <protection locked="0"/>
    </xf>
    <xf numFmtId="166" fontId="14" fillId="4" borderId="9" xfId="2" applyNumberFormat="1" applyFont="1" applyFill="1" applyBorder="1" applyAlignment="1" applyProtection="1">
      <alignment vertical="top"/>
      <protection hidden="1"/>
    </xf>
    <xf numFmtId="0" fontId="11" fillId="7" borderId="1" xfId="2" applyFont="1" applyFill="1" applyBorder="1" applyAlignment="1" applyProtection="1">
      <alignment vertical="top"/>
      <protection hidden="1"/>
    </xf>
    <xf numFmtId="4" fontId="21" fillId="3" borderId="0" xfId="2" applyNumberFormat="1" applyFont="1" applyFill="1" applyAlignment="1">
      <alignment vertical="center"/>
    </xf>
    <xf numFmtId="44" fontId="4" fillId="3" borderId="24" xfId="1" applyFont="1" applyFill="1" applyBorder="1" applyAlignment="1" applyProtection="1">
      <alignment vertical="top"/>
      <protection locked="0"/>
    </xf>
    <xf numFmtId="0" fontId="4" fillId="4" borderId="33" xfId="2" applyFont="1" applyFill="1" applyBorder="1" applyAlignment="1" applyProtection="1">
      <alignment vertical="top"/>
      <protection hidden="1"/>
    </xf>
    <xf numFmtId="166" fontId="4" fillId="4" borderId="33" xfId="2" applyNumberFormat="1" applyFont="1" applyFill="1" applyBorder="1" applyAlignment="1" applyProtection="1">
      <alignment vertical="top"/>
      <protection hidden="1"/>
    </xf>
    <xf numFmtId="166" fontId="14" fillId="4" borderId="33" xfId="1" applyNumberFormat="1" applyFont="1" applyFill="1" applyBorder="1" applyProtection="1">
      <protection hidden="1"/>
    </xf>
    <xf numFmtId="166" fontId="14" fillId="4" borderId="34" xfId="1" applyNumberFormat="1" applyFont="1" applyFill="1" applyBorder="1" applyAlignment="1" applyProtection="1">
      <alignment vertical="top"/>
      <protection hidden="1"/>
    </xf>
    <xf numFmtId="0" fontId="23" fillId="3" borderId="16" xfId="2" applyFont="1" applyFill="1" applyBorder="1" applyAlignment="1" applyProtection="1">
      <alignment vertical="top"/>
      <protection hidden="1"/>
    </xf>
    <xf numFmtId="0" fontId="23" fillId="4" borderId="31" xfId="2" applyFont="1" applyFill="1" applyBorder="1" applyAlignment="1" applyProtection="1">
      <alignment vertical="top"/>
      <protection hidden="1"/>
    </xf>
    <xf numFmtId="166" fontId="23" fillId="4" borderId="33" xfId="2" applyNumberFormat="1" applyFont="1" applyFill="1" applyBorder="1" applyAlignment="1" applyProtection="1">
      <alignment vertical="top"/>
      <protection hidden="1"/>
    </xf>
    <xf numFmtId="166" fontId="14" fillId="4" borderId="33" xfId="2" applyNumberFormat="1" applyFont="1" applyFill="1" applyBorder="1" applyAlignment="1" applyProtection="1">
      <alignment vertical="top"/>
      <protection hidden="1"/>
    </xf>
    <xf numFmtId="166" fontId="14" fillId="4" borderId="14" xfId="2" applyNumberFormat="1" applyFont="1" applyFill="1" applyBorder="1" applyAlignment="1" applyProtection="1">
      <alignment vertical="top"/>
      <protection hidden="1"/>
    </xf>
    <xf numFmtId="166" fontId="14" fillId="4" borderId="31" xfId="3" applyNumberFormat="1" applyFont="1" applyFill="1" applyBorder="1" applyProtection="1">
      <protection hidden="1"/>
    </xf>
    <xf numFmtId="166" fontId="11" fillId="7" borderId="22" xfId="1" applyNumberFormat="1" applyFont="1" applyFill="1" applyBorder="1" applyAlignment="1" applyProtection="1">
      <alignment horizontal="right"/>
      <protection hidden="1"/>
    </xf>
    <xf numFmtId="44" fontId="4" fillId="0" borderId="19" xfId="1" applyFont="1" applyFill="1" applyBorder="1" applyAlignment="1" applyProtection="1">
      <alignment vertical="center"/>
      <protection locked="0"/>
    </xf>
    <xf numFmtId="0" fontId="12" fillId="8" borderId="0" xfId="2" applyFont="1" applyFill="1" applyAlignment="1">
      <alignment horizontal="left" vertical="center"/>
    </xf>
    <xf numFmtId="166" fontId="4" fillId="8" borderId="0" xfId="2" applyNumberFormat="1" applyFont="1" applyFill="1" applyAlignment="1">
      <alignment vertical="top"/>
    </xf>
    <xf numFmtId="0" fontId="29" fillId="8" borderId="0" xfId="2" applyFont="1" applyFill="1" applyAlignment="1">
      <alignment vertical="top"/>
    </xf>
    <xf numFmtId="166" fontId="29" fillId="8" borderId="0" xfId="2" applyNumberFormat="1" applyFont="1" applyFill="1" applyAlignment="1">
      <alignment vertical="top"/>
    </xf>
    <xf numFmtId="166" fontId="28" fillId="8" borderId="0" xfId="2" applyNumberFormat="1" applyFont="1" applyFill="1" applyAlignment="1">
      <alignment vertical="top"/>
    </xf>
    <xf numFmtId="0" fontId="8" fillId="3" borderId="0" xfId="0" applyFont="1" applyFill="1"/>
    <xf numFmtId="44" fontId="4" fillId="3" borderId="19" xfId="1" applyFont="1" applyFill="1" applyBorder="1" applyAlignment="1" applyProtection="1">
      <alignment vertical="center"/>
    </xf>
    <xf numFmtId="0" fontId="21" fillId="8" borderId="0" xfId="2" applyFont="1" applyFill="1" applyAlignment="1">
      <alignment vertical="center"/>
    </xf>
    <xf numFmtId="166" fontId="21" fillId="8" borderId="0" xfId="2" applyNumberFormat="1" applyFont="1" applyFill="1" applyAlignment="1">
      <alignment vertical="center"/>
    </xf>
    <xf numFmtId="0" fontId="18" fillId="7" borderId="0" xfId="2" applyFont="1" applyFill="1" applyAlignment="1">
      <alignment vertical="top"/>
    </xf>
    <xf numFmtId="0" fontId="28" fillId="8" borderId="35" xfId="0" applyFont="1" applyFill="1" applyBorder="1" applyAlignment="1">
      <alignment vertical="center"/>
    </xf>
    <xf numFmtId="3" fontId="22" fillId="8" borderId="30" xfId="0" applyNumberFormat="1" applyFont="1" applyFill="1" applyBorder="1" applyAlignment="1" applyProtection="1">
      <alignment horizontal="right"/>
      <protection hidden="1"/>
    </xf>
    <xf numFmtId="3" fontId="15" fillId="8" borderId="35" xfId="0" applyNumberFormat="1" applyFont="1" applyFill="1" applyBorder="1" applyAlignment="1" applyProtection="1">
      <alignment horizontal="right"/>
      <protection hidden="1"/>
    </xf>
    <xf numFmtId="0" fontId="15" fillId="8" borderId="0" xfId="0" applyFont="1" applyFill="1" applyAlignment="1" applyProtection="1">
      <alignment vertical="center"/>
      <protection hidden="1"/>
    </xf>
    <xf numFmtId="0" fontId="41" fillId="7" borderId="13" xfId="0" applyFont="1" applyFill="1" applyBorder="1" applyAlignment="1">
      <alignment horizontal="center"/>
    </xf>
    <xf numFmtId="0" fontId="41" fillId="7" borderId="15" xfId="0" applyFont="1" applyFill="1" applyBorder="1" applyAlignment="1">
      <alignment horizontal="center"/>
    </xf>
    <xf numFmtId="168" fontId="22" fillId="8" borderId="20" xfId="4" applyNumberFormat="1" applyFont="1" applyFill="1" applyBorder="1" applyAlignment="1" applyProtection="1">
      <alignment horizontal="center"/>
      <protection hidden="1"/>
    </xf>
    <xf numFmtId="44" fontId="22" fillId="8" borderId="6" xfId="1" applyFont="1" applyFill="1" applyBorder="1" applyAlignment="1" applyProtection="1">
      <alignment horizontal="right"/>
    </xf>
    <xf numFmtId="44" fontId="22" fillId="8" borderId="9" xfId="1" applyFont="1" applyFill="1" applyBorder="1" applyAlignment="1" applyProtection="1">
      <alignment horizontal="center"/>
    </xf>
    <xf numFmtId="168" fontId="22" fillId="8" borderId="34" xfId="4" applyNumberFormat="1" applyFont="1" applyFill="1" applyBorder="1" applyAlignment="1" applyProtection="1">
      <alignment horizontal="center"/>
      <protection hidden="1"/>
    </xf>
    <xf numFmtId="44" fontId="22" fillId="8" borderId="21" xfId="1" applyFont="1" applyFill="1" applyBorder="1" applyAlignment="1" applyProtection="1">
      <alignment horizontal="center"/>
    </xf>
    <xf numFmtId="44" fontId="6" fillId="7" borderId="44" xfId="1" applyFont="1" applyFill="1" applyBorder="1" applyAlignment="1" applyProtection="1">
      <alignment horizontal="center"/>
    </xf>
    <xf numFmtId="0" fontId="30" fillId="3" borderId="4" xfId="0" applyFont="1" applyFill="1" applyBorder="1"/>
    <xf numFmtId="0" fontId="5" fillId="3" borderId="27" xfId="2" applyFont="1" applyFill="1" applyBorder="1" applyAlignment="1">
      <alignment horizontal="center" vertical="center" wrapText="1"/>
    </xf>
    <xf numFmtId="0" fontId="5" fillId="9" borderId="9" xfId="2" applyFont="1" applyFill="1" applyBorder="1" applyAlignment="1">
      <alignment horizontal="center" vertical="center" wrapText="1"/>
    </xf>
    <xf numFmtId="3" fontId="22" fillId="0" borderId="8" xfId="2" applyNumberFormat="1" applyFont="1" applyBorder="1" applyAlignment="1" applyProtection="1">
      <alignment horizontal="right" vertical="center" wrapText="1"/>
      <protection locked="0"/>
    </xf>
    <xf numFmtId="3" fontId="22" fillId="0" borderId="19" xfId="2" applyNumberFormat="1" applyFont="1" applyBorder="1" applyAlignment="1" applyProtection="1">
      <alignment horizontal="right" vertical="center" wrapText="1"/>
      <protection locked="0"/>
    </xf>
    <xf numFmtId="3" fontId="22" fillId="0" borderId="19" xfId="2" applyNumberFormat="1" applyFont="1" applyBorder="1" applyAlignment="1" applyProtection="1">
      <alignment vertical="center" wrapText="1"/>
      <protection locked="0"/>
    </xf>
    <xf numFmtId="3" fontId="22" fillId="0" borderId="9" xfId="2" applyNumberFormat="1" applyFont="1" applyBorder="1" applyAlignment="1" applyProtection="1">
      <alignment vertical="center" wrapText="1"/>
      <protection locked="0"/>
    </xf>
    <xf numFmtId="166" fontId="6" fillId="4" borderId="20" xfId="1" applyNumberFormat="1" applyFont="1" applyFill="1" applyBorder="1" applyAlignment="1">
      <alignment vertical="top"/>
    </xf>
    <xf numFmtId="4" fontId="22" fillId="0" borderId="8" xfId="2" applyNumberFormat="1" applyFont="1" applyBorder="1" applyAlignment="1" applyProtection="1">
      <alignment horizontal="center" vertical="center"/>
      <protection locked="0"/>
    </xf>
    <xf numFmtId="44" fontId="22" fillId="0" borderId="19" xfId="1" applyFont="1" applyFill="1" applyBorder="1" applyAlignment="1" applyProtection="1">
      <alignment horizontal="center" vertical="center"/>
      <protection locked="0"/>
    </xf>
    <xf numFmtId="44" fontId="6" fillId="4" borderId="20" xfId="1" applyFont="1" applyFill="1" applyBorder="1" applyAlignment="1">
      <alignment vertical="top"/>
    </xf>
    <xf numFmtId="44" fontId="6" fillId="4" borderId="19" xfId="1" applyFont="1" applyFill="1" applyBorder="1" applyAlignment="1">
      <alignment vertical="top"/>
    </xf>
    <xf numFmtId="3" fontId="22" fillId="8" borderId="9" xfId="2" applyNumberFormat="1" applyFont="1" applyFill="1" applyBorder="1" applyAlignment="1">
      <alignment horizontal="center" vertical="center" wrapText="1"/>
    </xf>
    <xf numFmtId="0" fontId="30" fillId="3" borderId="7" xfId="0" applyFont="1" applyFill="1" applyBorder="1"/>
    <xf numFmtId="0" fontId="30" fillId="6" borderId="0" xfId="0" applyFont="1" applyFill="1"/>
    <xf numFmtId="0" fontId="22" fillId="6" borderId="0" xfId="2" applyFont="1" applyFill="1" applyAlignment="1">
      <alignment vertical="top"/>
    </xf>
    <xf numFmtId="0" fontId="22" fillId="3" borderId="7" xfId="2" applyFont="1" applyFill="1" applyBorder="1" applyAlignment="1">
      <alignment vertical="top"/>
    </xf>
    <xf numFmtId="0" fontId="22" fillId="2" borderId="0" xfId="2" applyFont="1" applyFill="1" applyAlignment="1">
      <alignment vertical="top"/>
    </xf>
    <xf numFmtId="3" fontId="22" fillId="0" borderId="8" xfId="2" applyNumberFormat="1" applyFont="1" applyBorder="1" applyAlignment="1" applyProtection="1">
      <alignment vertical="center" wrapText="1"/>
      <protection locked="0"/>
    </xf>
    <xf numFmtId="3" fontId="22" fillId="3" borderId="24" xfId="2" applyNumberFormat="1" applyFont="1" applyFill="1" applyBorder="1" applyAlignment="1">
      <alignment horizontal="center" vertical="top" wrapText="1"/>
    </xf>
    <xf numFmtId="3" fontId="22" fillId="0" borderId="9" xfId="2" applyNumberFormat="1" applyFont="1" applyBorder="1" applyAlignment="1" applyProtection="1">
      <alignment horizontal="center" vertical="center" wrapText="1"/>
      <protection locked="0"/>
    </xf>
    <xf numFmtId="0" fontId="46" fillId="3" borderId="7" xfId="0" applyFont="1" applyFill="1" applyBorder="1" applyAlignment="1">
      <alignment horizontal="left"/>
    </xf>
    <xf numFmtId="3" fontId="22" fillId="3" borderId="19" xfId="2" applyNumberFormat="1" applyFont="1" applyFill="1" applyBorder="1" applyAlignment="1">
      <alignment horizontal="center" vertical="top" wrapText="1"/>
    </xf>
    <xf numFmtId="0" fontId="22" fillId="6" borderId="0" xfId="2" applyFont="1" applyFill="1" applyAlignment="1">
      <alignment vertical="center"/>
    </xf>
    <xf numFmtId="0" fontId="22" fillId="3" borderId="7" xfId="2" applyFont="1" applyFill="1" applyBorder="1" applyAlignment="1">
      <alignment vertical="center"/>
    </xf>
    <xf numFmtId="0" fontId="22" fillId="2" borderId="0" xfId="2" applyFont="1" applyFill="1" applyAlignment="1">
      <alignment vertical="center"/>
    </xf>
    <xf numFmtId="44" fontId="4" fillId="0" borderId="24" xfId="1" applyFont="1" applyFill="1" applyBorder="1" applyAlignment="1" applyProtection="1">
      <alignment vertical="top"/>
      <protection locked="0"/>
    </xf>
    <xf numFmtId="44" fontId="4" fillId="0" borderId="33" xfId="1" applyFont="1" applyFill="1" applyBorder="1" applyAlignment="1" applyProtection="1">
      <alignment vertical="top"/>
      <protection locked="0"/>
    </xf>
    <xf numFmtId="44" fontId="4" fillId="0" borderId="14" xfId="1" applyFont="1" applyFill="1" applyBorder="1" applyAlignment="1" applyProtection="1">
      <alignment vertical="top"/>
      <protection locked="0"/>
    </xf>
    <xf numFmtId="44" fontId="4" fillId="0" borderId="19" xfId="1" applyFont="1" applyFill="1" applyBorder="1" applyAlignment="1" applyProtection="1">
      <alignment vertical="top"/>
      <protection locked="0"/>
    </xf>
    <xf numFmtId="44" fontId="4" fillId="3" borderId="19" xfId="1" applyFont="1" applyFill="1" applyBorder="1" applyAlignment="1" applyProtection="1">
      <alignment vertical="top"/>
    </xf>
    <xf numFmtId="3" fontId="15" fillId="8" borderId="0" xfId="0" applyNumberFormat="1" applyFont="1" applyFill="1" applyAlignment="1" applyProtection="1">
      <alignment vertical="center"/>
      <protection hidden="1"/>
    </xf>
    <xf numFmtId="171" fontId="16" fillId="4" borderId="19" xfId="1" applyNumberFormat="1" applyFont="1" applyFill="1" applyBorder="1" applyAlignment="1">
      <alignment vertical="top"/>
    </xf>
    <xf numFmtId="3" fontId="6" fillId="4" borderId="9" xfId="2" applyNumberFormat="1" applyFont="1" applyFill="1" applyBorder="1" applyAlignment="1" applyProtection="1">
      <alignment horizontal="center" vertical="top"/>
      <protection hidden="1"/>
    </xf>
    <xf numFmtId="3" fontId="6" fillId="4" borderId="25" xfId="2" applyNumberFormat="1" applyFont="1" applyFill="1" applyBorder="1" applyAlignment="1" applyProtection="1">
      <alignment horizontal="center" vertical="top"/>
      <protection hidden="1"/>
    </xf>
    <xf numFmtId="3" fontId="11" fillId="4" borderId="9" xfId="2" applyNumberFormat="1" applyFont="1" applyFill="1" applyBorder="1" applyAlignment="1">
      <alignment horizontal="left" vertical="center" wrapText="1"/>
    </xf>
    <xf numFmtId="44" fontId="12" fillId="3" borderId="0" xfId="2" applyNumberFormat="1" applyFont="1" applyFill="1" applyAlignment="1">
      <alignment horizontal="center" textRotation="90"/>
    </xf>
    <xf numFmtId="44" fontId="19" fillId="4" borderId="16" xfId="2" applyNumberFormat="1" applyFont="1" applyFill="1" applyBorder="1" applyAlignment="1">
      <alignment horizontal="center" textRotation="90"/>
    </xf>
    <xf numFmtId="44" fontId="6" fillId="7" borderId="18" xfId="2" applyNumberFormat="1" applyFont="1" applyFill="1" applyBorder="1" applyAlignment="1">
      <alignment horizontal="center"/>
    </xf>
    <xf numFmtId="44" fontId="22" fillId="8" borderId="53" xfId="1" applyFont="1" applyFill="1" applyBorder="1" applyAlignment="1" applyProtection="1">
      <alignment horizontal="center"/>
    </xf>
    <xf numFmtId="44" fontId="22" fillId="8" borderId="54" xfId="1" applyFont="1" applyFill="1" applyBorder="1" applyAlignment="1" applyProtection="1">
      <alignment horizontal="center"/>
    </xf>
    <xf numFmtId="0" fontId="24" fillId="0" borderId="9" xfId="2" applyFont="1" applyBorder="1" applyAlignment="1" applyProtection="1">
      <alignment horizontal="left" vertical="center" wrapText="1"/>
      <protection locked="0"/>
    </xf>
    <xf numFmtId="0" fontId="18" fillId="5" borderId="17" xfId="0" applyFont="1" applyFill="1" applyBorder="1" applyAlignment="1" applyProtection="1">
      <alignment vertical="center"/>
      <protection hidden="1"/>
    </xf>
    <xf numFmtId="0" fontId="18" fillId="5" borderId="17" xfId="0" applyFont="1" applyFill="1" applyBorder="1" applyAlignment="1" applyProtection="1">
      <alignment horizontal="center" vertical="center" wrapText="1"/>
      <protection hidden="1"/>
    </xf>
    <xf numFmtId="0" fontId="3" fillId="3" borderId="17" xfId="0" applyFont="1" applyFill="1" applyBorder="1" applyProtection="1">
      <protection hidden="1"/>
    </xf>
    <xf numFmtId="0" fontId="20" fillId="3" borderId="10" xfId="0" applyFont="1" applyFill="1" applyBorder="1" applyAlignment="1" applyProtection="1">
      <alignment horizontal="right" textRotation="90"/>
      <protection hidden="1"/>
    </xf>
    <xf numFmtId="0" fontId="20" fillId="3" borderId="11" xfId="0" applyFont="1" applyFill="1" applyBorder="1" applyAlignment="1" applyProtection="1">
      <alignment horizontal="right" textRotation="90"/>
      <protection hidden="1"/>
    </xf>
    <xf numFmtId="0" fontId="20" fillId="3" borderId="17" xfId="0" applyFont="1" applyFill="1" applyBorder="1" applyAlignment="1" applyProtection="1">
      <alignment horizontal="center" textRotation="90"/>
      <protection hidden="1"/>
    </xf>
    <xf numFmtId="0" fontId="20" fillId="3" borderId="12" xfId="0" applyFont="1" applyFill="1" applyBorder="1" applyAlignment="1" applyProtection="1">
      <alignment horizontal="right" textRotation="90"/>
      <protection hidden="1"/>
    </xf>
    <xf numFmtId="0" fontId="20" fillId="3" borderId="10" xfId="0" applyFont="1" applyFill="1" applyBorder="1" applyAlignment="1" applyProtection="1">
      <alignment horizontal="center" textRotation="90"/>
      <protection hidden="1"/>
    </xf>
    <xf numFmtId="0" fontId="21" fillId="7" borderId="16" xfId="0" applyFont="1" applyFill="1" applyBorder="1" applyAlignment="1" applyProtection="1">
      <alignment horizontal="center" textRotation="90"/>
      <protection hidden="1"/>
    </xf>
    <xf numFmtId="0" fontId="11" fillId="7" borderId="18" xfId="2" applyFont="1" applyFill="1" applyBorder="1" applyAlignment="1" applyProtection="1">
      <alignment horizontal="left" vertical="top"/>
      <protection hidden="1"/>
    </xf>
    <xf numFmtId="165" fontId="15" fillId="4" borderId="1" xfId="3" applyFont="1" applyFill="1" applyBorder="1" applyProtection="1">
      <protection hidden="1"/>
    </xf>
    <xf numFmtId="165" fontId="15" fillId="4" borderId="2" xfId="3" applyFont="1" applyFill="1" applyBorder="1" applyProtection="1">
      <protection hidden="1"/>
    </xf>
    <xf numFmtId="165" fontId="15" fillId="4" borderId="18" xfId="3" applyFont="1" applyFill="1" applyBorder="1" applyProtection="1">
      <protection hidden="1"/>
    </xf>
    <xf numFmtId="0" fontId="22" fillId="3" borderId="0" xfId="0" applyFont="1" applyFill="1" applyProtection="1">
      <protection hidden="1"/>
    </xf>
    <xf numFmtId="165" fontId="15" fillId="4" borderId="4" xfId="3" applyFont="1" applyFill="1" applyBorder="1" applyProtection="1">
      <protection hidden="1"/>
    </xf>
    <xf numFmtId="165" fontId="15" fillId="4" borderId="0" xfId="3" applyFont="1" applyFill="1" applyBorder="1" applyProtection="1">
      <protection hidden="1"/>
    </xf>
    <xf numFmtId="44" fontId="15" fillId="4" borderId="1" xfId="1" applyFont="1" applyFill="1" applyBorder="1" applyProtection="1">
      <protection hidden="1"/>
    </xf>
    <xf numFmtId="0" fontId="3" fillId="3" borderId="18" xfId="0" applyFont="1" applyFill="1" applyBorder="1" applyProtection="1">
      <protection hidden="1"/>
    </xf>
    <xf numFmtId="0" fontId="20" fillId="4" borderId="4" xfId="0" applyFont="1" applyFill="1" applyBorder="1" applyAlignment="1" applyProtection="1">
      <alignment horizontal="right" textRotation="90"/>
      <protection hidden="1"/>
    </xf>
    <xf numFmtId="0" fontId="20" fillId="4" borderId="0" xfId="0" applyFont="1" applyFill="1" applyAlignment="1" applyProtection="1">
      <alignment horizontal="right" textRotation="90"/>
      <protection hidden="1"/>
    </xf>
    <xf numFmtId="0" fontId="20" fillId="4" borderId="16" xfId="0" applyFont="1" applyFill="1" applyBorder="1" applyAlignment="1" applyProtection="1">
      <alignment horizontal="center" textRotation="90"/>
      <protection hidden="1"/>
    </xf>
    <xf numFmtId="166" fontId="20" fillId="4" borderId="0" xfId="0" applyNumberFormat="1" applyFont="1" applyFill="1" applyAlignment="1" applyProtection="1">
      <alignment horizontal="right" textRotation="90"/>
      <protection hidden="1"/>
    </xf>
    <xf numFmtId="0" fontId="19" fillId="3" borderId="34" xfId="2" applyFont="1" applyFill="1" applyBorder="1" applyAlignment="1" applyProtection="1">
      <alignment horizontal="left" vertical="center" wrapText="1"/>
      <protection hidden="1"/>
    </xf>
    <xf numFmtId="44" fontId="6" fillId="7" borderId="0" xfId="2" applyNumberFormat="1" applyFont="1" applyFill="1" applyAlignment="1">
      <alignment horizontal="center"/>
    </xf>
    <xf numFmtId="0" fontId="11" fillId="7" borderId="18" xfId="2" applyFont="1" applyFill="1" applyBorder="1" applyAlignment="1" applyProtection="1">
      <alignment vertical="top" wrapText="1"/>
      <protection hidden="1"/>
    </xf>
    <xf numFmtId="0" fontId="14" fillId="3" borderId="20" xfId="2" applyFont="1" applyFill="1" applyBorder="1" applyAlignment="1" applyProtection="1">
      <alignment horizontal="left" vertical="top"/>
      <protection hidden="1"/>
    </xf>
    <xf numFmtId="44" fontId="4" fillId="3" borderId="0" xfId="2" applyNumberFormat="1" applyFont="1" applyFill="1" applyAlignment="1">
      <alignment vertical="top"/>
    </xf>
    <xf numFmtId="44" fontId="6" fillId="7" borderId="2" xfId="2" applyNumberFormat="1" applyFont="1" applyFill="1" applyBorder="1" applyAlignment="1">
      <alignment horizontal="center"/>
    </xf>
    <xf numFmtId="0" fontId="11" fillId="7" borderId="18" xfId="2" applyFont="1" applyFill="1" applyBorder="1" applyAlignment="1" applyProtection="1">
      <alignment vertical="top"/>
      <protection hidden="1"/>
    </xf>
    <xf numFmtId="0" fontId="14" fillId="3" borderId="20" xfId="2" applyFont="1" applyFill="1" applyBorder="1" applyAlignment="1" applyProtection="1">
      <alignment horizontal="left" vertical="center"/>
      <protection hidden="1"/>
    </xf>
    <xf numFmtId="0" fontId="19" fillId="3" borderId="26" xfId="2" applyFont="1" applyFill="1" applyBorder="1" applyAlignment="1" applyProtection="1">
      <alignment horizontal="left" vertical="center"/>
      <protection hidden="1"/>
    </xf>
    <xf numFmtId="0" fontId="19" fillId="3" borderId="22" xfId="2" applyFont="1" applyFill="1" applyBorder="1" applyAlignment="1" applyProtection="1">
      <alignment horizontal="left" vertical="center"/>
      <protection hidden="1"/>
    </xf>
    <xf numFmtId="0" fontId="11" fillId="3" borderId="5" xfId="2" applyFont="1" applyFill="1" applyBorder="1" applyAlignment="1" applyProtection="1">
      <alignment vertical="top"/>
      <protection hidden="1"/>
    </xf>
    <xf numFmtId="0" fontId="12" fillId="3" borderId="23" xfId="2" applyFont="1" applyFill="1" applyBorder="1" applyAlignment="1" applyProtection="1">
      <alignment horizontal="left" vertical="center"/>
      <protection hidden="1"/>
    </xf>
    <xf numFmtId="0" fontId="12" fillId="3" borderId="8" xfId="2" applyFont="1" applyFill="1" applyBorder="1" applyAlignment="1" applyProtection="1">
      <alignment horizontal="left" vertical="center"/>
      <protection hidden="1"/>
    </xf>
    <xf numFmtId="0" fontId="12" fillId="3" borderId="8" xfId="2" applyFont="1" applyFill="1" applyBorder="1" applyAlignment="1" applyProtection="1">
      <alignment horizontal="left" vertical="top"/>
      <protection hidden="1"/>
    </xf>
    <xf numFmtId="0" fontId="12" fillId="3" borderId="31" xfId="2" applyFont="1" applyFill="1" applyBorder="1" applyAlignment="1" applyProtection="1">
      <alignment horizontal="left" vertical="top"/>
      <protection hidden="1"/>
    </xf>
    <xf numFmtId="0" fontId="12" fillId="8" borderId="0" xfId="2" applyFont="1" applyFill="1" applyAlignment="1" applyProtection="1">
      <alignment horizontal="left" vertical="center"/>
      <protection hidden="1"/>
    </xf>
    <xf numFmtId="0" fontId="4" fillId="8" borderId="0" xfId="2" applyFont="1" applyFill="1" applyAlignment="1" applyProtection="1">
      <alignment vertical="top"/>
      <protection hidden="1"/>
    </xf>
    <xf numFmtId="166" fontId="4" fillId="8" borderId="0" xfId="2" applyNumberFormat="1" applyFont="1" applyFill="1" applyAlignment="1" applyProtection="1">
      <alignment vertical="top"/>
      <protection hidden="1"/>
    </xf>
    <xf numFmtId="166" fontId="14" fillId="8" borderId="0" xfId="1" applyNumberFormat="1" applyFont="1" applyFill="1" applyBorder="1" applyProtection="1">
      <protection hidden="1"/>
    </xf>
    <xf numFmtId="166" fontId="28" fillId="8" borderId="0" xfId="1" applyNumberFormat="1" applyFont="1" applyFill="1" applyBorder="1" applyProtection="1">
      <protection hidden="1"/>
    </xf>
    <xf numFmtId="166" fontId="28" fillId="8" borderId="0" xfId="1" applyNumberFormat="1" applyFont="1" applyFill="1" applyBorder="1" applyAlignment="1" applyProtection="1">
      <alignment vertical="top"/>
      <protection hidden="1"/>
    </xf>
    <xf numFmtId="0" fontId="29" fillId="8" borderId="0" xfId="2" applyFont="1" applyFill="1" applyAlignment="1" applyProtection="1">
      <alignment vertical="top"/>
      <protection hidden="1"/>
    </xf>
    <xf numFmtId="166" fontId="29" fillId="8" borderId="0" xfId="2" applyNumberFormat="1" applyFont="1" applyFill="1" applyAlignment="1" applyProtection="1">
      <alignment vertical="top"/>
      <protection hidden="1"/>
    </xf>
    <xf numFmtId="166" fontId="28" fillId="8" borderId="0" xfId="2" applyNumberFormat="1" applyFont="1" applyFill="1" applyAlignment="1" applyProtection="1">
      <alignment vertical="top"/>
      <protection hidden="1"/>
    </xf>
    <xf numFmtId="166" fontId="28" fillId="8" borderId="0" xfId="3" applyNumberFormat="1" applyFont="1" applyFill="1" applyBorder="1" applyProtection="1">
      <protection hidden="1"/>
    </xf>
    <xf numFmtId="166" fontId="21" fillId="8" borderId="3" xfId="2" applyNumberFormat="1" applyFont="1" applyFill="1" applyBorder="1" applyAlignment="1" applyProtection="1">
      <alignment vertical="center"/>
      <protection hidden="1"/>
    </xf>
    <xf numFmtId="3" fontId="4" fillId="3" borderId="2" xfId="2" applyNumberFormat="1" applyFont="1" applyFill="1" applyBorder="1" applyAlignment="1" applyProtection="1">
      <alignment vertical="top"/>
      <protection hidden="1"/>
    </xf>
    <xf numFmtId="166" fontId="4" fillId="3" borderId="2" xfId="2" applyNumberFormat="1" applyFont="1" applyFill="1" applyBorder="1" applyAlignment="1" applyProtection="1">
      <alignment vertical="top"/>
      <protection hidden="1"/>
    </xf>
    <xf numFmtId="164" fontId="4" fillId="3" borderId="2" xfId="2" applyNumberFormat="1" applyFont="1" applyFill="1" applyBorder="1" applyAlignment="1" applyProtection="1">
      <alignment vertical="top"/>
      <protection hidden="1"/>
    </xf>
    <xf numFmtId="166" fontId="26" fillId="7" borderId="3" xfId="2" applyNumberFormat="1" applyFont="1" applyFill="1" applyBorder="1" applyAlignment="1" applyProtection="1">
      <alignment vertical="top"/>
      <protection hidden="1"/>
    </xf>
    <xf numFmtId="0" fontId="3" fillId="3" borderId="4" xfId="0" applyFont="1" applyFill="1" applyBorder="1" applyProtection="1">
      <protection hidden="1"/>
    </xf>
    <xf numFmtId="165" fontId="22" fillId="3" borderId="0" xfId="3" applyFont="1" applyFill="1" applyBorder="1" applyProtection="1">
      <protection hidden="1"/>
    </xf>
    <xf numFmtId="166" fontId="22" fillId="3" borderId="0" xfId="3" applyNumberFormat="1" applyFont="1" applyFill="1" applyBorder="1" applyProtection="1">
      <protection hidden="1"/>
    </xf>
    <xf numFmtId="166" fontId="22" fillId="3" borderId="0" xfId="1" applyNumberFormat="1" applyFont="1" applyFill="1" applyBorder="1" applyProtection="1">
      <protection hidden="1"/>
    </xf>
    <xf numFmtId="166" fontId="43" fillId="7" borderId="7" xfId="3" applyNumberFormat="1" applyFont="1" applyFill="1" applyBorder="1" applyProtection="1">
      <protection hidden="1"/>
    </xf>
    <xf numFmtId="0" fontId="24" fillId="3" borderId="8" xfId="0" applyFont="1" applyFill="1" applyBorder="1" applyProtection="1">
      <protection hidden="1"/>
    </xf>
    <xf numFmtId="166" fontId="22" fillId="3" borderId="19" xfId="3" applyNumberFormat="1" applyFont="1" applyFill="1" applyBorder="1" applyProtection="1">
      <protection hidden="1"/>
    </xf>
    <xf numFmtId="166" fontId="22" fillId="3" borderId="19" xfId="1" applyNumberFormat="1" applyFont="1" applyFill="1" applyBorder="1" applyProtection="1">
      <protection hidden="1"/>
    </xf>
    <xf numFmtId="0" fontId="22" fillId="3" borderId="19" xfId="0" applyFont="1" applyFill="1" applyBorder="1" applyProtection="1">
      <protection hidden="1"/>
    </xf>
    <xf numFmtId="0" fontId="24" fillId="3" borderId="13" xfId="0" applyFont="1" applyFill="1" applyBorder="1" applyProtection="1">
      <protection hidden="1"/>
    </xf>
    <xf numFmtId="165" fontId="22" fillId="3" borderId="14" xfId="3" applyFont="1" applyFill="1" applyBorder="1" applyProtection="1">
      <protection hidden="1"/>
    </xf>
    <xf numFmtId="166" fontId="22" fillId="3" borderId="14" xfId="3" applyNumberFormat="1" applyFont="1" applyFill="1" applyBorder="1" applyProtection="1">
      <protection hidden="1"/>
    </xf>
    <xf numFmtId="166" fontId="22" fillId="3" borderId="14" xfId="1" applyNumberFormat="1" applyFont="1" applyFill="1" applyBorder="1" applyProtection="1">
      <protection hidden="1"/>
    </xf>
    <xf numFmtId="0" fontId="22" fillId="3" borderId="14" xfId="0" applyFont="1" applyFill="1" applyBorder="1" applyProtection="1">
      <protection hidden="1"/>
    </xf>
    <xf numFmtId="0" fontId="21" fillId="8" borderId="0" xfId="2" applyFont="1" applyFill="1" applyAlignment="1" applyProtection="1">
      <alignment vertical="center"/>
      <protection hidden="1"/>
    </xf>
    <xf numFmtId="166" fontId="21" fillId="8" borderId="0" xfId="2" applyNumberFormat="1" applyFont="1" applyFill="1" applyAlignment="1" applyProtection="1">
      <alignment vertical="center"/>
      <protection hidden="1"/>
    </xf>
    <xf numFmtId="0" fontId="18" fillId="7" borderId="0" xfId="2" applyFont="1" applyFill="1" applyAlignment="1" applyProtection="1">
      <alignment vertical="top"/>
      <protection hidden="1"/>
    </xf>
    <xf numFmtId="4" fontId="18" fillId="7" borderId="0" xfId="1" applyNumberFormat="1" applyFont="1" applyFill="1" applyBorder="1" applyAlignment="1" applyProtection="1">
      <alignment vertical="top"/>
      <protection hidden="1"/>
    </xf>
    <xf numFmtId="166" fontId="18" fillId="7" borderId="0" xfId="1" applyNumberFormat="1" applyFont="1" applyFill="1" applyBorder="1" applyAlignment="1" applyProtection="1">
      <alignment vertical="top"/>
      <protection hidden="1"/>
    </xf>
    <xf numFmtId="44" fontId="18" fillId="7" borderId="0" xfId="1" applyFont="1" applyFill="1" applyBorder="1" applyAlignment="1" applyProtection="1">
      <alignment vertical="top"/>
      <protection hidden="1"/>
    </xf>
    <xf numFmtId="4" fontId="18" fillId="7" borderId="0" xfId="1" applyNumberFormat="1" applyFont="1" applyFill="1" applyBorder="1" applyAlignment="1" applyProtection="1">
      <alignment horizontal="right" vertical="top"/>
      <protection hidden="1"/>
    </xf>
    <xf numFmtId="3" fontId="3" fillId="8" borderId="0" xfId="0" applyNumberFormat="1" applyFont="1" applyFill="1"/>
    <xf numFmtId="0" fontId="47" fillId="5" borderId="10" xfId="0" applyFont="1" applyFill="1" applyBorder="1" applyAlignment="1">
      <alignment vertical="center"/>
    </xf>
    <xf numFmtId="0" fontId="47" fillId="5" borderId="11" xfId="0" applyFont="1" applyFill="1" applyBorder="1" applyAlignment="1">
      <alignment vertical="center"/>
    </xf>
    <xf numFmtId="0" fontId="48" fillId="8" borderId="0" xfId="0" applyFont="1" applyFill="1"/>
    <xf numFmtId="0" fontId="24" fillId="8" borderId="37" xfId="0" applyFont="1" applyFill="1" applyBorder="1" applyAlignment="1">
      <alignment horizontal="left" vertical="center"/>
    </xf>
    <xf numFmtId="44" fontId="24" fillId="8" borderId="55" xfId="1" applyFont="1" applyFill="1" applyBorder="1" applyAlignment="1">
      <alignment horizontal="left" vertical="center"/>
    </xf>
    <xf numFmtId="0" fontId="24" fillId="8" borderId="56" xfId="0" applyFont="1" applyFill="1" applyBorder="1" applyAlignment="1">
      <alignment horizontal="left" vertical="center"/>
    </xf>
    <xf numFmtId="44" fontId="24" fillId="8" borderId="57" xfId="1" applyFont="1" applyFill="1" applyBorder="1" applyAlignment="1">
      <alignment horizontal="left" vertical="center"/>
    </xf>
    <xf numFmtId="0" fontId="24" fillId="8" borderId="53" xfId="0" applyFont="1" applyFill="1" applyBorder="1" applyAlignment="1">
      <alignment horizontal="left" vertical="center"/>
    </xf>
    <xf numFmtId="44" fontId="24" fillId="8" borderId="54" xfId="1" applyFont="1" applyFill="1" applyBorder="1" applyAlignment="1">
      <alignment horizontal="left" vertical="center"/>
    </xf>
    <xf numFmtId="0" fontId="24" fillId="6" borderId="36" xfId="0" applyFont="1" applyFill="1" applyBorder="1" applyAlignment="1">
      <alignment horizontal="left" vertical="center"/>
    </xf>
    <xf numFmtId="44" fontId="24" fillId="6" borderId="46" xfId="0" applyNumberFormat="1" applyFont="1" applyFill="1" applyBorder="1" applyAlignment="1">
      <alignment horizontal="left" vertical="center"/>
    </xf>
    <xf numFmtId="0" fontId="34" fillId="8" borderId="0" xfId="0" applyFont="1" applyFill="1" applyAlignment="1" applyProtection="1">
      <alignment horizontal="left"/>
      <protection hidden="1"/>
    </xf>
    <xf numFmtId="0" fontId="47" fillId="5" borderId="12" xfId="0" applyFont="1" applyFill="1" applyBorder="1" applyAlignment="1">
      <alignment vertical="center"/>
    </xf>
    <xf numFmtId="0" fontId="49" fillId="6" borderId="0" xfId="2" applyFont="1" applyFill="1" applyAlignment="1" applyProtection="1">
      <alignment vertical="top"/>
      <protection hidden="1"/>
    </xf>
    <xf numFmtId="166" fontId="28" fillId="4" borderId="24" xfId="1" applyNumberFormat="1" applyFont="1" applyFill="1" applyBorder="1" applyAlignment="1" applyProtection="1">
      <alignment vertical="top"/>
      <protection hidden="1"/>
    </xf>
    <xf numFmtId="166" fontId="28" fillId="4" borderId="26" xfId="1" applyNumberFormat="1" applyFont="1" applyFill="1" applyBorder="1" applyAlignment="1" applyProtection="1">
      <protection hidden="1"/>
    </xf>
    <xf numFmtId="0" fontId="29" fillId="3" borderId="0" xfId="2" applyFont="1" applyFill="1" applyAlignment="1" applyProtection="1">
      <alignment vertical="top"/>
      <protection hidden="1"/>
    </xf>
    <xf numFmtId="0" fontId="29" fillId="4" borderId="23" xfId="2" applyFont="1" applyFill="1" applyBorder="1" applyAlignment="1" applyProtection="1">
      <alignment vertical="top"/>
      <protection hidden="1"/>
    </xf>
    <xf numFmtId="166" fontId="29" fillId="4" borderId="24" xfId="2" applyNumberFormat="1" applyFont="1" applyFill="1" applyBorder="1" applyAlignment="1" applyProtection="1">
      <alignment vertical="top"/>
      <protection hidden="1"/>
    </xf>
    <xf numFmtId="166" fontId="28" fillId="4" borderId="24" xfId="2" applyNumberFormat="1" applyFont="1" applyFill="1" applyBorder="1" applyAlignment="1" applyProtection="1">
      <alignment vertical="top"/>
      <protection hidden="1"/>
    </xf>
    <xf numFmtId="166" fontId="28" fillId="4" borderId="23" xfId="2" applyNumberFormat="1" applyFont="1" applyFill="1" applyBorder="1" applyAlignment="1" applyProtection="1">
      <alignment vertical="top"/>
      <protection hidden="1"/>
    </xf>
    <xf numFmtId="166" fontId="28" fillId="4" borderId="19" xfId="1" applyNumberFormat="1" applyFont="1" applyFill="1" applyBorder="1" applyProtection="1">
      <protection hidden="1"/>
    </xf>
    <xf numFmtId="166" fontId="28" fillId="4" borderId="20" xfId="1" applyNumberFormat="1" applyFont="1" applyFill="1" applyBorder="1" applyAlignment="1" applyProtection="1">
      <protection hidden="1"/>
    </xf>
    <xf numFmtId="0" fontId="29" fillId="3" borderId="0" xfId="0" applyFont="1" applyFill="1" applyProtection="1">
      <protection hidden="1"/>
    </xf>
    <xf numFmtId="165" fontId="29" fillId="4" borderId="8" xfId="3" applyFont="1" applyFill="1" applyBorder="1" applyProtection="1">
      <protection hidden="1"/>
    </xf>
    <xf numFmtId="166" fontId="29" fillId="4" borderId="19" xfId="3" applyNumberFormat="1" applyFont="1" applyFill="1" applyBorder="1" applyProtection="1">
      <protection hidden="1"/>
    </xf>
    <xf numFmtId="166" fontId="28" fillId="4" borderId="19" xfId="2" applyNumberFormat="1" applyFont="1" applyFill="1" applyBorder="1" applyAlignment="1" applyProtection="1">
      <alignment vertical="top"/>
      <protection hidden="1"/>
    </xf>
    <xf numFmtId="166" fontId="28" fillId="4" borderId="8" xfId="3" applyNumberFormat="1" applyFont="1" applyFill="1" applyBorder="1" applyProtection="1">
      <protection hidden="1"/>
    </xf>
    <xf numFmtId="166" fontId="4" fillId="3" borderId="9" xfId="2" applyNumberFormat="1" applyFont="1" applyFill="1" applyBorder="1" applyAlignment="1" applyProtection="1">
      <alignment vertical="top"/>
      <protection hidden="1"/>
    </xf>
    <xf numFmtId="164" fontId="4" fillId="3" borderId="8" xfId="2" applyNumberFormat="1" applyFont="1" applyFill="1" applyBorder="1" applyAlignment="1" applyProtection="1">
      <alignment vertical="top"/>
      <protection hidden="1"/>
    </xf>
    <xf numFmtId="166" fontId="4" fillId="3" borderId="19" xfId="2" applyNumberFormat="1" applyFont="1" applyFill="1" applyBorder="1" applyAlignment="1" applyProtection="1">
      <alignment vertical="top"/>
      <protection hidden="1"/>
    </xf>
    <xf numFmtId="166" fontId="4" fillId="4" borderId="9" xfId="2" applyNumberFormat="1" applyFont="1" applyFill="1" applyBorder="1" applyAlignment="1" applyProtection="1">
      <alignment vertical="top"/>
      <protection hidden="1"/>
    </xf>
    <xf numFmtId="164" fontId="4" fillId="4" borderId="8" xfId="2" applyNumberFormat="1" applyFont="1" applyFill="1" applyBorder="1" applyAlignment="1" applyProtection="1">
      <alignment vertical="top"/>
      <protection hidden="1"/>
    </xf>
    <xf numFmtId="166" fontId="4" fillId="4" borderId="0" xfId="2" applyNumberFormat="1" applyFont="1" applyFill="1" applyAlignment="1" applyProtection="1">
      <alignment vertical="top"/>
      <protection hidden="1"/>
    </xf>
    <xf numFmtId="166" fontId="28" fillId="4" borderId="9" xfId="2" applyNumberFormat="1" applyFont="1" applyFill="1" applyBorder="1" applyAlignment="1" applyProtection="1">
      <alignment vertical="top"/>
      <protection hidden="1"/>
    </xf>
    <xf numFmtId="166" fontId="28" fillId="4" borderId="33" xfId="1" applyNumberFormat="1" applyFont="1" applyFill="1" applyBorder="1" applyProtection="1">
      <protection hidden="1"/>
    </xf>
    <xf numFmtId="166" fontId="28" fillId="4" borderId="34" xfId="1" applyNumberFormat="1" applyFont="1" applyFill="1" applyBorder="1" applyAlignment="1" applyProtection="1">
      <alignment vertical="top"/>
      <protection hidden="1"/>
    </xf>
    <xf numFmtId="0" fontId="29" fillId="3" borderId="16" xfId="2" applyFont="1" applyFill="1" applyBorder="1" applyAlignment="1" applyProtection="1">
      <alignment vertical="top"/>
      <protection hidden="1"/>
    </xf>
    <xf numFmtId="0" fontId="29" fillId="4" borderId="31" xfId="2" applyFont="1" applyFill="1" applyBorder="1" applyAlignment="1" applyProtection="1">
      <alignment vertical="top"/>
      <protection hidden="1"/>
    </xf>
    <xf numFmtId="166" fontId="29" fillId="4" borderId="33" xfId="2" applyNumberFormat="1" applyFont="1" applyFill="1" applyBorder="1" applyAlignment="1" applyProtection="1">
      <alignment vertical="top"/>
      <protection hidden="1"/>
    </xf>
    <xf numFmtId="166" fontId="28" fillId="4" borderId="33" xfId="2" applyNumberFormat="1" applyFont="1" applyFill="1" applyBorder="1" applyAlignment="1" applyProtection="1">
      <alignment vertical="top"/>
      <protection hidden="1"/>
    </xf>
    <xf numFmtId="166" fontId="28" fillId="4" borderId="14" xfId="2" applyNumberFormat="1" applyFont="1" applyFill="1" applyBorder="1" applyAlignment="1" applyProtection="1">
      <alignment vertical="top"/>
      <protection hidden="1"/>
    </xf>
    <xf numFmtId="166" fontId="28" fillId="4" borderId="31" xfId="3" applyNumberFormat="1" applyFont="1" applyFill="1" applyBorder="1" applyProtection="1">
      <protection hidden="1"/>
    </xf>
    <xf numFmtId="0" fontId="23" fillId="3" borderId="0" xfId="0" applyFont="1" applyFill="1" applyBorder="1" applyAlignment="1" applyProtection="1">
      <alignment horizontal="right"/>
      <protection hidden="1"/>
    </xf>
    <xf numFmtId="0" fontId="3" fillId="3" borderId="0" xfId="0" applyFont="1" applyFill="1" applyBorder="1" applyProtection="1">
      <protection hidden="1"/>
    </xf>
    <xf numFmtId="0" fontId="22" fillId="3" borderId="0" xfId="0" applyFont="1" applyFill="1" applyBorder="1" applyAlignment="1" applyProtection="1">
      <alignment horizontal="right"/>
      <protection hidden="1"/>
    </xf>
    <xf numFmtId="0" fontId="4" fillId="3" borderId="0" xfId="2" applyFont="1" applyFill="1" applyBorder="1" applyAlignment="1" applyProtection="1">
      <alignment vertical="top"/>
      <protection hidden="1"/>
    </xf>
    <xf numFmtId="0" fontId="23" fillId="3" borderId="0" xfId="2" applyFont="1" applyFill="1" applyBorder="1" applyAlignment="1" applyProtection="1">
      <alignment vertical="top"/>
      <protection hidden="1"/>
    </xf>
    <xf numFmtId="0" fontId="23" fillId="3" borderId="0" xfId="0" applyFont="1" applyFill="1" applyBorder="1" applyProtection="1">
      <protection hidden="1"/>
    </xf>
    <xf numFmtId="3" fontId="12" fillId="9" borderId="9" xfId="2" applyNumberFormat="1" applyFont="1" applyFill="1" applyBorder="1" applyAlignment="1">
      <alignment horizontal="center" vertical="center" wrapText="1"/>
    </xf>
    <xf numFmtId="44" fontId="4" fillId="3" borderId="14" xfId="1" applyNumberFormat="1" applyFont="1" applyFill="1" applyBorder="1" applyAlignment="1" applyProtection="1">
      <alignment vertical="center"/>
      <protection locked="0"/>
    </xf>
    <xf numFmtId="0" fontId="8" fillId="3" borderId="14" xfId="0" applyFont="1" applyFill="1" applyBorder="1"/>
    <xf numFmtId="44" fontId="4" fillId="3" borderId="14" xfId="1" applyFont="1" applyFill="1" applyBorder="1" applyAlignment="1" applyProtection="1">
      <alignment vertical="center"/>
      <protection locked="0"/>
    </xf>
    <xf numFmtId="44" fontId="4" fillId="3" borderId="14" xfId="1" applyFont="1" applyFill="1" applyBorder="1" applyAlignment="1" applyProtection="1">
      <alignment vertical="top"/>
      <protection locked="0"/>
    </xf>
    <xf numFmtId="3" fontId="44" fillId="3" borderId="7" xfId="0" applyNumberFormat="1" applyFont="1" applyFill="1" applyBorder="1" applyAlignment="1">
      <alignment horizontal="left"/>
    </xf>
    <xf numFmtId="0" fontId="15" fillId="12" borderId="18" xfId="0" applyFont="1" applyFill="1" applyBorder="1" applyAlignment="1">
      <alignment horizontal="center" vertical="center" textRotation="90" wrapText="1"/>
    </xf>
    <xf numFmtId="0" fontId="15" fillId="12" borderId="16" xfId="0" applyFont="1" applyFill="1" applyBorder="1" applyAlignment="1">
      <alignment horizontal="center" vertical="center" textRotation="90" wrapText="1"/>
    </xf>
    <xf numFmtId="0" fontId="15" fillId="12" borderId="22" xfId="0" applyFont="1" applyFill="1" applyBorder="1" applyAlignment="1">
      <alignment horizontal="center" vertical="center" textRotation="90" wrapText="1"/>
    </xf>
    <xf numFmtId="0" fontId="41" fillId="7" borderId="4" xfId="0" applyFont="1" applyFill="1" applyBorder="1" applyAlignment="1">
      <alignment horizontal="center" vertical="center"/>
    </xf>
    <xf numFmtId="0" fontId="41" fillId="7" borderId="0" xfId="0" applyFont="1" applyFill="1" applyBorder="1" applyAlignment="1">
      <alignment horizontal="center" vertical="center"/>
    </xf>
    <xf numFmtId="0" fontId="41" fillId="7" borderId="23" xfId="0" applyFont="1" applyFill="1" applyBorder="1" applyAlignment="1">
      <alignment horizontal="center" vertical="center"/>
    </xf>
    <xf numFmtId="0" fontId="41" fillId="7" borderId="24" xfId="0" applyFont="1" applyFill="1" applyBorder="1" applyAlignment="1">
      <alignment horizontal="center" vertical="center"/>
    </xf>
    <xf numFmtId="0" fontId="15" fillId="13" borderId="18" xfId="0" applyFont="1" applyFill="1" applyBorder="1" applyAlignment="1">
      <alignment horizontal="center" vertical="center" textRotation="90"/>
    </xf>
    <xf numFmtId="0" fontId="15" fillId="13" borderId="16" xfId="0" applyFont="1" applyFill="1" applyBorder="1" applyAlignment="1">
      <alignment horizontal="center" vertical="center" textRotation="90"/>
    </xf>
    <xf numFmtId="0" fontId="15" fillId="13" borderId="22" xfId="0" applyFont="1" applyFill="1" applyBorder="1" applyAlignment="1">
      <alignment horizontal="center" vertical="center" textRotation="90"/>
    </xf>
    <xf numFmtId="0" fontId="41" fillId="7" borderId="1" xfId="0" applyFont="1" applyFill="1" applyBorder="1" applyAlignment="1">
      <alignment horizontal="center" vertical="center" wrapText="1"/>
    </xf>
    <xf numFmtId="0" fontId="41" fillId="7" borderId="2" xfId="0" applyFont="1" applyFill="1" applyBorder="1" applyAlignment="1">
      <alignment horizontal="center" vertical="center" wrapText="1"/>
    </xf>
    <xf numFmtId="0" fontId="41" fillId="7" borderId="3" xfId="0" applyFont="1" applyFill="1" applyBorder="1" applyAlignment="1">
      <alignment horizontal="center" vertical="center" wrapText="1"/>
    </xf>
    <xf numFmtId="0" fontId="41" fillId="7" borderId="4" xfId="0" applyFont="1" applyFill="1" applyBorder="1" applyAlignment="1">
      <alignment horizontal="center" vertical="center" wrapText="1"/>
    </xf>
    <xf numFmtId="0" fontId="41" fillId="7" borderId="0" xfId="0" applyFont="1" applyFill="1" applyBorder="1" applyAlignment="1">
      <alignment horizontal="center" vertical="center" wrapText="1"/>
    </xf>
    <xf numFmtId="0" fontId="41" fillId="7" borderId="7" xfId="0" applyFont="1" applyFill="1" applyBorder="1" applyAlignment="1">
      <alignment horizontal="center" vertical="center" wrapText="1"/>
    </xf>
    <xf numFmtId="0" fontId="41" fillId="7" borderId="39" xfId="0" applyFont="1" applyFill="1" applyBorder="1" applyAlignment="1">
      <alignment horizontal="center" vertical="center" wrapText="1"/>
    </xf>
    <xf numFmtId="0" fontId="41" fillId="7" borderId="40" xfId="0" applyFont="1" applyFill="1" applyBorder="1" applyAlignment="1">
      <alignment horizontal="center" vertical="center" wrapText="1"/>
    </xf>
    <xf numFmtId="43" fontId="30" fillId="8" borderId="5" xfId="0" applyNumberFormat="1" applyFont="1" applyFill="1" applyBorder="1" applyAlignment="1" applyProtection="1">
      <alignment horizontal="right" vertical="center"/>
      <protection hidden="1"/>
    </xf>
    <xf numFmtId="43" fontId="30" fillId="8" borderId="45" xfId="0" applyNumberFormat="1" applyFont="1" applyFill="1" applyBorder="1" applyAlignment="1" applyProtection="1">
      <alignment horizontal="right" vertical="center"/>
      <protection hidden="1"/>
    </xf>
    <xf numFmtId="43" fontId="30" fillId="8" borderId="6" xfId="0" applyNumberFormat="1" applyFont="1" applyFill="1" applyBorder="1" applyAlignment="1" applyProtection="1">
      <alignment horizontal="right" vertical="center"/>
      <protection hidden="1"/>
    </xf>
    <xf numFmtId="0" fontId="30" fillId="8" borderId="8" xfId="0" applyFont="1" applyFill="1" applyBorder="1" applyAlignment="1" applyProtection="1">
      <alignment horizontal="right" vertical="center"/>
      <protection hidden="1"/>
    </xf>
    <xf numFmtId="0" fontId="30" fillId="8" borderId="19" xfId="0" applyFont="1" applyFill="1" applyBorder="1" applyAlignment="1" applyProtection="1">
      <alignment horizontal="right" vertical="center"/>
      <protection hidden="1"/>
    </xf>
    <xf numFmtId="0" fontId="30" fillId="8" borderId="9" xfId="0" applyFont="1" applyFill="1" applyBorder="1" applyAlignment="1" applyProtection="1">
      <alignment horizontal="right" vertical="center"/>
      <protection hidden="1"/>
    </xf>
    <xf numFmtId="0" fontId="30" fillId="8" borderId="31" xfId="0" applyFont="1" applyFill="1" applyBorder="1" applyAlignment="1" applyProtection="1">
      <alignment horizontal="right" vertical="center"/>
      <protection hidden="1"/>
    </xf>
    <xf numFmtId="0" fontId="30" fillId="8" borderId="33" xfId="0" applyFont="1" applyFill="1" applyBorder="1" applyAlignment="1" applyProtection="1">
      <alignment horizontal="right" vertical="center"/>
      <protection hidden="1"/>
    </xf>
    <xf numFmtId="0" fontId="30" fillId="8" borderId="21" xfId="0" applyFont="1" applyFill="1" applyBorder="1" applyAlignment="1" applyProtection="1">
      <alignment horizontal="right" vertical="center"/>
      <protection hidden="1"/>
    </xf>
    <xf numFmtId="43" fontId="30" fillId="8" borderId="23" xfId="0" applyNumberFormat="1" applyFont="1" applyFill="1" applyBorder="1" applyAlignment="1" applyProtection="1">
      <alignment horizontal="right" vertical="center"/>
      <protection hidden="1"/>
    </xf>
    <xf numFmtId="43" fontId="30" fillId="8" borderId="24" xfId="0" applyNumberFormat="1" applyFont="1" applyFill="1" applyBorder="1" applyAlignment="1" applyProtection="1">
      <alignment horizontal="right" vertical="center"/>
      <protection hidden="1"/>
    </xf>
    <xf numFmtId="43" fontId="30" fillId="8" borderId="25" xfId="0" applyNumberFormat="1" applyFont="1" applyFill="1" applyBorder="1" applyAlignment="1" applyProtection="1">
      <alignment horizontal="right" vertical="center"/>
      <protection hidden="1"/>
    </xf>
    <xf numFmtId="0" fontId="6" fillId="5" borderId="10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41" fillId="7" borderId="18" xfId="0" applyFont="1" applyFill="1" applyBorder="1" applyAlignment="1">
      <alignment horizontal="center" vertical="center" wrapText="1"/>
    </xf>
    <xf numFmtId="0" fontId="41" fillId="7" borderId="26" xfId="0" applyFont="1" applyFill="1" applyBorder="1" applyAlignment="1">
      <alignment horizontal="center" vertical="center" wrapText="1"/>
    </xf>
    <xf numFmtId="0" fontId="41" fillId="7" borderId="4" xfId="0" applyFont="1" applyFill="1" applyBorder="1" applyAlignment="1">
      <alignment horizontal="center"/>
    </xf>
    <xf numFmtId="0" fontId="41" fillId="7" borderId="0" xfId="0" applyFont="1" applyFill="1" applyAlignment="1">
      <alignment horizontal="center"/>
    </xf>
    <xf numFmtId="0" fontId="27" fillId="6" borderId="0" xfId="0" applyFont="1" applyFill="1" applyBorder="1" applyAlignment="1">
      <alignment horizontal="center" vertical="center"/>
    </xf>
    <xf numFmtId="4" fontId="18" fillId="5" borderId="10" xfId="2" applyNumberFormat="1" applyFont="1" applyFill="1" applyBorder="1" applyAlignment="1">
      <alignment horizontal="center" vertical="center"/>
    </xf>
    <xf numFmtId="4" fontId="18" fillId="5" borderId="11" xfId="2" applyNumberFormat="1" applyFont="1" applyFill="1" applyBorder="1" applyAlignment="1">
      <alignment horizontal="center" vertical="center"/>
    </xf>
    <xf numFmtId="4" fontId="18" fillId="5" borderId="12" xfId="2" applyNumberFormat="1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6" fillId="7" borderId="2" xfId="2" applyFont="1" applyFill="1" applyBorder="1" applyAlignment="1">
      <alignment horizontal="center" vertical="top" wrapText="1"/>
    </xf>
    <xf numFmtId="0" fontId="6" fillId="7" borderId="3" xfId="2" applyFont="1" applyFill="1" applyBorder="1" applyAlignment="1">
      <alignment horizontal="center" vertical="top" wrapText="1"/>
    </xf>
    <xf numFmtId="0" fontId="41" fillId="7" borderId="18" xfId="0" applyFont="1" applyFill="1" applyBorder="1" applyAlignment="1">
      <alignment horizontal="center" vertical="center"/>
    </xf>
    <xf numFmtId="0" fontId="41" fillId="7" borderId="26" xfId="0" applyFont="1" applyFill="1" applyBorder="1" applyAlignment="1">
      <alignment horizontal="center" vertical="center"/>
    </xf>
    <xf numFmtId="0" fontId="11" fillId="7" borderId="4" xfId="2" applyFont="1" applyFill="1" applyBorder="1" applyAlignment="1">
      <alignment horizontal="left" vertical="top" wrapText="1"/>
    </xf>
    <xf numFmtId="0" fontId="11" fillId="7" borderId="7" xfId="2" applyFont="1" applyFill="1" applyBorder="1" applyAlignment="1">
      <alignment horizontal="left" vertical="top"/>
    </xf>
    <xf numFmtId="0" fontId="11" fillId="7" borderId="1" xfId="2" applyFont="1" applyFill="1" applyBorder="1" applyAlignment="1">
      <alignment horizontal="left" vertical="top"/>
    </xf>
    <xf numFmtId="0" fontId="11" fillId="7" borderId="3" xfId="2" applyFont="1" applyFill="1" applyBorder="1" applyAlignment="1">
      <alignment horizontal="left" vertical="top"/>
    </xf>
    <xf numFmtId="0" fontId="11" fillId="7" borderId="2" xfId="2" applyFont="1" applyFill="1" applyBorder="1" applyAlignment="1">
      <alignment horizontal="left" vertical="top"/>
    </xf>
    <xf numFmtId="4" fontId="15" fillId="3" borderId="4" xfId="2" applyNumberFormat="1" applyFont="1" applyFill="1" applyBorder="1" applyAlignment="1">
      <alignment horizontal="center" vertical="top" wrapText="1"/>
    </xf>
    <xf numFmtId="4" fontId="15" fillId="3" borderId="0" xfId="2" applyNumberFormat="1" applyFont="1" applyFill="1" applyBorder="1" applyAlignment="1">
      <alignment horizontal="center" vertical="top" wrapText="1"/>
    </xf>
    <xf numFmtId="4" fontId="15" fillId="3" borderId="7" xfId="2" applyNumberFormat="1" applyFont="1" applyFill="1" applyBorder="1" applyAlignment="1">
      <alignment horizontal="center" vertical="top" wrapText="1"/>
    </xf>
    <xf numFmtId="0" fontId="41" fillId="7" borderId="0" xfId="0" applyFont="1" applyFill="1" applyAlignment="1">
      <alignment horizontal="center" vertical="center" wrapText="1"/>
    </xf>
    <xf numFmtId="0" fontId="41" fillId="7" borderId="0" xfId="0" applyFont="1" applyFill="1" applyAlignment="1">
      <alignment horizontal="center" vertical="center"/>
    </xf>
    <xf numFmtId="4" fontId="15" fillId="3" borderId="0" xfId="2" applyNumberFormat="1" applyFont="1" applyFill="1" applyAlignment="1">
      <alignment horizontal="center" vertical="top" wrapText="1"/>
    </xf>
    <xf numFmtId="0" fontId="41" fillId="7" borderId="7" xfId="0" applyFont="1" applyFill="1" applyBorder="1" applyAlignment="1">
      <alignment horizontal="center"/>
    </xf>
    <xf numFmtId="0" fontId="27" fillId="6" borderId="0" xfId="0" applyFont="1" applyFill="1" applyAlignment="1">
      <alignment horizontal="center" vertical="center"/>
    </xf>
    <xf numFmtId="0" fontId="41" fillId="7" borderId="13" xfId="0" applyFont="1" applyFill="1" applyBorder="1" applyAlignment="1">
      <alignment horizontal="center" vertical="center" wrapText="1"/>
    </xf>
    <xf numFmtId="0" fontId="41" fillId="7" borderId="14" xfId="0" applyFont="1" applyFill="1" applyBorder="1" applyAlignment="1">
      <alignment horizontal="center" vertical="center" wrapText="1"/>
    </xf>
    <xf numFmtId="0" fontId="41" fillId="7" borderId="15" xfId="0" applyFont="1" applyFill="1" applyBorder="1" applyAlignment="1">
      <alignment horizontal="center" vertical="center" wrapText="1"/>
    </xf>
    <xf numFmtId="43" fontId="30" fillId="8" borderId="8" xfId="0" applyNumberFormat="1" applyFont="1" applyFill="1" applyBorder="1" applyAlignment="1" applyProtection="1">
      <alignment horizontal="right" vertical="center"/>
      <protection hidden="1"/>
    </xf>
    <xf numFmtId="43" fontId="30" fillId="8" borderId="19" xfId="0" applyNumberFormat="1" applyFont="1" applyFill="1" applyBorder="1" applyAlignment="1" applyProtection="1">
      <alignment horizontal="right" vertical="center"/>
      <protection hidden="1"/>
    </xf>
    <xf numFmtId="43" fontId="30" fillId="8" borderId="9" xfId="0" applyNumberFormat="1" applyFont="1" applyFill="1" applyBorder="1" applyAlignment="1" applyProtection="1">
      <alignment horizontal="right" vertical="center"/>
      <protection hidden="1"/>
    </xf>
    <xf numFmtId="0" fontId="41" fillId="7" borderId="1" xfId="0" applyFont="1" applyFill="1" applyBorder="1" applyAlignment="1">
      <alignment horizontal="center"/>
    </xf>
    <xf numFmtId="0" fontId="41" fillId="7" borderId="3" xfId="0" applyFont="1" applyFill="1" applyBorder="1" applyAlignment="1">
      <alignment horizontal="center"/>
    </xf>
    <xf numFmtId="0" fontId="11" fillId="7" borderId="1" xfId="2" applyFont="1" applyFill="1" applyBorder="1" applyAlignment="1">
      <alignment horizontal="left" vertical="top" wrapText="1"/>
    </xf>
    <xf numFmtId="0" fontId="41" fillId="7" borderId="1" xfId="0" applyFont="1" applyFill="1" applyBorder="1" applyAlignment="1">
      <alignment horizontal="center" vertical="center"/>
    </xf>
    <xf numFmtId="0" fontId="41" fillId="7" borderId="3" xfId="0" applyFont="1" applyFill="1" applyBorder="1" applyAlignment="1">
      <alignment horizontal="center" vertical="center"/>
    </xf>
    <xf numFmtId="0" fontId="41" fillId="7" borderId="13" xfId="0" applyFont="1" applyFill="1" applyBorder="1" applyAlignment="1">
      <alignment horizontal="center" vertical="center"/>
    </xf>
    <xf numFmtId="0" fontId="41" fillId="7" borderId="15" xfId="0" applyFont="1" applyFill="1" applyBorder="1" applyAlignment="1">
      <alignment horizontal="center" vertical="center"/>
    </xf>
    <xf numFmtId="3" fontId="41" fillId="7" borderId="18" xfId="0" applyNumberFormat="1" applyFont="1" applyFill="1" applyBorder="1" applyAlignment="1">
      <alignment horizontal="center" vertical="center" wrapText="1"/>
    </xf>
    <xf numFmtId="0" fontId="18" fillId="5" borderId="10" xfId="0" applyFont="1" applyFill="1" applyBorder="1" applyAlignment="1" applyProtection="1">
      <alignment horizontal="center" vertical="center"/>
      <protection hidden="1"/>
    </xf>
    <xf numFmtId="0" fontId="18" fillId="5" borderId="11" xfId="0" applyFont="1" applyFill="1" applyBorder="1" applyAlignment="1" applyProtection="1">
      <alignment horizontal="center" vertical="center"/>
      <protection hidden="1"/>
    </xf>
    <xf numFmtId="0" fontId="18" fillId="5" borderId="12" xfId="0" applyFont="1" applyFill="1" applyBorder="1" applyAlignment="1" applyProtection="1">
      <alignment horizontal="center" vertical="center"/>
      <protection hidden="1"/>
    </xf>
    <xf numFmtId="0" fontId="18" fillId="5" borderId="1" xfId="0" applyFont="1" applyFill="1" applyBorder="1" applyAlignment="1" applyProtection="1">
      <alignment horizontal="center" vertical="center"/>
      <protection hidden="1"/>
    </xf>
    <xf numFmtId="0" fontId="18" fillId="5" borderId="2" xfId="0" applyFont="1" applyFill="1" applyBorder="1" applyAlignment="1" applyProtection="1">
      <alignment horizontal="center" vertical="center"/>
      <protection hidden="1"/>
    </xf>
  </cellXfs>
  <cellStyles count="5">
    <cellStyle name="Comma 2 2" xfId="3" xr:uid="{00000000-0005-0000-0000-000000000000}"/>
    <cellStyle name="Komma" xfId="4" builtinId="3"/>
    <cellStyle name="Standaard" xfId="0" builtinId="0"/>
    <cellStyle name="Standaard_Delicious+Tender DEF+2012-2013+for+partner+Weiss-Druck+Sales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104776</xdr:colOff>
      <xdr:row>0</xdr:row>
      <xdr:rowOff>196850</xdr:rowOff>
    </xdr:from>
    <xdr:to>
      <xdr:col>12</xdr:col>
      <xdr:colOff>158751</xdr:colOff>
      <xdr:row>3</xdr:row>
      <xdr:rowOff>39649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D412ACD2-68F4-49D2-800E-A43D434AB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35926" y="200025"/>
          <a:ext cx="1860550" cy="46827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05280" y="749674"/>
          <a:ext cx="2247901" cy="6021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003" y="588308"/>
          <a:ext cx="2217693" cy="60210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63</xdr:row>
      <xdr:rowOff>101308</xdr:rowOff>
    </xdr:from>
    <xdr:to>
      <xdr:col>11</xdr:col>
      <xdr:colOff>525473</xdr:colOff>
      <xdr:row>67</xdr:row>
      <xdr:rowOff>126679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0AA1144E-8F13-4BB9-858C-451351D7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81229" y="14439608"/>
          <a:ext cx="2878832" cy="868427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79123C7A-4B18-42D3-BB8F-650181126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42283" cy="592579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E15B84C2-C6FD-4169-B396-C6A39071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63</xdr:row>
      <xdr:rowOff>101308</xdr:rowOff>
    </xdr:from>
    <xdr:to>
      <xdr:col>11</xdr:col>
      <xdr:colOff>522298</xdr:colOff>
      <xdr:row>67</xdr:row>
      <xdr:rowOff>124126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FA13CDD3-87C5-45E7-BBAE-5D0CBFC3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0629" y="15573083"/>
          <a:ext cx="2879019" cy="115100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9A3B8125-BA6F-4B40-AFD7-27827F7D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39108" cy="5894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26970CA6-E5CF-47AA-8566-BF288E6EF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55</xdr:row>
      <xdr:rowOff>101308</xdr:rowOff>
    </xdr:from>
    <xdr:to>
      <xdr:col>11</xdr:col>
      <xdr:colOff>522298</xdr:colOff>
      <xdr:row>59</xdr:row>
      <xdr:rowOff>123506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DF5A37EE-807D-4E5C-9C3D-1DFF770CA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0629" y="14125283"/>
          <a:ext cx="2875844" cy="1154179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C09B7475-352E-48A8-AB89-16979A1EC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39108" cy="5894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849B923C-AF12-4D6E-8FB3-7A8806431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63</xdr:row>
      <xdr:rowOff>101308</xdr:rowOff>
    </xdr:from>
    <xdr:to>
      <xdr:col>11</xdr:col>
      <xdr:colOff>525473</xdr:colOff>
      <xdr:row>67</xdr:row>
      <xdr:rowOff>120953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5D40662B-9DAE-4DCD-9A8C-6539B96A0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0629" y="15573083"/>
          <a:ext cx="2875844" cy="1151004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CFF28F33-DB9F-49D9-A112-112E34467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39108" cy="5894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6CE1AE3F-E24D-4005-9062-1CC892C3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54</xdr:row>
      <xdr:rowOff>101308</xdr:rowOff>
    </xdr:from>
    <xdr:to>
      <xdr:col>11</xdr:col>
      <xdr:colOff>522298</xdr:colOff>
      <xdr:row>58</xdr:row>
      <xdr:rowOff>124992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058F0DAC-97BB-44DA-AEAD-6552C6E54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0629" y="14030033"/>
          <a:ext cx="2875844" cy="1151003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561562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1C7841AF-8169-4D32-BAD8-F9FE85C7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39108" cy="5894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1295137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41D2295A-308F-43D1-8974-D0A0A788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52</xdr:row>
      <xdr:rowOff>101308</xdr:rowOff>
    </xdr:from>
    <xdr:to>
      <xdr:col>11</xdr:col>
      <xdr:colOff>522297</xdr:colOff>
      <xdr:row>56</xdr:row>
      <xdr:rowOff>123505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7EC2A977-F6EE-4A80-86FD-A33E0BC4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0629" y="13591883"/>
          <a:ext cx="2875844" cy="1151003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564737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B1BF709D-0060-4100-9F5E-0E7D09C7D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39108" cy="5894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1295137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B74D44B9-F9CC-4848-A5A2-AC0F50C4D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32187</xdr:colOff>
      <xdr:row>62</xdr:row>
      <xdr:rowOff>104483</xdr:rowOff>
    </xdr:from>
    <xdr:to>
      <xdr:col>11</xdr:col>
      <xdr:colOff>488680</xdr:colOff>
      <xdr:row>66</xdr:row>
      <xdr:rowOff>123505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FF159A85-5EAD-4565-81D0-1122229AF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53837" y="15385758"/>
          <a:ext cx="2875844" cy="11478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E6453-6465-4F48-B587-DE95B426FC68}">
  <sheetPr>
    <pageSetUpPr fitToPage="1"/>
  </sheetPr>
  <dimension ref="B1:M35"/>
  <sheetViews>
    <sheetView showGridLines="0" zoomScaleNormal="100" workbookViewId="0">
      <selection activeCell="I13" sqref="I13"/>
    </sheetView>
  </sheetViews>
  <sheetFormatPr defaultColWidth="8.7265625" defaultRowHeight="16.5" x14ac:dyDescent="0.45"/>
  <cols>
    <col min="1" max="1" width="1.7265625" style="1" customWidth="1"/>
    <col min="2" max="2" width="21" style="1" customWidth="1"/>
    <col min="3" max="3" width="26.54296875" style="1" customWidth="1"/>
    <col min="4" max="4" width="14.54296875" style="1" customWidth="1"/>
    <col min="5" max="5" width="8.54296875" style="1" hidden="1" customWidth="1"/>
    <col min="6" max="6" width="14" style="1" customWidth="1"/>
    <col min="7" max="7" width="13.26953125" style="1" customWidth="1"/>
    <col min="8" max="8" width="13.81640625" style="1" customWidth="1"/>
    <col min="9" max="13" width="8.54296875" style="1" customWidth="1"/>
    <col min="14" max="16384" width="8.7265625" style="1"/>
  </cols>
  <sheetData>
    <row r="1" spans="2:13" x14ac:dyDescent="0.45"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2:13" x14ac:dyDescent="0.45"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</row>
    <row r="3" spans="2:13" x14ac:dyDescent="0.45"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</row>
    <row r="4" spans="2:13" x14ac:dyDescent="0.45"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</row>
    <row r="5" spans="2:13" ht="17" thickBot="1" x14ac:dyDescent="0.5"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</row>
    <row r="6" spans="2:13" ht="28" customHeight="1" thickBot="1" x14ac:dyDescent="0.5">
      <c r="B6" s="682" t="s">
        <v>241</v>
      </c>
      <c r="C6" s="683"/>
      <c r="D6" s="683" t="s">
        <v>194</v>
      </c>
      <c r="E6" s="683"/>
      <c r="F6" s="683"/>
      <c r="G6" s="683"/>
      <c r="H6" s="683"/>
      <c r="I6" s="683"/>
      <c r="J6" s="683"/>
      <c r="K6" s="683"/>
      <c r="L6" s="694"/>
      <c r="M6" s="256"/>
    </row>
    <row r="7" spans="2:13" x14ac:dyDescent="0.45">
      <c r="B7" s="684" t="s">
        <v>192</v>
      </c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</row>
    <row r="8" spans="2:13" x14ac:dyDescent="0.45"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</row>
    <row r="9" spans="2:13" x14ac:dyDescent="0.45">
      <c r="B9" s="685" t="s">
        <v>195</v>
      </c>
      <c r="C9" s="686">
        <f>'Perceel 3'!$AL$54</f>
        <v>0</v>
      </c>
      <c r="D9" s="256"/>
      <c r="E9" s="256"/>
      <c r="F9" s="256"/>
      <c r="G9" s="256"/>
      <c r="H9" s="256"/>
      <c r="I9" s="256"/>
      <c r="J9" s="256"/>
      <c r="K9" s="256"/>
      <c r="L9" s="256"/>
      <c r="M9" s="256"/>
    </row>
    <row r="10" spans="2:13" x14ac:dyDescent="0.45">
      <c r="B10" s="687" t="s">
        <v>196</v>
      </c>
      <c r="C10" s="688">
        <f>'Perceel 6'!$AL$54</f>
        <v>0</v>
      </c>
      <c r="D10" s="256"/>
      <c r="E10" s="256"/>
      <c r="F10" s="256"/>
      <c r="G10" s="256"/>
      <c r="H10" s="256"/>
      <c r="I10" s="256"/>
      <c r="J10" s="256"/>
      <c r="K10" s="256"/>
      <c r="L10" s="256"/>
      <c r="M10" s="256"/>
    </row>
    <row r="11" spans="2:13" x14ac:dyDescent="0.45">
      <c r="B11" s="687" t="s">
        <v>197</v>
      </c>
      <c r="C11" s="688">
        <f>'Perceel 9'!$AL$46</f>
        <v>0</v>
      </c>
      <c r="D11" s="256"/>
      <c r="E11" s="256"/>
      <c r="F11" s="256"/>
      <c r="G11" s="256"/>
      <c r="H11" s="256"/>
      <c r="I11" s="256"/>
      <c r="J11" s="256"/>
      <c r="K11" s="256"/>
      <c r="L11" s="256"/>
      <c r="M11" s="256"/>
    </row>
    <row r="12" spans="2:13" x14ac:dyDescent="0.45">
      <c r="B12" s="687" t="s">
        <v>198</v>
      </c>
      <c r="C12" s="688">
        <f>'Perceel 12'!$AL$54</f>
        <v>0</v>
      </c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x14ac:dyDescent="0.45">
      <c r="B13" s="687" t="s">
        <v>199</v>
      </c>
      <c r="C13" s="688">
        <f>'Perceel 15'!$AL$45</f>
        <v>0</v>
      </c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x14ac:dyDescent="0.45">
      <c r="B14" s="687" t="s">
        <v>200</v>
      </c>
      <c r="C14" s="688">
        <f>'Perceel 18'!$AL$43</f>
        <v>0</v>
      </c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x14ac:dyDescent="0.45">
      <c r="B15" s="689" t="s">
        <v>201</v>
      </c>
      <c r="C15" s="690">
        <f>'Perceel 21'!$AL$53</f>
        <v>0</v>
      </c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x14ac:dyDescent="0.45">
      <c r="B16" s="691" t="s">
        <v>193</v>
      </c>
      <c r="C16" s="692">
        <f>SUM(C9:C15)</f>
        <v>0</v>
      </c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7" spans="2:13" x14ac:dyDescent="0.45">
      <c r="B17" s="256"/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</row>
    <row r="18" spans="2:13" x14ac:dyDescent="0.45">
      <c r="B18" s="693" t="str">
        <f>IF(SUM('Perceel 3'!AM54,'Perceel 6'!AM54,'Perceel 9'!AM46,'Perceel 12'!AM54,'Perceel 15'!AM45,'Perceel 18'!AM43,'Perceel 21'!AM53)&gt;5,"Niet akkoord: er zijn meer dan 5 percelen ingevuld!","")</f>
        <v/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x14ac:dyDescent="0.45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x14ac:dyDescent="0.45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x14ac:dyDescent="0.45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x14ac:dyDescent="0.45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x14ac:dyDescent="0.45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x14ac:dyDescent="0.45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x14ac:dyDescent="0.45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x14ac:dyDescent="0.45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x14ac:dyDescent="0.45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x14ac:dyDescent="0.45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x14ac:dyDescent="0.4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x14ac:dyDescent="0.45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x14ac:dyDescent="0.45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  <row r="32" spans="2:13" x14ac:dyDescent="0.45"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</row>
    <row r="33" spans="2:13" x14ac:dyDescent="0.45">
      <c r="B33" s="256"/>
      <c r="C33" s="256"/>
      <c r="D33" s="256"/>
      <c r="E33" s="256"/>
      <c r="F33" s="256"/>
      <c r="G33" s="256"/>
      <c r="H33" s="256"/>
      <c r="I33" s="256"/>
      <c r="J33" s="256"/>
      <c r="K33" s="256"/>
      <c r="L33" s="256"/>
      <c r="M33" s="256"/>
    </row>
    <row r="34" spans="2:13" x14ac:dyDescent="0.45">
      <c r="B34" s="256"/>
      <c r="C34" s="256"/>
      <c r="D34" s="256"/>
      <c r="E34" s="256"/>
      <c r="F34" s="256"/>
      <c r="G34" s="256"/>
      <c r="H34" s="256"/>
      <c r="I34" s="256"/>
      <c r="J34" s="256"/>
      <c r="K34" s="256"/>
      <c r="L34" s="256"/>
      <c r="M34" s="256"/>
    </row>
    <row r="35" spans="2:13" x14ac:dyDescent="0.45">
      <c r="B35" s="256"/>
      <c r="C35" s="256"/>
      <c r="D35" s="256"/>
      <c r="E35" s="256"/>
      <c r="F35" s="256"/>
      <c r="G35" s="256"/>
      <c r="H35" s="256"/>
      <c r="I35" s="256"/>
      <c r="J35" s="256"/>
      <c r="K35" s="256"/>
      <c r="L35" s="256"/>
      <c r="M35" s="256"/>
    </row>
  </sheetData>
  <sheetProtection algorithmName="SHA-512" hashValue="tWBusD0mmXNdaqrunMRQ/WD8bqmZP6tAi3F5QMd0DmJmw/e/fTOPlKAFlrGss6Q+GkbxXOAEgzYcIC2kxn5NNw==" saltValue="siWConK0Z10PHH7dPm9S3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82" orientation="landscape" verticalDpi="0" r:id="rId1"/>
  <headerFooter>
    <oddFooter>&amp;L&amp;F&amp;C&amp;A&amp;R&amp;P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1"/>
  <sheetViews>
    <sheetView showGridLines="0" topLeftCell="C63" zoomScale="90" zoomScaleNormal="90" workbookViewId="0">
      <selection activeCell="N85" sqref="N85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3" customWidth="1"/>
    <col min="7" max="7" width="0.81640625" style="3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5" customWidth="1"/>
    <col min="15" max="17" width="10.7265625" style="6" customWidth="1"/>
    <col min="18" max="18" width="0.81640625" style="5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125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65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3"/>
      <c r="Z3" s="23"/>
      <c r="AA3" s="24"/>
      <c r="AB3" s="24"/>
      <c r="AC3" s="24"/>
      <c r="AD3" s="24"/>
      <c r="AE3" s="24"/>
      <c r="AF3" s="25"/>
      <c r="AG3" s="26"/>
      <c r="AH3" s="26"/>
      <c r="AI3" s="26"/>
      <c r="AJ3" s="26"/>
      <c r="AK3" s="25"/>
      <c r="AL3" s="25"/>
      <c r="AM3" s="25"/>
      <c r="AN3" s="27"/>
    </row>
    <row r="4" spans="2:40" ht="31.5" customHeight="1" thickBot="1" x14ac:dyDescent="0.5">
      <c r="B4" s="18"/>
      <c r="C4" s="139" t="s">
        <v>1</v>
      </c>
      <c r="D4" s="378"/>
      <c r="E4" s="377" t="str">
        <f>IF(D4="","verplicht veld","")</f>
        <v>verplicht veld</v>
      </c>
      <c r="F4" s="22"/>
      <c r="G4" s="23"/>
      <c r="H4" s="25"/>
      <c r="I4" s="25"/>
      <c r="J4" s="28"/>
      <c r="K4" s="28"/>
      <c r="L4" s="29"/>
      <c r="M4" s="30"/>
      <c r="N4" s="23"/>
      <c r="O4" s="29"/>
      <c r="P4" s="29"/>
      <c r="Q4" s="29"/>
      <c r="R4" s="23"/>
      <c r="S4" s="29"/>
      <c r="T4" s="29"/>
      <c r="U4" s="31" t="s">
        <v>2</v>
      </c>
      <c r="V4" s="32" t="s">
        <v>2</v>
      </c>
      <c r="W4" s="22"/>
      <c r="X4" s="18"/>
      <c r="Y4" s="23"/>
      <c r="Z4" s="23"/>
      <c r="AA4" s="33"/>
      <c r="AB4" s="24"/>
      <c r="AC4" s="24"/>
      <c r="AD4" s="24"/>
      <c r="AE4" s="24"/>
      <c r="AF4" s="25"/>
      <c r="AG4" s="26"/>
      <c r="AH4" s="26"/>
      <c r="AI4" s="26"/>
      <c r="AJ4" s="26"/>
      <c r="AK4" s="25"/>
      <c r="AL4" s="25"/>
      <c r="AM4" s="25"/>
      <c r="AN4" s="27"/>
    </row>
    <row r="5" spans="2:40" ht="18" customHeight="1" thickBot="1" x14ac:dyDescent="0.5">
      <c r="B5" s="18"/>
      <c r="C5" s="139" t="s">
        <v>3</v>
      </c>
      <c r="D5" s="34">
        <v>47</v>
      </c>
      <c r="E5" s="23"/>
      <c r="F5" s="22"/>
      <c r="G5" s="23"/>
      <c r="H5" s="35" t="s">
        <v>4</v>
      </c>
      <c r="I5" s="36"/>
      <c r="J5" s="37"/>
      <c r="K5" s="37"/>
      <c r="L5" s="37"/>
      <c r="M5" s="38"/>
      <c r="N5" s="23"/>
      <c r="O5" s="29"/>
      <c r="P5" s="39"/>
      <c r="Q5" s="40"/>
      <c r="R5" s="23"/>
      <c r="S5" s="31"/>
      <c r="T5" s="31"/>
      <c r="U5" s="31" t="s">
        <v>2</v>
      </c>
      <c r="V5" s="32" t="s">
        <v>2</v>
      </c>
      <c r="W5" s="22"/>
      <c r="X5" s="18"/>
      <c r="Y5" s="23"/>
      <c r="Z5" s="23"/>
      <c r="AA5" s="33"/>
      <c r="AB5" s="24"/>
      <c r="AC5" s="24"/>
      <c r="AD5" s="24"/>
      <c r="AE5" s="24"/>
      <c r="AF5" s="25"/>
      <c r="AG5" s="26"/>
      <c r="AH5" s="26"/>
      <c r="AI5" s="26"/>
      <c r="AJ5" s="26"/>
      <c r="AK5" s="25"/>
      <c r="AL5" s="25"/>
      <c r="AM5" s="25"/>
      <c r="AN5" s="27"/>
    </row>
    <row r="6" spans="2:40" ht="18" customHeight="1" x14ac:dyDescent="0.45">
      <c r="B6" s="18"/>
      <c r="C6" s="139" t="s">
        <v>67</v>
      </c>
      <c r="D6" s="231" t="s">
        <v>81</v>
      </c>
      <c r="E6" s="23"/>
      <c r="F6" s="22"/>
      <c r="G6" s="23"/>
      <c r="H6" s="41" t="s">
        <v>5</v>
      </c>
      <c r="I6" s="42"/>
      <c r="J6" s="43"/>
      <c r="K6" s="42"/>
      <c r="L6" s="42"/>
      <c r="M6" s="44"/>
      <c r="N6" s="23"/>
      <c r="O6" s="29"/>
      <c r="P6" s="39"/>
      <c r="Q6" s="40"/>
      <c r="R6" s="23"/>
      <c r="S6" s="31"/>
      <c r="T6" s="31"/>
      <c r="U6" s="31" t="s">
        <v>2</v>
      </c>
      <c r="V6" s="32" t="s">
        <v>2</v>
      </c>
      <c r="W6" s="22"/>
      <c r="X6" s="18"/>
      <c r="Y6" s="23"/>
      <c r="Z6" s="23"/>
      <c r="AA6" s="33"/>
      <c r="AB6" s="24"/>
      <c r="AC6" s="24"/>
      <c r="AD6" s="24"/>
      <c r="AE6" s="24"/>
      <c r="AF6" s="25"/>
      <c r="AG6" s="26"/>
      <c r="AH6" s="26"/>
      <c r="AI6" s="26"/>
      <c r="AJ6" s="26"/>
      <c r="AK6" s="25"/>
      <c r="AL6" s="25"/>
      <c r="AM6" s="25"/>
      <c r="AN6" s="27"/>
    </row>
    <row r="7" spans="2:40" ht="18" customHeight="1" thickBot="1" x14ac:dyDescent="0.5">
      <c r="B7" s="18"/>
      <c r="C7" s="139" t="s">
        <v>68</v>
      </c>
      <c r="D7" s="231" t="s">
        <v>71</v>
      </c>
      <c r="E7" s="23"/>
      <c r="F7" s="22"/>
      <c r="G7" s="23"/>
      <c r="H7" s="45" t="s">
        <v>6</v>
      </c>
      <c r="I7" s="46"/>
      <c r="J7" s="47"/>
      <c r="K7" s="47"/>
      <c r="L7" s="47"/>
      <c r="M7" s="48"/>
      <c r="N7" s="23"/>
      <c r="O7" s="29"/>
      <c r="P7" s="39"/>
      <c r="Q7" s="40"/>
      <c r="R7" s="23"/>
      <c r="S7" s="31"/>
      <c r="T7" s="31"/>
      <c r="U7" s="31" t="s">
        <v>2</v>
      </c>
      <c r="V7" s="32" t="s">
        <v>2</v>
      </c>
      <c r="W7" s="22"/>
      <c r="X7" s="18"/>
      <c r="Y7" s="23"/>
      <c r="Z7" s="23"/>
      <c r="AA7" s="33"/>
      <c r="AB7" s="24"/>
      <c r="AC7" s="24"/>
      <c r="AD7" s="24"/>
      <c r="AE7" s="24"/>
      <c r="AF7" s="25"/>
      <c r="AG7" s="26"/>
      <c r="AH7" s="26"/>
      <c r="AI7" s="26"/>
      <c r="AJ7" s="26"/>
      <c r="AK7" s="25"/>
      <c r="AL7" s="25"/>
      <c r="AM7" s="25"/>
      <c r="AN7" s="27"/>
    </row>
    <row r="8" spans="2:40" ht="18" customHeight="1" x14ac:dyDescent="0.45">
      <c r="B8" s="18"/>
      <c r="C8" s="139" t="s">
        <v>7</v>
      </c>
      <c r="D8" s="49">
        <v>102600</v>
      </c>
      <c r="E8" s="23"/>
      <c r="F8" s="22"/>
      <c r="G8" s="23"/>
      <c r="H8" s="29"/>
      <c r="I8" s="29"/>
      <c r="J8" s="29"/>
      <c r="K8" s="50" t="s">
        <v>2</v>
      </c>
      <c r="L8" s="51" t="s">
        <v>2</v>
      </c>
      <c r="M8" s="50"/>
      <c r="N8" s="23"/>
      <c r="O8" s="29"/>
      <c r="P8" s="51"/>
      <c r="Q8" s="29" t="s">
        <v>2</v>
      </c>
      <c r="R8" s="23"/>
      <c r="S8" s="31" t="s">
        <v>2</v>
      </c>
      <c r="T8" s="31"/>
      <c r="U8" s="31" t="s">
        <v>2</v>
      </c>
      <c r="V8" s="32" t="s">
        <v>2</v>
      </c>
      <c r="W8" s="22"/>
      <c r="X8" s="18"/>
      <c r="Y8" s="23"/>
      <c r="Z8" s="23"/>
      <c r="AA8" s="33"/>
      <c r="AB8" s="24"/>
      <c r="AC8" s="24"/>
      <c r="AD8" s="24"/>
      <c r="AE8" s="24"/>
      <c r="AF8" s="25"/>
      <c r="AG8" s="26"/>
      <c r="AH8" s="26"/>
      <c r="AI8" s="26"/>
      <c r="AJ8" s="26"/>
      <c r="AK8" s="25"/>
      <c r="AL8" s="52"/>
      <c r="AM8" s="25"/>
      <c r="AN8" s="27"/>
    </row>
    <row r="9" spans="2:40" ht="32.5" customHeight="1" x14ac:dyDescent="0.45">
      <c r="B9" s="18"/>
      <c r="C9" s="137" t="s">
        <v>96</v>
      </c>
      <c r="D9" s="252"/>
      <c r="E9" s="377" t="str">
        <f>IF(D9="","verplicht veld","")</f>
        <v>verplicht veld</v>
      </c>
      <c r="F9" s="22"/>
      <c r="G9" s="23"/>
      <c r="H9" s="29"/>
      <c r="I9" s="29"/>
      <c r="J9" s="29"/>
      <c r="K9" s="50"/>
      <c r="L9" s="51"/>
      <c r="M9" s="50"/>
      <c r="N9" s="23"/>
      <c r="O9" s="29"/>
      <c r="P9" s="51"/>
      <c r="Q9" s="29"/>
      <c r="R9" s="23"/>
      <c r="S9" s="31"/>
      <c r="T9" s="31"/>
      <c r="U9" s="31"/>
      <c r="V9" s="32"/>
      <c r="W9" s="22"/>
      <c r="X9" s="18"/>
      <c r="Y9" s="23"/>
      <c r="Z9" s="23"/>
      <c r="AA9" s="33"/>
      <c r="AB9" s="24"/>
      <c r="AC9" s="24"/>
      <c r="AD9" s="24"/>
      <c r="AE9" s="24"/>
      <c r="AF9" s="25"/>
      <c r="AG9" s="26"/>
      <c r="AH9" s="26"/>
      <c r="AI9" s="26"/>
      <c r="AJ9" s="26"/>
      <c r="AK9" s="25"/>
      <c r="AL9" s="52"/>
      <c r="AM9" s="25"/>
      <c r="AN9" s="27"/>
    </row>
    <row r="10" spans="2:40" ht="18" customHeight="1" x14ac:dyDescent="0.45">
      <c r="B10" s="18"/>
      <c r="C10" s="137" t="s">
        <v>141</v>
      </c>
      <c r="D10" s="252"/>
      <c r="E10" s="377" t="str">
        <f>IF(D10="","verplicht veld","")</f>
        <v>verplicht veld</v>
      </c>
      <c r="F10" s="22"/>
      <c r="G10" s="23"/>
      <c r="H10" s="29"/>
      <c r="I10" s="29"/>
      <c r="J10" s="29"/>
      <c r="K10" s="50"/>
      <c r="L10" s="51"/>
      <c r="M10" s="50"/>
      <c r="N10" s="23"/>
      <c r="O10" s="29"/>
      <c r="P10" s="51"/>
      <c r="Q10" s="29"/>
      <c r="R10" s="23"/>
      <c r="S10" s="31"/>
      <c r="T10" s="31"/>
      <c r="U10" s="31"/>
      <c r="V10" s="32"/>
      <c r="W10" s="22"/>
      <c r="X10" s="18"/>
      <c r="Y10" s="23"/>
      <c r="Z10" s="23"/>
      <c r="AA10" s="33"/>
      <c r="AB10" s="24"/>
      <c r="AC10" s="24"/>
      <c r="AD10" s="24"/>
      <c r="AE10" s="24"/>
      <c r="AF10" s="25"/>
      <c r="AG10" s="26"/>
      <c r="AH10" s="26"/>
      <c r="AI10" s="26"/>
      <c r="AJ10" s="26"/>
      <c r="AK10" s="25"/>
      <c r="AL10" s="52"/>
      <c r="AM10" s="25"/>
      <c r="AN10" s="27"/>
    </row>
    <row r="11" spans="2:40" ht="18" customHeight="1" x14ac:dyDescent="0.45">
      <c r="B11" s="18"/>
      <c r="C11" s="139" t="s">
        <v>8</v>
      </c>
      <c r="D11" s="317"/>
      <c r="E11" s="377" t="str">
        <f>IF(D11="","verplicht veld","")</f>
        <v>verplicht veld</v>
      </c>
      <c r="F11" s="22"/>
      <c r="G11" s="23"/>
      <c r="H11" s="29"/>
      <c r="I11" s="29"/>
      <c r="J11" s="29"/>
      <c r="K11" s="29" t="s">
        <v>2</v>
      </c>
      <c r="L11" s="29" t="s">
        <v>2</v>
      </c>
      <c r="M11" s="50"/>
      <c r="N11" s="23"/>
      <c r="O11" s="39" t="s">
        <v>2</v>
      </c>
      <c r="P11" s="39"/>
      <c r="Q11" s="40" t="s">
        <v>2</v>
      </c>
      <c r="R11" s="23"/>
      <c r="S11" s="31"/>
      <c r="T11" s="31"/>
      <c r="U11" s="31" t="s">
        <v>2</v>
      </c>
      <c r="V11" s="32" t="s">
        <v>2</v>
      </c>
      <c r="W11" s="22"/>
      <c r="X11" s="18"/>
      <c r="Y11" s="23"/>
      <c r="Z11" s="23"/>
      <c r="AA11" s="33"/>
      <c r="AB11" s="24"/>
      <c r="AC11" s="24"/>
      <c r="AD11" s="24"/>
      <c r="AE11" s="53"/>
      <c r="AF11" s="25"/>
      <c r="AG11" s="26"/>
      <c r="AH11" s="26"/>
      <c r="AI11" s="26"/>
      <c r="AJ11" s="26"/>
      <c r="AK11" s="53"/>
      <c r="AL11" s="54"/>
      <c r="AM11" s="25"/>
      <c r="AN11" s="27"/>
    </row>
    <row r="12" spans="2:40" ht="18" customHeight="1" x14ac:dyDescent="0.45">
      <c r="B12" s="18"/>
      <c r="C12" s="139" t="s">
        <v>69</v>
      </c>
      <c r="D12" s="49" t="s">
        <v>9</v>
      </c>
      <c r="E12" s="23"/>
      <c r="F12" s="22"/>
      <c r="G12" s="23"/>
      <c r="H12" s="29"/>
      <c r="I12" s="29"/>
      <c r="J12" s="29"/>
      <c r="K12" s="29"/>
      <c r="L12" s="29"/>
      <c r="M12" s="50"/>
      <c r="N12" s="23"/>
      <c r="O12" s="39"/>
      <c r="P12" s="39"/>
      <c r="Q12" s="40"/>
      <c r="R12" s="23"/>
      <c r="S12" s="31"/>
      <c r="T12" s="31"/>
      <c r="U12" s="31"/>
      <c r="V12" s="32"/>
      <c r="W12" s="22"/>
      <c r="X12" s="18"/>
      <c r="Y12" s="55"/>
      <c r="Z12" s="773" t="str">
        <f>"RESULTAAT "&amp;$D$3</f>
        <v>RESULTAAT AVROBODE</v>
      </c>
      <c r="AA12" s="773"/>
      <c r="AB12" s="773"/>
      <c r="AC12" s="773"/>
      <c r="AD12" s="773"/>
      <c r="AE12" s="773"/>
      <c r="AF12" s="773"/>
      <c r="AG12" s="773"/>
      <c r="AH12" s="773"/>
      <c r="AI12" s="773"/>
      <c r="AJ12" s="773"/>
      <c r="AK12" s="773"/>
      <c r="AL12" s="57"/>
      <c r="AM12" s="57"/>
      <c r="AN12" s="27"/>
    </row>
    <row r="13" spans="2:40" ht="18" customHeight="1" x14ac:dyDescent="0.45">
      <c r="B13" s="18"/>
      <c r="C13" s="139" t="s">
        <v>70</v>
      </c>
      <c r="D13" s="248" t="s">
        <v>82</v>
      </c>
      <c r="E13" s="23"/>
      <c r="F13" s="22"/>
      <c r="G13" s="23"/>
      <c r="H13" s="29"/>
      <c r="I13" s="29"/>
      <c r="J13" s="29"/>
      <c r="K13" s="29"/>
      <c r="L13" s="29"/>
      <c r="M13" s="50"/>
      <c r="N13" s="23"/>
      <c r="O13" s="39"/>
      <c r="P13" s="39"/>
      <c r="Q13" s="40"/>
      <c r="R13" s="23"/>
      <c r="S13" s="31"/>
      <c r="T13" s="31"/>
      <c r="U13" s="31"/>
      <c r="V13" s="32"/>
      <c r="W13" s="22"/>
      <c r="X13" s="18"/>
      <c r="Y13" s="55"/>
      <c r="Z13" s="773"/>
      <c r="AA13" s="773"/>
      <c r="AB13" s="773"/>
      <c r="AC13" s="773"/>
      <c r="AD13" s="773"/>
      <c r="AE13" s="773"/>
      <c r="AF13" s="773"/>
      <c r="AG13" s="773"/>
      <c r="AH13" s="773"/>
      <c r="AI13" s="773"/>
      <c r="AJ13" s="773"/>
      <c r="AK13" s="773"/>
      <c r="AL13" s="56" t="str">
        <f>C8&amp;" jaarbasis"</f>
        <v>Oplage: jaarbasis</v>
      </c>
      <c r="AM13" s="57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3"/>
      <c r="F14" s="22"/>
      <c r="G14" s="23"/>
      <c r="H14" s="29"/>
      <c r="I14" s="29"/>
      <c r="J14" s="29"/>
      <c r="K14" s="29" t="s">
        <v>2</v>
      </c>
      <c r="L14" s="29" t="s">
        <v>2</v>
      </c>
      <c r="M14" s="50"/>
      <c r="N14" s="23"/>
      <c r="O14" s="39"/>
      <c r="P14" s="39"/>
      <c r="Q14" s="40"/>
      <c r="R14" s="23"/>
      <c r="S14" s="31"/>
      <c r="T14" s="31"/>
      <c r="U14" s="31"/>
      <c r="V14" s="32"/>
      <c r="W14" s="22"/>
      <c r="X14" s="18"/>
      <c r="Y14" s="55"/>
      <c r="Z14" s="773"/>
      <c r="AA14" s="773"/>
      <c r="AB14" s="773"/>
      <c r="AC14" s="773"/>
      <c r="AD14" s="773"/>
      <c r="AE14" s="773"/>
      <c r="AF14" s="773"/>
      <c r="AG14" s="773"/>
      <c r="AH14" s="773"/>
      <c r="AI14" s="773"/>
      <c r="AJ14" s="773"/>
      <c r="AK14" s="773"/>
      <c r="AL14" s="60">
        <f>D5*D8</f>
        <v>4822200</v>
      </c>
      <c r="AM14" s="57"/>
      <c r="AN14" s="27"/>
    </row>
    <row r="15" spans="2:40" ht="18" customHeight="1" thickBot="1" x14ac:dyDescent="0.5">
      <c r="B15" s="18"/>
      <c r="C15" s="119" t="s">
        <v>89</v>
      </c>
      <c r="D15" s="247"/>
      <c r="E15" s="377" t="str">
        <f>IF(D15="","verplicht veld","")</f>
        <v>verplicht veld</v>
      </c>
      <c r="F15" s="22"/>
      <c r="G15" s="23"/>
      <c r="H15" s="29"/>
      <c r="I15" s="29"/>
      <c r="J15" s="29"/>
      <c r="K15" s="29"/>
      <c r="L15" s="29"/>
      <c r="M15" s="50"/>
      <c r="N15" s="23"/>
      <c r="O15" s="39"/>
      <c r="P15" s="39"/>
      <c r="Q15" s="40"/>
      <c r="R15" s="23"/>
      <c r="S15" s="31"/>
      <c r="T15" s="31"/>
      <c r="U15" s="31"/>
      <c r="V15" s="32"/>
      <c r="W15" s="22"/>
      <c r="X15" s="18"/>
      <c r="Y15" s="55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60"/>
      <c r="AM15" s="57"/>
      <c r="AN15" s="27"/>
    </row>
    <row r="16" spans="2:40" s="67" customFormat="1" ht="31.5" customHeight="1" thickBot="1" x14ac:dyDescent="0.5">
      <c r="B16" s="18"/>
      <c r="C16" s="237" t="s">
        <v>12</v>
      </c>
      <c r="D16" s="184"/>
      <c r="E16" s="767" t="s">
        <v>66</v>
      </c>
      <c r="F16" s="768"/>
      <c r="G16" s="23"/>
      <c r="H16" s="774" t="s">
        <v>13</v>
      </c>
      <c r="I16" s="775"/>
      <c r="J16" s="775"/>
      <c r="K16" s="775"/>
      <c r="L16" s="775"/>
      <c r="M16" s="776"/>
      <c r="N16" s="61"/>
      <c r="O16" s="774" t="s">
        <v>14</v>
      </c>
      <c r="P16" s="775"/>
      <c r="Q16" s="776"/>
      <c r="R16" s="61"/>
      <c r="S16" s="774" t="s">
        <v>15</v>
      </c>
      <c r="T16" s="775"/>
      <c r="U16" s="775"/>
      <c r="V16" s="776"/>
      <c r="W16" s="22"/>
      <c r="X16" s="18"/>
      <c r="Y16" s="62"/>
      <c r="Z16" s="63"/>
      <c r="AA16" s="777" t="s">
        <v>16</v>
      </c>
      <c r="AB16" s="778"/>
      <c r="AC16" s="778"/>
      <c r="AD16" s="778"/>
      <c r="AE16" s="779"/>
      <c r="AF16" s="23"/>
      <c r="AG16" s="780" t="s">
        <v>17</v>
      </c>
      <c r="AH16" s="781"/>
      <c r="AI16" s="781"/>
      <c r="AJ16" s="781"/>
      <c r="AK16" s="778"/>
      <c r="AL16" s="64" t="s">
        <v>18</v>
      </c>
      <c r="AM16" s="65"/>
      <c r="AN16" s="66"/>
    </row>
    <row r="17" spans="2:40" ht="189.5" thickBot="1" x14ac:dyDescent="0.5">
      <c r="B17" s="18"/>
      <c r="C17" s="238"/>
      <c r="D17" s="230"/>
      <c r="E17" s="23"/>
      <c r="F17" s="14"/>
      <c r="G17" s="23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3"/>
      <c r="O17" s="189" t="s">
        <v>25</v>
      </c>
      <c r="P17" s="190" t="s">
        <v>26</v>
      </c>
      <c r="Q17" s="70" t="s">
        <v>27</v>
      </c>
      <c r="R17" s="23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55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3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57"/>
      <c r="AN17" s="27"/>
    </row>
    <row r="18" spans="2:40" ht="17" thickBot="1" x14ac:dyDescent="0.5">
      <c r="B18" s="18"/>
      <c r="C18" s="135" t="s">
        <v>61</v>
      </c>
      <c r="D18" s="78"/>
      <c r="E18" s="222" t="s">
        <v>63</v>
      </c>
      <c r="F18" s="223" t="s">
        <v>64</v>
      </c>
      <c r="G18" s="191"/>
      <c r="H18" s="192"/>
      <c r="I18" s="193"/>
      <c r="J18" s="192"/>
      <c r="K18" s="193"/>
      <c r="L18" s="194"/>
      <c r="M18" s="195"/>
      <c r="N18" s="191"/>
      <c r="O18" s="196" t="s">
        <v>36</v>
      </c>
      <c r="P18" s="197" t="s">
        <v>37</v>
      </c>
      <c r="Q18" s="198" t="s">
        <v>37</v>
      </c>
      <c r="R18" s="191"/>
      <c r="S18" s="196" t="s">
        <v>36</v>
      </c>
      <c r="T18" s="199" t="s">
        <v>37</v>
      </c>
      <c r="U18" s="197" t="s">
        <v>37</v>
      </c>
      <c r="V18" s="200" t="s">
        <v>37</v>
      </c>
      <c r="W18" s="22"/>
      <c r="X18" s="18"/>
      <c r="Y18" s="55"/>
      <c r="Z18" s="79" t="s">
        <v>61</v>
      </c>
      <c r="AA18" s="80"/>
      <c r="AB18" s="81"/>
      <c r="AC18" s="81"/>
      <c r="AD18" s="81"/>
      <c r="AE18" s="82"/>
      <c r="AF18" s="83"/>
      <c r="AG18" s="84"/>
      <c r="AH18" s="85"/>
      <c r="AI18" s="85"/>
      <c r="AJ18" s="85"/>
      <c r="AK18" s="86"/>
      <c r="AL18" s="77"/>
      <c r="AM18" s="57"/>
      <c r="AN18" s="27"/>
    </row>
    <row r="19" spans="2:40" ht="10" customHeight="1" x14ac:dyDescent="0.45">
      <c r="B19" s="18"/>
      <c r="C19" s="87"/>
      <c r="D19" s="88"/>
      <c r="E19" s="23"/>
      <c r="F19" s="22"/>
      <c r="G19" s="23"/>
      <c r="H19" s="89"/>
      <c r="I19" s="90"/>
      <c r="J19" s="90"/>
      <c r="K19" s="90"/>
      <c r="L19" s="91"/>
      <c r="M19" s="92"/>
      <c r="N19" s="23"/>
      <c r="O19" s="93"/>
      <c r="P19" s="94"/>
      <c r="Q19" s="70"/>
      <c r="R19" s="23"/>
      <c r="S19" s="93"/>
      <c r="T19" s="94"/>
      <c r="U19" s="94"/>
      <c r="V19" s="95"/>
      <c r="W19" s="22"/>
      <c r="X19" s="18"/>
      <c r="Y19" s="55"/>
      <c r="Z19" s="96"/>
      <c r="AA19" s="97"/>
      <c r="AB19" s="98"/>
      <c r="AC19" s="98"/>
      <c r="AD19" s="98"/>
      <c r="AE19" s="99"/>
      <c r="AF19" s="23"/>
      <c r="AG19" s="97"/>
      <c r="AH19" s="327"/>
      <c r="AI19" s="98"/>
      <c r="AJ19" s="98"/>
      <c r="AK19" s="99"/>
      <c r="AL19" s="77"/>
      <c r="AM19" s="57"/>
      <c r="AN19" s="27"/>
    </row>
    <row r="20" spans="2:40" ht="17" thickBot="1" x14ac:dyDescent="0.5">
      <c r="B20" s="18"/>
      <c r="C20" s="100" t="s">
        <v>79</v>
      </c>
      <c r="D20" s="379">
        <f>IF(AND($D$15="Offline",$D$27&gt;0),$D$27,IF(AND($D$15="Offline",$D$28&gt;0),$D$28,0))+$D$31+D32+$D$34</f>
        <v>0</v>
      </c>
      <c r="E20" s="336">
        <f>IF(D20&gt;0,$D$10,0)</f>
        <v>0</v>
      </c>
      <c r="F20" s="232" t="s">
        <v>71</v>
      </c>
      <c r="G20" s="23"/>
      <c r="H20" s="227">
        <v>0</v>
      </c>
      <c r="I20" s="228">
        <v>0</v>
      </c>
      <c r="J20" s="106">
        <v>0</v>
      </c>
      <c r="K20" s="106">
        <v>0</v>
      </c>
      <c r="L20" s="108"/>
      <c r="M20" s="101">
        <v>600</v>
      </c>
      <c r="N20" s="23"/>
      <c r="O20" s="369">
        <v>0</v>
      </c>
      <c r="P20" s="114">
        <v>0</v>
      </c>
      <c r="Q20" s="375">
        <f>O20*(M20/1000)</f>
        <v>0</v>
      </c>
      <c r="R20" s="23"/>
      <c r="S20" s="369">
        <v>0</v>
      </c>
      <c r="T20" s="361">
        <f>S20*(M20/1000)</f>
        <v>0</v>
      </c>
      <c r="U20" s="109">
        <v>0</v>
      </c>
      <c r="V20" s="313">
        <v>1</v>
      </c>
      <c r="W20" s="22"/>
      <c r="X20" s="18"/>
      <c r="Y20" s="55"/>
      <c r="Z20" s="102" t="s">
        <v>79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725"/>
      <c r="AG20" s="437">
        <f>$S20*$D20*($D$8/10000)</f>
        <v>0</v>
      </c>
      <c r="AH20" s="438">
        <f>($D20*$T20)*($D$8/10000)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57"/>
      <c r="AN20" s="27"/>
    </row>
    <row r="21" spans="2:40" ht="10" customHeight="1" thickBot="1" x14ac:dyDescent="0.5">
      <c r="B21" s="18"/>
      <c r="C21" s="87"/>
      <c r="D21" s="88"/>
      <c r="E21" s="23"/>
      <c r="F21" s="22"/>
      <c r="G21" s="23"/>
      <c r="H21" s="89"/>
      <c r="I21" s="90"/>
      <c r="J21" s="90"/>
      <c r="K21" s="90"/>
      <c r="L21" s="91"/>
      <c r="M21" s="92"/>
      <c r="N21" s="23"/>
      <c r="O21" s="93"/>
      <c r="P21" s="371"/>
      <c r="Q21" s="70"/>
      <c r="R21" s="23"/>
      <c r="S21" s="93"/>
      <c r="T21" s="94"/>
      <c r="U21" s="94"/>
      <c r="V21" s="95"/>
      <c r="W21" s="22"/>
      <c r="X21" s="18"/>
      <c r="Y21" s="55"/>
      <c r="Z21" s="96"/>
      <c r="AA21" s="443"/>
      <c r="AB21" s="444"/>
      <c r="AC21" s="444"/>
      <c r="AD21" s="444"/>
      <c r="AE21" s="445"/>
      <c r="AF21" s="726"/>
      <c r="AG21" s="443"/>
      <c r="AH21" s="444"/>
      <c r="AI21" s="444"/>
      <c r="AJ21" s="444"/>
      <c r="AK21" s="447"/>
      <c r="AL21" s="448"/>
      <c r="AM21" s="57"/>
      <c r="AN21" s="27"/>
    </row>
    <row r="22" spans="2:40" ht="14.5" customHeight="1" x14ac:dyDescent="0.45">
      <c r="B22" s="18"/>
      <c r="C22" s="786" t="s">
        <v>97</v>
      </c>
      <c r="D22" s="787"/>
      <c r="E22" s="222" t="s">
        <v>63</v>
      </c>
      <c r="F22" s="223" t="s">
        <v>64</v>
      </c>
      <c r="G22" s="191"/>
      <c r="H22" s="201" t="s">
        <v>2</v>
      </c>
      <c r="I22" s="202" t="s">
        <v>2</v>
      </c>
      <c r="J22" s="201" t="s">
        <v>2</v>
      </c>
      <c r="K22" s="202" t="s">
        <v>2</v>
      </c>
      <c r="L22" s="203" t="s">
        <v>2</v>
      </c>
      <c r="M22" s="204" t="s">
        <v>2</v>
      </c>
      <c r="N22" s="191"/>
      <c r="O22" s="205" t="s">
        <v>36</v>
      </c>
      <c r="P22" s="372" t="s">
        <v>37</v>
      </c>
      <c r="Q22" s="207" t="s">
        <v>37</v>
      </c>
      <c r="R22" s="191"/>
      <c r="S22" s="205" t="s">
        <v>36</v>
      </c>
      <c r="T22" s="208" t="s">
        <v>37</v>
      </c>
      <c r="U22" s="206" t="s">
        <v>37</v>
      </c>
      <c r="V22" s="209" t="s">
        <v>37</v>
      </c>
      <c r="W22" s="22"/>
      <c r="X22" s="18"/>
      <c r="Y22" s="55"/>
      <c r="Z22" s="103" t="s">
        <v>35</v>
      </c>
      <c r="AA22" s="452"/>
      <c r="AB22" s="453"/>
      <c r="AC22" s="453"/>
      <c r="AD22" s="453"/>
      <c r="AE22" s="454"/>
      <c r="AF22" s="727"/>
      <c r="AG22" s="456"/>
      <c r="AH22" s="453"/>
      <c r="AI22" s="453"/>
      <c r="AJ22" s="453"/>
      <c r="AK22" s="457"/>
      <c r="AL22" s="458"/>
      <c r="AM22" s="57"/>
      <c r="AN22" s="27"/>
    </row>
    <row r="23" spans="2:40" ht="15" customHeight="1" x14ac:dyDescent="0.45">
      <c r="B23" s="18"/>
      <c r="C23" s="104" t="s">
        <v>72</v>
      </c>
      <c r="D23" s="379">
        <f>IF($D$9="84 p. selfcovered",IF($D$15="Inline",26,0),0)</f>
        <v>0</v>
      </c>
      <c r="E23" s="336">
        <f>IF(D23&gt;0,$D$10,0)</f>
        <v>0</v>
      </c>
      <c r="F23" s="232" t="s">
        <v>71</v>
      </c>
      <c r="G23" s="23"/>
      <c r="H23" s="105">
        <v>0</v>
      </c>
      <c r="I23" s="106">
        <v>0</v>
      </c>
      <c r="J23" s="107" t="s">
        <v>38</v>
      </c>
      <c r="K23" s="107" t="s">
        <v>38</v>
      </c>
      <c r="L23" s="108"/>
      <c r="M23" s="101">
        <v>555</v>
      </c>
      <c r="N23" s="23"/>
      <c r="O23" s="369">
        <v>0</v>
      </c>
      <c r="P23" s="114">
        <v>0</v>
      </c>
      <c r="Q23" s="375">
        <f>O23*(M23/1000)</f>
        <v>0</v>
      </c>
      <c r="R23" s="23"/>
      <c r="S23" s="369">
        <v>0</v>
      </c>
      <c r="T23" s="361">
        <f>S23*(M23/1000)</f>
        <v>0</v>
      </c>
      <c r="U23" s="114">
        <v>0</v>
      </c>
      <c r="V23" s="249" t="s">
        <v>38</v>
      </c>
      <c r="W23" s="22"/>
      <c r="X23" s="18"/>
      <c r="Y23" s="55"/>
      <c r="Z23" s="110" t="s">
        <v>72</v>
      </c>
      <c r="AA23" s="460">
        <f>$O23*$D23</f>
        <v>0</v>
      </c>
      <c r="AB23" s="461">
        <f>$AA23*$M23/1000</f>
        <v>0</v>
      </c>
      <c r="AC23" s="461">
        <f>$P23*$D23</f>
        <v>0</v>
      </c>
      <c r="AD23" s="461" t="s">
        <v>38</v>
      </c>
      <c r="AE23" s="462">
        <f>SUM(AB23:AC23)</f>
        <v>0</v>
      </c>
      <c r="AF23" s="725"/>
      <c r="AG23" s="460">
        <f>$S23*$D23*($D$8/10000)</f>
        <v>0</v>
      </c>
      <c r="AH23" s="461">
        <f>($D23*$T23)*($D$8/10000)</f>
        <v>0</v>
      </c>
      <c r="AI23" s="461">
        <f>($D23*$U23)*$D$8/10000</f>
        <v>0</v>
      </c>
      <c r="AJ23" s="461" t="str">
        <f>IFERROR(VLOOKUP($V23,$C$38:$U$44,$U$36,FALSE)*($D$8/10000)*$D23,"n.v.t.")</f>
        <v>n.v.t.</v>
      </c>
      <c r="AK23" s="463">
        <f>SUM(AH23:AJ23)</f>
        <v>0</v>
      </c>
      <c r="AL23" s="442">
        <f>AE23+AK23</f>
        <v>0</v>
      </c>
      <c r="AM23" s="57"/>
      <c r="AN23" s="27"/>
    </row>
    <row r="24" spans="2:40" ht="15" customHeight="1" thickBot="1" x14ac:dyDescent="0.5">
      <c r="B24" s="18"/>
      <c r="C24" s="104" t="s">
        <v>75</v>
      </c>
      <c r="D24" s="379">
        <f>IF($D$9="88 p. selfcovered",IF($D$15="Inline",26,0),0)</f>
        <v>0</v>
      </c>
      <c r="E24" s="336">
        <f>IF(D24&gt;0,$D$10,0)</f>
        <v>0</v>
      </c>
      <c r="F24" s="232" t="s">
        <v>71</v>
      </c>
      <c r="G24" s="23"/>
      <c r="H24" s="105">
        <v>0</v>
      </c>
      <c r="I24" s="106">
        <v>0</v>
      </c>
      <c r="J24" s="107" t="s">
        <v>38</v>
      </c>
      <c r="K24" s="107" t="s">
        <v>38</v>
      </c>
      <c r="L24" s="108"/>
      <c r="M24" s="101">
        <v>555</v>
      </c>
      <c r="N24" s="23"/>
      <c r="O24" s="369">
        <v>0</v>
      </c>
      <c r="P24" s="114">
        <v>0</v>
      </c>
      <c r="Q24" s="375">
        <f>O24*(M24/1000)</f>
        <v>0</v>
      </c>
      <c r="R24" s="23"/>
      <c r="S24" s="369">
        <v>0</v>
      </c>
      <c r="T24" s="361">
        <f>S24*(M24/1000)</f>
        <v>0</v>
      </c>
      <c r="U24" s="114">
        <v>0</v>
      </c>
      <c r="V24" s="249" t="s">
        <v>38</v>
      </c>
      <c r="W24" s="22"/>
      <c r="X24" s="18"/>
      <c r="Y24" s="55"/>
      <c r="Z24" s="110" t="s">
        <v>75</v>
      </c>
      <c r="AA24" s="460">
        <f>$O24*$D24</f>
        <v>0</v>
      </c>
      <c r="AB24" s="461">
        <f>$AA24*$M24/1000</f>
        <v>0</v>
      </c>
      <c r="AC24" s="461">
        <f>$P24*$D24</f>
        <v>0</v>
      </c>
      <c r="AD24" s="461" t="s">
        <v>38</v>
      </c>
      <c r="AE24" s="462">
        <f>SUM(AB24:AC24)</f>
        <v>0</v>
      </c>
      <c r="AF24" s="725"/>
      <c r="AG24" s="460">
        <f>$S24*$D24*($D$8/10000)</f>
        <v>0</v>
      </c>
      <c r="AH24" s="461">
        <f>($D24*$T24)*($D$8/10000)</f>
        <v>0</v>
      </c>
      <c r="AI24" s="461">
        <f>($D24*$U24)*$D$8/10000</f>
        <v>0</v>
      </c>
      <c r="AJ24" s="461" t="str">
        <f>IFERROR(VLOOKUP($V24,$C$38:$U$44,$U$36,FALSE)*($D$8/10000)*$D24,"n.v.t.")</f>
        <v>n.v.t.</v>
      </c>
      <c r="AK24" s="463">
        <f>SUM(AH24:AI24)</f>
        <v>0</v>
      </c>
      <c r="AL24" s="442">
        <f>AE24+AK24</f>
        <v>0</v>
      </c>
      <c r="AM24" s="57"/>
      <c r="AN24" s="27"/>
    </row>
    <row r="25" spans="2:40" ht="10" customHeight="1" thickBot="1" x14ac:dyDescent="0.5">
      <c r="B25" s="18"/>
      <c r="C25" s="87"/>
      <c r="D25" s="127"/>
      <c r="E25" s="23"/>
      <c r="F25" s="22"/>
      <c r="G25" s="23"/>
      <c r="H25" s="128"/>
      <c r="I25" s="25"/>
      <c r="J25" s="25"/>
      <c r="K25" s="25"/>
      <c r="L25" s="25"/>
      <c r="M25" s="129"/>
      <c r="N25" s="23"/>
      <c r="O25" s="130"/>
      <c r="P25" s="373"/>
      <c r="Q25" s="132"/>
      <c r="R25" s="23"/>
      <c r="S25" s="130"/>
      <c r="T25" s="133"/>
      <c r="U25" s="131"/>
      <c r="V25" s="134"/>
      <c r="W25" s="22"/>
      <c r="X25" s="18"/>
      <c r="Y25" s="55"/>
      <c r="Z25" s="23"/>
      <c r="AA25" s="460"/>
      <c r="AB25" s="465"/>
      <c r="AC25" s="465"/>
      <c r="AD25" s="465"/>
      <c r="AE25" s="466"/>
      <c r="AF25" s="725"/>
      <c r="AG25" s="460"/>
      <c r="AH25" s="465"/>
      <c r="AI25" s="465"/>
      <c r="AJ25" s="465"/>
      <c r="AK25" s="463"/>
      <c r="AL25" s="442"/>
      <c r="AM25" s="57"/>
      <c r="AN25" s="27"/>
    </row>
    <row r="26" spans="2:40" x14ac:dyDescent="0.45">
      <c r="B26" s="18"/>
      <c r="C26" s="788" t="s">
        <v>39</v>
      </c>
      <c r="D26" s="789"/>
      <c r="E26" s="222" t="s">
        <v>63</v>
      </c>
      <c r="F26" s="224" t="s">
        <v>64</v>
      </c>
      <c r="G26" s="191"/>
      <c r="H26" s="210" t="s">
        <v>2</v>
      </c>
      <c r="I26" s="211" t="s">
        <v>2</v>
      </c>
      <c r="J26" s="201" t="s">
        <v>2</v>
      </c>
      <c r="K26" s="202" t="s">
        <v>2</v>
      </c>
      <c r="L26" s="203" t="s">
        <v>2</v>
      </c>
      <c r="M26" s="204" t="s">
        <v>2</v>
      </c>
      <c r="N26" s="191"/>
      <c r="O26" s="212" t="s">
        <v>36</v>
      </c>
      <c r="P26" s="374" t="s">
        <v>37</v>
      </c>
      <c r="Q26" s="214" t="s">
        <v>37</v>
      </c>
      <c r="R26" s="191"/>
      <c r="S26" s="212" t="s">
        <v>36</v>
      </c>
      <c r="T26" s="215" t="s">
        <v>37</v>
      </c>
      <c r="U26" s="213" t="s">
        <v>37</v>
      </c>
      <c r="V26" s="216" t="s">
        <v>40</v>
      </c>
      <c r="W26" s="22"/>
      <c r="X26" s="18"/>
      <c r="Y26" s="55"/>
      <c r="Z26" s="136" t="s">
        <v>39</v>
      </c>
      <c r="AA26" s="467"/>
      <c r="AB26" s="468"/>
      <c r="AC26" s="468"/>
      <c r="AD26" s="468"/>
      <c r="AE26" s="469"/>
      <c r="AF26" s="725"/>
      <c r="AG26" s="470"/>
      <c r="AH26" s="468"/>
      <c r="AI26" s="468"/>
      <c r="AJ26" s="468"/>
      <c r="AK26" s="471"/>
      <c r="AL26" s="442"/>
      <c r="AM26" s="57"/>
      <c r="AN26" s="27"/>
    </row>
    <row r="27" spans="2:40" ht="15" customHeight="1" x14ac:dyDescent="0.45">
      <c r="B27" s="18"/>
      <c r="C27" s="104" t="s">
        <v>127</v>
      </c>
      <c r="D27" s="379">
        <f>IF($D$9="80 p. binnenwerk + 4 p. omslag",IF($D$15="Offline",42,0),0)</f>
        <v>0</v>
      </c>
      <c r="E27" s="336">
        <f t="shared" ref="E27:E34" si="0">IF(D27&gt;0,$D$10,0)</f>
        <v>0</v>
      </c>
      <c r="F27" s="232" t="s">
        <v>71</v>
      </c>
      <c r="G27" s="23"/>
      <c r="H27" s="105">
        <v>0</v>
      </c>
      <c r="I27" s="106">
        <v>0</v>
      </c>
      <c r="J27" s="107" t="s">
        <v>38</v>
      </c>
      <c r="K27" s="107" t="s">
        <v>38</v>
      </c>
      <c r="L27" s="108"/>
      <c r="M27" s="101">
        <v>555</v>
      </c>
      <c r="N27" s="23"/>
      <c r="O27" s="369">
        <v>0</v>
      </c>
      <c r="P27" s="114">
        <v>0</v>
      </c>
      <c r="Q27" s="375">
        <f>O27*(M27/1000)</f>
        <v>0</v>
      </c>
      <c r="R27" s="23"/>
      <c r="S27" s="369">
        <v>0</v>
      </c>
      <c r="T27" s="361">
        <f>S27*(M27/1000)</f>
        <v>0</v>
      </c>
      <c r="U27" s="114">
        <v>0</v>
      </c>
      <c r="V27" s="115">
        <v>1</v>
      </c>
      <c r="W27" s="314">
        <f>IF(D27&gt;0,1,0)+V27</f>
        <v>1</v>
      </c>
      <c r="X27" s="18"/>
      <c r="Y27" s="55"/>
      <c r="Z27" s="110" t="s">
        <v>74</v>
      </c>
      <c r="AA27" s="460">
        <f t="shared" ref="AA27:AA34" si="1">$O27*$D27</f>
        <v>0</v>
      </c>
      <c r="AB27" s="461">
        <f t="shared" ref="AB27:AB34" si="2">$AA27*$M27/1000</f>
        <v>0</v>
      </c>
      <c r="AC27" s="461">
        <f t="shared" ref="AC27:AC34" si="3">$P27*$D27</f>
        <v>0</v>
      </c>
      <c r="AD27" s="461">
        <f t="shared" ref="AD27:AD34" si="4">VLOOKUP($W27,$C$38:$P$44,$P$36,FALSE)*$D27</f>
        <v>0</v>
      </c>
      <c r="AE27" s="462">
        <f>SUM(AB27:AD27)</f>
        <v>0</v>
      </c>
      <c r="AF27" s="725"/>
      <c r="AG27" s="460">
        <f t="shared" ref="AG27:AG34" si="5">$S27*$D27*($D$8/10000)</f>
        <v>0</v>
      </c>
      <c r="AH27" s="461">
        <f t="shared" ref="AH27:AH34" si="6">($D27*$T27)*($D$8/10000)</f>
        <v>0</v>
      </c>
      <c r="AI27" s="461">
        <f t="shared" ref="AI27:AI34" si="7">($D27*$U27)*$D$8/10000</f>
        <v>0</v>
      </c>
      <c r="AJ27" s="461">
        <f t="shared" ref="AJ27:AJ34" si="8">VLOOKUP($W27,$C$38:$U$44,$U$36,FALSE)*($D$8/10000)*$D27</f>
        <v>0</v>
      </c>
      <c r="AK27" s="463">
        <f t="shared" ref="AK27:AK34" si="9">SUM(AH27:AJ27)</f>
        <v>0</v>
      </c>
      <c r="AL27" s="442">
        <f>AE27+AK27</f>
        <v>0</v>
      </c>
      <c r="AM27" s="57"/>
      <c r="AN27" s="27"/>
    </row>
    <row r="28" spans="2:40" ht="15" customHeight="1" x14ac:dyDescent="0.45">
      <c r="B28" s="18"/>
      <c r="C28" s="104" t="s">
        <v>126</v>
      </c>
      <c r="D28" s="379">
        <f>IF($D$9="84 p. binnenwerk + 4 p. omslag",IF($D$15="Offline",42,0),0)</f>
        <v>0</v>
      </c>
      <c r="E28" s="336">
        <f t="shared" si="0"/>
        <v>0</v>
      </c>
      <c r="F28" s="232" t="s">
        <v>71</v>
      </c>
      <c r="G28" s="23"/>
      <c r="H28" s="105">
        <v>0</v>
      </c>
      <c r="I28" s="106">
        <v>0</v>
      </c>
      <c r="J28" s="107" t="s">
        <v>38</v>
      </c>
      <c r="K28" s="107" t="s">
        <v>38</v>
      </c>
      <c r="L28" s="108"/>
      <c r="M28" s="101">
        <v>555</v>
      </c>
      <c r="N28" s="23"/>
      <c r="O28" s="369">
        <v>0</v>
      </c>
      <c r="P28" s="114">
        <v>0</v>
      </c>
      <c r="Q28" s="375">
        <f>O28*(M28/1000)</f>
        <v>0</v>
      </c>
      <c r="R28" s="23"/>
      <c r="S28" s="369">
        <v>0</v>
      </c>
      <c r="T28" s="361">
        <f>S28*(M28/1000)</f>
        <v>0</v>
      </c>
      <c r="U28" s="114">
        <v>0</v>
      </c>
      <c r="V28" s="115">
        <v>1</v>
      </c>
      <c r="W28" s="314">
        <f t="shared" ref="W28" si="10">IF(D28&gt;0,1,0)+V28</f>
        <v>1</v>
      </c>
      <c r="X28" s="18"/>
      <c r="Y28" s="55"/>
      <c r="Z28" s="110" t="s">
        <v>73</v>
      </c>
      <c r="AA28" s="460">
        <f t="shared" si="1"/>
        <v>0</v>
      </c>
      <c r="AB28" s="461">
        <f t="shared" si="2"/>
        <v>0</v>
      </c>
      <c r="AC28" s="461">
        <f t="shared" si="3"/>
        <v>0</v>
      </c>
      <c r="AD28" s="461">
        <f t="shared" si="4"/>
        <v>0</v>
      </c>
      <c r="AE28" s="462">
        <f t="shared" ref="AE28:AE34" si="11">SUM(AB28:AD28)</f>
        <v>0</v>
      </c>
      <c r="AF28" s="725"/>
      <c r="AG28" s="460">
        <f t="shared" si="5"/>
        <v>0</v>
      </c>
      <c r="AH28" s="461">
        <f t="shared" si="6"/>
        <v>0</v>
      </c>
      <c r="AI28" s="461">
        <f t="shared" si="7"/>
        <v>0</v>
      </c>
      <c r="AJ28" s="461">
        <f t="shared" si="8"/>
        <v>0</v>
      </c>
      <c r="AK28" s="463">
        <f t="shared" si="9"/>
        <v>0</v>
      </c>
      <c r="AL28" s="442">
        <f>AE28+AK28</f>
        <v>0</v>
      </c>
      <c r="AM28" s="57"/>
      <c r="AN28" s="27"/>
    </row>
    <row r="29" spans="2:40" ht="15" customHeight="1" x14ac:dyDescent="0.45">
      <c r="B29" s="18"/>
      <c r="C29" s="104" t="s">
        <v>128</v>
      </c>
      <c r="D29" s="379">
        <f>IF($D$9="84 p. selfcovered",IF($D$15="Offline",42,16),0)</f>
        <v>0</v>
      </c>
      <c r="E29" s="336">
        <f t="shared" si="0"/>
        <v>0</v>
      </c>
      <c r="F29" s="232" t="s">
        <v>71</v>
      </c>
      <c r="G29" s="23"/>
      <c r="H29" s="105">
        <v>0</v>
      </c>
      <c r="I29" s="106">
        <v>0</v>
      </c>
      <c r="J29" s="107" t="s">
        <v>38</v>
      </c>
      <c r="K29" s="107" t="s">
        <v>38</v>
      </c>
      <c r="L29" s="108"/>
      <c r="M29" s="101">
        <v>555</v>
      </c>
      <c r="N29" s="23"/>
      <c r="O29" s="369">
        <v>0</v>
      </c>
      <c r="P29" s="114">
        <v>0</v>
      </c>
      <c r="Q29" s="375">
        <f>O29*(M29/1000)</f>
        <v>0</v>
      </c>
      <c r="R29" s="23"/>
      <c r="S29" s="369">
        <v>0</v>
      </c>
      <c r="T29" s="361">
        <f>S29*(M29/1000)</f>
        <v>0</v>
      </c>
      <c r="U29" s="114">
        <v>0</v>
      </c>
      <c r="V29" s="115">
        <v>1</v>
      </c>
      <c r="W29" s="736">
        <f>IF(D29&gt;0,0,0)+V29</f>
        <v>1</v>
      </c>
      <c r="X29" s="18"/>
      <c r="Y29" s="55"/>
      <c r="Z29" s="110" t="s">
        <v>73</v>
      </c>
      <c r="AA29" s="460">
        <f t="shared" si="1"/>
        <v>0</v>
      </c>
      <c r="AB29" s="461">
        <f t="shared" si="2"/>
        <v>0</v>
      </c>
      <c r="AC29" s="461">
        <f t="shared" si="3"/>
        <v>0</v>
      </c>
      <c r="AD29" s="461">
        <f t="shared" si="4"/>
        <v>0</v>
      </c>
      <c r="AE29" s="462">
        <f>SUM(AB29:AD29)</f>
        <v>0</v>
      </c>
      <c r="AF29" s="725"/>
      <c r="AG29" s="460">
        <f t="shared" si="5"/>
        <v>0</v>
      </c>
      <c r="AH29" s="461">
        <f t="shared" si="6"/>
        <v>0</v>
      </c>
      <c r="AI29" s="461">
        <f t="shared" si="7"/>
        <v>0</v>
      </c>
      <c r="AJ29" s="461">
        <f t="shared" si="8"/>
        <v>0</v>
      </c>
      <c r="AK29" s="463">
        <f>SUM(AH29:AJ29)</f>
        <v>0</v>
      </c>
      <c r="AL29" s="442">
        <f t="shared" ref="AL29:AL34" si="12">AE29+AK29</f>
        <v>0</v>
      </c>
      <c r="AM29" s="57"/>
      <c r="AN29" s="27"/>
    </row>
    <row r="30" spans="2:40" s="112" customFormat="1" ht="15" customHeight="1" x14ac:dyDescent="0.45">
      <c r="B30" s="18"/>
      <c r="C30" s="137" t="s">
        <v>75</v>
      </c>
      <c r="D30" s="379">
        <f>IF($D$9="88 p. selfcovered",IF($D$15="Offline",42,16),0)</f>
        <v>0</v>
      </c>
      <c r="E30" s="336">
        <f t="shared" si="0"/>
        <v>0</v>
      </c>
      <c r="F30" s="232" t="s">
        <v>71</v>
      </c>
      <c r="G30" s="23"/>
      <c r="H30" s="105">
        <v>0</v>
      </c>
      <c r="I30" s="106">
        <v>0</v>
      </c>
      <c r="J30" s="111" t="s">
        <v>38</v>
      </c>
      <c r="K30" s="111" t="s">
        <v>38</v>
      </c>
      <c r="L30" s="108"/>
      <c r="M30" s="101">
        <v>555</v>
      </c>
      <c r="N30" s="23"/>
      <c r="O30" s="369">
        <v>0</v>
      </c>
      <c r="P30" s="114">
        <v>0</v>
      </c>
      <c r="Q30" s="375">
        <f>O30*M30/1000</f>
        <v>0</v>
      </c>
      <c r="R30" s="23"/>
      <c r="S30" s="369">
        <v>0</v>
      </c>
      <c r="T30" s="361">
        <f>S30*M30/1000</f>
        <v>0</v>
      </c>
      <c r="U30" s="114">
        <v>0</v>
      </c>
      <c r="V30" s="115">
        <v>1</v>
      </c>
      <c r="W30" s="314">
        <f t="shared" ref="W30:W34" si="13">IF(D30&gt;0,0,0)+V30</f>
        <v>1</v>
      </c>
      <c r="X30" s="18"/>
      <c r="Y30" s="55"/>
      <c r="Z30" s="138" t="s">
        <v>75</v>
      </c>
      <c r="AA30" s="460">
        <f t="shared" si="1"/>
        <v>0</v>
      </c>
      <c r="AB30" s="461">
        <f t="shared" si="2"/>
        <v>0</v>
      </c>
      <c r="AC30" s="461">
        <f t="shared" si="3"/>
        <v>0</v>
      </c>
      <c r="AD30" s="461">
        <f t="shared" si="4"/>
        <v>0</v>
      </c>
      <c r="AE30" s="462">
        <f t="shared" si="11"/>
        <v>0</v>
      </c>
      <c r="AF30" s="725"/>
      <c r="AG30" s="460">
        <f t="shared" si="5"/>
        <v>0</v>
      </c>
      <c r="AH30" s="461">
        <f t="shared" si="6"/>
        <v>0</v>
      </c>
      <c r="AI30" s="461">
        <f t="shared" si="7"/>
        <v>0</v>
      </c>
      <c r="AJ30" s="461">
        <f t="shared" si="8"/>
        <v>0</v>
      </c>
      <c r="AK30" s="463">
        <f t="shared" si="9"/>
        <v>0</v>
      </c>
      <c r="AL30" s="442">
        <f t="shared" si="12"/>
        <v>0</v>
      </c>
      <c r="AM30" s="117"/>
      <c r="AN30" s="118"/>
    </row>
    <row r="31" spans="2:40" s="112" customFormat="1" ht="15" customHeight="1" x14ac:dyDescent="0.45">
      <c r="B31" s="18"/>
      <c r="C31" s="113" t="s">
        <v>142</v>
      </c>
      <c r="D31" s="380">
        <f>IF(D27&gt;0,4,0)</f>
        <v>0</v>
      </c>
      <c r="E31" s="336">
        <f>IF(D31&gt;0,$D$10,0)</f>
        <v>0</v>
      </c>
      <c r="F31" s="232" t="s">
        <v>71</v>
      </c>
      <c r="G31" s="23"/>
      <c r="H31" s="105">
        <v>0</v>
      </c>
      <c r="I31" s="106">
        <v>0</v>
      </c>
      <c r="J31" s="111" t="s">
        <v>38</v>
      </c>
      <c r="K31" s="111" t="s">
        <v>38</v>
      </c>
      <c r="L31" s="108"/>
      <c r="M31" s="101">
        <v>555</v>
      </c>
      <c r="N31" s="23"/>
      <c r="O31" s="369">
        <v>0</v>
      </c>
      <c r="P31" s="114">
        <v>0</v>
      </c>
      <c r="Q31" s="375">
        <f>O31*M31/1000</f>
        <v>0</v>
      </c>
      <c r="R31" s="23"/>
      <c r="S31" s="369">
        <v>0</v>
      </c>
      <c r="T31" s="361">
        <f>S31*M31/1000</f>
        <v>0</v>
      </c>
      <c r="U31" s="114">
        <v>0</v>
      </c>
      <c r="V31" s="115">
        <v>1</v>
      </c>
      <c r="W31" s="314">
        <f t="shared" si="13"/>
        <v>1</v>
      </c>
      <c r="X31" s="18"/>
      <c r="Y31" s="55"/>
      <c r="Z31" s="116" t="s">
        <v>142</v>
      </c>
      <c r="AA31" s="460">
        <f t="shared" si="1"/>
        <v>0</v>
      </c>
      <c r="AB31" s="461">
        <f t="shared" si="2"/>
        <v>0</v>
      </c>
      <c r="AC31" s="461">
        <f t="shared" si="3"/>
        <v>0</v>
      </c>
      <c r="AD31" s="461">
        <f t="shared" si="4"/>
        <v>0</v>
      </c>
      <c r="AE31" s="462">
        <f>SUM(AB31:AD31)</f>
        <v>0</v>
      </c>
      <c r="AF31" s="725"/>
      <c r="AG31" s="460">
        <f t="shared" si="5"/>
        <v>0</v>
      </c>
      <c r="AH31" s="461">
        <f t="shared" si="6"/>
        <v>0</v>
      </c>
      <c r="AI31" s="461">
        <f t="shared" si="7"/>
        <v>0</v>
      </c>
      <c r="AJ31" s="461">
        <f t="shared" si="8"/>
        <v>0</v>
      </c>
      <c r="AK31" s="463">
        <f>SUM(AH31:AJ31)</f>
        <v>0</v>
      </c>
      <c r="AL31" s="442">
        <f>AE31+AK31</f>
        <v>0</v>
      </c>
      <c r="AM31" s="117"/>
      <c r="AN31" s="118"/>
    </row>
    <row r="32" spans="2:40" s="112" customFormat="1" ht="15" customHeight="1" x14ac:dyDescent="0.45">
      <c r="B32" s="18"/>
      <c r="C32" s="113" t="s">
        <v>76</v>
      </c>
      <c r="D32" s="380">
        <f>IF(D28&gt;0,4,IF(D23&gt;0,4,IF(D29&gt;0,4,IF(D30&gt;0,4,0))))</f>
        <v>0</v>
      </c>
      <c r="E32" s="336">
        <f t="shared" si="0"/>
        <v>0</v>
      </c>
      <c r="F32" s="232" t="s">
        <v>71</v>
      </c>
      <c r="G32" s="23"/>
      <c r="H32" s="105">
        <v>0</v>
      </c>
      <c r="I32" s="106">
        <v>0</v>
      </c>
      <c r="J32" s="111" t="s">
        <v>38</v>
      </c>
      <c r="K32" s="111" t="s">
        <v>38</v>
      </c>
      <c r="L32" s="108"/>
      <c r="M32" s="101">
        <v>555</v>
      </c>
      <c r="N32" s="23"/>
      <c r="O32" s="369">
        <v>0</v>
      </c>
      <c r="P32" s="114">
        <v>0</v>
      </c>
      <c r="Q32" s="375">
        <f>O32*M32/1000</f>
        <v>0</v>
      </c>
      <c r="R32" s="23"/>
      <c r="S32" s="369">
        <v>0</v>
      </c>
      <c r="T32" s="361">
        <f>S32*M32/1000</f>
        <v>0</v>
      </c>
      <c r="U32" s="114">
        <v>0</v>
      </c>
      <c r="V32" s="115">
        <v>1</v>
      </c>
      <c r="W32" s="314">
        <f t="shared" si="13"/>
        <v>1</v>
      </c>
      <c r="X32" s="18"/>
      <c r="Y32" s="55"/>
      <c r="Z32" s="116" t="s">
        <v>76</v>
      </c>
      <c r="AA32" s="460">
        <f t="shared" si="1"/>
        <v>0</v>
      </c>
      <c r="AB32" s="461">
        <f t="shared" si="2"/>
        <v>0</v>
      </c>
      <c r="AC32" s="461">
        <f t="shared" si="3"/>
        <v>0</v>
      </c>
      <c r="AD32" s="461">
        <f t="shared" si="4"/>
        <v>0</v>
      </c>
      <c r="AE32" s="462">
        <f t="shared" si="11"/>
        <v>0</v>
      </c>
      <c r="AF32" s="725"/>
      <c r="AG32" s="460">
        <f t="shared" si="5"/>
        <v>0</v>
      </c>
      <c r="AH32" s="461">
        <f t="shared" si="6"/>
        <v>0</v>
      </c>
      <c r="AI32" s="461">
        <f t="shared" si="7"/>
        <v>0</v>
      </c>
      <c r="AJ32" s="461">
        <f t="shared" si="8"/>
        <v>0</v>
      </c>
      <c r="AK32" s="463">
        <f t="shared" si="9"/>
        <v>0</v>
      </c>
      <c r="AL32" s="442">
        <f>AE32+AK32</f>
        <v>0</v>
      </c>
      <c r="AM32" s="117"/>
      <c r="AN32" s="118"/>
    </row>
    <row r="33" spans="2:40" s="112" customFormat="1" ht="15" customHeight="1" x14ac:dyDescent="0.45">
      <c r="B33" s="18"/>
      <c r="C33" s="113" t="s">
        <v>77</v>
      </c>
      <c r="D33" s="380">
        <v>0</v>
      </c>
      <c r="E33" s="336">
        <f t="shared" si="0"/>
        <v>0</v>
      </c>
      <c r="F33" s="232" t="s">
        <v>71</v>
      </c>
      <c r="G33" s="23"/>
      <c r="H33" s="105">
        <v>0</v>
      </c>
      <c r="I33" s="106">
        <v>0</v>
      </c>
      <c r="J33" s="111" t="s">
        <v>38</v>
      </c>
      <c r="K33" s="111" t="s">
        <v>38</v>
      </c>
      <c r="L33" s="108"/>
      <c r="M33" s="101">
        <v>555</v>
      </c>
      <c r="N33" s="23"/>
      <c r="O33" s="369">
        <v>0</v>
      </c>
      <c r="P33" s="114">
        <v>0</v>
      </c>
      <c r="Q33" s="375">
        <f>O33*M33/1000</f>
        <v>0</v>
      </c>
      <c r="R33" s="23"/>
      <c r="S33" s="369">
        <v>0</v>
      </c>
      <c r="T33" s="361">
        <f>S33*M33/1000</f>
        <v>0</v>
      </c>
      <c r="U33" s="114">
        <v>0</v>
      </c>
      <c r="V33" s="115">
        <v>1</v>
      </c>
      <c r="W33" s="314">
        <f t="shared" si="13"/>
        <v>1</v>
      </c>
      <c r="X33" s="18"/>
      <c r="Y33" s="55"/>
      <c r="Z33" s="116" t="s">
        <v>77</v>
      </c>
      <c r="AA33" s="460">
        <f t="shared" si="1"/>
        <v>0</v>
      </c>
      <c r="AB33" s="461">
        <f t="shared" si="2"/>
        <v>0</v>
      </c>
      <c r="AC33" s="461">
        <f t="shared" si="3"/>
        <v>0</v>
      </c>
      <c r="AD33" s="461">
        <f t="shared" si="4"/>
        <v>0</v>
      </c>
      <c r="AE33" s="462">
        <f t="shared" si="11"/>
        <v>0</v>
      </c>
      <c r="AF33" s="725"/>
      <c r="AG33" s="460">
        <f t="shared" si="5"/>
        <v>0</v>
      </c>
      <c r="AH33" s="461">
        <f t="shared" si="6"/>
        <v>0</v>
      </c>
      <c r="AI33" s="461">
        <f t="shared" si="7"/>
        <v>0</v>
      </c>
      <c r="AJ33" s="461">
        <f t="shared" si="8"/>
        <v>0</v>
      </c>
      <c r="AK33" s="463">
        <f t="shared" si="9"/>
        <v>0</v>
      </c>
      <c r="AL33" s="442">
        <f t="shared" si="12"/>
        <v>0</v>
      </c>
      <c r="AM33" s="117"/>
      <c r="AN33" s="118"/>
    </row>
    <row r="34" spans="2:40" s="112" customFormat="1" ht="15" customHeight="1" thickBot="1" x14ac:dyDescent="0.5">
      <c r="B34" s="18"/>
      <c r="C34" s="119" t="s">
        <v>78</v>
      </c>
      <c r="D34" s="381">
        <f>IF(D31&gt;0,1,IF(D32&gt;0,1,IF(D33&gt;0,1,0)))</f>
        <v>0</v>
      </c>
      <c r="E34" s="336">
        <f t="shared" si="0"/>
        <v>0</v>
      </c>
      <c r="F34" s="232" t="s">
        <v>71</v>
      </c>
      <c r="G34" s="23"/>
      <c r="H34" s="120">
        <v>0</v>
      </c>
      <c r="I34" s="121">
        <v>0</v>
      </c>
      <c r="J34" s="122" t="s">
        <v>38</v>
      </c>
      <c r="K34" s="122" t="s">
        <v>38</v>
      </c>
      <c r="L34" s="337"/>
      <c r="M34" s="123">
        <v>555</v>
      </c>
      <c r="N34" s="23"/>
      <c r="O34" s="370">
        <v>0</v>
      </c>
      <c r="P34" s="124">
        <v>0</v>
      </c>
      <c r="Q34" s="376">
        <f>O34*M34/1000</f>
        <v>0</v>
      </c>
      <c r="R34" s="23"/>
      <c r="S34" s="370">
        <v>0</v>
      </c>
      <c r="T34" s="361">
        <f>S34*M34/1000</f>
        <v>0</v>
      </c>
      <c r="U34" s="124">
        <v>0</v>
      </c>
      <c r="V34" s="125">
        <v>1</v>
      </c>
      <c r="W34" s="314">
        <f t="shared" si="13"/>
        <v>1</v>
      </c>
      <c r="X34" s="18"/>
      <c r="Y34" s="55"/>
      <c r="Z34" s="126" t="s">
        <v>78</v>
      </c>
      <c r="AA34" s="437">
        <f t="shared" si="1"/>
        <v>0</v>
      </c>
      <c r="AB34" s="438">
        <f t="shared" si="2"/>
        <v>0</v>
      </c>
      <c r="AC34" s="438">
        <f t="shared" si="3"/>
        <v>0</v>
      </c>
      <c r="AD34" s="438">
        <f t="shared" si="4"/>
        <v>0</v>
      </c>
      <c r="AE34" s="439">
        <f t="shared" si="11"/>
        <v>0</v>
      </c>
      <c r="AF34" s="725"/>
      <c r="AG34" s="437">
        <f t="shared" si="5"/>
        <v>0</v>
      </c>
      <c r="AH34" s="438">
        <f t="shared" si="6"/>
        <v>0</v>
      </c>
      <c r="AI34" s="438">
        <f t="shared" si="7"/>
        <v>0</v>
      </c>
      <c r="AJ34" s="438">
        <f t="shared" si="8"/>
        <v>0</v>
      </c>
      <c r="AK34" s="441">
        <f t="shared" si="9"/>
        <v>0</v>
      </c>
      <c r="AL34" s="442">
        <f t="shared" si="12"/>
        <v>0</v>
      </c>
      <c r="AM34" s="117"/>
      <c r="AN34" s="118"/>
    </row>
    <row r="35" spans="2:40" ht="15.65" customHeight="1" thickBot="1" x14ac:dyDescent="0.5">
      <c r="B35" s="18"/>
      <c r="C35" s="140"/>
      <c r="D35" s="25"/>
      <c r="E35" s="23"/>
      <c r="F35" s="23"/>
      <c r="G35" s="23"/>
      <c r="H35" s="25"/>
      <c r="I35" s="25"/>
      <c r="J35" s="25"/>
      <c r="K35" s="25"/>
      <c r="L35" s="25"/>
      <c r="M35" s="30"/>
      <c r="N35" s="23"/>
      <c r="O35" s="131"/>
      <c r="P35" s="131"/>
      <c r="Q35" s="131"/>
      <c r="R35" s="23"/>
      <c r="S35" s="130"/>
      <c r="T35" s="131"/>
      <c r="U35" s="131"/>
      <c r="V35" s="141"/>
      <c r="W35" s="22"/>
      <c r="X35" s="18"/>
      <c r="Y35" s="55"/>
      <c r="Z35" s="23"/>
      <c r="AA35" s="482"/>
      <c r="AB35" s="465"/>
      <c r="AC35" s="465"/>
      <c r="AD35" s="465"/>
      <c r="AE35" s="466"/>
      <c r="AF35" s="483"/>
      <c r="AG35" s="482"/>
      <c r="AH35" s="465"/>
      <c r="AI35" s="465"/>
      <c r="AJ35" s="465"/>
      <c r="AK35" s="463"/>
      <c r="AL35" s="442"/>
      <c r="AM35" s="57"/>
      <c r="AN35" s="27"/>
    </row>
    <row r="36" spans="2:40" ht="20.5" customHeight="1" thickBot="1" x14ac:dyDescent="0.5">
      <c r="B36" s="18"/>
      <c r="C36" s="788" t="s">
        <v>62</v>
      </c>
      <c r="D36" s="790"/>
      <c r="E36" s="790"/>
      <c r="F36" s="790"/>
      <c r="G36" s="790"/>
      <c r="H36" s="790"/>
      <c r="I36" s="790"/>
      <c r="J36" s="143"/>
      <c r="K36" s="143"/>
      <c r="L36" s="143"/>
      <c r="M36" s="143"/>
      <c r="N36" s="143"/>
      <c r="O36" s="142"/>
      <c r="P36" s="144">
        <v>14</v>
      </c>
      <c r="Q36" s="145"/>
      <c r="R36" s="143"/>
      <c r="S36" s="142"/>
      <c r="T36" s="143"/>
      <c r="U36" s="144">
        <v>19</v>
      </c>
      <c r="V36" s="145"/>
      <c r="W36" s="22"/>
      <c r="X36" s="18"/>
      <c r="Y36" s="55"/>
      <c r="Z36" s="142" t="str">
        <f>C46</f>
        <v>Extra bewerkingen (Pluspropositie):</v>
      </c>
      <c r="AA36" s="484"/>
      <c r="AB36" s="485"/>
      <c r="AC36" s="485"/>
      <c r="AD36" s="485"/>
      <c r="AE36" s="486"/>
      <c r="AF36" s="487"/>
      <c r="AG36" s="488"/>
      <c r="AH36" s="485"/>
      <c r="AI36" s="485"/>
      <c r="AJ36" s="485"/>
      <c r="AK36" s="489"/>
      <c r="AL36" s="490"/>
      <c r="AM36" s="57"/>
      <c r="AN36" s="27"/>
    </row>
    <row r="37" spans="2:40" ht="32.5" customHeight="1" x14ac:dyDescent="0.45">
      <c r="B37" s="18"/>
      <c r="C37" s="254" t="s">
        <v>41</v>
      </c>
      <c r="D37" s="30"/>
      <c r="E37" s="23"/>
      <c r="F37" s="23"/>
      <c r="G37" s="23"/>
      <c r="H37" s="24"/>
      <c r="I37" s="24"/>
      <c r="J37" s="30"/>
      <c r="K37" s="30"/>
      <c r="L37" s="30"/>
      <c r="M37" s="30"/>
      <c r="N37" s="23"/>
      <c r="O37" s="791" t="s">
        <v>42</v>
      </c>
      <c r="P37" s="792"/>
      <c r="Q37" s="793"/>
      <c r="R37" s="131"/>
      <c r="S37" s="146"/>
      <c r="T37" s="13"/>
      <c r="U37" s="221" t="s">
        <v>43</v>
      </c>
      <c r="V37" s="147"/>
      <c r="W37" s="22"/>
      <c r="X37" s="18"/>
      <c r="Y37" s="55"/>
      <c r="Z37" s="234"/>
      <c r="AA37" s="491"/>
      <c r="AB37" s="492"/>
      <c r="AC37" s="492"/>
      <c r="AD37" s="492"/>
      <c r="AE37" s="493"/>
      <c r="AF37" s="728"/>
      <c r="AG37" s="495"/>
      <c r="AH37" s="492"/>
      <c r="AI37" s="492"/>
      <c r="AJ37" s="492"/>
      <c r="AK37" s="493"/>
      <c r="AL37" s="442"/>
      <c r="AM37" s="57"/>
      <c r="AN37" s="27"/>
    </row>
    <row r="38" spans="2:40" x14ac:dyDescent="0.45">
      <c r="B38" s="18"/>
      <c r="C38" s="149">
        <v>1</v>
      </c>
      <c r="D38" s="25"/>
      <c r="E38" s="23"/>
      <c r="F38" s="23"/>
      <c r="G38" s="23"/>
      <c r="H38" s="25"/>
      <c r="I38" s="25"/>
      <c r="J38" s="25"/>
      <c r="K38" s="25"/>
      <c r="L38" s="25"/>
      <c r="M38" s="25"/>
      <c r="N38" s="25"/>
      <c r="O38" s="130"/>
      <c r="P38" s="363"/>
      <c r="Q38" s="134"/>
      <c r="R38" s="131"/>
      <c r="S38" s="130"/>
      <c r="T38" s="131"/>
      <c r="U38" s="363">
        <v>0</v>
      </c>
      <c r="V38" s="134"/>
      <c r="W38" s="22"/>
      <c r="X38" s="18"/>
      <c r="Y38" s="55"/>
      <c r="Z38" s="150" t="str">
        <f>C48</f>
        <v>Meehechten extra katern / insert / outsert</v>
      </c>
      <c r="AA38" s="491"/>
      <c r="AB38" s="492"/>
      <c r="AC38" s="497"/>
      <c r="AD38" s="497">
        <f>D48*P48</f>
        <v>0</v>
      </c>
      <c r="AE38" s="498">
        <f>AD38</f>
        <v>0</v>
      </c>
      <c r="AF38" s="729"/>
      <c r="AG38" s="500"/>
      <c r="AH38" s="501"/>
      <c r="AI38" s="502"/>
      <c r="AJ38" s="502">
        <f>(E48/10000)*U48*D48</f>
        <v>0</v>
      </c>
      <c r="AK38" s="503">
        <f>AJ38</f>
        <v>0</v>
      </c>
      <c r="AL38" s="442">
        <f>AE38+AK38</f>
        <v>0</v>
      </c>
      <c r="AM38" s="57"/>
      <c r="AN38" s="27"/>
    </row>
    <row r="39" spans="2:40" x14ac:dyDescent="0.45">
      <c r="B39" s="18"/>
      <c r="C39" s="151">
        <v>2</v>
      </c>
      <c r="D39" s="25"/>
      <c r="E39" s="23"/>
      <c r="F39" s="23"/>
      <c r="G39" s="23"/>
      <c r="H39" s="25"/>
      <c r="I39" s="25"/>
      <c r="J39" s="25"/>
      <c r="K39" s="25"/>
      <c r="L39" s="25"/>
      <c r="M39" s="30"/>
      <c r="N39" s="23"/>
      <c r="O39" s="130"/>
      <c r="P39" s="363">
        <v>0</v>
      </c>
      <c r="Q39" s="134"/>
      <c r="R39" s="131"/>
      <c r="S39" s="130"/>
      <c r="T39" s="131"/>
      <c r="U39" s="363">
        <v>0</v>
      </c>
      <c r="V39" s="134"/>
      <c r="W39" s="22"/>
      <c r="X39" s="18"/>
      <c r="Y39" s="55"/>
      <c r="Z39" s="148" t="str">
        <f>C49</f>
        <v>Meehechten via plano oplegstation (outsert)</v>
      </c>
      <c r="AA39" s="504"/>
      <c r="AB39" s="505"/>
      <c r="AC39" s="506"/>
      <c r="AD39" s="506">
        <f>$D49*$P49</f>
        <v>0</v>
      </c>
      <c r="AE39" s="507">
        <f>AD39</f>
        <v>0</v>
      </c>
      <c r="AF39" s="730"/>
      <c r="AG39" s="509"/>
      <c r="AH39" s="510"/>
      <c r="AI39" s="511"/>
      <c r="AJ39" s="502">
        <f>(E49/10000)*U49*D49</f>
        <v>0</v>
      </c>
      <c r="AK39" s="512">
        <f>AJ39</f>
        <v>0</v>
      </c>
      <c r="AL39" s="442">
        <f>AE39+AK39</f>
        <v>0</v>
      </c>
      <c r="AM39" s="57"/>
      <c r="AN39" s="27"/>
    </row>
    <row r="40" spans="2:40" x14ac:dyDescent="0.45">
      <c r="B40" s="18"/>
      <c r="C40" s="149">
        <v>3</v>
      </c>
      <c r="D40" s="25"/>
      <c r="E40" s="23"/>
      <c r="F40" s="23"/>
      <c r="G40" s="23"/>
      <c r="H40" s="25"/>
      <c r="I40" s="25"/>
      <c r="J40" s="25"/>
      <c r="K40" s="25"/>
      <c r="L40" s="25"/>
      <c r="M40" s="30"/>
      <c r="N40" s="23"/>
      <c r="O40" s="130"/>
      <c r="P40" s="363">
        <v>0</v>
      </c>
      <c r="Q40" s="134"/>
      <c r="R40" s="131"/>
      <c r="S40" s="130"/>
      <c r="T40" s="131"/>
      <c r="U40" s="363">
        <v>0</v>
      </c>
      <c r="V40" s="134"/>
      <c r="W40" s="22"/>
      <c r="X40" s="18"/>
      <c r="Y40" s="55"/>
      <c r="Z40" s="150" t="str">
        <f>C50</f>
        <v>Plakkaart (op katernscheiding)</v>
      </c>
      <c r="AA40" s="504"/>
      <c r="AB40" s="505"/>
      <c r="AC40" s="506"/>
      <c r="AD40" s="506">
        <f>$D50*$P50</f>
        <v>0</v>
      </c>
      <c r="AE40" s="507">
        <f>AD40</f>
        <v>0</v>
      </c>
      <c r="AF40" s="730"/>
      <c r="AG40" s="509"/>
      <c r="AH40" s="510"/>
      <c r="AI40" s="511"/>
      <c r="AJ40" s="502">
        <f>(E50/10000)*U50*D50</f>
        <v>0</v>
      </c>
      <c r="AK40" s="512">
        <f>AJ40</f>
        <v>0</v>
      </c>
      <c r="AL40" s="442">
        <f>AE40+AK40</f>
        <v>0</v>
      </c>
      <c r="AM40" s="57"/>
      <c r="AN40" s="27"/>
    </row>
    <row r="41" spans="2:40" x14ac:dyDescent="0.45">
      <c r="B41" s="18"/>
      <c r="C41" s="151">
        <v>4</v>
      </c>
      <c r="D41" s="25"/>
      <c r="E41" s="23"/>
      <c r="F41" s="23"/>
      <c r="G41" s="23"/>
      <c r="H41" s="25"/>
      <c r="I41" s="25"/>
      <c r="J41" s="25"/>
      <c r="K41" s="25"/>
      <c r="L41" s="25"/>
      <c r="M41" s="30"/>
      <c r="N41" s="23"/>
      <c r="O41" s="130"/>
      <c r="P41" s="363">
        <v>0</v>
      </c>
      <c r="Q41" s="134"/>
      <c r="R41" s="131"/>
      <c r="S41" s="130"/>
      <c r="T41" s="131"/>
      <c r="U41" s="363">
        <v>0</v>
      </c>
      <c r="V41" s="134"/>
      <c r="W41" s="22"/>
      <c r="X41" s="18"/>
      <c r="Y41" s="55"/>
      <c r="Z41" s="148" t="str">
        <f>C51</f>
        <v xml:space="preserve">Insteekkaart, kaart los insteken tijdens hechten (willekeurig) </v>
      </c>
      <c r="AA41" s="513"/>
      <c r="AB41" s="505"/>
      <c r="AC41" s="506"/>
      <c r="AD41" s="506">
        <f>$D51*$P51</f>
        <v>0</v>
      </c>
      <c r="AE41" s="507">
        <f>AD41</f>
        <v>0</v>
      </c>
      <c r="AF41" s="730"/>
      <c r="AG41" s="509"/>
      <c r="AH41" s="510"/>
      <c r="AI41" s="511"/>
      <c r="AJ41" s="502">
        <f>(E51/10000)*U51*D51</f>
        <v>0</v>
      </c>
      <c r="AK41" s="512">
        <f>AJ41</f>
        <v>0</v>
      </c>
      <c r="AL41" s="442">
        <f>AE41+AK41</f>
        <v>0</v>
      </c>
      <c r="AM41" s="57"/>
      <c r="AN41" s="27"/>
    </row>
    <row r="42" spans="2:40" ht="17" thickBot="1" x14ac:dyDescent="0.5">
      <c r="B42" s="18"/>
      <c r="C42" s="149">
        <v>5</v>
      </c>
      <c r="D42" s="25"/>
      <c r="E42" s="23"/>
      <c r="F42" s="23"/>
      <c r="G42" s="23"/>
      <c r="H42" s="25"/>
      <c r="I42" s="25"/>
      <c r="J42" s="25"/>
      <c r="K42" s="25"/>
      <c r="L42" s="25"/>
      <c r="M42" s="30"/>
      <c r="N42" s="23"/>
      <c r="O42" s="130"/>
      <c r="P42" s="363">
        <v>0</v>
      </c>
      <c r="Q42" s="134"/>
      <c r="R42" s="131"/>
      <c r="S42" s="130"/>
      <c r="T42" s="131"/>
      <c r="U42" s="363">
        <v>0</v>
      </c>
      <c r="V42" s="134"/>
      <c r="W42" s="22"/>
      <c r="X42" s="18"/>
      <c r="Y42" s="55"/>
      <c r="Z42" s="242"/>
      <c r="AA42" s="514"/>
      <c r="AB42" s="515"/>
      <c r="AC42" s="515"/>
      <c r="AD42" s="516"/>
      <c r="AE42" s="517"/>
      <c r="AF42" s="499"/>
      <c r="AG42" s="518"/>
      <c r="AH42" s="519"/>
      <c r="AI42" s="519"/>
      <c r="AJ42" s="519"/>
      <c r="AK42" s="517"/>
      <c r="AL42" s="442"/>
      <c r="AM42" s="57"/>
      <c r="AN42" s="27"/>
    </row>
    <row r="43" spans="2:40" ht="20.5" customHeight="1" x14ac:dyDescent="0.45">
      <c r="B43" s="18"/>
      <c r="C43" s="149">
        <v>6</v>
      </c>
      <c r="D43" s="25"/>
      <c r="E43" s="23"/>
      <c r="F43" s="23"/>
      <c r="G43" s="23"/>
      <c r="H43" s="25"/>
      <c r="I43" s="25"/>
      <c r="J43" s="25"/>
      <c r="K43" s="25"/>
      <c r="L43" s="25"/>
      <c r="M43" s="30"/>
      <c r="N43" s="23"/>
      <c r="O43" s="130"/>
      <c r="P43" s="363">
        <v>0</v>
      </c>
      <c r="Q43" s="134"/>
      <c r="R43" s="131"/>
      <c r="S43" s="130"/>
      <c r="T43" s="131"/>
      <c r="U43" s="363">
        <v>0</v>
      </c>
      <c r="V43" s="134"/>
      <c r="W43" s="22"/>
      <c r="X43" s="18"/>
      <c r="Y43" s="55"/>
      <c r="Z43" s="142" t="s">
        <v>84</v>
      </c>
      <c r="AA43" s="520"/>
      <c r="AB43" s="521"/>
      <c r="AC43" s="521"/>
      <c r="AD43" s="522"/>
      <c r="AE43" s="523"/>
      <c r="AF43" s="499"/>
      <c r="AG43" s="524"/>
      <c r="AH43" s="525"/>
      <c r="AI43" s="525"/>
      <c r="AJ43" s="525"/>
      <c r="AK43" s="525"/>
      <c r="AL43" s="442"/>
      <c r="AM43" s="57"/>
      <c r="AN43" s="27"/>
    </row>
    <row r="44" spans="2:40" ht="17" thickBot="1" x14ac:dyDescent="0.5">
      <c r="B44" s="18"/>
      <c r="C44" s="157">
        <v>7</v>
      </c>
      <c r="D44" s="158"/>
      <c r="E44" s="158"/>
      <c r="F44" s="158"/>
      <c r="G44" s="158"/>
      <c r="H44" s="158"/>
      <c r="I44" s="158"/>
      <c r="J44" s="158"/>
      <c r="K44" s="158"/>
      <c r="L44" s="158"/>
      <c r="M44" s="159"/>
      <c r="N44" s="158"/>
      <c r="O44" s="160"/>
      <c r="P44" s="364">
        <v>0</v>
      </c>
      <c r="Q44" s="161"/>
      <c r="R44" s="158"/>
      <c r="S44" s="160"/>
      <c r="T44" s="162"/>
      <c r="U44" s="365">
        <v>0</v>
      </c>
      <c r="V44" s="163"/>
      <c r="W44" s="22"/>
      <c r="X44" s="18"/>
      <c r="Y44" s="55"/>
      <c r="Z44" s="152" t="s">
        <v>85</v>
      </c>
      <c r="AA44" s="513"/>
      <c r="AB44" s="505"/>
      <c r="AC44" s="506"/>
      <c r="AD44" s="506">
        <f>$D53*$P53</f>
        <v>0</v>
      </c>
      <c r="AE44" s="507">
        <f>AD44</f>
        <v>0</v>
      </c>
      <c r="AF44" s="730"/>
      <c r="AG44" s="509"/>
      <c r="AH44" s="510"/>
      <c r="AI44" s="511"/>
      <c r="AJ44" s="528">
        <f>(E51/10000)*U53*D53</f>
        <v>0</v>
      </c>
      <c r="AK44" s="512">
        <f>AJ44</f>
        <v>0</v>
      </c>
      <c r="AL44" s="442">
        <f>AE44+AK44</f>
        <v>0</v>
      </c>
      <c r="AM44" s="57"/>
      <c r="AN44" s="27"/>
    </row>
    <row r="45" spans="2:40" ht="10" customHeight="1" thickBot="1" x14ac:dyDescent="0.5">
      <c r="B45" s="18"/>
      <c r="C45" s="164"/>
      <c r="D45" s="25"/>
      <c r="E45" s="23"/>
      <c r="F45" s="23"/>
      <c r="G45" s="23"/>
      <c r="H45" s="25"/>
      <c r="I45" s="25"/>
      <c r="J45" s="25"/>
      <c r="K45" s="25"/>
      <c r="L45" s="25"/>
      <c r="M45" s="30"/>
      <c r="N45" s="23"/>
      <c r="O45" s="130"/>
      <c r="P45" s="131"/>
      <c r="Q45" s="134"/>
      <c r="R45" s="23"/>
      <c r="S45" s="130"/>
      <c r="T45" s="131"/>
      <c r="U45" s="131"/>
      <c r="V45" s="132"/>
      <c r="W45" s="22"/>
      <c r="X45" s="18"/>
      <c r="Y45" s="55"/>
      <c r="Z45" s="242"/>
      <c r="AA45" s="514"/>
      <c r="AB45" s="515"/>
      <c r="AC45" s="515"/>
      <c r="AD45" s="516"/>
      <c r="AE45" s="517"/>
      <c r="AF45" s="499"/>
      <c r="AG45" s="518"/>
      <c r="AH45" s="516"/>
      <c r="AI45" s="516"/>
      <c r="AJ45" s="516"/>
      <c r="AK45" s="516"/>
      <c r="AL45" s="442"/>
      <c r="AM45" s="57"/>
      <c r="AN45" s="27"/>
    </row>
    <row r="46" spans="2:40" ht="35.5" customHeight="1" x14ac:dyDescent="0.45">
      <c r="B46" s="18"/>
      <c r="C46" s="142" t="s">
        <v>45</v>
      </c>
      <c r="D46" s="217" t="s">
        <v>19</v>
      </c>
      <c r="E46" s="217" t="s">
        <v>83</v>
      </c>
      <c r="F46" s="217"/>
      <c r="G46" s="217"/>
      <c r="H46" s="217"/>
      <c r="I46" s="217"/>
      <c r="J46" s="217"/>
      <c r="K46" s="217"/>
      <c r="L46" s="217"/>
      <c r="M46" s="217"/>
      <c r="N46" s="217"/>
      <c r="O46" s="782" t="s">
        <v>129</v>
      </c>
      <c r="P46" s="782"/>
      <c r="Q46" s="783"/>
      <c r="R46" s="217"/>
      <c r="S46" s="218"/>
      <c r="T46" s="217"/>
      <c r="U46" s="219" t="s">
        <v>46</v>
      </c>
      <c r="V46" s="220"/>
      <c r="W46" s="22"/>
      <c r="X46" s="18"/>
      <c r="Y46" s="55"/>
      <c r="Z46" s="142" t="s">
        <v>86</v>
      </c>
      <c r="AA46" s="529"/>
      <c r="AB46" s="505"/>
      <c r="AC46" s="506"/>
      <c r="AD46" s="506"/>
      <c r="AE46" s="507"/>
      <c r="AF46" s="730"/>
      <c r="AG46" s="509"/>
      <c r="AH46" s="510"/>
      <c r="AI46" s="511"/>
      <c r="AJ46" s="528"/>
      <c r="AK46" s="512"/>
      <c r="AL46" s="442"/>
      <c r="AM46" s="57"/>
      <c r="AN46" s="27"/>
    </row>
    <row r="47" spans="2:40" ht="18" customHeight="1" thickBot="1" x14ac:dyDescent="0.5">
      <c r="B47" s="240"/>
      <c r="C47" s="235" t="s">
        <v>80</v>
      </c>
      <c r="D47" s="166">
        <v>47</v>
      </c>
      <c r="E47" s="243">
        <f>71000</f>
        <v>71000</v>
      </c>
      <c r="F47" s="253" t="s">
        <v>214</v>
      </c>
      <c r="G47" s="23"/>
      <c r="H47" s="25"/>
      <c r="I47" s="25"/>
      <c r="J47" s="25"/>
      <c r="K47" s="25"/>
      <c r="L47" s="25"/>
      <c r="M47" s="30"/>
      <c r="N47" s="25"/>
      <c r="O47" s="130"/>
      <c r="P47" s="315"/>
      <c r="Q47" s="134"/>
      <c r="R47" s="131"/>
      <c r="S47" s="130"/>
      <c r="T47" s="251"/>
      <c r="U47" s="315"/>
      <c r="V47" s="167"/>
      <c r="W47" s="22"/>
      <c r="X47" s="18"/>
      <c r="Y47" s="57"/>
      <c r="Z47" s="233" t="str">
        <f>C55</f>
        <v>Transportkosten (1 adres in Nederland)</v>
      </c>
      <c r="AA47" s="532"/>
      <c r="AB47" s="533"/>
      <c r="AC47" s="534"/>
      <c r="AD47" s="534">
        <f>$D55*$P55</f>
        <v>0</v>
      </c>
      <c r="AE47" s="535">
        <f>AD47</f>
        <v>0</v>
      </c>
      <c r="AF47" s="536"/>
      <c r="AG47" s="537"/>
      <c r="AH47" s="538"/>
      <c r="AI47" s="539"/>
      <c r="AJ47" s="540">
        <f>(E55/10000)*U55</f>
        <v>0</v>
      </c>
      <c r="AK47" s="541">
        <f>AJ47</f>
        <v>0</v>
      </c>
      <c r="AL47" s="542">
        <f>AE47+AK47</f>
        <v>0</v>
      </c>
      <c r="AM47" s="57"/>
      <c r="AN47" s="27"/>
    </row>
    <row r="48" spans="2:40" ht="16.5" customHeight="1" thickBot="1" x14ac:dyDescent="0.55000000000000004">
      <c r="B48" s="18"/>
      <c r="C48" s="235" t="s">
        <v>47</v>
      </c>
      <c r="D48" s="166">
        <v>21</v>
      </c>
      <c r="E48" s="243">
        <v>71000</v>
      </c>
      <c r="F48" s="23"/>
      <c r="G48" s="23"/>
      <c r="H48" s="25"/>
      <c r="I48" s="25"/>
      <c r="J48" s="25"/>
      <c r="K48" s="25"/>
      <c r="L48" s="25"/>
      <c r="M48" s="30"/>
      <c r="N48" s="25"/>
      <c r="O48" s="130"/>
      <c r="P48" s="366">
        <v>0</v>
      </c>
      <c r="Q48" s="134"/>
      <c r="R48" s="131"/>
      <c r="S48" s="130"/>
      <c r="T48" s="131"/>
      <c r="U48" s="366">
        <v>0</v>
      </c>
      <c r="V48" s="167"/>
      <c r="W48" s="22"/>
      <c r="X48" s="18"/>
      <c r="Y48" s="57"/>
      <c r="Z48" s="347"/>
      <c r="AA48" s="348"/>
      <c r="AB48" s="349"/>
      <c r="AC48" s="350"/>
      <c r="AD48" s="351"/>
      <c r="AE48" s="352"/>
      <c r="AF48" s="353"/>
      <c r="AG48" s="353"/>
      <c r="AH48" s="354"/>
      <c r="AI48" s="355"/>
      <c r="AJ48" s="355"/>
      <c r="AK48" s="356"/>
      <c r="AL48" s="357"/>
      <c r="AM48" s="57"/>
      <c r="AN48" s="27"/>
    </row>
    <row r="49" spans="1:40" ht="16.5" customHeight="1" x14ac:dyDescent="0.45">
      <c r="B49" s="18"/>
      <c r="C49" s="168" t="s">
        <v>48</v>
      </c>
      <c r="D49" s="166">
        <v>0</v>
      </c>
      <c r="E49" s="243">
        <v>0</v>
      </c>
      <c r="F49" s="23"/>
      <c r="G49" s="23"/>
      <c r="H49" s="25"/>
      <c r="I49" s="25"/>
      <c r="J49" s="25"/>
      <c r="K49" s="25"/>
      <c r="L49" s="25"/>
      <c r="M49" s="30"/>
      <c r="N49" s="25"/>
      <c r="O49" s="130"/>
      <c r="P49" s="366">
        <v>0</v>
      </c>
      <c r="Q49" s="134"/>
      <c r="R49" s="131"/>
      <c r="S49" s="130"/>
      <c r="T49" s="131"/>
      <c r="U49" s="366">
        <v>0</v>
      </c>
      <c r="V49" s="167"/>
      <c r="W49" s="22"/>
      <c r="X49" s="18"/>
      <c r="Y49" s="57"/>
      <c r="Z49" s="142" t="s">
        <v>122</v>
      </c>
      <c r="AA49" s="15"/>
      <c r="AB49" s="319"/>
      <c r="AC49" s="319"/>
      <c r="AD49" s="319"/>
      <c r="AE49" s="319"/>
      <c r="AF49" s="10"/>
      <c r="AG49" s="16"/>
      <c r="AH49" s="319"/>
      <c r="AI49" s="319"/>
      <c r="AJ49" s="319"/>
      <c r="AK49" s="319"/>
      <c r="AL49" s="329"/>
      <c r="AM49" s="57"/>
      <c r="AN49" s="27"/>
    </row>
    <row r="50" spans="1:40" ht="16.5" customHeight="1" x14ac:dyDescent="0.45">
      <c r="B50" s="18"/>
      <c r="C50" s="168" t="s">
        <v>49</v>
      </c>
      <c r="D50" s="166">
        <v>2</v>
      </c>
      <c r="E50" s="243">
        <v>71000</v>
      </c>
      <c r="F50" s="23"/>
      <c r="G50" s="23"/>
      <c r="H50" s="25"/>
      <c r="I50" s="25"/>
      <c r="J50" s="25"/>
      <c r="K50" s="25"/>
      <c r="L50" s="25"/>
      <c r="M50" s="30"/>
      <c r="N50" s="25"/>
      <c r="O50" s="130"/>
      <c r="P50" s="366">
        <v>0</v>
      </c>
      <c r="Q50" s="134"/>
      <c r="R50" s="131"/>
      <c r="S50" s="130"/>
      <c r="T50" s="131"/>
      <c r="U50" s="366">
        <v>0</v>
      </c>
      <c r="V50" s="167"/>
      <c r="W50" s="22"/>
      <c r="X50" s="18"/>
      <c r="Y50" s="57"/>
      <c r="Z50" s="18"/>
      <c r="AA50" s="165"/>
      <c r="AB50" s="320"/>
      <c r="AC50" s="324"/>
      <c r="AD50" s="324"/>
      <c r="AE50" s="320"/>
      <c r="AF50" s="308"/>
      <c r="AG50" s="165"/>
      <c r="AH50" s="320"/>
      <c r="AI50" s="320"/>
      <c r="AJ50" s="320"/>
      <c r="AK50" s="318"/>
      <c r="AL50" s="330"/>
      <c r="AM50" s="57"/>
      <c r="AN50" s="27"/>
    </row>
    <row r="51" spans="1:40" ht="16.5" customHeight="1" thickBot="1" x14ac:dyDescent="0.5">
      <c r="B51" s="18"/>
      <c r="C51" s="168" t="s">
        <v>50</v>
      </c>
      <c r="D51" s="166">
        <v>47</v>
      </c>
      <c r="E51" s="243">
        <v>11500</v>
      </c>
      <c r="F51" s="383" t="s">
        <v>147</v>
      </c>
      <c r="G51" s="23"/>
      <c r="H51" s="25"/>
      <c r="I51" s="25"/>
      <c r="J51" s="25"/>
      <c r="K51" s="25"/>
      <c r="L51" s="25"/>
      <c r="M51" s="30"/>
      <c r="N51" s="25"/>
      <c r="O51" s="130"/>
      <c r="P51" s="366">
        <v>0</v>
      </c>
      <c r="Q51" s="134"/>
      <c r="R51" s="131"/>
      <c r="S51" s="130"/>
      <c r="T51" s="131"/>
      <c r="U51" s="366">
        <v>0</v>
      </c>
      <c r="V51" s="167"/>
      <c r="W51" s="22"/>
      <c r="X51" s="18"/>
      <c r="Y51" s="57"/>
      <c r="Z51" s="309" t="s">
        <v>123</v>
      </c>
      <c r="AA51" s="310"/>
      <c r="AB51" s="321"/>
      <c r="AC51" s="325"/>
      <c r="AD51" s="325"/>
      <c r="AE51" s="321"/>
      <c r="AF51" s="311"/>
      <c r="AG51" s="310"/>
      <c r="AH51" s="321"/>
      <c r="AI51" s="321"/>
      <c r="AJ51" s="321"/>
      <c r="AK51" s="321"/>
      <c r="AL51" s="328">
        <f>$K$88</f>
        <v>0</v>
      </c>
      <c r="AM51" s="57"/>
      <c r="AN51" s="27"/>
    </row>
    <row r="52" spans="1:40" ht="16.5" customHeight="1" thickBot="1" x14ac:dyDescent="0.5">
      <c r="B52" s="18"/>
      <c r="C52" s="142" t="s">
        <v>84</v>
      </c>
      <c r="D52" s="142"/>
      <c r="E52" s="142"/>
      <c r="F52" s="338"/>
      <c r="G52" s="338"/>
      <c r="H52" s="338"/>
      <c r="I52" s="338"/>
      <c r="J52" s="338"/>
      <c r="K52" s="338"/>
      <c r="L52" s="338"/>
      <c r="M52" s="338"/>
      <c r="N52" s="338"/>
      <c r="O52" s="338"/>
      <c r="P52" s="367"/>
      <c r="Q52" s="338"/>
      <c r="R52" s="338"/>
      <c r="S52" s="338"/>
      <c r="T52" s="338"/>
      <c r="U52" s="367"/>
      <c r="V52" s="339"/>
      <c r="W52" s="22"/>
      <c r="X52" s="18"/>
      <c r="Y52" s="57"/>
      <c r="Z52" s="312" t="s">
        <v>124</v>
      </c>
      <c r="AA52" s="176"/>
      <c r="AB52" s="322"/>
      <c r="AC52" s="326"/>
      <c r="AD52" s="326"/>
      <c r="AE52" s="322"/>
      <c r="AF52" s="178"/>
      <c r="AG52" s="176"/>
      <c r="AH52" s="322"/>
      <c r="AI52" s="322"/>
      <c r="AJ52" s="322"/>
      <c r="AK52" s="322"/>
      <c r="AL52" s="328">
        <f>$K$97</f>
        <v>0</v>
      </c>
      <c r="AM52" s="57"/>
      <c r="AN52" s="27"/>
    </row>
    <row r="53" spans="1:40" ht="16.5" customHeight="1" thickBot="1" x14ac:dyDescent="0.5">
      <c r="B53" s="18"/>
      <c r="C53" s="245" t="s">
        <v>85</v>
      </c>
      <c r="D53" s="166">
        <v>47</v>
      </c>
      <c r="E53" s="243">
        <v>0</v>
      </c>
      <c r="F53" s="340"/>
      <c r="G53" s="340"/>
      <c r="H53" s="341"/>
      <c r="I53" s="341"/>
      <c r="J53" s="341"/>
      <c r="K53" s="341"/>
      <c r="L53" s="341"/>
      <c r="M53" s="342"/>
      <c r="N53" s="341"/>
      <c r="O53" s="343"/>
      <c r="P53" s="366">
        <v>0</v>
      </c>
      <c r="Q53" s="344"/>
      <c r="R53" s="345"/>
      <c r="S53" s="343"/>
      <c r="T53" s="345"/>
      <c r="U53" s="368">
        <v>0</v>
      </c>
      <c r="V53" s="344"/>
      <c r="W53" s="22"/>
      <c r="X53" s="18"/>
      <c r="Y53" s="57"/>
      <c r="Z53" s="358"/>
      <c r="AA53" s="348"/>
      <c r="AB53" s="349"/>
      <c r="AC53" s="349"/>
      <c r="AD53" s="349"/>
      <c r="AE53" s="349"/>
      <c r="AF53" s="348"/>
      <c r="AG53" s="348"/>
      <c r="AH53" s="349"/>
      <c r="AI53" s="349"/>
      <c r="AJ53" s="349"/>
      <c r="AK53" s="349"/>
      <c r="AL53" s="359"/>
      <c r="AM53" s="57"/>
      <c r="AN53" s="27"/>
    </row>
    <row r="54" spans="1:40" ht="16.5" customHeight="1" x14ac:dyDescent="0.45">
      <c r="B54" s="18"/>
      <c r="C54" s="142" t="s">
        <v>86</v>
      </c>
      <c r="D54" s="142"/>
      <c r="E54" s="142"/>
      <c r="F54" s="338"/>
      <c r="G54" s="338"/>
      <c r="H54" s="338"/>
      <c r="I54" s="338"/>
      <c r="J54" s="338"/>
      <c r="K54" s="338"/>
      <c r="L54" s="338"/>
      <c r="M54" s="338"/>
      <c r="N54" s="338"/>
      <c r="O54" s="338"/>
      <c r="P54" s="367"/>
      <c r="Q54" s="338"/>
      <c r="R54" s="338"/>
      <c r="S54" s="338"/>
      <c r="T54" s="338"/>
      <c r="U54" s="367"/>
      <c r="V54" s="339"/>
      <c r="W54" s="22"/>
      <c r="X54" s="18"/>
      <c r="Y54" s="57"/>
      <c r="Z54" s="153" t="s">
        <v>44</v>
      </c>
      <c r="AA54" s="154" t="str">
        <f>SUM(AA20:AA47)&amp;" KG"</f>
        <v>0 KG</v>
      </c>
      <c r="AB54" s="323">
        <f>SUM(AB20:AB47)</f>
        <v>0</v>
      </c>
      <c r="AC54" s="323">
        <f>SUM(AC20:AC47)</f>
        <v>0</v>
      </c>
      <c r="AD54" s="323">
        <f>SUM(AD20:AD47)</f>
        <v>0</v>
      </c>
      <c r="AE54" s="323">
        <f>SUM(AB54:AD54)</f>
        <v>0</v>
      </c>
      <c r="AF54" s="155"/>
      <c r="AG54" s="156" t="str">
        <f>SUM(AG20:AG47)&amp;" KG"</f>
        <v>0 KG</v>
      </c>
      <c r="AH54" s="323">
        <f>SUM(AH20:AH47)</f>
        <v>0</v>
      </c>
      <c r="AI54" s="323">
        <f>SUM(AI20:AI47)</f>
        <v>0</v>
      </c>
      <c r="AJ54" s="323">
        <f>SUM(AJ20:AJ47)</f>
        <v>0</v>
      </c>
      <c r="AK54" s="323">
        <f>SUM(AH54:AJ54)</f>
        <v>0</v>
      </c>
      <c r="AL54" s="323">
        <f>SUM(AL20:AL52)</f>
        <v>0</v>
      </c>
      <c r="AM54" s="695">
        <f>IF(AL54&gt;0,1,0)</f>
        <v>0</v>
      </c>
      <c r="AN54" s="27"/>
    </row>
    <row r="55" spans="1:40" ht="16.5" customHeight="1" thickBot="1" x14ac:dyDescent="0.5">
      <c r="B55" s="18"/>
      <c r="C55" s="246" t="s">
        <v>51</v>
      </c>
      <c r="D55" s="169">
        <v>47</v>
      </c>
      <c r="E55" s="244">
        <v>0</v>
      </c>
      <c r="F55" s="733" t="s">
        <v>213</v>
      </c>
      <c r="G55" s="170"/>
      <c r="H55" s="58"/>
      <c r="I55" s="58"/>
      <c r="J55" s="58"/>
      <c r="K55" s="58"/>
      <c r="L55" s="58"/>
      <c r="M55" s="171"/>
      <c r="N55" s="172"/>
      <c r="O55" s="173"/>
      <c r="P55" s="732">
        <v>0</v>
      </c>
      <c r="Q55" s="141"/>
      <c r="R55" s="31"/>
      <c r="S55" s="173"/>
      <c r="T55" s="59"/>
      <c r="U55" s="732">
        <v>0</v>
      </c>
      <c r="V55" s="141"/>
      <c r="W55" s="22"/>
      <c r="X55" s="18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27"/>
    </row>
    <row r="56" spans="1:40" ht="22.5" customHeight="1" thickBot="1" x14ac:dyDescent="0.5">
      <c r="A56" s="1"/>
      <c r="B56" s="174"/>
      <c r="C56" s="239"/>
      <c r="D56" s="158" t="s">
        <v>2</v>
      </c>
      <c r="E56" s="170"/>
      <c r="F56" s="170"/>
      <c r="G56" s="170"/>
      <c r="H56" s="158" t="s">
        <v>2</v>
      </c>
      <c r="I56" s="158" t="s">
        <v>2</v>
      </c>
      <c r="J56" s="158"/>
      <c r="K56" s="158"/>
      <c r="L56" s="158"/>
      <c r="M56" s="159" t="s">
        <v>2</v>
      </c>
      <c r="N56" s="170"/>
      <c r="O56" s="162"/>
      <c r="P56" s="162"/>
      <c r="Q56" s="162"/>
      <c r="R56" s="170"/>
      <c r="S56" s="162"/>
      <c r="T56" s="162"/>
      <c r="U56" s="162"/>
      <c r="V56" s="162"/>
      <c r="W56" s="175"/>
      <c r="X56" s="174"/>
      <c r="Y56" s="170"/>
      <c r="Z56" s="170"/>
      <c r="AA56" s="176"/>
      <c r="AB56" s="176"/>
      <c r="AC56" s="177"/>
      <c r="AD56" s="177"/>
      <c r="AE56" s="176"/>
      <c r="AF56" s="178"/>
      <c r="AG56" s="176"/>
      <c r="AH56" s="176"/>
      <c r="AI56" s="176"/>
      <c r="AJ56" s="176"/>
      <c r="AK56" s="179"/>
      <c r="AL56" s="179"/>
      <c r="AM56" s="158"/>
      <c r="AN56" s="161"/>
    </row>
    <row r="57" spans="1:40" ht="18" customHeight="1" x14ac:dyDescent="0.45"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28" hidden="1" x14ac:dyDescent="0.45">
      <c r="H58" s="180" t="s">
        <v>52</v>
      </c>
      <c r="I58" s="180" t="s">
        <v>53</v>
      </c>
      <c r="J58" s="180" t="s">
        <v>54</v>
      </c>
      <c r="K58" s="180" t="s">
        <v>55</v>
      </c>
      <c r="L58" s="180" t="s">
        <v>56</v>
      </c>
      <c r="M58" s="181" t="s">
        <v>57</v>
      </c>
      <c r="P58" s="6" t="s">
        <v>58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idden="1" x14ac:dyDescent="0.45">
      <c r="C59" s="2" t="s">
        <v>47</v>
      </c>
      <c r="D59" s="182">
        <v>2</v>
      </c>
      <c r="H59" s="183">
        <v>16</v>
      </c>
      <c r="I59" s="183">
        <v>12</v>
      </c>
      <c r="J59" s="183">
        <v>4</v>
      </c>
      <c r="K59" s="183">
        <v>16</v>
      </c>
      <c r="L59" s="183">
        <v>7</v>
      </c>
      <c r="M59" s="183">
        <v>8</v>
      </c>
      <c r="P59" s="6" t="s">
        <v>59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idden="1" x14ac:dyDescent="0.45">
      <c r="C60" s="2" t="s">
        <v>50</v>
      </c>
      <c r="D60" s="182">
        <v>5</v>
      </c>
      <c r="H60" s="183">
        <v>1</v>
      </c>
      <c r="I60" s="183">
        <v>0</v>
      </c>
      <c r="J60" s="183">
        <v>21</v>
      </c>
      <c r="K60" s="183">
        <v>0</v>
      </c>
      <c r="L60" s="183">
        <v>51</v>
      </c>
      <c r="M60" s="183">
        <v>26</v>
      </c>
      <c r="P60" s="6" t="s">
        <v>60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idden="1" x14ac:dyDescent="0.45">
      <c r="C61" s="2" t="s">
        <v>48</v>
      </c>
      <c r="D61" s="182">
        <v>3</v>
      </c>
      <c r="H61" s="183">
        <v>4</v>
      </c>
      <c r="I61" s="183">
        <v>4</v>
      </c>
      <c r="J61" s="183">
        <v>0</v>
      </c>
      <c r="K61" s="183">
        <v>4</v>
      </c>
      <c r="L61" s="183">
        <v>0</v>
      </c>
      <c r="M61" s="183">
        <v>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 x14ac:dyDescent="0.45">
      <c r="C62" s="2" t="s">
        <v>49</v>
      </c>
      <c r="D62" s="182">
        <v>4</v>
      </c>
      <c r="H62" s="183">
        <v>0</v>
      </c>
      <c r="I62" s="183">
        <v>0</v>
      </c>
      <c r="J62" s="183">
        <v>0</v>
      </c>
      <c r="K62" s="183">
        <v>0</v>
      </c>
      <c r="L62" s="183">
        <v>0</v>
      </c>
      <c r="M62" s="183">
        <v>4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26.5" x14ac:dyDescent="0.45">
      <c r="A63" s="255"/>
      <c r="B63" s="256"/>
      <c r="C63" s="362" t="s">
        <v>100</v>
      </c>
      <c r="D63" s="258" t="s">
        <v>101</v>
      </c>
      <c r="E63" s="258"/>
      <c r="F63" s="256"/>
      <c r="G63" s="256"/>
      <c r="H63" s="259"/>
      <c r="I63" s="256"/>
      <c r="J63" s="257" t="s">
        <v>102</v>
      </c>
      <c r="K63" s="256"/>
      <c r="L63" s="257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7" thickBot="1" x14ac:dyDescent="0.5">
      <c r="A64" s="255"/>
      <c r="B64" s="260"/>
      <c r="C64" s="260"/>
      <c r="D64" s="260"/>
      <c r="E64" s="260"/>
      <c r="F64" s="256"/>
      <c r="G64" s="256"/>
      <c r="H64" s="260"/>
      <c r="I64" s="256"/>
      <c r="J64" s="260"/>
      <c r="K64" s="256"/>
      <c r="L64" s="260"/>
    </row>
    <row r="65" spans="1:12" ht="27.5" thickTop="1" thickBot="1" x14ac:dyDescent="0.5">
      <c r="A65" s="255"/>
      <c r="B65" s="256"/>
      <c r="C65" s="257" t="s">
        <v>1</v>
      </c>
      <c r="D65" s="346">
        <f>D4</f>
        <v>0</v>
      </c>
      <c r="E65" s="258"/>
      <c r="F65" s="256"/>
      <c r="G65" s="256"/>
      <c r="H65" s="259"/>
      <c r="I65" s="256"/>
      <c r="J65" s="260"/>
      <c r="K65" s="256"/>
      <c r="L65" s="260"/>
    </row>
    <row r="66" spans="1:12" ht="27" thickTop="1" x14ac:dyDescent="0.45">
      <c r="A66" s="255"/>
      <c r="B66" s="257"/>
      <c r="C66" s="258"/>
      <c r="D66" s="258"/>
      <c r="E66" s="258"/>
      <c r="F66" s="256"/>
      <c r="G66" s="256"/>
      <c r="H66" s="259"/>
      <c r="I66" s="256"/>
      <c r="J66" s="260"/>
      <c r="K66" s="256"/>
      <c r="L66" s="260"/>
    </row>
    <row r="67" spans="1:12" ht="17" thickBot="1" x14ac:dyDescent="0.5">
      <c r="A67" s="255"/>
      <c r="B67" s="261" t="s">
        <v>103</v>
      </c>
      <c r="C67" s="262" t="s">
        <v>52</v>
      </c>
      <c r="D67" s="260"/>
      <c r="E67" s="263"/>
      <c r="F67" s="256"/>
      <c r="G67" s="256"/>
      <c r="H67" s="264"/>
      <c r="I67" s="256"/>
      <c r="J67" s="260"/>
      <c r="K67" s="256"/>
      <c r="L67" s="260"/>
    </row>
    <row r="68" spans="1:12" ht="17.5" thickTop="1" thickBot="1" x14ac:dyDescent="0.5">
      <c r="A68" s="255"/>
      <c r="B68" s="261" t="s">
        <v>103</v>
      </c>
      <c r="C68" s="266" t="s">
        <v>104</v>
      </c>
      <c r="D68" s="556">
        <v>71000</v>
      </c>
      <c r="E68" s="263"/>
      <c r="F68" s="256"/>
      <c r="G68" s="256"/>
      <c r="H68" s="264"/>
      <c r="I68" s="256"/>
      <c r="J68" s="260"/>
      <c r="K68" s="256"/>
      <c r="L68" s="260"/>
    </row>
    <row r="69" spans="1:12" ht="17.5" hidden="1" thickTop="1" thickBot="1" x14ac:dyDescent="0.5">
      <c r="A69" s="255"/>
      <c r="B69" s="261" t="s">
        <v>103</v>
      </c>
      <c r="C69" s="265" t="s">
        <v>105</v>
      </c>
      <c r="D69" s="555">
        <v>71</v>
      </c>
      <c r="E69" s="263"/>
      <c r="F69" s="256"/>
      <c r="G69" s="256"/>
      <c r="H69" s="263"/>
      <c r="I69" s="256"/>
      <c r="J69" s="263"/>
      <c r="K69" s="256"/>
      <c r="L69" s="263"/>
    </row>
    <row r="70" spans="1:12" ht="32" hidden="1" thickTop="1" thickBot="1" x14ac:dyDescent="0.5">
      <c r="A70" s="255"/>
      <c r="B70" s="256"/>
      <c r="C70" s="266" t="s">
        <v>106</v>
      </c>
      <c r="D70" s="556">
        <v>71071</v>
      </c>
      <c r="E70" s="256"/>
      <c r="F70" s="256"/>
      <c r="G70" s="256"/>
      <c r="H70" s="263"/>
      <c r="I70" s="256"/>
      <c r="J70" s="263"/>
      <c r="K70" s="256"/>
      <c r="L70" s="263"/>
    </row>
    <row r="71" spans="1:12" ht="17.5" thickTop="1" thickBot="1" x14ac:dyDescent="0.5">
      <c r="A71" s="255"/>
      <c r="B71" s="256"/>
      <c r="C71" s="261"/>
      <c r="D71" s="557"/>
      <c r="E71" s="260"/>
      <c r="F71" s="256"/>
      <c r="G71" s="256"/>
      <c r="H71" s="264"/>
      <c r="I71" s="256"/>
      <c r="J71" s="260"/>
      <c r="K71" s="256"/>
      <c r="L71" s="260"/>
    </row>
    <row r="72" spans="1:12" ht="17.5" thickTop="1" thickBot="1" x14ac:dyDescent="0.5">
      <c r="A72" s="269"/>
      <c r="B72" s="256"/>
      <c r="C72" s="266" t="s">
        <v>107</v>
      </c>
      <c r="D72" s="556">
        <v>47</v>
      </c>
      <c r="E72" s="263"/>
      <c r="F72" s="256"/>
      <c r="G72" s="256"/>
      <c r="H72" s="263"/>
      <c r="I72" s="256"/>
      <c r="J72" s="263"/>
      <c r="K72" s="256"/>
      <c r="L72" s="263"/>
    </row>
    <row r="73" spans="1:12" ht="17.5" thickTop="1" thickBot="1" x14ac:dyDescent="0.5">
      <c r="A73" s="255"/>
      <c r="B73" s="256"/>
      <c r="C73" s="261"/>
      <c r="D73" s="557"/>
      <c r="E73" s="260"/>
      <c r="F73" s="256"/>
      <c r="G73" s="256"/>
      <c r="H73" s="264"/>
      <c r="I73" s="256"/>
      <c r="J73" s="260"/>
      <c r="K73" s="256"/>
      <c r="L73" s="260"/>
    </row>
    <row r="74" spans="1:12" ht="32" thickTop="1" thickBot="1" x14ac:dyDescent="0.5">
      <c r="A74" s="269"/>
      <c r="B74" s="256"/>
      <c r="C74" s="270" t="s">
        <v>108</v>
      </c>
      <c r="D74" s="556">
        <v>11500</v>
      </c>
      <c r="E74" s="263"/>
      <c r="F74" s="256"/>
      <c r="G74" s="256"/>
      <c r="H74" s="263"/>
      <c r="I74" s="256"/>
      <c r="J74" s="263"/>
      <c r="K74" s="256"/>
      <c r="L74" s="263"/>
    </row>
    <row r="75" spans="1:12" ht="17.5" hidden="1" thickTop="1" thickBot="1" x14ac:dyDescent="0.5">
      <c r="A75" s="269"/>
      <c r="B75" s="271"/>
      <c r="C75" s="266" t="s">
        <v>109</v>
      </c>
      <c r="D75" s="267">
        <v>1</v>
      </c>
      <c r="E75" s="263"/>
      <c r="F75" s="256"/>
      <c r="G75" s="256"/>
      <c r="H75" s="263"/>
      <c r="I75" s="256"/>
      <c r="J75" s="263"/>
      <c r="K75" s="256"/>
      <c r="L75" s="263"/>
    </row>
    <row r="76" spans="1:12" ht="32" thickTop="1" thickBot="1" x14ac:dyDescent="0.5">
      <c r="A76" s="269"/>
      <c r="B76" s="256"/>
      <c r="C76" s="270" t="s">
        <v>110</v>
      </c>
      <c r="D76" s="267">
        <v>18400</v>
      </c>
      <c r="E76" s="263"/>
      <c r="F76" s="256"/>
      <c r="G76" s="256"/>
      <c r="H76" s="263"/>
      <c r="I76" s="256"/>
      <c r="J76" s="263"/>
      <c r="K76" s="256"/>
      <c r="L76" s="263"/>
    </row>
    <row r="77" spans="1:12" ht="17" thickTop="1" x14ac:dyDescent="0.45">
      <c r="A77" s="269"/>
      <c r="B77" s="271"/>
      <c r="C77" s="272"/>
      <c r="D77" s="273"/>
      <c r="E77" s="263"/>
      <c r="F77" s="256"/>
      <c r="G77" s="256"/>
      <c r="H77" s="263"/>
      <c r="I77" s="256"/>
      <c r="J77" s="263"/>
      <c r="K77" s="256"/>
      <c r="L77" s="263"/>
    </row>
    <row r="78" spans="1:12" ht="17" thickBot="1" x14ac:dyDescent="0.5">
      <c r="A78" s="269"/>
      <c r="B78" s="256"/>
      <c r="C78" s="263"/>
      <c r="D78" s="256"/>
      <c r="E78" s="256"/>
      <c r="F78" s="256"/>
      <c r="G78" s="256"/>
      <c r="H78" s="256"/>
      <c r="I78" s="256"/>
      <c r="J78" s="256"/>
      <c r="K78" s="256"/>
      <c r="L78" s="256"/>
    </row>
    <row r="79" spans="1:12" ht="16.5" customHeight="1" x14ac:dyDescent="0.45">
      <c r="A79" s="269"/>
      <c r="B79" s="737" t="s">
        <v>146</v>
      </c>
      <c r="C79" s="274"/>
      <c r="D79" s="769" t="s">
        <v>131</v>
      </c>
      <c r="E79" s="784" t="s">
        <v>130</v>
      </c>
      <c r="F79" s="256"/>
      <c r="G79" s="256"/>
      <c r="H79" s="753" t="s">
        <v>132</v>
      </c>
      <c r="I79" s="256"/>
      <c r="J79" s="771" t="s">
        <v>111</v>
      </c>
      <c r="K79" s="772"/>
      <c r="L79" s="256"/>
    </row>
    <row r="80" spans="1:12" ht="17" thickBot="1" x14ac:dyDescent="0.5">
      <c r="A80" s="269"/>
      <c r="B80" s="738"/>
      <c r="C80" s="275"/>
      <c r="D80" s="770"/>
      <c r="E80" s="785"/>
      <c r="F80" s="256"/>
      <c r="G80" s="256"/>
      <c r="H80" s="754"/>
      <c r="I80" s="256"/>
      <c r="J80" s="276"/>
      <c r="K80" s="277"/>
      <c r="L80" s="256"/>
    </row>
    <row r="81" spans="1:12" x14ac:dyDescent="0.45">
      <c r="A81" s="269"/>
      <c r="B81" s="738"/>
      <c r="C81" s="278" t="s">
        <v>143</v>
      </c>
      <c r="D81" s="560">
        <v>71000</v>
      </c>
      <c r="E81" s="560">
        <v>47</v>
      </c>
      <c r="F81" s="256"/>
      <c r="G81" s="256"/>
      <c r="H81" s="279">
        <v>0</v>
      </c>
      <c r="I81" s="256"/>
      <c r="J81" s="280"/>
      <c r="K81" s="331">
        <f t="shared" ref="K81:K87" si="14">$H81/1000*$D81*E81</f>
        <v>0</v>
      </c>
      <c r="L81" s="256"/>
    </row>
    <row r="82" spans="1:12" x14ac:dyDescent="0.45">
      <c r="A82" s="269"/>
      <c r="B82" s="738"/>
      <c r="C82" s="281" t="s">
        <v>212</v>
      </c>
      <c r="D82" s="560">
        <f>IF(D20&gt;5,0,D81)</f>
        <v>71000</v>
      </c>
      <c r="E82" s="560">
        <f>IF(D20&gt;5,0,E81)</f>
        <v>47</v>
      </c>
      <c r="F82" s="256"/>
      <c r="G82" s="256"/>
      <c r="H82" s="279">
        <v>0</v>
      </c>
      <c r="I82" s="256"/>
      <c r="J82" s="282"/>
      <c r="K82" s="332">
        <f t="shared" si="14"/>
        <v>0</v>
      </c>
      <c r="L82" s="256"/>
    </row>
    <row r="83" spans="1:12" x14ac:dyDescent="0.45">
      <c r="A83" s="269"/>
      <c r="B83" s="738"/>
      <c r="C83" s="281" t="s">
        <v>211</v>
      </c>
      <c r="D83" s="560">
        <f>IF(E83=0,0,D81)</f>
        <v>0</v>
      </c>
      <c r="E83" s="560">
        <f>IF(D20&gt;6,E85,0)</f>
        <v>0</v>
      </c>
      <c r="F83" s="256"/>
      <c r="G83" s="256"/>
      <c r="H83" s="279">
        <v>0</v>
      </c>
      <c r="I83" s="256"/>
      <c r="J83" s="282"/>
      <c r="K83" s="562">
        <f t="shared" si="14"/>
        <v>0</v>
      </c>
      <c r="L83" s="256"/>
    </row>
    <row r="84" spans="1:12" x14ac:dyDescent="0.45">
      <c r="A84" s="269"/>
      <c r="B84" s="738"/>
      <c r="C84" s="281" t="s">
        <v>112</v>
      </c>
      <c r="D84" s="560">
        <v>0</v>
      </c>
      <c r="E84" s="560">
        <v>0</v>
      </c>
      <c r="F84" s="256"/>
      <c r="G84" s="256"/>
      <c r="H84" s="279">
        <v>0</v>
      </c>
      <c r="I84" s="256"/>
      <c r="J84" s="282"/>
      <c r="K84" s="332">
        <f t="shared" si="14"/>
        <v>0</v>
      </c>
      <c r="L84" s="256"/>
    </row>
    <row r="85" spans="1:12" x14ac:dyDescent="0.45">
      <c r="A85" s="269"/>
      <c r="B85" s="738"/>
      <c r="C85" s="281" t="s">
        <v>113</v>
      </c>
      <c r="D85" s="560">
        <f>D81</f>
        <v>71000</v>
      </c>
      <c r="E85" s="560">
        <v>28</v>
      </c>
      <c r="F85" s="256"/>
      <c r="G85" s="256"/>
      <c r="H85" s="279">
        <v>0</v>
      </c>
      <c r="I85" s="256"/>
      <c r="J85" s="282"/>
      <c r="K85" s="332">
        <f t="shared" si="14"/>
        <v>0</v>
      </c>
      <c r="L85" s="256"/>
    </row>
    <row r="86" spans="1:12" x14ac:dyDescent="0.45">
      <c r="A86" s="269"/>
      <c r="B86" s="738"/>
      <c r="C86" s="281" t="s">
        <v>114</v>
      </c>
      <c r="D86" s="560">
        <f>D81</f>
        <v>71000</v>
      </c>
      <c r="E86" s="560">
        <v>2</v>
      </c>
      <c r="F86" s="256"/>
      <c r="G86" s="256"/>
      <c r="H86" s="279">
        <v>0</v>
      </c>
      <c r="I86" s="256"/>
      <c r="J86" s="282"/>
      <c r="K86" s="332">
        <f t="shared" si="14"/>
        <v>0</v>
      </c>
      <c r="L86" s="256"/>
    </row>
    <row r="87" spans="1:12" ht="17" thickBot="1" x14ac:dyDescent="0.5">
      <c r="A87" s="269"/>
      <c r="B87" s="739"/>
      <c r="C87" s="283" t="s">
        <v>115</v>
      </c>
      <c r="D87" s="563">
        <f>71000</f>
        <v>71000</v>
      </c>
      <c r="E87" s="563">
        <v>1</v>
      </c>
      <c r="F87" s="256"/>
      <c r="G87" s="256"/>
      <c r="H87" s="284">
        <v>0</v>
      </c>
      <c r="I87" s="256"/>
      <c r="J87" s="285"/>
      <c r="K87" s="333">
        <f t="shared" si="14"/>
        <v>0</v>
      </c>
      <c r="L87" s="256"/>
    </row>
    <row r="88" spans="1:12" x14ac:dyDescent="0.45">
      <c r="A88" s="269"/>
      <c r="B88" s="286"/>
      <c r="C88" s="287" t="s">
        <v>116</v>
      </c>
      <c r="D88" s="288"/>
      <c r="E88" s="256"/>
      <c r="F88" s="256"/>
      <c r="G88" s="256"/>
      <c r="H88" s="289"/>
      <c r="I88" s="256"/>
      <c r="J88" s="290"/>
      <c r="K88" s="334">
        <f>SUM(K81:K87)</f>
        <v>0</v>
      </c>
      <c r="L88" s="256"/>
    </row>
    <row r="89" spans="1:12" ht="17" thickBot="1" x14ac:dyDescent="0.5">
      <c r="A89" s="269"/>
      <c r="B89" s="263"/>
      <c r="C89" s="263"/>
      <c r="D89" s="263"/>
      <c r="E89" s="263"/>
      <c r="F89" s="291"/>
      <c r="G89" s="291"/>
      <c r="H89" s="263"/>
      <c r="I89" s="256"/>
      <c r="J89" s="263"/>
      <c r="K89" s="256"/>
      <c r="L89" s="256"/>
    </row>
    <row r="90" spans="1:12" x14ac:dyDescent="0.45">
      <c r="A90" s="269"/>
      <c r="B90" s="744" t="s">
        <v>117</v>
      </c>
      <c r="C90" s="292"/>
      <c r="D90" s="747" t="s">
        <v>133</v>
      </c>
      <c r="E90" s="748"/>
      <c r="F90" s="749"/>
      <c r="G90" s="291"/>
      <c r="H90" s="753" t="s">
        <v>118</v>
      </c>
      <c r="I90" s="256"/>
      <c r="J90" s="740" t="s">
        <v>111</v>
      </c>
      <c r="K90" s="741"/>
      <c r="L90" s="256"/>
    </row>
    <row r="91" spans="1:12" ht="17" thickBot="1" x14ac:dyDescent="0.5">
      <c r="A91" s="269"/>
      <c r="B91" s="745"/>
      <c r="C91" s="293"/>
      <c r="D91" s="750"/>
      <c r="E91" s="751"/>
      <c r="F91" s="752"/>
      <c r="G91" s="291"/>
      <c r="H91" s="754"/>
      <c r="I91" s="256"/>
      <c r="J91" s="742"/>
      <c r="K91" s="743"/>
      <c r="L91" s="256"/>
    </row>
    <row r="92" spans="1:12" x14ac:dyDescent="0.45">
      <c r="A92" s="269"/>
      <c r="B92" s="745"/>
      <c r="C92" s="294" t="s">
        <v>119</v>
      </c>
      <c r="D92" s="755" t="s">
        <v>215</v>
      </c>
      <c r="E92" s="756"/>
      <c r="F92" s="757"/>
      <c r="G92" s="291"/>
      <c r="H92" s="295">
        <v>0</v>
      </c>
      <c r="I92" s="256"/>
      <c r="J92" s="296"/>
      <c r="K92" s="297">
        <f>H92*$D$72</f>
        <v>0</v>
      </c>
      <c r="L92" s="256"/>
    </row>
    <row r="93" spans="1:12" x14ac:dyDescent="0.45">
      <c r="A93" s="269"/>
      <c r="B93" s="745"/>
      <c r="C93" s="294" t="s">
        <v>144</v>
      </c>
      <c r="D93" s="764" t="s">
        <v>216</v>
      </c>
      <c r="E93" s="765"/>
      <c r="F93" s="766"/>
      <c r="G93" s="291"/>
      <c r="H93" s="295">
        <v>0</v>
      </c>
      <c r="I93" s="256"/>
      <c r="J93" s="296"/>
      <c r="K93" s="297">
        <f>H93*$D$72</f>
        <v>0</v>
      </c>
      <c r="L93" s="256"/>
    </row>
    <row r="94" spans="1:12" x14ac:dyDescent="0.45">
      <c r="A94" s="269"/>
      <c r="B94" s="745"/>
      <c r="C94" s="382" t="s">
        <v>148</v>
      </c>
      <c r="D94" s="758" t="s">
        <v>217</v>
      </c>
      <c r="E94" s="759"/>
      <c r="F94" s="760"/>
      <c r="G94" s="291"/>
      <c r="H94" s="279">
        <v>0</v>
      </c>
      <c r="I94" s="256"/>
      <c r="J94" s="296"/>
      <c r="K94" s="297">
        <f>H94*$D$72</f>
        <v>0</v>
      </c>
      <c r="L94" s="256"/>
    </row>
    <row r="95" spans="1:12" x14ac:dyDescent="0.45">
      <c r="A95" s="269"/>
      <c r="B95" s="745"/>
      <c r="C95" s="294" t="s">
        <v>120</v>
      </c>
      <c r="D95" s="758" t="s">
        <v>218</v>
      </c>
      <c r="E95" s="759"/>
      <c r="F95" s="760"/>
      <c r="G95" s="291"/>
      <c r="H95" s="295">
        <v>0</v>
      </c>
      <c r="I95" s="256"/>
      <c r="J95" s="296"/>
      <c r="K95" s="297">
        <f>H95*$D$72</f>
        <v>0</v>
      </c>
      <c r="L95" s="256"/>
    </row>
    <row r="96" spans="1:12" ht="17" thickBot="1" x14ac:dyDescent="0.5">
      <c r="A96" s="269"/>
      <c r="B96" s="746"/>
      <c r="C96" s="298" t="s">
        <v>121</v>
      </c>
      <c r="D96" s="761" t="s">
        <v>219</v>
      </c>
      <c r="E96" s="762"/>
      <c r="F96" s="763"/>
      <c r="G96" s="291"/>
      <c r="H96" s="299">
        <v>0</v>
      </c>
      <c r="I96" s="256"/>
      <c r="J96" s="296"/>
      <c r="K96" s="297">
        <f>H96*$D$72</f>
        <v>0</v>
      </c>
      <c r="L96" s="256"/>
    </row>
    <row r="97" spans="1:12" x14ac:dyDescent="0.45">
      <c r="A97" s="269"/>
      <c r="B97" s="263"/>
      <c r="C97" s="287" t="s">
        <v>116</v>
      </c>
      <c r="D97" s="300"/>
      <c r="E97" s="256"/>
      <c r="F97" s="291"/>
      <c r="G97" s="291"/>
      <c r="H97" s="301"/>
      <c r="I97" s="256"/>
      <c r="J97" s="302"/>
      <c r="K97" s="303">
        <f>SUM(K90:K96)</f>
        <v>0</v>
      </c>
      <c r="L97" s="256"/>
    </row>
    <row r="98" spans="1:12" ht="17" thickBot="1" x14ac:dyDescent="0.5">
      <c r="A98" s="269"/>
      <c r="B98" s="263"/>
      <c r="C98" s="263"/>
      <c r="D98" s="263"/>
      <c r="E98" s="263"/>
      <c r="F98" s="291"/>
      <c r="G98" s="291"/>
      <c r="H98" s="263"/>
      <c r="I98" s="256"/>
      <c r="J98" s="256"/>
      <c r="K98" s="256"/>
      <c r="L98" s="256"/>
    </row>
    <row r="99" spans="1:12" ht="17" thickBot="1" x14ac:dyDescent="0.5">
      <c r="A99" s="269"/>
      <c r="B99" s="271"/>
      <c r="C99" s="304"/>
      <c r="D99" s="305"/>
      <c r="E99" s="305"/>
      <c r="F99" s="305"/>
      <c r="G99" s="305"/>
      <c r="H99" s="305"/>
      <c r="I99" s="305"/>
      <c r="J99" s="306"/>
      <c r="K99" s="307">
        <f>SUM(J81:K87, J92:K96)</f>
        <v>0</v>
      </c>
      <c r="L99" s="256"/>
    </row>
    <row r="100" spans="1:12" x14ac:dyDescent="0.45">
      <c r="A100" s="269"/>
      <c r="B100" s="271"/>
      <c r="C100" s="263"/>
      <c r="D100" s="263"/>
      <c r="E100" s="263"/>
      <c r="F100" s="263"/>
      <c r="G100" s="263"/>
      <c r="H100" s="263"/>
      <c r="I100" s="263"/>
      <c r="J100" s="263"/>
      <c r="K100" s="263"/>
      <c r="L100" s="256"/>
    </row>
    <row r="101" spans="1:12" x14ac:dyDescent="0.45">
      <c r="A101" s="269"/>
      <c r="B101" s="263"/>
      <c r="C101" s="263"/>
      <c r="D101" s="263"/>
      <c r="E101" s="263"/>
      <c r="F101" s="263"/>
      <c r="G101" s="263"/>
      <c r="H101" s="263"/>
      <c r="I101" s="256"/>
      <c r="J101" s="256"/>
      <c r="K101" s="256"/>
      <c r="L101" s="256"/>
    </row>
  </sheetData>
  <sheetProtection algorithmName="SHA-512" hashValue="qsPXy6FfR+RD80iQtjhWZiY1s7DtU2KR2yBOY8X7ZsZ+tVNzb24uQitgPk79oDtivToQEcYlqe1riotDXO7zhQ==" saltValue="5ckBqY9ryIl5A49pLD75yw==" spinCount="100000" sheet="1" objects="1" scenarios="1"/>
  <mergeCells count="26">
    <mergeCell ref="E16:F16"/>
    <mergeCell ref="D79:D80"/>
    <mergeCell ref="H79:H80"/>
    <mergeCell ref="J79:K79"/>
    <mergeCell ref="Z12:AK14"/>
    <mergeCell ref="H16:M16"/>
    <mergeCell ref="O16:Q16"/>
    <mergeCell ref="S16:V16"/>
    <mergeCell ref="AA16:AE16"/>
    <mergeCell ref="AG16:AK16"/>
    <mergeCell ref="O46:Q46"/>
    <mergeCell ref="E79:E80"/>
    <mergeCell ref="C22:D22"/>
    <mergeCell ref="C26:D26"/>
    <mergeCell ref="C36:I36"/>
    <mergeCell ref="O37:Q37"/>
    <mergeCell ref="B79:B87"/>
    <mergeCell ref="J90:K91"/>
    <mergeCell ref="B90:B96"/>
    <mergeCell ref="D90:F91"/>
    <mergeCell ref="H90:H91"/>
    <mergeCell ref="D92:F92"/>
    <mergeCell ref="D94:F94"/>
    <mergeCell ref="D95:F95"/>
    <mergeCell ref="D96:F96"/>
    <mergeCell ref="D93:F93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afwerkings methode." xr:uid="{0377C2DB-2B81-4691-85CA-2E0179BF6D4A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druktechniek." xr:uid="{3692108D-40AE-4C3B-B8D6-1077825EDB4F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omvang." xr:uid="{650AAD1B-429F-4207-B9EF-CDA54E35CC00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7DB09251-1EE8-4F4D-AD20-6733D8560092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looprichting." xr:uid="{9196D565-FFC5-4D55-B690-9E76CD0FB96B}">
          <x14:formula1>
            <xm:f>Blad2!$F$1:$F$3</xm:f>
          </x14:formula1>
          <xm:sqref>L20 L23:L24 L27:L34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FC7E1-126C-42F3-B6D0-7CD506C97C09}">
  <dimension ref="A1:AN99"/>
  <sheetViews>
    <sheetView showGridLines="0" topLeftCell="A49" zoomScale="90" zoomScaleNormal="90" workbookViewId="0">
      <selection activeCell="N85" sqref="N85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149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150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42"/>
      <c r="Z3" s="242"/>
      <c r="AA3" s="316"/>
      <c r="AB3" s="316"/>
      <c r="AC3" s="316"/>
      <c r="AD3" s="316"/>
      <c r="AE3" s="316"/>
      <c r="AF3" s="241"/>
      <c r="AG3" s="388"/>
      <c r="AH3" s="388"/>
      <c r="AI3" s="388"/>
      <c r="AJ3" s="388"/>
      <c r="AK3" s="241"/>
      <c r="AL3" s="241"/>
      <c r="AM3" s="241"/>
      <c r="AN3" s="27"/>
    </row>
    <row r="4" spans="2:40" ht="31.5" customHeight="1" thickBot="1" x14ac:dyDescent="0.5">
      <c r="B4" s="18"/>
      <c r="C4" s="139" t="s">
        <v>1</v>
      </c>
      <c r="D4" s="389"/>
      <c r="E4" s="390" t="str">
        <f>IF(D4="","verplicht veld","")</f>
        <v>verplicht veld</v>
      </c>
      <c r="F4" s="22"/>
      <c r="G4" s="242"/>
      <c r="H4" s="241"/>
      <c r="I4" s="241"/>
      <c r="J4" s="391"/>
      <c r="K4" s="391"/>
      <c r="L4" s="392"/>
      <c r="M4" s="393"/>
      <c r="N4" s="242"/>
      <c r="O4" s="392"/>
      <c r="P4" s="392"/>
      <c r="Q4" s="392"/>
      <c r="R4" s="242"/>
      <c r="S4" s="392"/>
      <c r="T4" s="392"/>
      <c r="U4" s="394" t="s">
        <v>2</v>
      </c>
      <c r="V4" s="32" t="s">
        <v>2</v>
      </c>
      <c r="W4" s="22"/>
      <c r="X4" s="18"/>
      <c r="Y4" s="242"/>
      <c r="Z4" s="242"/>
      <c r="AA4" s="395"/>
      <c r="AB4" s="316"/>
      <c r="AC4" s="316"/>
      <c r="AD4" s="316"/>
      <c r="AE4" s="316"/>
      <c r="AF4" s="241"/>
      <c r="AG4" s="388"/>
      <c r="AH4" s="388"/>
      <c r="AI4" s="388"/>
      <c r="AJ4" s="388"/>
      <c r="AK4" s="241"/>
      <c r="AL4" s="241"/>
      <c r="AM4" s="241"/>
      <c r="AN4" s="27"/>
    </row>
    <row r="5" spans="2:40" ht="18" customHeight="1" thickBot="1" x14ac:dyDescent="0.5">
      <c r="B5" s="18"/>
      <c r="C5" s="139" t="s">
        <v>3</v>
      </c>
      <c r="D5" s="34">
        <v>44</v>
      </c>
      <c r="E5" s="242"/>
      <c r="F5" s="22"/>
      <c r="G5" s="242"/>
      <c r="H5" s="35" t="s">
        <v>4</v>
      </c>
      <c r="I5" s="36"/>
      <c r="J5" s="37"/>
      <c r="K5" s="37"/>
      <c r="L5" s="37"/>
      <c r="M5" s="38"/>
      <c r="N5" s="242"/>
      <c r="O5" s="392"/>
      <c r="P5" s="396"/>
      <c r="Q5" s="397"/>
      <c r="R5" s="242"/>
      <c r="S5" s="394"/>
      <c r="T5" s="394"/>
      <c r="U5" s="394" t="s">
        <v>2</v>
      </c>
      <c r="V5" s="32" t="s">
        <v>2</v>
      </c>
      <c r="W5" s="22"/>
      <c r="X5" s="18"/>
      <c r="Y5" s="242"/>
      <c r="Z5" s="242"/>
      <c r="AA5" s="395"/>
      <c r="AB5" s="316"/>
      <c r="AC5" s="316"/>
      <c r="AD5" s="316"/>
      <c r="AE5" s="316"/>
      <c r="AF5" s="241"/>
      <c r="AG5" s="388"/>
      <c r="AH5" s="388"/>
      <c r="AI5" s="388"/>
      <c r="AJ5" s="388"/>
      <c r="AK5" s="241"/>
      <c r="AL5" s="241"/>
      <c r="AM5" s="241"/>
      <c r="AN5" s="27"/>
    </row>
    <row r="6" spans="2:40" ht="18" customHeight="1" x14ac:dyDescent="0.45">
      <c r="B6" s="18"/>
      <c r="C6" s="139" t="s">
        <v>67</v>
      </c>
      <c r="D6" s="34" t="s">
        <v>81</v>
      </c>
      <c r="E6" s="242"/>
      <c r="F6" s="22"/>
      <c r="G6" s="242"/>
      <c r="H6" s="398" t="s">
        <v>5</v>
      </c>
      <c r="I6" s="399"/>
      <c r="J6" s="400"/>
      <c r="K6" s="399"/>
      <c r="L6" s="399"/>
      <c r="M6" s="401"/>
      <c r="N6" s="242"/>
      <c r="O6" s="392"/>
      <c r="P6" s="396"/>
      <c r="Q6" s="397"/>
      <c r="R6" s="242"/>
      <c r="S6" s="394"/>
      <c r="T6" s="394"/>
      <c r="U6" s="394" t="s">
        <v>2</v>
      </c>
      <c r="V6" s="32" t="s">
        <v>2</v>
      </c>
      <c r="W6" s="22"/>
      <c r="X6" s="18"/>
      <c r="Y6" s="242"/>
      <c r="Z6" s="242"/>
      <c r="AA6" s="395"/>
      <c r="AB6" s="316"/>
      <c r="AC6" s="316"/>
      <c r="AD6" s="316"/>
      <c r="AE6" s="316"/>
      <c r="AF6" s="241"/>
      <c r="AG6" s="388"/>
      <c r="AH6" s="388"/>
      <c r="AI6" s="388"/>
      <c r="AJ6" s="388"/>
      <c r="AK6" s="241"/>
      <c r="AL6" s="241"/>
      <c r="AM6" s="241"/>
      <c r="AN6" s="27"/>
    </row>
    <row r="7" spans="2:40" ht="18" customHeight="1" thickBot="1" x14ac:dyDescent="0.5">
      <c r="B7" s="18"/>
      <c r="C7" s="139" t="s">
        <v>68</v>
      </c>
      <c r="D7" s="34" t="s">
        <v>71</v>
      </c>
      <c r="E7" s="242"/>
      <c r="F7" s="22"/>
      <c r="G7" s="242"/>
      <c r="H7" s="45" t="s">
        <v>6</v>
      </c>
      <c r="I7" s="46"/>
      <c r="J7" s="47"/>
      <c r="K7" s="47"/>
      <c r="L7" s="47"/>
      <c r="M7" s="48"/>
      <c r="N7" s="242"/>
      <c r="O7" s="392"/>
      <c r="P7" s="396"/>
      <c r="Q7" s="397"/>
      <c r="R7" s="242"/>
      <c r="S7" s="394"/>
      <c r="T7" s="394"/>
      <c r="U7" s="394" t="s">
        <v>2</v>
      </c>
      <c r="V7" s="32" t="s">
        <v>2</v>
      </c>
      <c r="W7" s="22"/>
      <c r="X7" s="18"/>
      <c r="Y7" s="242"/>
      <c r="Z7" s="242"/>
      <c r="AA7" s="395"/>
      <c r="AB7" s="316"/>
      <c r="AC7" s="316"/>
      <c r="AD7" s="316"/>
      <c r="AE7" s="316"/>
      <c r="AF7" s="241"/>
      <c r="AG7" s="388"/>
      <c r="AH7" s="388"/>
      <c r="AI7" s="388"/>
      <c r="AJ7" s="388"/>
      <c r="AK7" s="241"/>
      <c r="AL7" s="241"/>
      <c r="AM7" s="241"/>
      <c r="AN7" s="27"/>
    </row>
    <row r="8" spans="2:40" ht="18" customHeight="1" x14ac:dyDescent="0.45">
      <c r="B8" s="18"/>
      <c r="C8" s="139" t="s">
        <v>7</v>
      </c>
      <c r="D8" s="49">
        <v>53400</v>
      </c>
      <c r="E8" s="242"/>
      <c r="F8" s="22"/>
      <c r="G8" s="242"/>
      <c r="H8" s="392"/>
      <c r="I8" s="392"/>
      <c r="J8" s="392"/>
      <c r="K8" s="402" t="s">
        <v>2</v>
      </c>
      <c r="L8" s="403" t="s">
        <v>2</v>
      </c>
      <c r="M8" s="402"/>
      <c r="N8" s="242"/>
      <c r="O8" s="392"/>
      <c r="P8" s="403"/>
      <c r="Q8" s="392" t="s">
        <v>2</v>
      </c>
      <c r="R8" s="242"/>
      <c r="S8" s="394" t="s">
        <v>2</v>
      </c>
      <c r="T8" s="394"/>
      <c r="U8" s="394" t="s">
        <v>2</v>
      </c>
      <c r="V8" s="32" t="s">
        <v>2</v>
      </c>
      <c r="W8" s="22"/>
      <c r="X8" s="18"/>
      <c r="Y8" s="242"/>
      <c r="Z8" s="242"/>
      <c r="AA8" s="395"/>
      <c r="AB8" s="316"/>
      <c r="AC8" s="316"/>
      <c r="AD8" s="316"/>
      <c r="AE8" s="316"/>
      <c r="AF8" s="241"/>
      <c r="AG8" s="388"/>
      <c r="AH8" s="388"/>
      <c r="AI8" s="388"/>
      <c r="AJ8" s="388"/>
      <c r="AK8" s="241"/>
      <c r="AL8" s="404"/>
      <c r="AM8" s="241"/>
      <c r="AN8" s="27"/>
    </row>
    <row r="9" spans="2:40" ht="32.5" customHeight="1" x14ac:dyDescent="0.45">
      <c r="B9" s="18"/>
      <c r="C9" s="137" t="s">
        <v>96</v>
      </c>
      <c r="D9" s="252"/>
      <c r="E9" s="390" t="str">
        <f>IF(D9="","verplicht veld","")</f>
        <v>verplicht veld</v>
      </c>
      <c r="F9" s="22"/>
      <c r="G9" s="242"/>
      <c r="H9" s="392"/>
      <c r="I9" s="392"/>
      <c r="J9" s="392"/>
      <c r="K9" s="402"/>
      <c r="L9" s="403"/>
      <c r="M9" s="402"/>
      <c r="N9" s="242"/>
      <c r="O9" s="392"/>
      <c r="P9" s="403"/>
      <c r="Q9" s="392"/>
      <c r="R9" s="242"/>
      <c r="S9" s="394"/>
      <c r="T9" s="394"/>
      <c r="U9" s="394"/>
      <c r="V9" s="32"/>
      <c r="W9" s="22"/>
      <c r="X9" s="18"/>
      <c r="Y9" s="242"/>
      <c r="Z9" s="242"/>
      <c r="AA9" s="395"/>
      <c r="AB9" s="316"/>
      <c r="AC9" s="316"/>
      <c r="AD9" s="316"/>
      <c r="AE9" s="316"/>
      <c r="AF9" s="241"/>
      <c r="AG9" s="388"/>
      <c r="AH9" s="388"/>
      <c r="AI9" s="388"/>
      <c r="AJ9" s="388"/>
      <c r="AK9" s="241"/>
      <c r="AL9" s="404"/>
      <c r="AM9" s="241"/>
      <c r="AN9" s="27"/>
    </row>
    <row r="10" spans="2:40" ht="18" customHeight="1" x14ac:dyDescent="0.45">
      <c r="B10" s="18"/>
      <c r="C10" s="137" t="s">
        <v>141</v>
      </c>
      <c r="D10" s="252"/>
      <c r="E10" s="390" t="str">
        <f>IF(D10="","verplicht veld","")</f>
        <v>verplicht veld</v>
      </c>
      <c r="F10" s="22"/>
      <c r="G10" s="242"/>
      <c r="H10" s="392"/>
      <c r="I10" s="392"/>
      <c r="J10" s="392"/>
      <c r="K10" s="402"/>
      <c r="L10" s="403"/>
      <c r="M10" s="402"/>
      <c r="N10" s="242"/>
      <c r="O10" s="392"/>
      <c r="P10" s="403"/>
      <c r="Q10" s="392"/>
      <c r="R10" s="242"/>
      <c r="S10" s="394"/>
      <c r="T10" s="394"/>
      <c r="U10" s="394"/>
      <c r="V10" s="32"/>
      <c r="W10" s="22"/>
      <c r="X10" s="18"/>
      <c r="Y10" s="242"/>
      <c r="Z10" s="242"/>
      <c r="AA10" s="395"/>
      <c r="AB10" s="316"/>
      <c r="AC10" s="316"/>
      <c r="AD10" s="316"/>
      <c r="AE10" s="316"/>
      <c r="AF10" s="241"/>
      <c r="AG10" s="388"/>
      <c r="AH10" s="388"/>
      <c r="AI10" s="388"/>
      <c r="AJ10" s="388"/>
      <c r="AK10" s="241"/>
      <c r="AL10" s="404"/>
      <c r="AM10" s="241"/>
      <c r="AN10" s="27"/>
    </row>
    <row r="11" spans="2:40" ht="18" customHeight="1" x14ac:dyDescent="0.45">
      <c r="B11" s="18"/>
      <c r="C11" s="139" t="s">
        <v>8</v>
      </c>
      <c r="D11" s="317"/>
      <c r="E11" s="390" t="str">
        <f>IF(D11="","verplicht veld","")</f>
        <v>verplicht veld</v>
      </c>
      <c r="F11" s="22"/>
      <c r="G11" s="242"/>
      <c r="H11" s="392"/>
      <c r="I11" s="392"/>
      <c r="J11" s="392"/>
      <c r="K11" s="392" t="s">
        <v>2</v>
      </c>
      <c r="L11" s="392" t="s">
        <v>2</v>
      </c>
      <c r="M11" s="402"/>
      <c r="N11" s="242"/>
      <c r="O11" s="396" t="s">
        <v>2</v>
      </c>
      <c r="P11" s="396"/>
      <c r="Q11" s="397" t="s">
        <v>2</v>
      </c>
      <c r="R11" s="242"/>
      <c r="S11" s="394"/>
      <c r="T11" s="394"/>
      <c r="U11" s="394" t="s">
        <v>2</v>
      </c>
      <c r="V11" s="32" t="s">
        <v>2</v>
      </c>
      <c r="W11" s="22"/>
      <c r="X11" s="18"/>
      <c r="Y11" s="242"/>
      <c r="Z11" s="242"/>
      <c r="AA11" s="395"/>
      <c r="AB11" s="316"/>
      <c r="AC11" s="316"/>
      <c r="AD11" s="316"/>
      <c r="AE11" s="405"/>
      <c r="AF11" s="241"/>
      <c r="AG11" s="388"/>
      <c r="AH11" s="388"/>
      <c r="AI11" s="388"/>
      <c r="AJ11" s="388"/>
      <c r="AK11" s="405"/>
      <c r="AL11" s="406"/>
      <c r="AM11" s="241"/>
      <c r="AN11" s="27"/>
    </row>
    <row r="12" spans="2:40" ht="18" customHeight="1" x14ac:dyDescent="0.45">
      <c r="B12" s="18"/>
      <c r="C12" s="139" t="s">
        <v>69</v>
      </c>
      <c r="D12" s="49" t="s">
        <v>9</v>
      </c>
      <c r="E12" s="242"/>
      <c r="F12" s="22"/>
      <c r="G12" s="242"/>
      <c r="H12" s="392"/>
      <c r="I12" s="392"/>
      <c r="J12" s="392"/>
      <c r="K12" s="392"/>
      <c r="L12" s="392"/>
      <c r="M12" s="402"/>
      <c r="N12" s="242"/>
      <c r="O12" s="396"/>
      <c r="P12" s="396"/>
      <c r="Q12" s="397"/>
      <c r="R12" s="242"/>
      <c r="S12" s="394"/>
      <c r="T12" s="394"/>
      <c r="U12" s="394"/>
      <c r="V12" s="32"/>
      <c r="W12" s="22"/>
      <c r="X12" s="18"/>
      <c r="Y12" s="407"/>
      <c r="Z12" s="798" t="str">
        <f>"RESULTAAT "&amp;$D$3</f>
        <v>RESULTAAT KRO MAGAZINE</v>
      </c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408"/>
      <c r="AM12" s="408"/>
      <c r="AN12" s="27"/>
    </row>
    <row r="13" spans="2:40" ht="18" customHeight="1" x14ac:dyDescent="0.45">
      <c r="B13" s="18"/>
      <c r="C13" s="139" t="s">
        <v>70</v>
      </c>
      <c r="D13" s="49" t="s">
        <v>82</v>
      </c>
      <c r="E13" s="242"/>
      <c r="F13" s="22"/>
      <c r="G13" s="242"/>
      <c r="H13" s="392"/>
      <c r="I13" s="392"/>
      <c r="J13" s="392"/>
      <c r="K13" s="392"/>
      <c r="L13" s="392"/>
      <c r="M13" s="402"/>
      <c r="N13" s="242"/>
      <c r="O13" s="396"/>
      <c r="P13" s="396"/>
      <c r="Q13" s="397"/>
      <c r="R13" s="242"/>
      <c r="S13" s="394"/>
      <c r="T13" s="394"/>
      <c r="U13" s="394"/>
      <c r="V13" s="32"/>
      <c r="W13" s="22"/>
      <c r="X13" s="18"/>
      <c r="Y13" s="407"/>
      <c r="Z13" s="798"/>
      <c r="AA13" s="798"/>
      <c r="AB13" s="798"/>
      <c r="AC13" s="798"/>
      <c r="AD13" s="798"/>
      <c r="AE13" s="798"/>
      <c r="AF13" s="798"/>
      <c r="AG13" s="798"/>
      <c r="AH13" s="798"/>
      <c r="AI13" s="798"/>
      <c r="AJ13" s="798"/>
      <c r="AK13" s="798"/>
      <c r="AL13" s="409" t="str">
        <f>C8&amp;" jaarbasis"</f>
        <v>Oplage: jaarbasis</v>
      </c>
      <c r="AM13" s="408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42"/>
      <c r="F14" s="22"/>
      <c r="G14" s="242"/>
      <c r="H14" s="392"/>
      <c r="I14" s="392"/>
      <c r="J14" s="392"/>
      <c r="K14" s="392" t="s">
        <v>2</v>
      </c>
      <c r="L14" s="392" t="s">
        <v>2</v>
      </c>
      <c r="M14" s="402"/>
      <c r="N14" s="242"/>
      <c r="O14" s="396"/>
      <c r="P14" s="396"/>
      <c r="Q14" s="397"/>
      <c r="R14" s="242"/>
      <c r="S14" s="394"/>
      <c r="T14" s="394"/>
      <c r="U14" s="394"/>
      <c r="V14" s="32"/>
      <c r="W14" s="22"/>
      <c r="X14" s="18"/>
      <c r="Y14" s="407"/>
      <c r="Z14" s="798"/>
      <c r="AA14" s="798"/>
      <c r="AB14" s="798"/>
      <c r="AC14" s="798"/>
      <c r="AD14" s="798"/>
      <c r="AE14" s="798"/>
      <c r="AF14" s="798"/>
      <c r="AG14" s="798"/>
      <c r="AH14" s="798"/>
      <c r="AI14" s="798"/>
      <c r="AJ14" s="798"/>
      <c r="AK14" s="798"/>
      <c r="AL14" s="411">
        <f>D5*D8</f>
        <v>2349600</v>
      </c>
      <c r="AM14" s="408"/>
      <c r="AN14" s="27"/>
    </row>
    <row r="15" spans="2:40" ht="18" customHeight="1" thickBot="1" x14ac:dyDescent="0.5">
      <c r="B15" s="18"/>
      <c r="C15" s="119" t="s">
        <v>89</v>
      </c>
      <c r="D15" s="412"/>
      <c r="E15" s="390" t="str">
        <f>IF(D15="","verplicht veld","")</f>
        <v>verplicht veld</v>
      </c>
      <c r="F15" s="22"/>
      <c r="G15" s="242"/>
      <c r="H15" s="392"/>
      <c r="I15" s="392"/>
      <c r="J15" s="392"/>
      <c r="K15" s="392"/>
      <c r="L15" s="392"/>
      <c r="M15" s="402"/>
      <c r="N15" s="242"/>
      <c r="O15" s="396"/>
      <c r="P15" s="396"/>
      <c r="Q15" s="397"/>
      <c r="R15" s="242"/>
      <c r="S15" s="394"/>
      <c r="T15" s="394"/>
      <c r="U15" s="394"/>
      <c r="V15" s="32"/>
      <c r="W15" s="22"/>
      <c r="X15" s="18"/>
      <c r="Y15" s="407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1"/>
      <c r="AM15" s="408"/>
      <c r="AN15" s="27"/>
    </row>
    <row r="16" spans="2:40" s="67" customFormat="1" ht="31.5" customHeight="1" thickBot="1" x14ac:dyDescent="0.5">
      <c r="B16" s="18"/>
      <c r="C16" s="237" t="s">
        <v>12</v>
      </c>
      <c r="D16" s="384"/>
      <c r="E16" s="767" t="s">
        <v>66</v>
      </c>
      <c r="F16" s="768"/>
      <c r="G16" s="242"/>
      <c r="H16" s="774" t="s">
        <v>13</v>
      </c>
      <c r="I16" s="775"/>
      <c r="J16" s="775"/>
      <c r="K16" s="775"/>
      <c r="L16" s="775"/>
      <c r="M16" s="776"/>
      <c r="N16" s="414"/>
      <c r="O16" s="774" t="s">
        <v>14</v>
      </c>
      <c r="P16" s="775"/>
      <c r="Q16" s="776"/>
      <c r="R16" s="414"/>
      <c r="S16" s="774" t="s">
        <v>15</v>
      </c>
      <c r="T16" s="775"/>
      <c r="U16" s="775"/>
      <c r="V16" s="776"/>
      <c r="W16" s="22"/>
      <c r="X16" s="18"/>
      <c r="Y16" s="415"/>
      <c r="Z16" s="63"/>
      <c r="AA16" s="777" t="s">
        <v>16</v>
      </c>
      <c r="AB16" s="778"/>
      <c r="AC16" s="778"/>
      <c r="AD16" s="778"/>
      <c r="AE16" s="779"/>
      <c r="AF16" s="242"/>
      <c r="AG16" s="780" t="s">
        <v>17</v>
      </c>
      <c r="AH16" s="781"/>
      <c r="AI16" s="781"/>
      <c r="AJ16" s="781"/>
      <c r="AK16" s="778"/>
      <c r="AL16" s="64" t="s">
        <v>18</v>
      </c>
      <c r="AM16" s="416"/>
      <c r="AN16" s="66"/>
    </row>
    <row r="17" spans="2:40" ht="189.5" thickBot="1" x14ac:dyDescent="0.5">
      <c r="B17" s="18"/>
      <c r="C17" s="238"/>
      <c r="D17" s="230"/>
      <c r="E17" s="242"/>
      <c r="F17" s="14"/>
      <c r="G17" s="242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42"/>
      <c r="O17" s="189" t="s">
        <v>25</v>
      </c>
      <c r="P17" s="190" t="s">
        <v>26</v>
      </c>
      <c r="Q17" s="70" t="s">
        <v>27</v>
      </c>
      <c r="R17" s="242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407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42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408"/>
      <c r="AN17" s="27"/>
    </row>
    <row r="18" spans="2:40" ht="17" thickBot="1" x14ac:dyDescent="0.5">
      <c r="B18" s="18"/>
      <c r="C18" s="387" t="s">
        <v>61</v>
      </c>
      <c r="D18" s="78"/>
      <c r="E18" s="417" t="s">
        <v>63</v>
      </c>
      <c r="F18" s="223" t="s">
        <v>64</v>
      </c>
      <c r="G18" s="418"/>
      <c r="H18" s="192"/>
      <c r="I18" s="419"/>
      <c r="J18" s="192"/>
      <c r="K18" s="419"/>
      <c r="L18" s="194"/>
      <c r="M18" s="195"/>
      <c r="N18" s="418"/>
      <c r="O18" s="196" t="s">
        <v>36</v>
      </c>
      <c r="P18" s="420" t="s">
        <v>37</v>
      </c>
      <c r="Q18" s="198" t="s">
        <v>37</v>
      </c>
      <c r="R18" s="418"/>
      <c r="S18" s="196" t="s">
        <v>36</v>
      </c>
      <c r="T18" s="421" t="s">
        <v>37</v>
      </c>
      <c r="U18" s="420" t="s">
        <v>37</v>
      </c>
      <c r="V18" s="200" t="s">
        <v>37</v>
      </c>
      <c r="W18" s="22"/>
      <c r="X18" s="18"/>
      <c r="Y18" s="407"/>
      <c r="Z18" s="79" t="s">
        <v>61</v>
      </c>
      <c r="AA18" s="80"/>
      <c r="AB18" s="81"/>
      <c r="AC18" s="81"/>
      <c r="AD18" s="81"/>
      <c r="AE18" s="82"/>
      <c r="AF18" s="308"/>
      <c r="AG18" s="84"/>
      <c r="AH18" s="85"/>
      <c r="AI18" s="85"/>
      <c r="AJ18" s="85"/>
      <c r="AK18" s="422"/>
      <c r="AL18" s="77"/>
      <c r="AM18" s="408"/>
      <c r="AN18" s="27"/>
    </row>
    <row r="19" spans="2:40" ht="10" customHeight="1" x14ac:dyDescent="0.45">
      <c r="B19" s="18"/>
      <c r="C19" s="87"/>
      <c r="D19" s="88"/>
      <c r="E19" s="242"/>
      <c r="F19" s="22"/>
      <c r="G19" s="242"/>
      <c r="H19" s="89"/>
      <c r="I19" s="423"/>
      <c r="J19" s="423"/>
      <c r="K19" s="423"/>
      <c r="L19" s="91"/>
      <c r="M19" s="92"/>
      <c r="N19" s="242"/>
      <c r="O19" s="93"/>
      <c r="P19" s="424"/>
      <c r="Q19" s="70"/>
      <c r="R19" s="242"/>
      <c r="S19" s="93"/>
      <c r="T19" s="424"/>
      <c r="U19" s="424"/>
      <c r="V19" s="95"/>
      <c r="W19" s="22"/>
      <c r="X19" s="18"/>
      <c r="Y19" s="407"/>
      <c r="Z19" s="96"/>
      <c r="AA19" s="97"/>
      <c r="AB19" s="425"/>
      <c r="AC19" s="425"/>
      <c r="AD19" s="425"/>
      <c r="AE19" s="99"/>
      <c r="AF19" s="242"/>
      <c r="AG19" s="97"/>
      <c r="AH19" s="426"/>
      <c r="AI19" s="425"/>
      <c r="AJ19" s="425"/>
      <c r="AK19" s="99"/>
      <c r="AL19" s="77"/>
      <c r="AM19" s="408"/>
      <c r="AN19" s="27"/>
    </row>
    <row r="20" spans="2:40" ht="17" thickBot="1" x14ac:dyDescent="0.5">
      <c r="B20" s="18"/>
      <c r="C20" s="100" t="s">
        <v>79</v>
      </c>
      <c r="D20" s="379">
        <f>IF(AND($D$15="Offline",$D$27&gt;0),$D$27,IF(AND($D$15="Offline",$D$28&gt;0),$D$28,0))+$D$31+D32+$D$34</f>
        <v>0</v>
      </c>
      <c r="E20" s="336">
        <f>IF(D20&gt;0,$D$10,0)</f>
        <v>0</v>
      </c>
      <c r="F20" s="427" t="s">
        <v>71</v>
      </c>
      <c r="G20" s="242"/>
      <c r="H20" s="428">
        <v>0</v>
      </c>
      <c r="I20" s="429">
        <v>0</v>
      </c>
      <c r="J20" s="430">
        <v>0</v>
      </c>
      <c r="K20" s="430">
        <v>0</v>
      </c>
      <c r="L20" s="431"/>
      <c r="M20" s="101">
        <v>600</v>
      </c>
      <c r="N20" s="242"/>
      <c r="O20" s="432">
        <v>0</v>
      </c>
      <c r="P20" s="433">
        <v>0</v>
      </c>
      <c r="Q20" s="434">
        <f>O20*(M20/1000)</f>
        <v>0</v>
      </c>
      <c r="R20" s="242"/>
      <c r="S20" s="432">
        <v>0</v>
      </c>
      <c r="T20" s="435">
        <f>S20*(M20/1000)</f>
        <v>0</v>
      </c>
      <c r="U20" s="433">
        <v>0</v>
      </c>
      <c r="V20" s="436">
        <v>1</v>
      </c>
      <c r="W20" s="22"/>
      <c r="X20" s="18"/>
      <c r="Y20" s="407"/>
      <c r="Z20" s="102" t="s">
        <v>79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440"/>
      <c r="AG20" s="437">
        <f>$S20*$D20*($D$8/10000)</f>
        <v>0</v>
      </c>
      <c r="AH20" s="438">
        <f>($D20*$T20)*($D$8/10000)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408"/>
      <c r="AN20" s="27"/>
    </row>
    <row r="21" spans="2:40" ht="10" customHeight="1" thickBot="1" x14ac:dyDescent="0.5">
      <c r="B21" s="18"/>
      <c r="C21" s="87"/>
      <c r="D21" s="88"/>
      <c r="E21" s="242"/>
      <c r="F21" s="22"/>
      <c r="G21" s="242"/>
      <c r="H21" s="89"/>
      <c r="I21" s="423"/>
      <c r="J21" s="423"/>
      <c r="K21" s="423"/>
      <c r="L21" s="91"/>
      <c r="M21" s="92"/>
      <c r="N21" s="242"/>
      <c r="O21" s="93"/>
      <c r="P21" s="424"/>
      <c r="Q21" s="70"/>
      <c r="R21" s="242"/>
      <c r="S21" s="93"/>
      <c r="T21" s="424"/>
      <c r="U21" s="424"/>
      <c r="V21" s="95"/>
      <c r="W21" s="22"/>
      <c r="X21" s="18"/>
      <c r="Y21" s="407"/>
      <c r="Z21" s="96"/>
      <c r="AA21" s="443"/>
      <c r="AB21" s="444"/>
      <c r="AC21" s="444"/>
      <c r="AD21" s="444"/>
      <c r="AE21" s="445"/>
      <c r="AF21" s="446"/>
      <c r="AG21" s="443"/>
      <c r="AH21" s="444"/>
      <c r="AI21" s="444"/>
      <c r="AJ21" s="444"/>
      <c r="AK21" s="447"/>
      <c r="AL21" s="448"/>
      <c r="AM21" s="408"/>
      <c r="AN21" s="27"/>
    </row>
    <row r="22" spans="2:40" ht="14.5" customHeight="1" x14ac:dyDescent="0.45">
      <c r="B22" s="18"/>
      <c r="C22" s="786" t="s">
        <v>97</v>
      </c>
      <c r="D22" s="787"/>
      <c r="E22" s="417" t="s">
        <v>63</v>
      </c>
      <c r="F22" s="223" t="s">
        <v>64</v>
      </c>
      <c r="G22" s="418"/>
      <c r="H22" s="201" t="s">
        <v>2</v>
      </c>
      <c r="I22" s="449" t="s">
        <v>2</v>
      </c>
      <c r="J22" s="201" t="s">
        <v>2</v>
      </c>
      <c r="K22" s="449" t="s">
        <v>2</v>
      </c>
      <c r="L22" s="203" t="s">
        <v>2</v>
      </c>
      <c r="M22" s="204" t="s">
        <v>2</v>
      </c>
      <c r="N22" s="418"/>
      <c r="O22" s="205" t="s">
        <v>36</v>
      </c>
      <c r="P22" s="450" t="s">
        <v>37</v>
      </c>
      <c r="Q22" s="207" t="s">
        <v>37</v>
      </c>
      <c r="R22" s="418"/>
      <c r="S22" s="205" t="s">
        <v>36</v>
      </c>
      <c r="T22" s="451" t="s">
        <v>37</v>
      </c>
      <c r="U22" s="450" t="s">
        <v>37</v>
      </c>
      <c r="V22" s="209" t="s">
        <v>37</v>
      </c>
      <c r="W22" s="22"/>
      <c r="X22" s="18"/>
      <c r="Y22" s="407"/>
      <c r="Z22" s="103" t="s">
        <v>35</v>
      </c>
      <c r="AA22" s="452"/>
      <c r="AB22" s="453"/>
      <c r="AC22" s="453"/>
      <c r="AD22" s="453"/>
      <c r="AE22" s="454"/>
      <c r="AF22" s="455"/>
      <c r="AG22" s="456"/>
      <c r="AH22" s="453"/>
      <c r="AI22" s="453"/>
      <c r="AJ22" s="453"/>
      <c r="AK22" s="457"/>
      <c r="AL22" s="458"/>
      <c r="AM22" s="408"/>
      <c r="AN22" s="27"/>
    </row>
    <row r="23" spans="2:40" ht="15" customHeight="1" x14ac:dyDescent="0.45">
      <c r="B23" s="18"/>
      <c r="C23" s="104" t="s">
        <v>72</v>
      </c>
      <c r="D23" s="379">
        <f>IF($D$9="84 p. selfcovered",IF($D$15="Inline",29,0),0)</f>
        <v>0</v>
      </c>
      <c r="E23" s="336">
        <f t="shared" ref="E23:E24" si="0">IF(D23&gt;0,$D$10,0)</f>
        <v>0</v>
      </c>
      <c r="F23" s="427" t="s">
        <v>71</v>
      </c>
      <c r="G23" s="242"/>
      <c r="H23" s="459">
        <v>0</v>
      </c>
      <c r="I23" s="430">
        <v>0</v>
      </c>
      <c r="J23" s="107" t="s">
        <v>38</v>
      </c>
      <c r="K23" s="107" t="s">
        <v>38</v>
      </c>
      <c r="L23" s="431"/>
      <c r="M23" s="101">
        <v>555</v>
      </c>
      <c r="N23" s="242"/>
      <c r="O23" s="432">
        <v>0</v>
      </c>
      <c r="P23" s="433">
        <v>0</v>
      </c>
      <c r="Q23" s="434">
        <f>O23*(M23/1000)</f>
        <v>0</v>
      </c>
      <c r="R23" s="242"/>
      <c r="S23" s="432">
        <v>0</v>
      </c>
      <c r="T23" s="435">
        <f>S23*(M23/1000)</f>
        <v>0</v>
      </c>
      <c r="U23" s="433">
        <v>0</v>
      </c>
      <c r="V23" s="249" t="s">
        <v>38</v>
      </c>
      <c r="W23" s="22"/>
      <c r="X23" s="18"/>
      <c r="Y23" s="407"/>
      <c r="Z23" s="110" t="s">
        <v>72</v>
      </c>
      <c r="AA23" s="460">
        <f t="shared" ref="AA23:AA24" si="1">$O23*$D23</f>
        <v>0</v>
      </c>
      <c r="AB23" s="461">
        <f>$AA23*$M23/1000</f>
        <v>0</v>
      </c>
      <c r="AC23" s="461">
        <f t="shared" ref="AC23" si="2">$P23*$D23</f>
        <v>0</v>
      </c>
      <c r="AD23" s="461" t="s">
        <v>38</v>
      </c>
      <c r="AE23" s="462">
        <f t="shared" ref="AE23:AE24" si="3">SUM(AB23:AC23)</f>
        <v>0</v>
      </c>
      <c r="AF23" s="440"/>
      <c r="AG23" s="460">
        <f>$S23*$D23*($D$8/10000)</f>
        <v>0</v>
      </c>
      <c r="AH23" s="461">
        <f t="shared" ref="AH23:AH24" si="4">($D23*$T23)*($D$8/10000)</f>
        <v>0</v>
      </c>
      <c r="AI23" s="461">
        <f t="shared" ref="AI23:AI24" si="5">($D23*$U23)*$D$8/10000</f>
        <v>0</v>
      </c>
      <c r="AJ23" s="461" t="str">
        <f>IFERROR(VLOOKUP($V23,$C$38:$U$44,$U$36,FALSE)*($D$8/10000)*$D23,"n.v.t.")</f>
        <v>n.v.t.</v>
      </c>
      <c r="AK23" s="463">
        <f t="shared" ref="AK23" si="6">SUM(AH23:AJ23)</f>
        <v>0</v>
      </c>
      <c r="AL23" s="442">
        <f>AE23+AK23</f>
        <v>0</v>
      </c>
      <c r="AM23" s="408"/>
      <c r="AN23" s="27"/>
    </row>
    <row r="24" spans="2:40" ht="15" customHeight="1" thickBot="1" x14ac:dyDescent="0.5">
      <c r="B24" s="18"/>
      <c r="C24" s="104" t="s">
        <v>75</v>
      </c>
      <c r="D24" s="379">
        <f>IF($D$9="88 p. selfcovered",IF($D$15="Inline",29,0),0)</f>
        <v>0</v>
      </c>
      <c r="E24" s="336">
        <f t="shared" si="0"/>
        <v>0</v>
      </c>
      <c r="F24" s="427" t="s">
        <v>71</v>
      </c>
      <c r="G24" s="242"/>
      <c r="H24" s="459">
        <v>0</v>
      </c>
      <c r="I24" s="430">
        <v>0</v>
      </c>
      <c r="J24" s="107" t="s">
        <v>38</v>
      </c>
      <c r="K24" s="107" t="s">
        <v>38</v>
      </c>
      <c r="L24" s="431"/>
      <c r="M24" s="101">
        <v>555</v>
      </c>
      <c r="N24" s="242"/>
      <c r="O24" s="432">
        <v>0</v>
      </c>
      <c r="P24" s="433">
        <v>0</v>
      </c>
      <c r="Q24" s="434">
        <f>O24*(M24/1000)</f>
        <v>0</v>
      </c>
      <c r="R24" s="242"/>
      <c r="S24" s="432">
        <v>0</v>
      </c>
      <c r="T24" s="435">
        <f>S24*(M24/1000)</f>
        <v>0</v>
      </c>
      <c r="U24" s="433">
        <v>0</v>
      </c>
      <c r="V24" s="249" t="s">
        <v>38</v>
      </c>
      <c r="W24" s="22"/>
      <c r="X24" s="18"/>
      <c r="Y24" s="407"/>
      <c r="Z24" s="110" t="s">
        <v>75</v>
      </c>
      <c r="AA24" s="460">
        <f t="shared" si="1"/>
        <v>0</v>
      </c>
      <c r="AB24" s="461">
        <f>$AA24*$M24/1000</f>
        <v>0</v>
      </c>
      <c r="AC24" s="461">
        <f>$P24*$D24</f>
        <v>0</v>
      </c>
      <c r="AD24" s="461" t="s">
        <v>38</v>
      </c>
      <c r="AE24" s="462">
        <f t="shared" si="3"/>
        <v>0</v>
      </c>
      <c r="AF24" s="440"/>
      <c r="AG24" s="460">
        <f>$S24*$D24*($D$8/10000)</f>
        <v>0</v>
      </c>
      <c r="AH24" s="461">
        <f t="shared" si="4"/>
        <v>0</v>
      </c>
      <c r="AI24" s="461">
        <f t="shared" si="5"/>
        <v>0</v>
      </c>
      <c r="AJ24" s="461" t="str">
        <f>IFERROR(VLOOKUP($V24,$C$38:$U$44,$U$36,FALSE)*($D$8/10000)*$D24,"n.v.t.")</f>
        <v>n.v.t.</v>
      </c>
      <c r="AK24" s="463">
        <f>SUM(AH24:AI24)</f>
        <v>0</v>
      </c>
      <c r="AL24" s="442">
        <f>AE24+AK24</f>
        <v>0</v>
      </c>
      <c r="AM24" s="408"/>
      <c r="AN24" s="27"/>
    </row>
    <row r="25" spans="2:40" ht="10" customHeight="1" thickBot="1" x14ac:dyDescent="0.5">
      <c r="B25" s="18"/>
      <c r="C25" s="87"/>
      <c r="D25" s="127"/>
      <c r="E25" s="242"/>
      <c r="F25" s="22"/>
      <c r="G25" s="242"/>
      <c r="H25" s="128"/>
      <c r="I25" s="241"/>
      <c r="J25" s="241"/>
      <c r="K25" s="241"/>
      <c r="L25" s="241"/>
      <c r="M25" s="129"/>
      <c r="N25" s="242"/>
      <c r="O25" s="130"/>
      <c r="P25" s="251"/>
      <c r="Q25" s="132"/>
      <c r="R25" s="242"/>
      <c r="S25" s="130"/>
      <c r="T25" s="464"/>
      <c r="U25" s="251"/>
      <c r="V25" s="134"/>
      <c r="W25" s="22"/>
      <c r="X25" s="18"/>
      <c r="Y25" s="407"/>
      <c r="Z25" s="242"/>
      <c r="AA25" s="460"/>
      <c r="AB25" s="465"/>
      <c r="AC25" s="465"/>
      <c r="AD25" s="465"/>
      <c r="AE25" s="466"/>
      <c r="AF25" s="440"/>
      <c r="AG25" s="460"/>
      <c r="AH25" s="465"/>
      <c r="AI25" s="465"/>
      <c r="AJ25" s="465"/>
      <c r="AK25" s="463"/>
      <c r="AL25" s="442"/>
      <c r="AM25" s="408"/>
      <c r="AN25" s="27"/>
    </row>
    <row r="26" spans="2:40" x14ac:dyDescent="0.45">
      <c r="B26" s="18"/>
      <c r="C26" s="788" t="s">
        <v>39</v>
      </c>
      <c r="D26" s="789"/>
      <c r="E26" s="417" t="s">
        <v>63</v>
      </c>
      <c r="F26" s="224" t="s">
        <v>64</v>
      </c>
      <c r="G26" s="418"/>
      <c r="H26" s="210" t="s">
        <v>2</v>
      </c>
      <c r="I26" s="211" t="s">
        <v>2</v>
      </c>
      <c r="J26" s="201" t="s">
        <v>2</v>
      </c>
      <c r="K26" s="449" t="s">
        <v>2</v>
      </c>
      <c r="L26" s="203" t="s">
        <v>2</v>
      </c>
      <c r="M26" s="204" t="s">
        <v>2</v>
      </c>
      <c r="N26" s="418"/>
      <c r="O26" s="212" t="s">
        <v>36</v>
      </c>
      <c r="P26" s="213" t="s">
        <v>37</v>
      </c>
      <c r="Q26" s="214" t="s">
        <v>37</v>
      </c>
      <c r="R26" s="418"/>
      <c r="S26" s="212" t="s">
        <v>36</v>
      </c>
      <c r="T26" s="215" t="s">
        <v>37</v>
      </c>
      <c r="U26" s="213" t="s">
        <v>37</v>
      </c>
      <c r="V26" s="216" t="s">
        <v>40</v>
      </c>
      <c r="W26" s="22"/>
      <c r="X26" s="18"/>
      <c r="Y26" s="407"/>
      <c r="Z26" s="136" t="s">
        <v>39</v>
      </c>
      <c r="AA26" s="467"/>
      <c r="AB26" s="468"/>
      <c r="AC26" s="468"/>
      <c r="AD26" s="468"/>
      <c r="AE26" s="469"/>
      <c r="AF26" s="440"/>
      <c r="AG26" s="470"/>
      <c r="AH26" s="468"/>
      <c r="AI26" s="468"/>
      <c r="AJ26" s="468"/>
      <c r="AK26" s="471"/>
      <c r="AL26" s="442"/>
      <c r="AM26" s="408"/>
      <c r="AN26" s="27"/>
    </row>
    <row r="27" spans="2:40" ht="15" customHeight="1" x14ac:dyDescent="0.45">
      <c r="B27" s="18"/>
      <c r="C27" s="104" t="s">
        <v>127</v>
      </c>
      <c r="D27" s="379">
        <f>IF($D$9="80 p. binnenwerk + 4 p. omslag",IF($D$15="Offline",39,10),0)</f>
        <v>0</v>
      </c>
      <c r="E27" s="336">
        <f t="shared" ref="E27:E34" si="7">IF(D27&gt;0,$D$10,0)</f>
        <v>0</v>
      </c>
      <c r="F27" s="427" t="s">
        <v>71</v>
      </c>
      <c r="G27" s="242"/>
      <c r="H27" s="459">
        <v>0</v>
      </c>
      <c r="I27" s="430">
        <v>0</v>
      </c>
      <c r="J27" s="107" t="s">
        <v>38</v>
      </c>
      <c r="K27" s="107" t="s">
        <v>38</v>
      </c>
      <c r="L27" s="431"/>
      <c r="M27" s="101">
        <v>555</v>
      </c>
      <c r="N27" s="242"/>
      <c r="O27" s="432">
        <v>0</v>
      </c>
      <c r="P27" s="433">
        <v>0</v>
      </c>
      <c r="Q27" s="434">
        <f>O27*(M27/1000)</f>
        <v>0</v>
      </c>
      <c r="R27" s="242"/>
      <c r="S27" s="432">
        <v>0</v>
      </c>
      <c r="T27" s="435">
        <f>S27*(M27/1000)</f>
        <v>0</v>
      </c>
      <c r="U27" s="433">
        <v>0</v>
      </c>
      <c r="V27" s="472">
        <v>1</v>
      </c>
      <c r="W27" s="314">
        <f>IF(D27&gt;0,1,0)+V27</f>
        <v>1</v>
      </c>
      <c r="X27" s="18"/>
      <c r="Y27" s="407"/>
      <c r="Z27" s="110" t="s">
        <v>74</v>
      </c>
      <c r="AA27" s="460">
        <f t="shared" ref="AA27:AA34" si="8">$O27*$D27</f>
        <v>0</v>
      </c>
      <c r="AB27" s="461">
        <f>$AA27*$M27/1000</f>
        <v>0</v>
      </c>
      <c r="AC27" s="461">
        <f t="shared" ref="AC27:AC34" si="9">$P27*$D27</f>
        <v>0</v>
      </c>
      <c r="AD27" s="461">
        <f t="shared" ref="AD27:AD34" si="10">VLOOKUP($W27,$C$38:$P$44,$P$36,FALSE)*$D27</f>
        <v>0</v>
      </c>
      <c r="AE27" s="462">
        <f>SUM(AB27:AD27)</f>
        <v>0</v>
      </c>
      <c r="AF27" s="440"/>
      <c r="AG27" s="460">
        <f>$S27*$D27*($D$8/10000)</f>
        <v>0</v>
      </c>
      <c r="AH27" s="461">
        <f t="shared" ref="AH27:AH34" si="11">($D27*$T27)*($D$8/10000)</f>
        <v>0</v>
      </c>
      <c r="AI27" s="461">
        <f t="shared" ref="AI27:AI34" si="12">($D27*$U27)*$D$8/10000</f>
        <v>0</v>
      </c>
      <c r="AJ27" s="461">
        <f t="shared" ref="AJ27:AJ34" si="13">VLOOKUP($W27,$C$38:$U$44,$U$36,FALSE)*($D$8/10000)*$D27</f>
        <v>0</v>
      </c>
      <c r="AK27" s="463">
        <f t="shared" ref="AK27:AK34" si="14">SUM(AH27:AJ27)</f>
        <v>0</v>
      </c>
      <c r="AL27" s="442">
        <f>AE27+AK27</f>
        <v>0</v>
      </c>
      <c r="AM27" s="408"/>
      <c r="AN27" s="27"/>
    </row>
    <row r="28" spans="2:40" ht="15" customHeight="1" x14ac:dyDescent="0.45">
      <c r="B28" s="18"/>
      <c r="C28" s="104" t="s">
        <v>126</v>
      </c>
      <c r="D28" s="379">
        <f>IF($D$9="84 p. binnenwerk + 4 p. omslag",IF($D$15="Offline",39,10),0)</f>
        <v>0</v>
      </c>
      <c r="E28" s="336">
        <f t="shared" si="7"/>
        <v>0</v>
      </c>
      <c r="F28" s="427" t="s">
        <v>71</v>
      </c>
      <c r="G28" s="242"/>
      <c r="H28" s="459">
        <v>0</v>
      </c>
      <c r="I28" s="430">
        <v>0</v>
      </c>
      <c r="J28" s="107" t="s">
        <v>38</v>
      </c>
      <c r="K28" s="107" t="s">
        <v>38</v>
      </c>
      <c r="L28" s="431"/>
      <c r="M28" s="101">
        <v>555</v>
      </c>
      <c r="N28" s="242"/>
      <c r="O28" s="432">
        <v>0</v>
      </c>
      <c r="P28" s="433">
        <v>0</v>
      </c>
      <c r="Q28" s="434">
        <f>O28*(M28/1000)</f>
        <v>0</v>
      </c>
      <c r="R28" s="242"/>
      <c r="S28" s="432">
        <v>0</v>
      </c>
      <c r="T28" s="435">
        <f>S28*(M28/1000)</f>
        <v>0</v>
      </c>
      <c r="U28" s="433">
        <v>0</v>
      </c>
      <c r="V28" s="472">
        <v>1</v>
      </c>
      <c r="W28" s="314">
        <f t="shared" ref="W28" si="15">IF(D28&gt;0,1,0)+V28</f>
        <v>1</v>
      </c>
      <c r="X28" s="18"/>
      <c r="Y28" s="407"/>
      <c r="Z28" s="110" t="s">
        <v>73</v>
      </c>
      <c r="AA28" s="460">
        <f>$O28*$D28</f>
        <v>0</v>
      </c>
      <c r="AB28" s="461">
        <f>$AA28*$M28/1000</f>
        <v>0</v>
      </c>
      <c r="AC28" s="461">
        <f t="shared" si="9"/>
        <v>0</v>
      </c>
      <c r="AD28" s="461">
        <f t="shared" si="10"/>
        <v>0</v>
      </c>
      <c r="AE28" s="462">
        <f t="shared" ref="AE28:AE34" si="16">SUM(AB28:AD28)</f>
        <v>0</v>
      </c>
      <c r="AF28" s="440"/>
      <c r="AG28" s="460">
        <f>$S28*$D28*($D$8/10000)</f>
        <v>0</v>
      </c>
      <c r="AH28" s="461">
        <f t="shared" si="11"/>
        <v>0</v>
      </c>
      <c r="AI28" s="461">
        <f t="shared" si="12"/>
        <v>0</v>
      </c>
      <c r="AJ28" s="461">
        <f t="shared" si="13"/>
        <v>0</v>
      </c>
      <c r="AK28" s="463">
        <f t="shared" si="14"/>
        <v>0</v>
      </c>
      <c r="AL28" s="442">
        <f>AE28+AK28</f>
        <v>0</v>
      </c>
      <c r="AM28" s="408"/>
      <c r="AN28" s="27"/>
    </row>
    <row r="29" spans="2:40" ht="15" customHeight="1" x14ac:dyDescent="0.45">
      <c r="B29" s="18"/>
      <c r="C29" s="104" t="s">
        <v>128</v>
      </c>
      <c r="D29" s="379">
        <f>IF($D$9="84 p. selfcovered",IF($D$15="Offline",39,10),0)</f>
        <v>0</v>
      </c>
      <c r="E29" s="336">
        <f t="shared" si="7"/>
        <v>0</v>
      </c>
      <c r="F29" s="427" t="s">
        <v>71</v>
      </c>
      <c r="G29" s="242"/>
      <c r="H29" s="459">
        <v>0</v>
      </c>
      <c r="I29" s="430">
        <v>0</v>
      </c>
      <c r="J29" s="107" t="s">
        <v>38</v>
      </c>
      <c r="K29" s="107" t="s">
        <v>38</v>
      </c>
      <c r="L29" s="431"/>
      <c r="M29" s="101">
        <v>555</v>
      </c>
      <c r="N29" s="242"/>
      <c r="O29" s="432">
        <v>0</v>
      </c>
      <c r="P29" s="433">
        <v>0</v>
      </c>
      <c r="Q29" s="434">
        <f>O29*(M29/1000)</f>
        <v>0</v>
      </c>
      <c r="R29" s="242"/>
      <c r="S29" s="432">
        <v>0</v>
      </c>
      <c r="T29" s="435">
        <f>S29*(M29/1000)</f>
        <v>0</v>
      </c>
      <c r="U29" s="433">
        <v>0</v>
      </c>
      <c r="V29" s="472">
        <v>1</v>
      </c>
      <c r="W29" s="736">
        <f>IF(D29&gt;0,0,0)+V29</f>
        <v>1</v>
      </c>
      <c r="X29" s="18"/>
      <c r="Y29" s="407"/>
      <c r="Z29" s="110" t="s">
        <v>73</v>
      </c>
      <c r="AA29" s="460">
        <f t="shared" si="8"/>
        <v>0</v>
      </c>
      <c r="AB29" s="461">
        <f>$AA29*$M29/1000</f>
        <v>0</v>
      </c>
      <c r="AC29" s="461">
        <f t="shared" si="9"/>
        <v>0</v>
      </c>
      <c r="AD29" s="461">
        <f t="shared" si="10"/>
        <v>0</v>
      </c>
      <c r="AE29" s="462">
        <f t="shared" si="16"/>
        <v>0</v>
      </c>
      <c r="AF29" s="440"/>
      <c r="AG29" s="460">
        <f>$S29*$D29*($D$8/10000)</f>
        <v>0</v>
      </c>
      <c r="AH29" s="461">
        <f t="shared" si="11"/>
        <v>0</v>
      </c>
      <c r="AI29" s="461">
        <f t="shared" si="12"/>
        <v>0</v>
      </c>
      <c r="AJ29" s="461">
        <f t="shared" si="13"/>
        <v>0</v>
      </c>
      <c r="AK29" s="463">
        <f t="shared" ref="AK29" si="17">SUM(AH29:AJ29)</f>
        <v>0</v>
      </c>
      <c r="AL29" s="442">
        <f t="shared" ref="AL29:AL34" si="18">AE29+AK29</f>
        <v>0</v>
      </c>
      <c r="AM29" s="408"/>
      <c r="AN29" s="27"/>
    </row>
    <row r="30" spans="2:40" s="112" customFormat="1" ht="15" customHeight="1" x14ac:dyDescent="0.45">
      <c r="B30" s="18"/>
      <c r="C30" s="137" t="s">
        <v>75</v>
      </c>
      <c r="D30" s="379">
        <f>IF($D$9="88 p. selfcovered",IF($D$15="Offline",39,10),0)</f>
        <v>0</v>
      </c>
      <c r="E30" s="336">
        <f t="shared" si="7"/>
        <v>0</v>
      </c>
      <c r="F30" s="427" t="s">
        <v>71</v>
      </c>
      <c r="G30" s="242"/>
      <c r="H30" s="459">
        <v>0</v>
      </c>
      <c r="I30" s="430">
        <v>0</v>
      </c>
      <c r="J30" s="111" t="s">
        <v>38</v>
      </c>
      <c r="K30" s="111" t="s">
        <v>38</v>
      </c>
      <c r="L30" s="431"/>
      <c r="M30" s="101">
        <v>555</v>
      </c>
      <c r="N30" s="242"/>
      <c r="O30" s="432">
        <v>0</v>
      </c>
      <c r="P30" s="433">
        <v>0</v>
      </c>
      <c r="Q30" s="434">
        <f>O30*M30/1000</f>
        <v>0</v>
      </c>
      <c r="R30" s="242"/>
      <c r="S30" s="432">
        <v>0</v>
      </c>
      <c r="T30" s="435">
        <f t="shared" ref="T30:T34" si="19">S30*M30/1000</f>
        <v>0</v>
      </c>
      <c r="U30" s="433">
        <v>0</v>
      </c>
      <c r="V30" s="472">
        <v>1</v>
      </c>
      <c r="W30" s="314">
        <f t="shared" ref="W30:W34" si="20">IF(D30&gt;0,0,0)+V30</f>
        <v>1</v>
      </c>
      <c r="X30" s="18"/>
      <c r="Y30" s="407"/>
      <c r="Z30" s="138" t="s">
        <v>75</v>
      </c>
      <c r="AA30" s="460">
        <f t="shared" si="8"/>
        <v>0</v>
      </c>
      <c r="AB30" s="461">
        <f t="shared" ref="AB30:AB34" si="21">$AA30*$M30/1000</f>
        <v>0</v>
      </c>
      <c r="AC30" s="461">
        <f t="shared" si="9"/>
        <v>0</v>
      </c>
      <c r="AD30" s="461">
        <f t="shared" si="10"/>
        <v>0</v>
      </c>
      <c r="AE30" s="462">
        <f t="shared" si="16"/>
        <v>0</v>
      </c>
      <c r="AF30" s="440"/>
      <c r="AG30" s="460">
        <f t="shared" ref="AG30:AG34" si="22">$S30*$D30*($D$8/10000)</f>
        <v>0</v>
      </c>
      <c r="AH30" s="461">
        <f t="shared" si="11"/>
        <v>0</v>
      </c>
      <c r="AI30" s="461">
        <f t="shared" si="12"/>
        <v>0</v>
      </c>
      <c r="AJ30" s="461">
        <f t="shared" si="13"/>
        <v>0</v>
      </c>
      <c r="AK30" s="463">
        <f t="shared" si="14"/>
        <v>0</v>
      </c>
      <c r="AL30" s="442">
        <f t="shared" si="18"/>
        <v>0</v>
      </c>
      <c r="AM30" s="473"/>
      <c r="AN30" s="118"/>
    </row>
    <row r="31" spans="2:40" s="112" customFormat="1" ht="15" customHeight="1" x14ac:dyDescent="0.45">
      <c r="B31" s="18"/>
      <c r="C31" s="113" t="s">
        <v>142</v>
      </c>
      <c r="D31" s="380">
        <f>IF(D27&gt;0,4,0)</f>
        <v>0</v>
      </c>
      <c r="E31" s="336">
        <f t="shared" si="7"/>
        <v>0</v>
      </c>
      <c r="F31" s="427" t="s">
        <v>71</v>
      </c>
      <c r="G31" s="242"/>
      <c r="H31" s="459">
        <v>0</v>
      </c>
      <c r="I31" s="430">
        <v>0</v>
      </c>
      <c r="J31" s="111" t="s">
        <v>38</v>
      </c>
      <c r="K31" s="111" t="s">
        <v>38</v>
      </c>
      <c r="L31" s="431"/>
      <c r="M31" s="101">
        <v>555</v>
      </c>
      <c r="N31" s="242"/>
      <c r="O31" s="432">
        <v>0</v>
      </c>
      <c r="P31" s="433">
        <v>0</v>
      </c>
      <c r="Q31" s="434">
        <f t="shared" ref="Q31:Q34" si="23">O31*M31/1000</f>
        <v>0</v>
      </c>
      <c r="R31" s="242"/>
      <c r="S31" s="432">
        <v>0</v>
      </c>
      <c r="T31" s="435">
        <f t="shared" si="19"/>
        <v>0</v>
      </c>
      <c r="U31" s="433">
        <v>0</v>
      </c>
      <c r="V31" s="472">
        <v>1</v>
      </c>
      <c r="W31" s="314">
        <f t="shared" si="20"/>
        <v>1</v>
      </c>
      <c r="X31" s="18"/>
      <c r="Y31" s="407"/>
      <c r="Z31" s="116" t="s">
        <v>142</v>
      </c>
      <c r="AA31" s="460">
        <f t="shared" si="8"/>
        <v>0</v>
      </c>
      <c r="AB31" s="461">
        <f t="shared" si="21"/>
        <v>0</v>
      </c>
      <c r="AC31" s="461">
        <f t="shared" si="9"/>
        <v>0</v>
      </c>
      <c r="AD31" s="461">
        <f t="shared" si="10"/>
        <v>0</v>
      </c>
      <c r="AE31" s="462">
        <f t="shared" ref="AE31" si="24">SUM(AB31:AD31)</f>
        <v>0</v>
      </c>
      <c r="AF31" s="440"/>
      <c r="AG31" s="460">
        <f t="shared" si="22"/>
        <v>0</v>
      </c>
      <c r="AH31" s="461">
        <f t="shared" si="11"/>
        <v>0</v>
      </c>
      <c r="AI31" s="461">
        <f t="shared" si="12"/>
        <v>0</v>
      </c>
      <c r="AJ31" s="461">
        <f t="shared" si="13"/>
        <v>0</v>
      </c>
      <c r="AK31" s="463">
        <f t="shared" ref="AK31" si="25">SUM(AH31:AJ31)</f>
        <v>0</v>
      </c>
      <c r="AL31" s="442">
        <f>AE31+AK31</f>
        <v>0</v>
      </c>
      <c r="AM31" s="473"/>
      <c r="AN31" s="118"/>
    </row>
    <row r="32" spans="2:40" s="112" customFormat="1" ht="15" customHeight="1" x14ac:dyDescent="0.45">
      <c r="B32" s="18"/>
      <c r="C32" s="113" t="s">
        <v>76</v>
      </c>
      <c r="D32" s="380">
        <f>IF(D28&gt;0,4,IF(D23&gt;0,4,IF(D29&gt;0,4,IF(D30&gt;0,4,0))))</f>
        <v>0</v>
      </c>
      <c r="E32" s="336">
        <f t="shared" si="7"/>
        <v>0</v>
      </c>
      <c r="F32" s="427" t="s">
        <v>71</v>
      </c>
      <c r="G32" s="242"/>
      <c r="H32" s="459">
        <v>0</v>
      </c>
      <c r="I32" s="430">
        <v>0</v>
      </c>
      <c r="J32" s="111" t="s">
        <v>38</v>
      </c>
      <c r="K32" s="111" t="s">
        <v>38</v>
      </c>
      <c r="L32" s="431"/>
      <c r="M32" s="101">
        <v>555</v>
      </c>
      <c r="N32" s="242"/>
      <c r="O32" s="432">
        <v>0</v>
      </c>
      <c r="P32" s="433">
        <v>0</v>
      </c>
      <c r="Q32" s="434">
        <f t="shared" si="23"/>
        <v>0</v>
      </c>
      <c r="R32" s="242"/>
      <c r="S32" s="432">
        <v>0</v>
      </c>
      <c r="T32" s="435">
        <f t="shared" si="19"/>
        <v>0</v>
      </c>
      <c r="U32" s="433">
        <v>0</v>
      </c>
      <c r="V32" s="472">
        <v>1</v>
      </c>
      <c r="W32" s="314">
        <f t="shared" si="20"/>
        <v>1</v>
      </c>
      <c r="X32" s="18"/>
      <c r="Y32" s="407"/>
      <c r="Z32" s="116" t="s">
        <v>76</v>
      </c>
      <c r="AA32" s="460">
        <f t="shared" si="8"/>
        <v>0</v>
      </c>
      <c r="AB32" s="461">
        <f t="shared" si="21"/>
        <v>0</v>
      </c>
      <c r="AC32" s="461">
        <f t="shared" si="9"/>
        <v>0</v>
      </c>
      <c r="AD32" s="461">
        <f t="shared" si="10"/>
        <v>0</v>
      </c>
      <c r="AE32" s="462">
        <f t="shared" si="16"/>
        <v>0</v>
      </c>
      <c r="AF32" s="440"/>
      <c r="AG32" s="460">
        <f t="shared" si="22"/>
        <v>0</v>
      </c>
      <c r="AH32" s="461">
        <f t="shared" si="11"/>
        <v>0</v>
      </c>
      <c r="AI32" s="461">
        <f t="shared" si="12"/>
        <v>0</v>
      </c>
      <c r="AJ32" s="461">
        <f t="shared" si="13"/>
        <v>0</v>
      </c>
      <c r="AK32" s="463">
        <f t="shared" si="14"/>
        <v>0</v>
      </c>
      <c r="AL32" s="442">
        <f>AE32+AK32</f>
        <v>0</v>
      </c>
      <c r="AM32" s="473"/>
      <c r="AN32" s="118"/>
    </row>
    <row r="33" spans="2:40" s="112" customFormat="1" ht="15" customHeight="1" x14ac:dyDescent="0.45">
      <c r="B33" s="18"/>
      <c r="C33" s="113" t="s">
        <v>77</v>
      </c>
      <c r="D33" s="380">
        <v>0</v>
      </c>
      <c r="E33" s="336">
        <f t="shared" si="7"/>
        <v>0</v>
      </c>
      <c r="F33" s="427" t="s">
        <v>71</v>
      </c>
      <c r="G33" s="242"/>
      <c r="H33" s="459">
        <v>0</v>
      </c>
      <c r="I33" s="430">
        <v>0</v>
      </c>
      <c r="J33" s="111" t="s">
        <v>38</v>
      </c>
      <c r="K33" s="111" t="s">
        <v>38</v>
      </c>
      <c r="L33" s="431"/>
      <c r="M33" s="101">
        <v>555</v>
      </c>
      <c r="N33" s="242"/>
      <c r="O33" s="432">
        <v>0</v>
      </c>
      <c r="P33" s="433">
        <v>0</v>
      </c>
      <c r="Q33" s="434">
        <f t="shared" si="23"/>
        <v>0</v>
      </c>
      <c r="R33" s="242"/>
      <c r="S33" s="432">
        <v>0</v>
      </c>
      <c r="T33" s="435">
        <f t="shared" si="19"/>
        <v>0</v>
      </c>
      <c r="U33" s="433">
        <v>0</v>
      </c>
      <c r="V33" s="472">
        <v>1</v>
      </c>
      <c r="W33" s="314">
        <f t="shared" si="20"/>
        <v>1</v>
      </c>
      <c r="X33" s="18"/>
      <c r="Y33" s="407"/>
      <c r="Z33" s="116" t="s">
        <v>77</v>
      </c>
      <c r="AA33" s="460">
        <f t="shared" si="8"/>
        <v>0</v>
      </c>
      <c r="AB33" s="461">
        <f t="shared" si="21"/>
        <v>0</v>
      </c>
      <c r="AC33" s="461">
        <f t="shared" si="9"/>
        <v>0</v>
      </c>
      <c r="AD33" s="461">
        <f t="shared" si="10"/>
        <v>0</v>
      </c>
      <c r="AE33" s="462">
        <f t="shared" si="16"/>
        <v>0</v>
      </c>
      <c r="AF33" s="440"/>
      <c r="AG33" s="460">
        <f t="shared" si="22"/>
        <v>0</v>
      </c>
      <c r="AH33" s="461">
        <f t="shared" si="11"/>
        <v>0</v>
      </c>
      <c r="AI33" s="461">
        <f t="shared" si="12"/>
        <v>0</v>
      </c>
      <c r="AJ33" s="461">
        <f t="shared" si="13"/>
        <v>0</v>
      </c>
      <c r="AK33" s="463">
        <f t="shared" si="14"/>
        <v>0</v>
      </c>
      <c r="AL33" s="442">
        <f t="shared" si="18"/>
        <v>0</v>
      </c>
      <c r="AM33" s="473"/>
      <c r="AN33" s="118"/>
    </row>
    <row r="34" spans="2:40" s="112" customFormat="1" ht="15" customHeight="1" thickBot="1" x14ac:dyDescent="0.5">
      <c r="B34" s="18"/>
      <c r="C34" s="119" t="s">
        <v>78</v>
      </c>
      <c r="D34" s="381">
        <f>IF(D31&gt;0,1,IF(D32&gt;0,1,IF(D33&gt;0,1,0)))</f>
        <v>0</v>
      </c>
      <c r="E34" s="336">
        <f t="shared" si="7"/>
        <v>0</v>
      </c>
      <c r="F34" s="427" t="s">
        <v>71</v>
      </c>
      <c r="G34" s="242"/>
      <c r="H34" s="474">
        <v>0</v>
      </c>
      <c r="I34" s="475">
        <v>0</v>
      </c>
      <c r="J34" s="122" t="s">
        <v>38</v>
      </c>
      <c r="K34" s="122" t="s">
        <v>38</v>
      </c>
      <c r="L34" s="476"/>
      <c r="M34" s="123">
        <v>555</v>
      </c>
      <c r="N34" s="242"/>
      <c r="O34" s="477">
        <v>0</v>
      </c>
      <c r="P34" s="478">
        <v>0</v>
      </c>
      <c r="Q34" s="479">
        <f t="shared" si="23"/>
        <v>0</v>
      </c>
      <c r="R34" s="242"/>
      <c r="S34" s="477">
        <v>0</v>
      </c>
      <c r="T34" s="480">
        <f t="shared" si="19"/>
        <v>0</v>
      </c>
      <c r="U34" s="478">
        <v>0</v>
      </c>
      <c r="V34" s="481">
        <v>1</v>
      </c>
      <c r="W34" s="314">
        <f t="shared" si="20"/>
        <v>1</v>
      </c>
      <c r="X34" s="18"/>
      <c r="Y34" s="407"/>
      <c r="Z34" s="126" t="s">
        <v>78</v>
      </c>
      <c r="AA34" s="437">
        <f t="shared" si="8"/>
        <v>0</v>
      </c>
      <c r="AB34" s="438">
        <f t="shared" si="21"/>
        <v>0</v>
      </c>
      <c r="AC34" s="438">
        <f t="shared" si="9"/>
        <v>0</v>
      </c>
      <c r="AD34" s="438">
        <f t="shared" si="10"/>
        <v>0</v>
      </c>
      <c r="AE34" s="439">
        <f t="shared" si="16"/>
        <v>0</v>
      </c>
      <c r="AF34" s="440"/>
      <c r="AG34" s="437">
        <f t="shared" si="22"/>
        <v>0</v>
      </c>
      <c r="AH34" s="438">
        <f t="shared" si="11"/>
        <v>0</v>
      </c>
      <c r="AI34" s="438">
        <f t="shared" si="12"/>
        <v>0</v>
      </c>
      <c r="AJ34" s="438">
        <f t="shared" si="13"/>
        <v>0</v>
      </c>
      <c r="AK34" s="441">
        <f t="shared" si="14"/>
        <v>0</v>
      </c>
      <c r="AL34" s="442">
        <f t="shared" si="18"/>
        <v>0</v>
      </c>
      <c r="AM34" s="473"/>
      <c r="AN34" s="118"/>
    </row>
    <row r="35" spans="2:40" ht="15.65" customHeight="1" thickBot="1" x14ac:dyDescent="0.5">
      <c r="B35" s="18"/>
      <c r="C35" s="140"/>
      <c r="D35" s="241"/>
      <c r="E35" s="242"/>
      <c r="F35" s="242"/>
      <c r="G35" s="242"/>
      <c r="H35" s="241"/>
      <c r="I35" s="241"/>
      <c r="J35" s="241"/>
      <c r="K35" s="241"/>
      <c r="L35" s="241"/>
      <c r="M35" s="393"/>
      <c r="N35" s="242"/>
      <c r="O35" s="251"/>
      <c r="P35" s="251"/>
      <c r="Q35" s="251"/>
      <c r="R35" s="242"/>
      <c r="S35" s="130"/>
      <c r="T35" s="251"/>
      <c r="U35" s="251"/>
      <c r="V35" s="141"/>
      <c r="W35" s="22"/>
      <c r="X35" s="18"/>
      <c r="Y35" s="407"/>
      <c r="Z35" s="242"/>
      <c r="AA35" s="482"/>
      <c r="AB35" s="465"/>
      <c r="AC35" s="465"/>
      <c r="AD35" s="465"/>
      <c r="AE35" s="466"/>
      <c r="AF35" s="483"/>
      <c r="AG35" s="482"/>
      <c r="AH35" s="465"/>
      <c r="AI35" s="465"/>
      <c r="AJ35" s="465"/>
      <c r="AK35" s="463"/>
      <c r="AL35" s="442"/>
      <c r="AM35" s="408"/>
      <c r="AN35" s="27"/>
    </row>
    <row r="36" spans="2:40" ht="20.5" customHeight="1" thickBot="1" x14ac:dyDescent="0.5">
      <c r="B36" s="18"/>
      <c r="C36" s="788" t="s">
        <v>62</v>
      </c>
      <c r="D36" s="790"/>
      <c r="E36" s="790"/>
      <c r="F36" s="790"/>
      <c r="G36" s="790"/>
      <c r="H36" s="790"/>
      <c r="I36" s="790"/>
      <c r="J36" s="143"/>
      <c r="K36" s="143"/>
      <c r="L36" s="143"/>
      <c r="M36" s="143"/>
      <c r="N36" s="143"/>
      <c r="O36" s="142"/>
      <c r="P36" s="144">
        <v>14</v>
      </c>
      <c r="Q36" s="145"/>
      <c r="R36" s="143"/>
      <c r="S36" s="142"/>
      <c r="T36" s="143"/>
      <c r="U36" s="144">
        <v>19</v>
      </c>
      <c r="V36" s="145"/>
      <c r="W36" s="22"/>
      <c r="X36" s="18"/>
      <c r="Y36" s="407"/>
      <c r="Z36" s="142" t="str">
        <f>C46</f>
        <v>Extra bewerkingen (Pluspropositie):</v>
      </c>
      <c r="AA36" s="484"/>
      <c r="AB36" s="485"/>
      <c r="AC36" s="485"/>
      <c r="AD36" s="485"/>
      <c r="AE36" s="486"/>
      <c r="AF36" s="487"/>
      <c r="AG36" s="488"/>
      <c r="AH36" s="485"/>
      <c r="AI36" s="485"/>
      <c r="AJ36" s="485"/>
      <c r="AK36" s="489"/>
      <c r="AL36" s="490"/>
      <c r="AM36" s="408"/>
      <c r="AN36" s="27"/>
    </row>
    <row r="37" spans="2:40" ht="32.5" customHeight="1" x14ac:dyDescent="0.45">
      <c r="B37" s="18"/>
      <c r="C37" s="254" t="s">
        <v>41</v>
      </c>
      <c r="D37" s="393"/>
      <c r="E37" s="242"/>
      <c r="F37" s="242"/>
      <c r="G37" s="242"/>
      <c r="H37" s="316"/>
      <c r="I37" s="316"/>
      <c r="J37" s="393"/>
      <c r="K37" s="393"/>
      <c r="L37" s="393"/>
      <c r="M37" s="393"/>
      <c r="N37" s="242"/>
      <c r="O37" s="791" t="s">
        <v>42</v>
      </c>
      <c r="P37" s="796"/>
      <c r="Q37" s="793"/>
      <c r="R37" s="251"/>
      <c r="S37" s="146"/>
      <c r="T37" s="13"/>
      <c r="U37" s="221" t="s">
        <v>43</v>
      </c>
      <c r="V37" s="147"/>
      <c r="W37" s="22"/>
      <c r="X37" s="18"/>
      <c r="Y37" s="407"/>
      <c r="Z37" s="234"/>
      <c r="AA37" s="491"/>
      <c r="AB37" s="492"/>
      <c r="AC37" s="492"/>
      <c r="AD37" s="492"/>
      <c r="AE37" s="493"/>
      <c r="AF37" s="494"/>
      <c r="AG37" s="495"/>
      <c r="AH37" s="492"/>
      <c r="AI37" s="492"/>
      <c r="AJ37" s="492"/>
      <c r="AK37" s="493"/>
      <c r="AL37" s="442"/>
      <c r="AM37" s="408"/>
      <c r="AN37" s="27"/>
    </row>
    <row r="38" spans="2:40" x14ac:dyDescent="0.45">
      <c r="B38" s="18"/>
      <c r="C38" s="149">
        <v>1</v>
      </c>
      <c r="D38" s="241"/>
      <c r="E38" s="242"/>
      <c r="F38" s="242"/>
      <c r="G38" s="242"/>
      <c r="H38" s="241"/>
      <c r="I38" s="241"/>
      <c r="J38" s="241"/>
      <c r="K38" s="241"/>
      <c r="L38" s="241"/>
      <c r="M38" s="241"/>
      <c r="N38" s="241"/>
      <c r="O38" s="130"/>
      <c r="P38" s="496">
        <v>0</v>
      </c>
      <c r="Q38" s="134"/>
      <c r="R38" s="251"/>
      <c r="S38" s="130"/>
      <c r="T38" s="251"/>
      <c r="U38" s="496">
        <v>0</v>
      </c>
      <c r="V38" s="134"/>
      <c r="W38" s="22"/>
      <c r="X38" s="18"/>
      <c r="Y38" s="407"/>
      <c r="Z38" s="150" t="str">
        <f>C48</f>
        <v>Meehechten extra katern / insert / outsert</v>
      </c>
      <c r="AA38" s="491"/>
      <c r="AB38" s="492"/>
      <c r="AC38" s="497"/>
      <c r="AD38" s="497">
        <f>D48*P48</f>
        <v>0</v>
      </c>
      <c r="AE38" s="498">
        <f>AD38</f>
        <v>0</v>
      </c>
      <c r="AF38" s="499"/>
      <c r="AG38" s="500"/>
      <c r="AH38" s="501"/>
      <c r="AI38" s="502"/>
      <c r="AJ38" s="502">
        <f>(E48/10000)*U48*D48</f>
        <v>0</v>
      </c>
      <c r="AK38" s="503">
        <f>AJ38</f>
        <v>0</v>
      </c>
      <c r="AL38" s="442">
        <f>AE38+AK38</f>
        <v>0</v>
      </c>
      <c r="AM38" s="408"/>
      <c r="AN38" s="27"/>
    </row>
    <row r="39" spans="2:40" x14ac:dyDescent="0.45">
      <c r="B39" s="18"/>
      <c r="C39" s="151">
        <v>2</v>
      </c>
      <c r="D39" s="241"/>
      <c r="E39" s="242"/>
      <c r="F39" s="242"/>
      <c r="G39" s="242"/>
      <c r="H39" s="241"/>
      <c r="I39" s="241"/>
      <c r="J39" s="241"/>
      <c r="K39" s="241"/>
      <c r="L39" s="241"/>
      <c r="M39" s="393"/>
      <c r="N39" s="242"/>
      <c r="O39" s="130"/>
      <c r="P39" s="496">
        <v>0</v>
      </c>
      <c r="Q39" s="134"/>
      <c r="R39" s="251"/>
      <c r="S39" s="130"/>
      <c r="T39" s="251"/>
      <c r="U39" s="496">
        <v>0</v>
      </c>
      <c r="V39" s="134"/>
      <c r="W39" s="22"/>
      <c r="X39" s="18"/>
      <c r="Y39" s="407"/>
      <c r="Z39" s="148" t="str">
        <f>C49</f>
        <v>Meehechten via plano oplegstation (outsert)</v>
      </c>
      <c r="AA39" s="504"/>
      <c r="AB39" s="505"/>
      <c r="AC39" s="506"/>
      <c r="AD39" s="506">
        <f>$D49*$P49</f>
        <v>0</v>
      </c>
      <c r="AE39" s="507">
        <f>AD39</f>
        <v>0</v>
      </c>
      <c r="AF39" s="508"/>
      <c r="AG39" s="509"/>
      <c r="AH39" s="510"/>
      <c r="AI39" s="511"/>
      <c r="AJ39" s="502">
        <f>(E49/10000)*U49*D49</f>
        <v>0</v>
      </c>
      <c r="AK39" s="512">
        <f>AJ39</f>
        <v>0</v>
      </c>
      <c r="AL39" s="442">
        <f>AE39+AK39</f>
        <v>0</v>
      </c>
      <c r="AM39" s="408"/>
      <c r="AN39" s="27"/>
    </row>
    <row r="40" spans="2:40" x14ac:dyDescent="0.45">
      <c r="B40" s="18"/>
      <c r="C40" s="149">
        <v>3</v>
      </c>
      <c r="D40" s="241"/>
      <c r="E40" s="242"/>
      <c r="F40" s="242"/>
      <c r="G40" s="242"/>
      <c r="H40" s="241"/>
      <c r="I40" s="241"/>
      <c r="J40" s="241"/>
      <c r="K40" s="241"/>
      <c r="L40" s="241"/>
      <c r="M40" s="393"/>
      <c r="N40" s="242"/>
      <c r="O40" s="130"/>
      <c r="P40" s="496">
        <v>0</v>
      </c>
      <c r="Q40" s="134"/>
      <c r="R40" s="251"/>
      <c r="S40" s="130"/>
      <c r="T40" s="251"/>
      <c r="U40" s="496">
        <v>0</v>
      </c>
      <c r="V40" s="134"/>
      <c r="W40" s="22"/>
      <c r="X40" s="18"/>
      <c r="Y40" s="407"/>
      <c r="Z40" s="150" t="str">
        <f>C50</f>
        <v>Plakkaart (op katernscheiding)</v>
      </c>
      <c r="AA40" s="504"/>
      <c r="AB40" s="505"/>
      <c r="AC40" s="506"/>
      <c r="AD40" s="506">
        <f>$D50*$P50</f>
        <v>0</v>
      </c>
      <c r="AE40" s="507">
        <f>AD40</f>
        <v>0</v>
      </c>
      <c r="AF40" s="508"/>
      <c r="AG40" s="509"/>
      <c r="AH40" s="510"/>
      <c r="AI40" s="511"/>
      <c r="AJ40" s="502">
        <f>(E50/10000)*U50*D50</f>
        <v>0</v>
      </c>
      <c r="AK40" s="512">
        <f>AJ40</f>
        <v>0</v>
      </c>
      <c r="AL40" s="442">
        <f>AE40+AK40</f>
        <v>0</v>
      </c>
      <c r="AM40" s="408"/>
      <c r="AN40" s="27"/>
    </row>
    <row r="41" spans="2:40" x14ac:dyDescent="0.45">
      <c r="B41" s="18"/>
      <c r="C41" s="151">
        <v>4</v>
      </c>
      <c r="D41" s="241"/>
      <c r="E41" s="242"/>
      <c r="F41" s="242"/>
      <c r="G41" s="242"/>
      <c r="H41" s="241"/>
      <c r="I41" s="241"/>
      <c r="J41" s="241"/>
      <c r="K41" s="241"/>
      <c r="L41" s="241"/>
      <c r="M41" s="393"/>
      <c r="N41" s="242"/>
      <c r="O41" s="130"/>
      <c r="P41" s="496">
        <v>0</v>
      </c>
      <c r="Q41" s="134"/>
      <c r="R41" s="251"/>
      <c r="S41" s="130"/>
      <c r="T41" s="251"/>
      <c r="U41" s="496">
        <v>0</v>
      </c>
      <c r="V41" s="134"/>
      <c r="W41" s="22"/>
      <c r="X41" s="18"/>
      <c r="Y41" s="407"/>
      <c r="Z41" s="148" t="str">
        <f>C51</f>
        <v xml:space="preserve">Insteekkaart, kaart los insteken tijdens hechten (willekeurig) </v>
      </c>
      <c r="AA41" s="513"/>
      <c r="AB41" s="505"/>
      <c r="AC41" s="506"/>
      <c r="AD41" s="506">
        <f>$D51*$P51</f>
        <v>0</v>
      </c>
      <c r="AE41" s="507">
        <f>AD41</f>
        <v>0</v>
      </c>
      <c r="AF41" s="508"/>
      <c r="AG41" s="509"/>
      <c r="AH41" s="510"/>
      <c r="AI41" s="511"/>
      <c r="AJ41" s="502">
        <f>(E51/10000)*U51*D51</f>
        <v>0</v>
      </c>
      <c r="AK41" s="512">
        <f>AJ41</f>
        <v>0</v>
      </c>
      <c r="AL41" s="442">
        <f>AE41+AK41</f>
        <v>0</v>
      </c>
      <c r="AM41" s="408"/>
      <c r="AN41" s="27"/>
    </row>
    <row r="42" spans="2:40" ht="17" thickBot="1" x14ac:dyDescent="0.5">
      <c r="B42" s="18"/>
      <c r="C42" s="149">
        <v>5</v>
      </c>
      <c r="D42" s="241"/>
      <c r="E42" s="242"/>
      <c r="F42" s="242"/>
      <c r="G42" s="242"/>
      <c r="H42" s="241"/>
      <c r="I42" s="241"/>
      <c r="J42" s="241"/>
      <c r="K42" s="241"/>
      <c r="L42" s="241"/>
      <c r="M42" s="393"/>
      <c r="N42" s="242"/>
      <c r="O42" s="130"/>
      <c r="P42" s="496">
        <v>0</v>
      </c>
      <c r="Q42" s="134"/>
      <c r="R42" s="251"/>
      <c r="S42" s="130"/>
      <c r="T42" s="251"/>
      <c r="U42" s="496">
        <v>0</v>
      </c>
      <c r="V42" s="134"/>
      <c r="W42" s="22"/>
      <c r="X42" s="18"/>
      <c r="Y42" s="407"/>
      <c r="Z42" s="242"/>
      <c r="AA42" s="514"/>
      <c r="AB42" s="515"/>
      <c r="AC42" s="515"/>
      <c r="AD42" s="516"/>
      <c r="AE42" s="517"/>
      <c r="AF42" s="499"/>
      <c r="AG42" s="518"/>
      <c r="AH42" s="519"/>
      <c r="AI42" s="519"/>
      <c r="AJ42" s="519"/>
      <c r="AK42" s="517"/>
      <c r="AL42" s="442"/>
      <c r="AM42" s="408"/>
      <c r="AN42" s="27"/>
    </row>
    <row r="43" spans="2:40" ht="20.5" customHeight="1" x14ac:dyDescent="0.45">
      <c r="B43" s="18"/>
      <c r="C43" s="149">
        <v>6</v>
      </c>
      <c r="D43" s="241"/>
      <c r="E43" s="242"/>
      <c r="F43" s="242"/>
      <c r="G43" s="242"/>
      <c r="H43" s="241"/>
      <c r="I43" s="241"/>
      <c r="J43" s="241"/>
      <c r="K43" s="241"/>
      <c r="L43" s="241"/>
      <c r="M43" s="393"/>
      <c r="N43" s="242"/>
      <c r="O43" s="130"/>
      <c r="P43" s="496">
        <v>0</v>
      </c>
      <c r="Q43" s="134"/>
      <c r="R43" s="251"/>
      <c r="S43" s="130"/>
      <c r="T43" s="251"/>
      <c r="U43" s="496">
        <v>0</v>
      </c>
      <c r="V43" s="134"/>
      <c r="W43" s="22"/>
      <c r="X43" s="18"/>
      <c r="Y43" s="407"/>
      <c r="Z43" s="142" t="s">
        <v>84</v>
      </c>
      <c r="AA43" s="520"/>
      <c r="AB43" s="521"/>
      <c r="AC43" s="521"/>
      <c r="AD43" s="522"/>
      <c r="AE43" s="523"/>
      <c r="AF43" s="499"/>
      <c r="AG43" s="524"/>
      <c r="AH43" s="525"/>
      <c r="AI43" s="525"/>
      <c r="AJ43" s="525"/>
      <c r="AK43" s="525"/>
      <c r="AL43" s="442"/>
      <c r="AM43" s="408"/>
      <c r="AN43" s="27"/>
    </row>
    <row r="44" spans="2:40" ht="17" thickBot="1" x14ac:dyDescent="0.5">
      <c r="B44" s="18"/>
      <c r="C44" s="157">
        <v>7</v>
      </c>
      <c r="D44" s="158"/>
      <c r="E44" s="158"/>
      <c r="F44" s="158"/>
      <c r="G44" s="158"/>
      <c r="H44" s="158"/>
      <c r="I44" s="158"/>
      <c r="J44" s="158"/>
      <c r="K44" s="158"/>
      <c r="L44" s="158"/>
      <c r="M44" s="159"/>
      <c r="N44" s="158"/>
      <c r="O44" s="160"/>
      <c r="P44" s="526">
        <v>0</v>
      </c>
      <c r="Q44" s="161"/>
      <c r="R44" s="158"/>
      <c r="S44" s="160"/>
      <c r="T44" s="162"/>
      <c r="U44" s="527">
        <v>0</v>
      </c>
      <c r="V44" s="163"/>
      <c r="W44" s="22"/>
      <c r="X44" s="18"/>
      <c r="Y44" s="407"/>
      <c r="Z44" s="152" t="s">
        <v>85</v>
      </c>
      <c r="AA44" s="513"/>
      <c r="AB44" s="505"/>
      <c r="AC44" s="506"/>
      <c r="AD44" s="506">
        <f>$D53*$P53</f>
        <v>0</v>
      </c>
      <c r="AE44" s="507">
        <f>AD44</f>
        <v>0</v>
      </c>
      <c r="AF44" s="508"/>
      <c r="AG44" s="509"/>
      <c r="AH44" s="510"/>
      <c r="AI44" s="511"/>
      <c r="AJ44" s="528">
        <f>(E51/10000)*U53*D53</f>
        <v>0</v>
      </c>
      <c r="AK44" s="512">
        <f>AJ44</f>
        <v>0</v>
      </c>
      <c r="AL44" s="442">
        <f>AE44+AK44</f>
        <v>0</v>
      </c>
      <c r="AM44" s="408"/>
      <c r="AN44" s="27"/>
    </row>
    <row r="45" spans="2:40" ht="10" customHeight="1" thickBot="1" x14ac:dyDescent="0.5">
      <c r="B45" s="18"/>
      <c r="C45" s="164"/>
      <c r="D45" s="241"/>
      <c r="E45" s="242"/>
      <c r="F45" s="242"/>
      <c r="G45" s="242"/>
      <c r="H45" s="241"/>
      <c r="I45" s="241"/>
      <c r="J45" s="241"/>
      <c r="K45" s="241"/>
      <c r="L45" s="241"/>
      <c r="M45" s="393"/>
      <c r="N45" s="242"/>
      <c r="O45" s="130"/>
      <c r="P45" s="251"/>
      <c r="Q45" s="134"/>
      <c r="R45" s="242"/>
      <c r="S45" s="130"/>
      <c r="T45" s="251"/>
      <c r="U45" s="251"/>
      <c r="V45" s="132"/>
      <c r="W45" s="22"/>
      <c r="X45" s="18"/>
      <c r="Y45" s="407"/>
      <c r="Z45" s="242"/>
      <c r="AA45" s="514"/>
      <c r="AB45" s="515"/>
      <c r="AC45" s="515"/>
      <c r="AD45" s="516"/>
      <c r="AE45" s="517"/>
      <c r="AF45" s="499"/>
      <c r="AG45" s="518"/>
      <c r="AH45" s="516"/>
      <c r="AI45" s="516"/>
      <c r="AJ45" s="516"/>
      <c r="AK45" s="516"/>
      <c r="AL45" s="442"/>
      <c r="AM45" s="408"/>
      <c r="AN45" s="27"/>
    </row>
    <row r="46" spans="2:40" ht="35.5" customHeight="1" x14ac:dyDescent="0.45">
      <c r="B46" s="18"/>
      <c r="C46" s="142" t="s">
        <v>45</v>
      </c>
      <c r="D46" s="217" t="s">
        <v>19</v>
      </c>
      <c r="E46" s="217" t="s">
        <v>83</v>
      </c>
      <c r="F46" s="217"/>
      <c r="G46" s="217"/>
      <c r="H46" s="217"/>
      <c r="I46" s="217"/>
      <c r="J46" s="217"/>
      <c r="K46" s="217"/>
      <c r="L46" s="217"/>
      <c r="M46" s="217"/>
      <c r="N46" s="217"/>
      <c r="O46" s="782" t="s">
        <v>129</v>
      </c>
      <c r="P46" s="782"/>
      <c r="Q46" s="783"/>
      <c r="R46" s="217"/>
      <c r="S46" s="218"/>
      <c r="T46" s="217"/>
      <c r="U46" s="219" t="s">
        <v>46</v>
      </c>
      <c r="V46" s="220"/>
      <c r="W46" s="22"/>
      <c r="X46" s="18"/>
      <c r="Y46" s="407"/>
      <c r="Z46" s="142" t="s">
        <v>86</v>
      </c>
      <c r="AA46" s="529"/>
      <c r="AB46" s="505"/>
      <c r="AC46" s="506"/>
      <c r="AD46" s="506"/>
      <c r="AE46" s="507"/>
      <c r="AF46" s="508"/>
      <c r="AG46" s="509"/>
      <c r="AH46" s="510"/>
      <c r="AI46" s="511"/>
      <c r="AJ46" s="528"/>
      <c r="AK46" s="512"/>
      <c r="AL46" s="442"/>
      <c r="AM46" s="408"/>
      <c r="AN46" s="27"/>
    </row>
    <row r="47" spans="2:40" ht="18" customHeight="1" thickBot="1" x14ac:dyDescent="0.5">
      <c r="B47" s="240"/>
      <c r="C47" s="235" t="s">
        <v>80</v>
      </c>
      <c r="D47" s="166">
        <v>44</v>
      </c>
      <c r="E47" s="243">
        <v>54000</v>
      </c>
      <c r="F47" s="530" t="s">
        <v>214</v>
      </c>
      <c r="G47" s="242"/>
      <c r="H47" s="241"/>
      <c r="I47" s="241"/>
      <c r="J47" s="241"/>
      <c r="K47" s="241"/>
      <c r="L47" s="241"/>
      <c r="M47" s="393"/>
      <c r="N47" s="241"/>
      <c r="O47" s="130"/>
      <c r="P47" s="531"/>
      <c r="Q47" s="134"/>
      <c r="R47" s="251"/>
      <c r="S47" s="130"/>
      <c r="T47" s="251"/>
      <c r="U47" s="531"/>
      <c r="V47" s="167"/>
      <c r="W47" s="22"/>
      <c r="X47" s="18"/>
      <c r="Y47" s="408"/>
      <c r="Z47" s="233" t="str">
        <f>C55</f>
        <v>Transportkosten (1 adres in Nederland)</v>
      </c>
      <c r="AA47" s="532"/>
      <c r="AB47" s="533"/>
      <c r="AC47" s="534"/>
      <c r="AD47" s="534">
        <f>$D55*$P55</f>
        <v>0</v>
      </c>
      <c r="AE47" s="535">
        <f>AD47</f>
        <v>0</v>
      </c>
      <c r="AF47" s="536"/>
      <c r="AG47" s="537"/>
      <c r="AH47" s="538"/>
      <c r="AI47" s="539"/>
      <c r="AJ47" s="540">
        <f>(E55/10000)*U55</f>
        <v>0</v>
      </c>
      <c r="AK47" s="541">
        <f>AJ47</f>
        <v>0</v>
      </c>
      <c r="AL47" s="542">
        <f>AE47+AK47</f>
        <v>0</v>
      </c>
      <c r="AM47" s="408"/>
      <c r="AN47" s="27"/>
    </row>
    <row r="48" spans="2:40" ht="16.5" customHeight="1" thickBot="1" x14ac:dyDescent="0.55000000000000004">
      <c r="B48" s="18"/>
      <c r="C48" s="235" t="s">
        <v>47</v>
      </c>
      <c r="D48" s="166">
        <v>10</v>
      </c>
      <c r="E48" s="243">
        <f>E47</f>
        <v>54000</v>
      </c>
      <c r="F48" s="242"/>
      <c r="G48" s="242"/>
      <c r="H48" s="241"/>
      <c r="I48" s="241"/>
      <c r="J48" s="241"/>
      <c r="K48" s="241"/>
      <c r="L48" s="241"/>
      <c r="M48" s="393"/>
      <c r="N48" s="241"/>
      <c r="O48" s="130"/>
      <c r="P48" s="543">
        <v>0</v>
      </c>
      <c r="Q48" s="134"/>
      <c r="R48" s="251"/>
      <c r="S48" s="130"/>
      <c r="T48" s="251"/>
      <c r="U48" s="543">
        <v>0</v>
      </c>
      <c r="V48" s="167"/>
      <c r="W48" s="22"/>
      <c r="X48" s="18"/>
      <c r="Y48" s="408"/>
      <c r="Z48" s="544"/>
      <c r="AA48" s="291"/>
      <c r="AB48" s="545"/>
      <c r="AC48" s="350"/>
      <c r="AD48" s="351"/>
      <c r="AE48" s="352"/>
      <c r="AF48" s="546"/>
      <c r="AG48" s="546"/>
      <c r="AH48" s="547"/>
      <c r="AI48" s="548"/>
      <c r="AJ48" s="548"/>
      <c r="AK48" s="356"/>
      <c r="AL48" s="357"/>
      <c r="AM48" s="408"/>
      <c r="AN48" s="27"/>
    </row>
    <row r="49" spans="1:40" ht="16.5" customHeight="1" x14ac:dyDescent="0.45">
      <c r="B49" s="18"/>
      <c r="C49" s="168" t="s">
        <v>48</v>
      </c>
      <c r="D49" s="166">
        <v>1</v>
      </c>
      <c r="E49" s="243">
        <f>E47</f>
        <v>54000</v>
      </c>
      <c r="F49" s="242"/>
      <c r="G49" s="242"/>
      <c r="H49" s="241"/>
      <c r="I49" s="241"/>
      <c r="J49" s="241"/>
      <c r="K49" s="241"/>
      <c r="L49" s="241"/>
      <c r="M49" s="393"/>
      <c r="N49" s="241"/>
      <c r="O49" s="130"/>
      <c r="P49" s="543">
        <v>0</v>
      </c>
      <c r="Q49" s="134"/>
      <c r="R49" s="251"/>
      <c r="S49" s="130"/>
      <c r="T49" s="251"/>
      <c r="U49" s="543">
        <v>0</v>
      </c>
      <c r="V49" s="167"/>
      <c r="W49" s="22"/>
      <c r="X49" s="18"/>
      <c r="Y49" s="408"/>
      <c r="Z49" s="142" t="s">
        <v>122</v>
      </c>
      <c r="AA49" s="15"/>
      <c r="AB49" s="319"/>
      <c r="AC49" s="319"/>
      <c r="AD49" s="319"/>
      <c r="AE49" s="319"/>
      <c r="AF49" s="10"/>
      <c r="AG49" s="16"/>
      <c r="AH49" s="319"/>
      <c r="AI49" s="319"/>
      <c r="AJ49" s="319"/>
      <c r="AK49" s="319"/>
      <c r="AL49" s="329"/>
      <c r="AM49" s="408"/>
      <c r="AN49" s="27"/>
    </row>
    <row r="50" spans="1:40" ht="16.5" customHeight="1" x14ac:dyDescent="0.45">
      <c r="B50" s="18"/>
      <c r="C50" s="168" t="s">
        <v>49</v>
      </c>
      <c r="D50" s="166">
        <v>1</v>
      </c>
      <c r="E50" s="243">
        <f>E47</f>
        <v>54000</v>
      </c>
      <c r="F50" s="242"/>
      <c r="G50" s="242"/>
      <c r="H50" s="241"/>
      <c r="I50" s="241"/>
      <c r="J50" s="241"/>
      <c r="K50" s="241"/>
      <c r="L50" s="241"/>
      <c r="M50" s="393"/>
      <c r="N50" s="241"/>
      <c r="O50" s="130"/>
      <c r="P50" s="543">
        <v>0</v>
      </c>
      <c r="Q50" s="134"/>
      <c r="R50" s="251"/>
      <c r="S50" s="130"/>
      <c r="T50" s="251"/>
      <c r="U50" s="543">
        <v>0</v>
      </c>
      <c r="V50" s="167"/>
      <c r="W50" s="22"/>
      <c r="X50" s="18"/>
      <c r="Y50" s="408"/>
      <c r="Z50" s="18"/>
      <c r="AA50" s="165"/>
      <c r="AB50" s="320"/>
      <c r="AC50" s="324"/>
      <c r="AD50" s="324"/>
      <c r="AE50" s="320"/>
      <c r="AF50" s="308"/>
      <c r="AG50" s="165"/>
      <c r="AH50" s="320"/>
      <c r="AI50" s="320"/>
      <c r="AJ50" s="320"/>
      <c r="AK50" s="318"/>
      <c r="AL50" s="330"/>
      <c r="AM50" s="408"/>
      <c r="AN50" s="27"/>
    </row>
    <row r="51" spans="1:40" ht="16.5" customHeight="1" thickBot="1" x14ac:dyDescent="0.5">
      <c r="B51" s="18"/>
      <c r="C51" s="168" t="s">
        <v>50</v>
      </c>
      <c r="D51" s="166">
        <v>1</v>
      </c>
      <c r="E51" s="243">
        <f>E47</f>
        <v>54000</v>
      </c>
      <c r="F51" s="549" t="s">
        <v>147</v>
      </c>
      <c r="G51" s="242"/>
      <c r="H51" s="241"/>
      <c r="I51" s="241"/>
      <c r="J51" s="241"/>
      <c r="K51" s="241"/>
      <c r="L51" s="241"/>
      <c r="M51" s="393"/>
      <c r="N51" s="241"/>
      <c r="O51" s="130"/>
      <c r="P51" s="543">
        <v>0</v>
      </c>
      <c r="Q51" s="134"/>
      <c r="R51" s="251"/>
      <c r="S51" s="130"/>
      <c r="T51" s="251"/>
      <c r="U51" s="543">
        <v>0</v>
      </c>
      <c r="V51" s="167"/>
      <c r="W51" s="22"/>
      <c r="X51" s="18"/>
      <c r="Y51" s="408"/>
      <c r="Z51" s="309" t="s">
        <v>123</v>
      </c>
      <c r="AA51" s="310"/>
      <c r="AB51" s="321"/>
      <c r="AC51" s="325"/>
      <c r="AD51" s="325"/>
      <c r="AE51" s="321"/>
      <c r="AF51" s="311"/>
      <c r="AG51" s="310"/>
      <c r="AH51" s="321"/>
      <c r="AI51" s="321"/>
      <c r="AJ51" s="321"/>
      <c r="AK51" s="321"/>
      <c r="AL51" s="328">
        <f>$K$88</f>
        <v>0</v>
      </c>
      <c r="AM51" s="408"/>
      <c r="AN51" s="27"/>
    </row>
    <row r="52" spans="1:40" ht="16.5" customHeight="1" thickBot="1" x14ac:dyDescent="0.5">
      <c r="B52" s="18"/>
      <c r="C52" s="142" t="s">
        <v>84</v>
      </c>
      <c r="D52" s="142"/>
      <c r="E52" s="142"/>
      <c r="F52" s="338"/>
      <c r="G52" s="338"/>
      <c r="H52" s="338"/>
      <c r="I52" s="338"/>
      <c r="J52" s="338"/>
      <c r="K52" s="338"/>
      <c r="L52" s="338"/>
      <c r="M52" s="338"/>
      <c r="N52" s="338"/>
      <c r="O52" s="338"/>
      <c r="P52" s="367"/>
      <c r="Q52" s="338"/>
      <c r="R52" s="338"/>
      <c r="S52" s="338"/>
      <c r="T52" s="338"/>
      <c r="U52" s="367"/>
      <c r="V52" s="339"/>
      <c r="W52" s="22"/>
      <c r="X52" s="18"/>
      <c r="Y52" s="408"/>
      <c r="Z52" s="312" t="s">
        <v>124</v>
      </c>
      <c r="AA52" s="176"/>
      <c r="AB52" s="322"/>
      <c r="AC52" s="326"/>
      <c r="AD52" s="326"/>
      <c r="AE52" s="322"/>
      <c r="AF52" s="178"/>
      <c r="AG52" s="176"/>
      <c r="AH52" s="322"/>
      <c r="AI52" s="322"/>
      <c r="AJ52" s="322"/>
      <c r="AK52" s="322"/>
      <c r="AL52" s="328">
        <f>$K$95</f>
        <v>0</v>
      </c>
      <c r="AM52" s="408"/>
      <c r="AN52" s="27"/>
    </row>
    <row r="53" spans="1:40" ht="16.5" customHeight="1" thickBot="1" x14ac:dyDescent="0.5">
      <c r="B53" s="18"/>
      <c r="C53" s="245" t="s">
        <v>85</v>
      </c>
      <c r="D53" s="166">
        <v>44</v>
      </c>
      <c r="E53" s="243">
        <v>0</v>
      </c>
      <c r="F53" s="340"/>
      <c r="G53" s="340"/>
      <c r="H53" s="341"/>
      <c r="I53" s="341"/>
      <c r="J53" s="341"/>
      <c r="K53" s="341"/>
      <c r="L53" s="341"/>
      <c r="M53" s="342"/>
      <c r="N53" s="341"/>
      <c r="O53" s="343"/>
      <c r="P53" s="543">
        <v>0</v>
      </c>
      <c r="Q53" s="344"/>
      <c r="R53" s="345"/>
      <c r="S53" s="343"/>
      <c r="T53" s="345"/>
      <c r="U53" s="550">
        <v>0</v>
      </c>
      <c r="V53" s="344"/>
      <c r="W53" s="22"/>
      <c r="X53" s="18"/>
      <c r="Y53" s="408"/>
      <c r="Z53" s="551"/>
      <c r="AA53" s="291"/>
      <c r="AB53" s="545"/>
      <c r="AC53" s="545"/>
      <c r="AD53" s="545"/>
      <c r="AE53" s="545"/>
      <c r="AF53" s="291"/>
      <c r="AG53" s="291"/>
      <c r="AH53" s="545"/>
      <c r="AI53" s="545"/>
      <c r="AJ53" s="545"/>
      <c r="AK53" s="545"/>
      <c r="AL53" s="552"/>
      <c r="AM53" s="408"/>
      <c r="AN53" s="27"/>
    </row>
    <row r="54" spans="1:40" ht="16.5" customHeight="1" x14ac:dyDescent="0.45">
      <c r="B54" s="18"/>
      <c r="C54" s="142" t="s">
        <v>86</v>
      </c>
      <c r="D54" s="142"/>
      <c r="E54" s="142"/>
      <c r="F54" s="338"/>
      <c r="G54" s="338"/>
      <c r="H54" s="338"/>
      <c r="I54" s="338"/>
      <c r="J54" s="338"/>
      <c r="K54" s="338"/>
      <c r="L54" s="338"/>
      <c r="M54" s="338"/>
      <c r="N54" s="338"/>
      <c r="O54" s="338"/>
      <c r="P54" s="367"/>
      <c r="Q54" s="338"/>
      <c r="R54" s="338"/>
      <c r="S54" s="338"/>
      <c r="T54" s="338"/>
      <c r="U54" s="367"/>
      <c r="V54" s="339"/>
      <c r="W54" s="22"/>
      <c r="X54" s="18"/>
      <c r="Y54" s="408"/>
      <c r="Z54" s="553" t="s">
        <v>44</v>
      </c>
      <c r="AA54" s="154" t="str">
        <f>SUM(AA20:AA47)&amp;" KG"</f>
        <v>0 KG</v>
      </c>
      <c r="AB54" s="323">
        <f>SUM(AB20:AB47)</f>
        <v>0</v>
      </c>
      <c r="AC54" s="323">
        <f>SUM(AC20:AC47)</f>
        <v>0</v>
      </c>
      <c r="AD54" s="323">
        <f>SUM(AD20:AD47)</f>
        <v>0</v>
      </c>
      <c r="AE54" s="323">
        <f>SUM(AB54:AD54)</f>
        <v>0</v>
      </c>
      <c r="AF54" s="155"/>
      <c r="AG54" s="156" t="str">
        <f>SUM(AG20:AG47)&amp;" KG"</f>
        <v>0 KG</v>
      </c>
      <c r="AH54" s="323">
        <f>SUM(AH20:AH47)</f>
        <v>0</v>
      </c>
      <c r="AI54" s="323">
        <f>SUM(AI20:AI47)</f>
        <v>0</v>
      </c>
      <c r="AJ54" s="323">
        <f>SUM(AJ20:AJ47)</f>
        <v>0</v>
      </c>
      <c r="AK54" s="323">
        <f>SUM(AH54:AJ54)</f>
        <v>0</v>
      </c>
      <c r="AL54" s="323">
        <f>SUM(AL20:AL52)</f>
        <v>0</v>
      </c>
      <c r="AM54" s="695">
        <f>IF(AL54&gt;0,1,0)</f>
        <v>0</v>
      </c>
      <c r="AN54" s="27"/>
    </row>
    <row r="55" spans="1:40" ht="16.5" customHeight="1" thickBot="1" x14ac:dyDescent="0.5">
      <c r="B55" s="18"/>
      <c r="C55" s="246" t="s">
        <v>51</v>
      </c>
      <c r="D55" s="169">
        <v>44</v>
      </c>
      <c r="E55" s="244">
        <v>0</v>
      </c>
      <c r="F55" s="733" t="s">
        <v>220</v>
      </c>
      <c r="G55" s="170"/>
      <c r="H55" s="58"/>
      <c r="I55" s="58"/>
      <c r="J55" s="58"/>
      <c r="K55" s="58"/>
      <c r="L55" s="58"/>
      <c r="M55" s="171"/>
      <c r="N55" s="172"/>
      <c r="O55" s="173"/>
      <c r="P55" s="734">
        <v>0</v>
      </c>
      <c r="Q55" s="141"/>
      <c r="R55" s="394"/>
      <c r="S55" s="173"/>
      <c r="T55" s="59"/>
      <c r="U55" s="734">
        <v>0</v>
      </c>
      <c r="V55" s="141"/>
      <c r="W55" s="22"/>
      <c r="X55" s="18"/>
      <c r="Y55" s="408"/>
      <c r="Z55" s="408"/>
      <c r="AA55" s="408"/>
      <c r="AB55" s="408"/>
      <c r="AC55" s="408"/>
      <c r="AD55" s="408"/>
      <c r="AE55" s="408"/>
      <c r="AF55" s="408"/>
      <c r="AG55" s="408"/>
      <c r="AH55" s="408"/>
      <c r="AI55" s="408"/>
      <c r="AJ55" s="408"/>
      <c r="AK55" s="408"/>
      <c r="AL55" s="408"/>
      <c r="AM55" s="408"/>
      <c r="AN55" s="27"/>
    </row>
    <row r="56" spans="1:40" ht="22.5" customHeight="1" thickBot="1" x14ac:dyDescent="0.5">
      <c r="A56" s="1"/>
      <c r="B56" s="174"/>
      <c r="C56" s="239"/>
      <c r="D56" s="158" t="s">
        <v>2</v>
      </c>
      <c r="E56" s="170"/>
      <c r="F56" s="170"/>
      <c r="G56" s="170"/>
      <c r="H56" s="158" t="s">
        <v>2</v>
      </c>
      <c r="I56" s="158" t="s">
        <v>2</v>
      </c>
      <c r="J56" s="158"/>
      <c r="K56" s="158"/>
      <c r="L56" s="158"/>
      <c r="M56" s="159" t="s">
        <v>2</v>
      </c>
      <c r="N56" s="170"/>
      <c r="O56" s="162"/>
      <c r="P56" s="162"/>
      <c r="Q56" s="162"/>
      <c r="R56" s="170"/>
      <c r="S56" s="162"/>
      <c r="T56" s="162"/>
      <c r="U56" s="162"/>
      <c r="V56" s="162"/>
      <c r="W56" s="175"/>
      <c r="X56" s="174"/>
      <c r="Y56" s="170"/>
      <c r="Z56" s="170"/>
      <c r="AA56" s="176"/>
      <c r="AB56" s="176"/>
      <c r="AC56" s="177"/>
      <c r="AD56" s="177"/>
      <c r="AE56" s="176"/>
      <c r="AF56" s="178"/>
      <c r="AG56" s="176"/>
      <c r="AH56" s="176"/>
      <c r="AI56" s="176"/>
      <c r="AJ56" s="176"/>
      <c r="AK56" s="179"/>
      <c r="AL56" s="179"/>
      <c r="AM56" s="158"/>
      <c r="AN56" s="161"/>
    </row>
    <row r="57" spans="1:40" ht="18" customHeight="1" x14ac:dyDescent="0.45"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28" hidden="1" x14ac:dyDescent="0.45">
      <c r="H58" s="180" t="s">
        <v>52</v>
      </c>
      <c r="I58" s="180" t="s">
        <v>53</v>
      </c>
      <c r="J58" s="180" t="s">
        <v>54</v>
      </c>
      <c r="K58" s="180" t="s">
        <v>55</v>
      </c>
      <c r="L58" s="180" t="s">
        <v>56</v>
      </c>
      <c r="M58" s="181" t="s">
        <v>57</v>
      </c>
      <c r="P58" s="6" t="s">
        <v>58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idden="1" x14ac:dyDescent="0.45">
      <c r="C59" s="2" t="s">
        <v>47</v>
      </c>
      <c r="D59" s="182">
        <v>2</v>
      </c>
      <c r="H59" s="183">
        <v>16</v>
      </c>
      <c r="I59" s="183">
        <v>12</v>
      </c>
      <c r="J59" s="183">
        <v>4</v>
      </c>
      <c r="K59" s="183">
        <v>16</v>
      </c>
      <c r="L59" s="183">
        <v>7</v>
      </c>
      <c r="M59" s="183">
        <v>8</v>
      </c>
      <c r="P59" s="6" t="s">
        <v>59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idden="1" x14ac:dyDescent="0.45">
      <c r="C60" s="2" t="s">
        <v>50</v>
      </c>
      <c r="D60" s="182">
        <v>5</v>
      </c>
      <c r="H60" s="183">
        <v>1</v>
      </c>
      <c r="I60" s="183">
        <v>0</v>
      </c>
      <c r="J60" s="183">
        <v>21</v>
      </c>
      <c r="K60" s="183">
        <v>0</v>
      </c>
      <c r="L60" s="183">
        <v>51</v>
      </c>
      <c r="M60" s="183">
        <v>26</v>
      </c>
      <c r="P60" s="6" t="s">
        <v>60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idden="1" x14ac:dyDescent="0.45">
      <c r="C61" s="2" t="s">
        <v>48</v>
      </c>
      <c r="D61" s="182">
        <v>3</v>
      </c>
      <c r="H61" s="183">
        <v>4</v>
      </c>
      <c r="I61" s="183">
        <v>4</v>
      </c>
      <c r="J61" s="183">
        <v>0</v>
      </c>
      <c r="K61" s="183">
        <v>4</v>
      </c>
      <c r="L61" s="183">
        <v>0</v>
      </c>
      <c r="M61" s="183">
        <v>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 x14ac:dyDescent="0.45">
      <c r="C62" s="2" t="s">
        <v>49</v>
      </c>
      <c r="D62" s="182">
        <v>4</v>
      </c>
      <c r="H62" s="183">
        <v>0</v>
      </c>
      <c r="I62" s="183">
        <v>0</v>
      </c>
      <c r="J62" s="183">
        <v>0</v>
      </c>
      <c r="K62" s="183">
        <v>0</v>
      </c>
      <c r="L62" s="183">
        <v>0</v>
      </c>
      <c r="M62" s="183">
        <v>4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26.5" x14ac:dyDescent="0.45">
      <c r="A63" s="255"/>
      <c r="B63" s="256"/>
      <c r="C63" s="362" t="s">
        <v>100</v>
      </c>
      <c r="D63" s="258" t="s">
        <v>101</v>
      </c>
      <c r="E63" s="258"/>
      <c r="F63" s="256"/>
      <c r="G63" s="256"/>
      <c r="H63" s="259"/>
      <c r="I63" s="256"/>
      <c r="J63" s="257" t="s">
        <v>151</v>
      </c>
      <c r="K63" s="256"/>
      <c r="L63" s="257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7" thickBot="1" x14ac:dyDescent="0.5">
      <c r="A64" s="255"/>
      <c r="B64" s="260"/>
      <c r="C64" s="260"/>
      <c r="D64" s="260"/>
      <c r="E64" s="260"/>
      <c r="F64" s="256"/>
      <c r="G64" s="256"/>
      <c r="H64" s="260"/>
      <c r="I64" s="256"/>
      <c r="J64" s="260"/>
      <c r="K64" s="256"/>
      <c r="L64" s="260"/>
    </row>
    <row r="65" spans="1:12" ht="27.5" thickTop="1" thickBot="1" x14ac:dyDescent="0.5">
      <c r="A65" s="255"/>
      <c r="B65" s="256"/>
      <c r="C65" s="257" t="s">
        <v>1</v>
      </c>
      <c r="D65" s="554">
        <f>D4</f>
        <v>0</v>
      </c>
      <c r="E65" s="258"/>
      <c r="F65" s="256"/>
      <c r="G65" s="256"/>
      <c r="H65" s="259"/>
      <c r="I65" s="256"/>
      <c r="J65" s="260"/>
      <c r="K65" s="256"/>
      <c r="L65" s="260"/>
    </row>
    <row r="66" spans="1:12" ht="27" thickTop="1" x14ac:dyDescent="0.45">
      <c r="A66" s="255"/>
      <c r="B66" s="257"/>
      <c r="C66" s="258"/>
      <c r="D66" s="258"/>
      <c r="E66" s="258"/>
      <c r="F66" s="256"/>
      <c r="G66" s="256"/>
      <c r="H66" s="259"/>
      <c r="I66" s="256"/>
      <c r="J66" s="260"/>
      <c r="K66" s="256"/>
      <c r="L66" s="260"/>
    </row>
    <row r="67" spans="1:12" ht="17" thickBot="1" x14ac:dyDescent="0.5">
      <c r="A67" s="255"/>
      <c r="B67" s="261" t="s">
        <v>103</v>
      </c>
      <c r="C67" s="262" t="s">
        <v>53</v>
      </c>
      <c r="D67" s="260"/>
      <c r="E67" s="263"/>
      <c r="F67" s="256"/>
      <c r="G67" s="256"/>
      <c r="H67" s="264"/>
      <c r="I67" s="256"/>
      <c r="J67" s="260"/>
      <c r="K67" s="256"/>
      <c r="L67" s="260"/>
    </row>
    <row r="68" spans="1:12" ht="17.5" thickTop="1" thickBot="1" x14ac:dyDescent="0.5">
      <c r="A68" s="255"/>
      <c r="B68" s="261" t="s">
        <v>103</v>
      </c>
      <c r="C68" s="266" t="s">
        <v>104</v>
      </c>
      <c r="D68" s="556">
        <v>52000</v>
      </c>
      <c r="E68" s="263"/>
      <c r="F68" s="256"/>
      <c r="G68" s="256"/>
      <c r="H68" s="264"/>
      <c r="I68" s="256"/>
      <c r="J68" s="260"/>
      <c r="K68" s="256"/>
      <c r="L68" s="260"/>
    </row>
    <row r="69" spans="1:12" ht="17.5" hidden="1" thickTop="1" thickBot="1" x14ac:dyDescent="0.5">
      <c r="A69" s="255"/>
      <c r="B69" s="261" t="s">
        <v>103</v>
      </c>
      <c r="C69" s="265" t="s">
        <v>105</v>
      </c>
      <c r="D69" s="555">
        <v>52</v>
      </c>
      <c r="E69" s="263"/>
      <c r="F69" s="256"/>
      <c r="G69" s="256"/>
      <c r="H69" s="263"/>
      <c r="I69" s="256"/>
      <c r="J69" s="263"/>
      <c r="K69" s="256"/>
      <c r="L69" s="263"/>
    </row>
    <row r="70" spans="1:12" ht="32" hidden="1" thickTop="1" thickBot="1" x14ac:dyDescent="0.5">
      <c r="A70" s="255"/>
      <c r="B70" s="256"/>
      <c r="C70" s="266" t="s">
        <v>106</v>
      </c>
      <c r="D70" s="556">
        <v>52052</v>
      </c>
      <c r="E70" s="256"/>
      <c r="F70" s="256"/>
      <c r="G70" s="256"/>
      <c r="H70" s="263"/>
      <c r="I70" s="256"/>
      <c r="J70" s="263"/>
      <c r="K70" s="256"/>
      <c r="L70" s="263"/>
    </row>
    <row r="71" spans="1:12" ht="17.5" thickTop="1" thickBot="1" x14ac:dyDescent="0.5">
      <c r="A71" s="255"/>
      <c r="B71" s="256"/>
      <c r="C71" s="261"/>
      <c r="D71" s="557"/>
      <c r="E71" s="260"/>
      <c r="F71" s="256"/>
      <c r="G71" s="256"/>
      <c r="H71" s="264"/>
      <c r="I71" s="256"/>
      <c r="J71" s="260"/>
      <c r="K71" s="256"/>
      <c r="L71" s="260"/>
    </row>
    <row r="72" spans="1:12" ht="17.5" thickTop="1" thickBot="1" x14ac:dyDescent="0.5">
      <c r="A72" s="269"/>
      <c r="B72" s="256"/>
      <c r="C72" s="266" t="s">
        <v>107</v>
      </c>
      <c r="D72" s="556">
        <v>44</v>
      </c>
      <c r="E72" s="263"/>
      <c r="F72" s="256"/>
      <c r="G72" s="256"/>
      <c r="H72" s="263"/>
      <c r="I72" s="256"/>
      <c r="J72" s="263"/>
      <c r="K72" s="256"/>
      <c r="L72" s="263"/>
    </row>
    <row r="73" spans="1:12" ht="17" thickTop="1" x14ac:dyDescent="0.45">
      <c r="A73" s="255"/>
      <c r="B73" s="256"/>
      <c r="C73" s="261"/>
      <c r="D73" s="268"/>
      <c r="E73" s="260"/>
      <c r="F73" s="256"/>
      <c r="G73" s="256"/>
      <c r="H73" s="264"/>
      <c r="I73" s="256"/>
      <c r="J73" s="260"/>
      <c r="K73" s="256"/>
      <c r="L73" s="260"/>
    </row>
    <row r="74" spans="1:12" ht="32" hidden="1" thickTop="1" thickBot="1" x14ac:dyDescent="0.5">
      <c r="A74" s="269"/>
      <c r="B74" s="256"/>
      <c r="C74" s="270" t="s">
        <v>108</v>
      </c>
      <c r="D74" s="267">
        <v>0</v>
      </c>
      <c r="E74" s="263"/>
      <c r="F74" s="256"/>
      <c r="G74" s="256"/>
      <c r="H74" s="263"/>
      <c r="I74" s="256"/>
      <c r="J74" s="263"/>
      <c r="K74" s="256"/>
      <c r="L74" s="263"/>
    </row>
    <row r="75" spans="1:12" ht="17.5" hidden="1" thickTop="1" thickBot="1" x14ac:dyDescent="0.5">
      <c r="A75" s="269"/>
      <c r="B75" s="271"/>
      <c r="C75" s="266" t="s">
        <v>109</v>
      </c>
      <c r="D75" s="267">
        <v>1</v>
      </c>
      <c r="E75" s="263"/>
      <c r="F75" s="256"/>
      <c r="G75" s="256"/>
      <c r="H75" s="263"/>
      <c r="I75" s="256"/>
      <c r="J75" s="263"/>
      <c r="K75" s="256"/>
      <c r="L75" s="263"/>
    </row>
    <row r="76" spans="1:12" ht="32" hidden="1" thickTop="1" thickBot="1" x14ac:dyDescent="0.5">
      <c r="A76" s="269"/>
      <c r="B76" s="256"/>
      <c r="C76" s="270" t="s">
        <v>110</v>
      </c>
      <c r="D76" s="267">
        <v>0</v>
      </c>
      <c r="E76" s="263"/>
      <c r="F76" s="256"/>
      <c r="G76" s="256"/>
      <c r="H76" s="263"/>
      <c r="I76" s="256"/>
      <c r="J76" s="263"/>
      <c r="K76" s="256"/>
      <c r="L76" s="263"/>
    </row>
    <row r="77" spans="1:12" hidden="1" x14ac:dyDescent="0.45">
      <c r="A77" s="269"/>
      <c r="B77" s="271"/>
      <c r="C77" s="272"/>
      <c r="D77" s="273"/>
      <c r="E77" s="263"/>
      <c r="F77" s="256"/>
      <c r="G77" s="256"/>
      <c r="H77" s="263"/>
      <c r="I77" s="256"/>
      <c r="J77" s="263"/>
      <c r="K77" s="256"/>
      <c r="L77" s="263"/>
    </row>
    <row r="78" spans="1:12" ht="17" thickBot="1" x14ac:dyDescent="0.5">
      <c r="A78" s="269"/>
      <c r="B78" s="256"/>
      <c r="C78" s="263"/>
      <c r="D78" s="256"/>
      <c r="E78" s="256"/>
      <c r="F78" s="256"/>
      <c r="G78" s="256"/>
      <c r="H78" s="256"/>
      <c r="I78" s="256"/>
      <c r="J78" s="256"/>
      <c r="K78" s="256"/>
      <c r="L78" s="256"/>
    </row>
    <row r="79" spans="1:12" x14ac:dyDescent="0.45">
      <c r="A79" s="269"/>
      <c r="B79" s="737" t="s">
        <v>152</v>
      </c>
      <c r="C79" s="274"/>
      <c r="D79" s="769" t="s">
        <v>131</v>
      </c>
      <c r="E79" s="784" t="s">
        <v>130</v>
      </c>
      <c r="F79" s="256"/>
      <c r="G79" s="256"/>
      <c r="H79" s="753" t="s">
        <v>132</v>
      </c>
      <c r="I79" s="256"/>
      <c r="J79" s="771" t="s">
        <v>111</v>
      </c>
      <c r="K79" s="797"/>
      <c r="L79" s="256"/>
    </row>
    <row r="80" spans="1:12" ht="17" thickBot="1" x14ac:dyDescent="0.5">
      <c r="A80" s="269"/>
      <c r="B80" s="738"/>
      <c r="C80" s="275"/>
      <c r="D80" s="770"/>
      <c r="E80" s="785"/>
      <c r="F80" s="256"/>
      <c r="G80" s="256"/>
      <c r="H80" s="754"/>
      <c r="I80" s="256"/>
      <c r="J80" s="558"/>
      <c r="K80" s="559"/>
      <c r="L80" s="256"/>
    </row>
    <row r="81" spans="1:12" x14ac:dyDescent="0.45">
      <c r="A81" s="269"/>
      <c r="B81" s="738"/>
      <c r="C81" s="278" t="s">
        <v>143</v>
      </c>
      <c r="D81" s="560">
        <v>52000</v>
      </c>
      <c r="E81" s="560">
        <f>IF(D72="",0,D72)</f>
        <v>44</v>
      </c>
      <c r="F81" s="256"/>
      <c r="G81" s="256"/>
      <c r="H81" s="279">
        <v>0</v>
      </c>
      <c r="I81" s="256"/>
      <c r="J81" s="280"/>
      <c r="K81" s="561">
        <f>$H81/1000*$D81*E81</f>
        <v>0</v>
      </c>
      <c r="L81" s="256"/>
    </row>
    <row r="82" spans="1:12" x14ac:dyDescent="0.45">
      <c r="A82" s="269"/>
      <c r="B82" s="738"/>
      <c r="C82" s="281" t="s">
        <v>212</v>
      </c>
      <c r="D82" s="560">
        <f>IF(D20&gt;5,0,D81)</f>
        <v>52000</v>
      </c>
      <c r="E82" s="560">
        <f>IF(D20&gt;5,0,E81)</f>
        <v>44</v>
      </c>
      <c r="F82" s="256"/>
      <c r="G82" s="256"/>
      <c r="H82" s="279">
        <v>0</v>
      </c>
      <c r="I82" s="256"/>
      <c r="J82" s="282"/>
      <c r="K82" s="562">
        <f>$H82/1000*$D82*E82</f>
        <v>0</v>
      </c>
      <c r="L82" s="256"/>
    </row>
    <row r="83" spans="1:12" x14ac:dyDescent="0.45">
      <c r="A83" s="269"/>
      <c r="B83" s="738"/>
      <c r="C83" s="281" t="s">
        <v>211</v>
      </c>
      <c r="D83" s="560">
        <f>IF(E83=0,0,D81)</f>
        <v>0</v>
      </c>
      <c r="E83" s="560">
        <f>IF(D20&gt;5,6,0)</f>
        <v>0</v>
      </c>
      <c r="F83" s="256"/>
      <c r="G83" s="256"/>
      <c r="H83" s="279">
        <v>0</v>
      </c>
      <c r="I83" s="256"/>
      <c r="J83" s="282"/>
      <c r="K83" s="562">
        <f>$H83/1000*$D83*E83</f>
        <v>0</v>
      </c>
      <c r="L83" s="256"/>
    </row>
    <row r="84" spans="1:12" x14ac:dyDescent="0.45">
      <c r="A84" s="269"/>
      <c r="B84" s="738"/>
      <c r="C84" s="281" t="s">
        <v>112</v>
      </c>
      <c r="D84" s="560">
        <v>0</v>
      </c>
      <c r="E84" s="560">
        <v>0</v>
      </c>
      <c r="F84" s="256"/>
      <c r="G84" s="256"/>
      <c r="H84" s="279">
        <v>0</v>
      </c>
      <c r="I84" s="256"/>
      <c r="J84" s="282"/>
      <c r="K84" s="562">
        <f>$H84/1000*$D84*E84</f>
        <v>0</v>
      </c>
      <c r="L84" s="256"/>
    </row>
    <row r="85" spans="1:12" x14ac:dyDescent="0.45">
      <c r="A85" s="269"/>
      <c r="B85" s="738"/>
      <c r="C85" s="281" t="s">
        <v>113</v>
      </c>
      <c r="D85" s="560">
        <f>D81</f>
        <v>52000</v>
      </c>
      <c r="E85" s="560">
        <v>4</v>
      </c>
      <c r="F85" s="256"/>
      <c r="G85" s="256"/>
      <c r="H85" s="279">
        <v>0</v>
      </c>
      <c r="I85" s="256"/>
      <c r="J85" s="282"/>
      <c r="K85" s="562">
        <f t="shared" ref="K85:K87" si="26">$H85/1000*$D85*E85</f>
        <v>0</v>
      </c>
      <c r="L85" s="256"/>
    </row>
    <row r="86" spans="1:12" x14ac:dyDescent="0.45">
      <c r="A86" s="269"/>
      <c r="B86" s="738"/>
      <c r="C86" s="281" t="s">
        <v>114</v>
      </c>
      <c r="D86" s="560">
        <f>D81</f>
        <v>52000</v>
      </c>
      <c r="E86" s="560">
        <v>1</v>
      </c>
      <c r="F86" s="256"/>
      <c r="G86" s="256"/>
      <c r="H86" s="279">
        <v>0</v>
      </c>
      <c r="I86" s="256"/>
      <c r="J86" s="282"/>
      <c r="K86" s="562">
        <f t="shared" si="26"/>
        <v>0</v>
      </c>
      <c r="L86" s="256"/>
    </row>
    <row r="87" spans="1:12" ht="17" thickBot="1" x14ac:dyDescent="0.5">
      <c r="A87" s="269"/>
      <c r="B87" s="739"/>
      <c r="C87" s="283" t="s">
        <v>115</v>
      </c>
      <c r="D87" s="563">
        <v>52000</v>
      </c>
      <c r="E87" s="563">
        <v>1</v>
      </c>
      <c r="F87" s="256"/>
      <c r="G87" s="256"/>
      <c r="H87" s="284">
        <v>0</v>
      </c>
      <c r="I87" s="256"/>
      <c r="J87" s="285"/>
      <c r="K87" s="564">
        <f t="shared" si="26"/>
        <v>0</v>
      </c>
      <c r="L87" s="256"/>
    </row>
    <row r="88" spans="1:12" x14ac:dyDescent="0.45">
      <c r="A88" s="269"/>
      <c r="B88" s="286"/>
      <c r="C88" s="287" t="s">
        <v>116</v>
      </c>
      <c r="D88" s="288"/>
      <c r="E88" s="256"/>
      <c r="F88" s="256"/>
      <c r="G88" s="256"/>
      <c r="H88" s="289"/>
      <c r="I88" s="256"/>
      <c r="J88" s="290"/>
      <c r="K88" s="565">
        <f>SUM(K81:K87)</f>
        <v>0</v>
      </c>
      <c r="L88" s="256"/>
    </row>
    <row r="89" spans="1:12" ht="17" thickBot="1" x14ac:dyDescent="0.5">
      <c r="A89" s="269"/>
      <c r="B89" s="263"/>
      <c r="C89" s="263"/>
      <c r="D89" s="263"/>
      <c r="E89" s="263"/>
      <c r="F89" s="291"/>
      <c r="G89" s="291"/>
      <c r="H89" s="263"/>
      <c r="I89" s="256"/>
      <c r="J89" s="263"/>
      <c r="K89" s="256"/>
      <c r="L89" s="256"/>
    </row>
    <row r="90" spans="1:12" x14ac:dyDescent="0.45">
      <c r="A90" s="269"/>
      <c r="B90" s="744" t="s">
        <v>117</v>
      </c>
      <c r="C90" s="292"/>
      <c r="D90" s="747" t="s">
        <v>133</v>
      </c>
      <c r="E90" s="748"/>
      <c r="F90" s="749"/>
      <c r="G90" s="291"/>
      <c r="H90" s="753" t="s">
        <v>118</v>
      </c>
      <c r="I90" s="256"/>
      <c r="J90" s="740" t="s">
        <v>111</v>
      </c>
      <c r="K90" s="795"/>
      <c r="L90" s="256"/>
    </row>
    <row r="91" spans="1:12" ht="17" thickBot="1" x14ac:dyDescent="0.5">
      <c r="A91" s="269"/>
      <c r="B91" s="745"/>
      <c r="C91" s="293"/>
      <c r="D91" s="750"/>
      <c r="E91" s="794"/>
      <c r="F91" s="752"/>
      <c r="G91" s="291"/>
      <c r="H91" s="754"/>
      <c r="I91" s="256"/>
      <c r="J91" s="742"/>
      <c r="K91" s="743"/>
      <c r="L91" s="256"/>
    </row>
    <row r="92" spans="1:12" x14ac:dyDescent="0.45">
      <c r="A92" s="269"/>
      <c r="B92" s="745"/>
      <c r="C92" s="294" t="s">
        <v>119</v>
      </c>
      <c r="D92" s="755" t="s">
        <v>221</v>
      </c>
      <c r="E92" s="756"/>
      <c r="F92" s="757"/>
      <c r="G92" s="291"/>
      <c r="H92" s="295">
        <v>0</v>
      </c>
      <c r="I92" s="256"/>
      <c r="J92" s="296"/>
      <c r="K92" s="297">
        <f>H92*$D$72</f>
        <v>0</v>
      </c>
      <c r="L92" s="256"/>
    </row>
    <row r="93" spans="1:12" x14ac:dyDescent="0.45">
      <c r="A93" s="269"/>
      <c r="B93" s="745"/>
      <c r="C93" s="382" t="s">
        <v>148</v>
      </c>
      <c r="D93" s="758" t="s">
        <v>222</v>
      </c>
      <c r="E93" s="759"/>
      <c r="F93" s="760"/>
      <c r="G93" s="291"/>
      <c r="H93" s="279">
        <v>0</v>
      </c>
      <c r="I93" s="256"/>
      <c r="J93" s="296"/>
      <c r="K93" s="297">
        <f>H93*$D$72</f>
        <v>0</v>
      </c>
      <c r="L93" s="256"/>
    </row>
    <row r="94" spans="1:12" ht="17" thickBot="1" x14ac:dyDescent="0.5">
      <c r="A94" s="269"/>
      <c r="B94" s="746"/>
      <c r="C94" s="298" t="s">
        <v>121</v>
      </c>
      <c r="D94" s="761" t="s">
        <v>219</v>
      </c>
      <c r="E94" s="762"/>
      <c r="F94" s="763"/>
      <c r="G94" s="291"/>
      <c r="H94" s="284">
        <v>0</v>
      </c>
      <c r="I94" s="256"/>
      <c r="J94" s="296"/>
      <c r="K94" s="297">
        <f>H94*$D$72</f>
        <v>0</v>
      </c>
      <c r="L94" s="256"/>
    </row>
    <row r="95" spans="1:12" x14ac:dyDescent="0.45">
      <c r="A95" s="269"/>
      <c r="B95" s="263"/>
      <c r="C95" s="287" t="s">
        <v>116</v>
      </c>
      <c r="D95" s="300"/>
      <c r="E95" s="256"/>
      <c r="F95" s="291"/>
      <c r="G95" s="291"/>
      <c r="H95" s="301"/>
      <c r="I95" s="256"/>
      <c r="J95" s="302"/>
      <c r="K95" s="303">
        <f>SUM(K90:K94)</f>
        <v>0</v>
      </c>
      <c r="L95" s="256"/>
    </row>
    <row r="96" spans="1:12" ht="17" thickBot="1" x14ac:dyDescent="0.5">
      <c r="A96" s="269"/>
      <c r="B96" s="263"/>
      <c r="C96" s="263"/>
      <c r="D96" s="263"/>
      <c r="E96" s="263"/>
      <c r="F96" s="291"/>
      <c r="G96" s="291"/>
      <c r="H96" s="263"/>
      <c r="I96" s="256"/>
      <c r="J96" s="256"/>
      <c r="K96" s="256"/>
      <c r="L96" s="256"/>
    </row>
    <row r="97" spans="1:12" ht="17" thickBot="1" x14ac:dyDescent="0.5">
      <c r="A97" s="269"/>
      <c r="B97" s="271"/>
      <c r="C97" s="304"/>
      <c r="D97" s="305"/>
      <c r="E97" s="305"/>
      <c r="F97" s="305"/>
      <c r="G97" s="305"/>
      <c r="H97" s="305"/>
      <c r="I97" s="305"/>
      <c r="J97" s="306"/>
      <c r="K97" s="307">
        <f>SUM(J81:K87, J92:K94)</f>
        <v>0</v>
      </c>
      <c r="L97" s="256"/>
    </row>
    <row r="98" spans="1:12" x14ac:dyDescent="0.45">
      <c r="A98" s="269"/>
      <c r="B98" s="271"/>
      <c r="C98" s="263"/>
      <c r="D98" s="263"/>
      <c r="E98" s="263"/>
      <c r="F98" s="263"/>
      <c r="G98" s="263"/>
      <c r="H98" s="263"/>
      <c r="I98" s="263"/>
      <c r="J98" s="263"/>
      <c r="K98" s="263"/>
      <c r="L98" s="256"/>
    </row>
    <row r="99" spans="1:12" x14ac:dyDescent="0.45">
      <c r="A99" s="269"/>
      <c r="B99" s="263"/>
      <c r="C99" s="263"/>
      <c r="D99" s="263"/>
      <c r="E99" s="263"/>
      <c r="F99" s="263"/>
      <c r="G99" s="263"/>
      <c r="H99" s="263"/>
      <c r="I99" s="256"/>
      <c r="J99" s="256"/>
      <c r="K99" s="256"/>
      <c r="L99" s="256"/>
    </row>
  </sheetData>
  <sheetProtection algorithmName="SHA-512" hashValue="2ZkpQZXUUwfBVvQs9B6QghT5PTxNJcALJtP9zeNvHdI4xzITdYEl/Gykz6LluGN9rE9vajkfV2u+Dc9TUjaXzw==" saltValue="ivxV2ccfRrdNh5UvvHtWpQ==" spinCount="100000" sheet="1" objects="1" scenarios="1"/>
  <mergeCells count="24">
    <mergeCell ref="Z12:AK14"/>
    <mergeCell ref="E16:F16"/>
    <mergeCell ref="H16:M16"/>
    <mergeCell ref="O16:Q16"/>
    <mergeCell ref="S16:V16"/>
    <mergeCell ref="AA16:AE16"/>
    <mergeCell ref="AG16:AK16"/>
    <mergeCell ref="B79:B87"/>
    <mergeCell ref="D79:D80"/>
    <mergeCell ref="E79:E80"/>
    <mergeCell ref="H79:H80"/>
    <mergeCell ref="J79:K79"/>
    <mergeCell ref="C22:D22"/>
    <mergeCell ref="C26:D26"/>
    <mergeCell ref="C36:I36"/>
    <mergeCell ref="O37:Q37"/>
    <mergeCell ref="O46:Q46"/>
    <mergeCell ref="B90:B94"/>
    <mergeCell ref="D90:F91"/>
    <mergeCell ref="H90:H91"/>
    <mergeCell ref="J90:K91"/>
    <mergeCell ref="D92:F92"/>
    <mergeCell ref="D93:F93"/>
    <mergeCell ref="D94:F94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pagina breedte." xr:uid="{DCC5EB77-4150-4B80-A337-9628E4D01059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omvang." xr:uid="{48E404C6-ACD1-429C-89EE-32C017C0F313}">
          <x14:formula1>
            <xm:f>Blad2!$C$1:$C$5</xm:f>
          </x14:formula1>
          <xm:sqref>D9</xm:sqref>
        </x14:dataValidation>
        <x14:dataValidation type="list" allowBlank="1" showInputMessage="1" showErrorMessage="1" prompt="Selecteer een druktechniek." xr:uid="{53B474B6-34BB-476C-9449-DADE0F3EE8D6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afwerkings methode." xr:uid="{228127FB-8CF8-48A5-97F4-216B0C0D81C1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looprichting." xr:uid="{06167830-CB0A-461E-B9EF-8E15FC7B1950}">
          <x14:formula1>
            <xm:f>Blad2!$F$1:$F$3</xm:f>
          </x14:formula1>
          <xm:sqref>L20 L23:L24 L27:L34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6595F-0620-49A8-B441-C4183991F324}">
  <dimension ref="A1:AN91"/>
  <sheetViews>
    <sheetView showGridLines="0" topLeftCell="A58" zoomScale="90" zoomScaleNormal="90" workbookViewId="0">
      <selection activeCell="N85" sqref="N85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153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154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42"/>
      <c r="Z3" s="242"/>
      <c r="AA3" s="316"/>
      <c r="AB3" s="316"/>
      <c r="AC3" s="316"/>
      <c r="AD3" s="316"/>
      <c r="AE3" s="316"/>
      <c r="AF3" s="241"/>
      <c r="AG3" s="388"/>
      <c r="AH3" s="388"/>
      <c r="AI3" s="388"/>
      <c r="AJ3" s="388"/>
      <c r="AK3" s="241"/>
      <c r="AL3" s="241"/>
      <c r="AM3" s="241"/>
      <c r="AN3" s="27"/>
    </row>
    <row r="4" spans="2:40" ht="31.5" customHeight="1" thickBot="1" x14ac:dyDescent="0.5">
      <c r="B4" s="18"/>
      <c r="C4" s="139" t="s">
        <v>1</v>
      </c>
      <c r="D4" s="389"/>
      <c r="E4" s="390" t="str">
        <f>IF(D4="","verplicht veld","")</f>
        <v>verplicht veld</v>
      </c>
      <c r="F4" s="22"/>
      <c r="G4" s="242"/>
      <c r="H4" s="241"/>
      <c r="I4" s="241"/>
      <c r="J4" s="391"/>
      <c r="K4" s="391"/>
      <c r="L4" s="392"/>
      <c r="M4" s="393"/>
      <c r="N4" s="242"/>
      <c r="O4" s="392"/>
      <c r="P4" s="392"/>
      <c r="Q4" s="392"/>
      <c r="R4" s="242"/>
      <c r="S4" s="392"/>
      <c r="T4" s="392"/>
      <c r="U4" s="394" t="s">
        <v>2</v>
      </c>
      <c r="V4" s="32" t="s">
        <v>2</v>
      </c>
      <c r="W4" s="22"/>
      <c r="X4" s="18"/>
      <c r="Y4" s="242"/>
      <c r="Z4" s="242"/>
      <c r="AA4" s="395"/>
      <c r="AB4" s="316"/>
      <c r="AC4" s="316"/>
      <c r="AD4" s="316"/>
      <c r="AE4" s="316"/>
      <c r="AF4" s="241"/>
      <c r="AG4" s="388"/>
      <c r="AH4" s="388"/>
      <c r="AI4" s="388"/>
      <c r="AJ4" s="388"/>
      <c r="AK4" s="241"/>
      <c r="AL4" s="241"/>
      <c r="AM4" s="241"/>
      <c r="AN4" s="27"/>
    </row>
    <row r="5" spans="2:40" ht="18" customHeight="1" thickBot="1" x14ac:dyDescent="0.5">
      <c r="B5" s="18"/>
      <c r="C5" s="139" t="s">
        <v>3</v>
      </c>
      <c r="D5" s="34">
        <v>49</v>
      </c>
      <c r="E5" s="242"/>
      <c r="F5" s="22"/>
      <c r="G5" s="242"/>
      <c r="H5" s="35" t="s">
        <v>4</v>
      </c>
      <c r="I5" s="36"/>
      <c r="J5" s="37"/>
      <c r="K5" s="37"/>
      <c r="L5" s="37"/>
      <c r="M5" s="38"/>
      <c r="N5" s="242"/>
      <c r="O5" s="392"/>
      <c r="P5" s="396"/>
      <c r="Q5" s="397"/>
      <c r="R5" s="242"/>
      <c r="S5" s="394"/>
      <c r="T5" s="394"/>
      <c r="U5" s="394" t="s">
        <v>2</v>
      </c>
      <c r="V5" s="32" t="s">
        <v>2</v>
      </c>
      <c r="W5" s="22"/>
      <c r="X5" s="18"/>
      <c r="Y5" s="242"/>
      <c r="Z5" s="242"/>
      <c r="AA5" s="395"/>
      <c r="AB5" s="316"/>
      <c r="AC5" s="316"/>
      <c r="AD5" s="316"/>
      <c r="AE5" s="316"/>
      <c r="AF5" s="241"/>
      <c r="AG5" s="388"/>
      <c r="AH5" s="388"/>
      <c r="AI5" s="388"/>
      <c r="AJ5" s="388"/>
      <c r="AK5" s="241"/>
      <c r="AL5" s="241"/>
      <c r="AM5" s="241"/>
      <c r="AN5" s="27"/>
    </row>
    <row r="6" spans="2:40" ht="18" customHeight="1" x14ac:dyDescent="0.45">
      <c r="B6" s="18"/>
      <c r="C6" s="139" t="s">
        <v>67</v>
      </c>
      <c r="D6" s="34" t="s">
        <v>81</v>
      </c>
      <c r="E6" s="242"/>
      <c r="F6" s="22"/>
      <c r="G6" s="242"/>
      <c r="H6" s="398" t="s">
        <v>5</v>
      </c>
      <c r="I6" s="399"/>
      <c r="J6" s="400"/>
      <c r="K6" s="399"/>
      <c r="L6" s="399"/>
      <c r="M6" s="401"/>
      <c r="N6" s="242"/>
      <c r="O6" s="392"/>
      <c r="P6" s="396"/>
      <c r="Q6" s="397"/>
      <c r="R6" s="242"/>
      <c r="S6" s="394"/>
      <c r="T6" s="394"/>
      <c r="U6" s="394" t="s">
        <v>2</v>
      </c>
      <c r="V6" s="32" t="s">
        <v>2</v>
      </c>
      <c r="W6" s="22"/>
      <c r="X6" s="18"/>
      <c r="Y6" s="242"/>
      <c r="Z6" s="242"/>
      <c r="AA6" s="395"/>
      <c r="AB6" s="316"/>
      <c r="AC6" s="316"/>
      <c r="AD6" s="316"/>
      <c r="AE6" s="316"/>
      <c r="AF6" s="241"/>
      <c r="AG6" s="388"/>
      <c r="AH6" s="388"/>
      <c r="AI6" s="388"/>
      <c r="AJ6" s="388"/>
      <c r="AK6" s="241"/>
      <c r="AL6" s="241"/>
      <c r="AM6" s="241"/>
      <c r="AN6" s="27"/>
    </row>
    <row r="7" spans="2:40" ht="18" customHeight="1" thickBot="1" x14ac:dyDescent="0.5">
      <c r="B7" s="18"/>
      <c r="C7" s="139" t="s">
        <v>68</v>
      </c>
      <c r="D7" s="34" t="s">
        <v>71</v>
      </c>
      <c r="E7" s="242"/>
      <c r="F7" s="22"/>
      <c r="G7" s="242"/>
      <c r="H7" s="45" t="s">
        <v>6</v>
      </c>
      <c r="I7" s="46"/>
      <c r="J7" s="47"/>
      <c r="K7" s="47"/>
      <c r="L7" s="47"/>
      <c r="M7" s="48"/>
      <c r="N7" s="242"/>
      <c r="O7" s="392"/>
      <c r="P7" s="396"/>
      <c r="Q7" s="397"/>
      <c r="R7" s="242"/>
      <c r="S7" s="394"/>
      <c r="T7" s="394"/>
      <c r="U7" s="394" t="s">
        <v>2</v>
      </c>
      <c r="V7" s="32" t="s">
        <v>2</v>
      </c>
      <c r="W7" s="22"/>
      <c r="X7" s="18"/>
      <c r="Y7" s="242"/>
      <c r="Z7" s="242"/>
      <c r="AA7" s="395"/>
      <c r="AB7" s="316"/>
      <c r="AC7" s="316"/>
      <c r="AD7" s="316"/>
      <c r="AE7" s="316"/>
      <c r="AF7" s="241"/>
      <c r="AG7" s="388"/>
      <c r="AH7" s="388"/>
      <c r="AI7" s="388"/>
      <c r="AJ7" s="388"/>
      <c r="AK7" s="241"/>
      <c r="AL7" s="241"/>
      <c r="AM7" s="241"/>
      <c r="AN7" s="27"/>
    </row>
    <row r="8" spans="2:40" ht="18" customHeight="1" x14ac:dyDescent="0.45">
      <c r="B8" s="18"/>
      <c r="C8" s="139" t="s">
        <v>7</v>
      </c>
      <c r="D8" s="49">
        <v>138000</v>
      </c>
      <c r="E8" s="242"/>
      <c r="F8" s="22"/>
      <c r="G8" s="242"/>
      <c r="H8" s="392"/>
      <c r="I8" s="392"/>
      <c r="J8" s="392"/>
      <c r="K8" s="402" t="s">
        <v>2</v>
      </c>
      <c r="L8" s="403" t="s">
        <v>2</v>
      </c>
      <c r="M8" s="402"/>
      <c r="N8" s="242"/>
      <c r="O8" s="392"/>
      <c r="P8" s="403"/>
      <c r="Q8" s="392" t="s">
        <v>2</v>
      </c>
      <c r="R8" s="242"/>
      <c r="S8" s="394" t="s">
        <v>2</v>
      </c>
      <c r="T8" s="394"/>
      <c r="U8" s="394" t="s">
        <v>2</v>
      </c>
      <c r="V8" s="32" t="s">
        <v>2</v>
      </c>
      <c r="W8" s="22"/>
      <c r="X8" s="18"/>
      <c r="Y8" s="242"/>
      <c r="Z8" s="242"/>
      <c r="AA8" s="395"/>
      <c r="AB8" s="316"/>
      <c r="AC8" s="316"/>
      <c r="AD8" s="316"/>
      <c r="AE8" s="316"/>
      <c r="AF8" s="241"/>
      <c r="AG8" s="388"/>
      <c r="AH8" s="388"/>
      <c r="AI8" s="388"/>
      <c r="AJ8" s="388"/>
      <c r="AK8" s="241"/>
      <c r="AL8" s="404"/>
      <c r="AM8" s="241"/>
      <c r="AN8" s="27"/>
    </row>
    <row r="9" spans="2:40" ht="32.5" customHeight="1" x14ac:dyDescent="0.45">
      <c r="B9" s="18"/>
      <c r="C9" s="137" t="s">
        <v>96</v>
      </c>
      <c r="D9" s="252"/>
      <c r="E9" s="390" t="str">
        <f>IF(D9="","verplicht veld","")</f>
        <v>verplicht veld</v>
      </c>
      <c r="F9" s="22"/>
      <c r="G9" s="242"/>
      <c r="H9" s="392"/>
      <c r="I9" s="392"/>
      <c r="J9" s="392"/>
      <c r="K9" s="402"/>
      <c r="L9" s="403"/>
      <c r="M9" s="402"/>
      <c r="N9" s="242"/>
      <c r="O9" s="392"/>
      <c r="P9" s="403"/>
      <c r="Q9" s="392"/>
      <c r="R9" s="242"/>
      <c r="S9" s="394"/>
      <c r="T9" s="394"/>
      <c r="U9" s="394"/>
      <c r="V9" s="32"/>
      <c r="W9" s="22"/>
      <c r="X9" s="18"/>
      <c r="Y9" s="242"/>
      <c r="Z9" s="242"/>
      <c r="AA9" s="395"/>
      <c r="AB9" s="316"/>
      <c r="AC9" s="316"/>
      <c r="AD9" s="316"/>
      <c r="AE9" s="316"/>
      <c r="AF9" s="241"/>
      <c r="AG9" s="388"/>
      <c r="AH9" s="388"/>
      <c r="AI9" s="388"/>
      <c r="AJ9" s="388"/>
      <c r="AK9" s="241"/>
      <c r="AL9" s="404"/>
      <c r="AM9" s="241"/>
      <c r="AN9" s="27"/>
    </row>
    <row r="10" spans="2:40" ht="18" customHeight="1" x14ac:dyDescent="0.45">
      <c r="B10" s="18"/>
      <c r="C10" s="137" t="s">
        <v>141</v>
      </c>
      <c r="D10" s="252"/>
      <c r="E10" s="390" t="str">
        <f>IF(D10="","verplicht veld","")</f>
        <v>verplicht veld</v>
      </c>
      <c r="F10" s="22"/>
      <c r="G10" s="242"/>
      <c r="H10" s="392"/>
      <c r="I10" s="392"/>
      <c r="J10" s="392"/>
      <c r="K10" s="402"/>
      <c r="L10" s="403"/>
      <c r="M10" s="402"/>
      <c r="N10" s="242"/>
      <c r="O10" s="392"/>
      <c r="P10" s="403"/>
      <c r="Q10" s="392"/>
      <c r="R10" s="242"/>
      <c r="S10" s="394"/>
      <c r="T10" s="394"/>
      <c r="U10" s="394"/>
      <c r="V10" s="32"/>
      <c r="W10" s="22"/>
      <c r="X10" s="18"/>
      <c r="Y10" s="242"/>
      <c r="Z10" s="242"/>
      <c r="AA10" s="395"/>
      <c r="AB10" s="316"/>
      <c r="AC10" s="316"/>
      <c r="AD10" s="316"/>
      <c r="AE10" s="316"/>
      <c r="AF10" s="241"/>
      <c r="AG10" s="388"/>
      <c r="AH10" s="388"/>
      <c r="AI10" s="388"/>
      <c r="AJ10" s="388"/>
      <c r="AK10" s="241"/>
      <c r="AL10" s="404"/>
      <c r="AM10" s="241"/>
      <c r="AN10" s="27"/>
    </row>
    <row r="11" spans="2:40" ht="18" customHeight="1" x14ac:dyDescent="0.45">
      <c r="B11" s="18"/>
      <c r="C11" s="139" t="s">
        <v>8</v>
      </c>
      <c r="D11" s="317"/>
      <c r="E11" s="390" t="str">
        <f>IF(D11="","verplicht veld","")</f>
        <v>verplicht veld</v>
      </c>
      <c r="F11" s="22"/>
      <c r="G11" s="242"/>
      <c r="H11" s="392"/>
      <c r="I11" s="392"/>
      <c r="J11" s="392"/>
      <c r="K11" s="392" t="s">
        <v>2</v>
      </c>
      <c r="L11" s="392" t="s">
        <v>2</v>
      </c>
      <c r="M11" s="402"/>
      <c r="N11" s="242"/>
      <c r="O11" s="396" t="s">
        <v>2</v>
      </c>
      <c r="P11" s="396"/>
      <c r="Q11" s="397" t="s">
        <v>2</v>
      </c>
      <c r="R11" s="242"/>
      <c r="S11" s="394"/>
      <c r="T11" s="394"/>
      <c r="U11" s="394" t="s">
        <v>2</v>
      </c>
      <c r="V11" s="32" t="s">
        <v>2</v>
      </c>
      <c r="W11" s="22"/>
      <c r="X11" s="18"/>
      <c r="Y11" s="242"/>
      <c r="Z11" s="242"/>
      <c r="AA11" s="395"/>
      <c r="AB11" s="316"/>
      <c r="AC11" s="316"/>
      <c r="AD11" s="316"/>
      <c r="AE11" s="405"/>
      <c r="AF11" s="241"/>
      <c r="AG11" s="388"/>
      <c r="AH11" s="388"/>
      <c r="AI11" s="388"/>
      <c r="AJ11" s="388"/>
      <c r="AK11" s="405"/>
      <c r="AL11" s="406"/>
      <c r="AM11" s="241"/>
      <c r="AN11" s="27"/>
    </row>
    <row r="12" spans="2:40" ht="18" customHeight="1" x14ac:dyDescent="0.45">
      <c r="B12" s="18"/>
      <c r="C12" s="139" t="s">
        <v>69</v>
      </c>
      <c r="D12" s="49" t="s">
        <v>155</v>
      </c>
      <c r="E12" s="242"/>
      <c r="F12" s="22"/>
      <c r="G12" s="242"/>
      <c r="H12" s="392"/>
      <c r="I12" s="392"/>
      <c r="J12" s="392"/>
      <c r="K12" s="392"/>
      <c r="L12" s="392"/>
      <c r="M12" s="402"/>
      <c r="N12" s="242"/>
      <c r="O12" s="396"/>
      <c r="P12" s="396"/>
      <c r="Q12" s="397"/>
      <c r="R12" s="242"/>
      <c r="S12" s="394"/>
      <c r="T12" s="394"/>
      <c r="U12" s="394"/>
      <c r="V12" s="32"/>
      <c r="W12" s="22"/>
      <c r="X12" s="18"/>
      <c r="Y12" s="407"/>
      <c r="Z12" s="798" t="str">
        <f>"RESULTAAT "&amp;$D$3</f>
        <v>RESULTAAT VARA GIDS</v>
      </c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408"/>
      <c r="AM12" s="408"/>
      <c r="AN12" s="27"/>
    </row>
    <row r="13" spans="2:40" ht="18" customHeight="1" x14ac:dyDescent="0.45">
      <c r="B13" s="18"/>
      <c r="C13" s="139" t="s">
        <v>70</v>
      </c>
      <c r="D13" s="49" t="s">
        <v>82</v>
      </c>
      <c r="E13" s="242"/>
      <c r="F13" s="22"/>
      <c r="G13" s="242"/>
      <c r="H13" s="392"/>
      <c r="I13" s="392"/>
      <c r="J13" s="392"/>
      <c r="K13" s="392"/>
      <c r="L13" s="392"/>
      <c r="M13" s="402"/>
      <c r="N13" s="242"/>
      <c r="O13" s="396"/>
      <c r="P13" s="396"/>
      <c r="Q13" s="397"/>
      <c r="R13" s="242"/>
      <c r="S13" s="394"/>
      <c r="T13" s="394"/>
      <c r="U13" s="394"/>
      <c r="V13" s="32"/>
      <c r="W13" s="22"/>
      <c r="X13" s="18"/>
      <c r="Y13" s="407"/>
      <c r="Z13" s="798"/>
      <c r="AA13" s="798"/>
      <c r="AB13" s="798"/>
      <c r="AC13" s="798"/>
      <c r="AD13" s="798"/>
      <c r="AE13" s="798"/>
      <c r="AF13" s="798"/>
      <c r="AG13" s="798"/>
      <c r="AH13" s="798"/>
      <c r="AI13" s="798"/>
      <c r="AJ13" s="798"/>
      <c r="AK13" s="798"/>
      <c r="AL13" s="409" t="str">
        <f>C8&amp;" jaarbasis"</f>
        <v>Oplage: jaarbasis</v>
      </c>
      <c r="AM13" s="408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42"/>
      <c r="F14" s="22"/>
      <c r="G14" s="242"/>
      <c r="H14" s="392"/>
      <c r="I14" s="392"/>
      <c r="J14" s="392"/>
      <c r="K14" s="392" t="s">
        <v>2</v>
      </c>
      <c r="L14" s="392" t="s">
        <v>2</v>
      </c>
      <c r="M14" s="402"/>
      <c r="N14" s="242"/>
      <c r="O14" s="396"/>
      <c r="P14" s="396"/>
      <c r="Q14" s="397"/>
      <c r="R14" s="242"/>
      <c r="S14" s="394"/>
      <c r="T14" s="394"/>
      <c r="U14" s="394"/>
      <c r="V14" s="32"/>
      <c r="W14" s="22"/>
      <c r="X14" s="18"/>
      <c r="Y14" s="407"/>
      <c r="Z14" s="798"/>
      <c r="AA14" s="798"/>
      <c r="AB14" s="798"/>
      <c r="AC14" s="798"/>
      <c r="AD14" s="798"/>
      <c r="AE14" s="798"/>
      <c r="AF14" s="798"/>
      <c r="AG14" s="798"/>
      <c r="AH14" s="798"/>
      <c r="AI14" s="798"/>
      <c r="AJ14" s="798"/>
      <c r="AK14" s="798"/>
      <c r="AL14" s="411">
        <f>D8*D5</f>
        <v>6762000</v>
      </c>
      <c r="AM14" s="408"/>
      <c r="AN14" s="27"/>
    </row>
    <row r="15" spans="2:40" ht="18" customHeight="1" thickBot="1" x14ac:dyDescent="0.5">
      <c r="B15" s="18"/>
      <c r="C15" s="119" t="s">
        <v>89</v>
      </c>
      <c r="D15" s="410" t="s">
        <v>91</v>
      </c>
      <c r="E15" s="390"/>
      <c r="F15" s="22"/>
      <c r="G15" s="242"/>
      <c r="H15" s="392"/>
      <c r="I15" s="392"/>
      <c r="J15" s="392"/>
      <c r="K15" s="392"/>
      <c r="L15" s="392"/>
      <c r="M15" s="402"/>
      <c r="N15" s="242"/>
      <c r="O15" s="396"/>
      <c r="P15" s="396"/>
      <c r="Q15" s="397"/>
      <c r="R15" s="242"/>
      <c r="S15" s="394"/>
      <c r="T15" s="394"/>
      <c r="U15" s="394"/>
      <c r="V15" s="32"/>
      <c r="W15" s="22"/>
      <c r="X15" s="18"/>
      <c r="Y15" s="407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1"/>
      <c r="AM15" s="408"/>
      <c r="AN15" s="27"/>
    </row>
    <row r="16" spans="2:40" s="67" customFormat="1" ht="31.5" customHeight="1" thickBot="1" x14ac:dyDescent="0.5">
      <c r="B16" s="18"/>
      <c r="C16" s="237" t="s">
        <v>12</v>
      </c>
      <c r="D16" s="384"/>
      <c r="E16" s="767" t="s">
        <v>66</v>
      </c>
      <c r="F16" s="768"/>
      <c r="G16" s="242"/>
      <c r="H16" s="774" t="s">
        <v>13</v>
      </c>
      <c r="I16" s="775"/>
      <c r="J16" s="775"/>
      <c r="K16" s="775"/>
      <c r="L16" s="775"/>
      <c r="M16" s="776"/>
      <c r="N16" s="414"/>
      <c r="O16" s="774" t="s">
        <v>14</v>
      </c>
      <c r="P16" s="775"/>
      <c r="Q16" s="776"/>
      <c r="R16" s="414"/>
      <c r="S16" s="774" t="s">
        <v>15</v>
      </c>
      <c r="T16" s="775"/>
      <c r="U16" s="775"/>
      <c r="V16" s="776"/>
      <c r="W16" s="22"/>
      <c r="X16" s="18"/>
      <c r="Y16" s="415"/>
      <c r="Z16" s="63"/>
      <c r="AA16" s="777" t="s">
        <v>16</v>
      </c>
      <c r="AB16" s="778"/>
      <c r="AC16" s="778"/>
      <c r="AD16" s="778"/>
      <c r="AE16" s="779"/>
      <c r="AF16" s="242"/>
      <c r="AG16" s="780" t="s">
        <v>17</v>
      </c>
      <c r="AH16" s="781"/>
      <c r="AI16" s="781"/>
      <c r="AJ16" s="781"/>
      <c r="AK16" s="778"/>
      <c r="AL16" s="64" t="s">
        <v>18</v>
      </c>
      <c r="AM16" s="416"/>
      <c r="AN16" s="66"/>
    </row>
    <row r="17" spans="2:40" ht="189.5" thickBot="1" x14ac:dyDescent="0.5">
      <c r="B17" s="18"/>
      <c r="C17" s="238"/>
      <c r="D17" s="230"/>
      <c r="E17" s="242"/>
      <c r="F17" s="14"/>
      <c r="G17" s="242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42"/>
      <c r="O17" s="189" t="s">
        <v>25</v>
      </c>
      <c r="P17" s="190" t="s">
        <v>26</v>
      </c>
      <c r="Q17" s="70" t="s">
        <v>27</v>
      </c>
      <c r="R17" s="242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407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42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408"/>
      <c r="AN17" s="27"/>
    </row>
    <row r="18" spans="2:40" ht="17" thickBot="1" x14ac:dyDescent="0.5">
      <c r="B18" s="18"/>
      <c r="C18" s="387" t="s">
        <v>156</v>
      </c>
      <c r="D18" s="78"/>
      <c r="E18" s="417" t="s">
        <v>63</v>
      </c>
      <c r="F18" s="223" t="s">
        <v>64</v>
      </c>
      <c r="G18" s="418"/>
      <c r="H18" s="192"/>
      <c r="I18" s="419"/>
      <c r="J18" s="192"/>
      <c r="K18" s="419"/>
      <c r="L18" s="194"/>
      <c r="M18" s="195"/>
      <c r="N18" s="418"/>
      <c r="O18" s="196" t="s">
        <v>36</v>
      </c>
      <c r="P18" s="420" t="s">
        <v>37</v>
      </c>
      <c r="Q18" s="198" t="s">
        <v>37</v>
      </c>
      <c r="R18" s="418"/>
      <c r="S18" s="196" t="s">
        <v>36</v>
      </c>
      <c r="T18" s="421" t="s">
        <v>37</v>
      </c>
      <c r="U18" s="420" t="s">
        <v>37</v>
      </c>
      <c r="V18" s="200" t="s">
        <v>37</v>
      </c>
      <c r="W18" s="22"/>
      <c r="X18" s="18"/>
      <c r="Y18" s="407"/>
      <c r="Z18" s="79" t="s">
        <v>156</v>
      </c>
      <c r="AA18" s="80"/>
      <c r="AB18" s="81"/>
      <c r="AC18" s="81"/>
      <c r="AD18" s="81"/>
      <c r="AE18" s="82"/>
      <c r="AF18" s="308"/>
      <c r="AG18" s="84"/>
      <c r="AH18" s="85"/>
      <c r="AI18" s="85"/>
      <c r="AJ18" s="85"/>
      <c r="AK18" s="422"/>
      <c r="AL18" s="77"/>
      <c r="AM18" s="408"/>
      <c r="AN18" s="27"/>
    </row>
    <row r="19" spans="2:40" ht="10" customHeight="1" x14ac:dyDescent="0.45">
      <c r="B19" s="18"/>
      <c r="C19" s="87"/>
      <c r="D19" s="88"/>
      <c r="E19" s="242"/>
      <c r="F19" s="22"/>
      <c r="G19" s="242"/>
      <c r="H19" s="89"/>
      <c r="I19" s="423"/>
      <c r="J19" s="423"/>
      <c r="K19" s="423"/>
      <c r="L19" s="91"/>
      <c r="M19" s="92"/>
      <c r="N19" s="242"/>
      <c r="O19" s="93"/>
      <c r="P19" s="424"/>
      <c r="Q19" s="70"/>
      <c r="R19" s="242"/>
      <c r="S19" s="93"/>
      <c r="T19" s="424"/>
      <c r="U19" s="424"/>
      <c r="V19" s="95"/>
      <c r="W19" s="22"/>
      <c r="X19" s="18"/>
      <c r="Y19" s="407"/>
      <c r="Z19" s="96"/>
      <c r="AA19" s="97"/>
      <c r="AB19" s="425"/>
      <c r="AC19" s="425"/>
      <c r="AD19" s="425"/>
      <c r="AE19" s="99"/>
      <c r="AF19" s="242"/>
      <c r="AG19" s="97"/>
      <c r="AH19" s="426"/>
      <c r="AI19" s="425"/>
      <c r="AJ19" s="425"/>
      <c r="AK19" s="99"/>
      <c r="AL19" s="77"/>
      <c r="AM19" s="408"/>
      <c r="AN19" s="27"/>
    </row>
    <row r="20" spans="2:40" s="583" customFormat="1" ht="17" thickBot="1" x14ac:dyDescent="0.5">
      <c r="B20" s="566"/>
      <c r="C20" s="100" t="s">
        <v>157</v>
      </c>
      <c r="D20" s="599">
        <f>IF(AND($D$15="Offline",$D$23&gt;0),$D$23,IF(AND($D$15="Offline",$D$24&gt;0),$D$24,IF(AND($D$15="Offline",$D$25&gt;0),$D$25,0)))+D26</f>
        <v>0</v>
      </c>
      <c r="E20" s="567">
        <f>IF(D20&gt;0,$D$10,0)</f>
        <v>0</v>
      </c>
      <c r="F20" s="568" t="s">
        <v>71</v>
      </c>
      <c r="G20" s="418"/>
      <c r="H20" s="569">
        <v>0</v>
      </c>
      <c r="I20" s="570">
        <v>0</v>
      </c>
      <c r="J20" s="571">
        <v>0</v>
      </c>
      <c r="K20" s="571">
        <v>0</v>
      </c>
      <c r="L20" s="572"/>
      <c r="M20" s="573">
        <v>600</v>
      </c>
      <c r="N20" s="418"/>
      <c r="O20" s="574">
        <v>0</v>
      </c>
      <c r="P20" s="575">
        <v>0</v>
      </c>
      <c r="Q20" s="576">
        <f>O20*(M20/1000)</f>
        <v>0</v>
      </c>
      <c r="R20" s="418"/>
      <c r="S20" s="574">
        <v>0</v>
      </c>
      <c r="T20" s="577">
        <f>S20*(M20/1000)</f>
        <v>0</v>
      </c>
      <c r="U20" s="575">
        <v>0</v>
      </c>
      <c r="V20" s="578">
        <v>1</v>
      </c>
      <c r="W20" s="579"/>
      <c r="X20" s="566"/>
      <c r="Y20" s="580"/>
      <c r="Z20" s="102" t="s">
        <v>157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440"/>
      <c r="AG20" s="437">
        <f>$S20*$D20*($D$8/10000)</f>
        <v>0</v>
      </c>
      <c r="AH20" s="438">
        <f t="shared" ref="AH20" si="0">(D20*T20)*($D$8/10000)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581"/>
      <c r="AN20" s="582"/>
    </row>
    <row r="21" spans="2:40" ht="10" customHeight="1" thickBot="1" x14ac:dyDescent="0.5">
      <c r="B21" s="18"/>
      <c r="C21" s="87"/>
      <c r="D21" s="88"/>
      <c r="E21" s="242"/>
      <c r="F21" s="22"/>
      <c r="G21" s="242"/>
      <c r="H21" s="89"/>
      <c r="I21" s="423"/>
      <c r="J21" s="423"/>
      <c r="K21" s="423"/>
      <c r="L21" s="91"/>
      <c r="M21" s="92"/>
      <c r="N21" s="242"/>
      <c r="O21" s="93"/>
      <c r="P21" s="424"/>
      <c r="Q21" s="70"/>
      <c r="R21" s="242"/>
      <c r="S21" s="93"/>
      <c r="T21" s="424"/>
      <c r="U21" s="424"/>
      <c r="V21" s="95"/>
      <c r="W21" s="22"/>
      <c r="X21" s="18"/>
      <c r="Y21" s="407"/>
      <c r="Z21" s="96"/>
      <c r="AA21" s="443"/>
      <c r="AB21" s="444"/>
      <c r="AC21" s="444"/>
      <c r="AD21" s="444"/>
      <c r="AE21" s="445"/>
      <c r="AF21" s="446"/>
      <c r="AG21" s="443"/>
      <c r="AH21" s="444"/>
      <c r="AI21" s="444"/>
      <c r="AJ21" s="444"/>
      <c r="AK21" s="447"/>
      <c r="AL21" s="448"/>
      <c r="AM21" s="408"/>
      <c r="AN21" s="27"/>
    </row>
    <row r="22" spans="2:40" x14ac:dyDescent="0.45">
      <c r="B22" s="18"/>
      <c r="C22" s="788" t="s">
        <v>158</v>
      </c>
      <c r="D22" s="789"/>
      <c r="E22" s="417" t="s">
        <v>63</v>
      </c>
      <c r="F22" s="224" t="s">
        <v>64</v>
      </c>
      <c r="G22" s="418"/>
      <c r="H22" s="210" t="s">
        <v>2</v>
      </c>
      <c r="I22" s="211" t="s">
        <v>2</v>
      </c>
      <c r="J22" s="201" t="s">
        <v>2</v>
      </c>
      <c r="K22" s="449" t="s">
        <v>2</v>
      </c>
      <c r="L22" s="203" t="s">
        <v>2</v>
      </c>
      <c r="M22" s="204" t="s">
        <v>2</v>
      </c>
      <c r="N22" s="418"/>
      <c r="O22" s="212" t="s">
        <v>36</v>
      </c>
      <c r="P22" s="213" t="s">
        <v>37</v>
      </c>
      <c r="Q22" s="214" t="s">
        <v>37</v>
      </c>
      <c r="R22" s="418"/>
      <c r="S22" s="212" t="s">
        <v>36</v>
      </c>
      <c r="T22" s="215" t="s">
        <v>37</v>
      </c>
      <c r="U22" s="213" t="s">
        <v>37</v>
      </c>
      <c r="V22" s="216" t="s">
        <v>40</v>
      </c>
      <c r="W22" s="22"/>
      <c r="X22" s="18"/>
      <c r="Y22" s="407"/>
      <c r="Z22" s="136" t="s">
        <v>158</v>
      </c>
      <c r="AA22" s="467"/>
      <c r="AB22" s="468"/>
      <c r="AC22" s="468"/>
      <c r="AD22" s="468"/>
      <c r="AE22" s="469"/>
      <c r="AF22" s="440"/>
      <c r="AG22" s="470"/>
      <c r="AH22" s="468"/>
      <c r="AI22" s="468"/>
      <c r="AJ22" s="468"/>
      <c r="AK22" s="471"/>
      <c r="AL22" s="442"/>
      <c r="AM22" s="408"/>
      <c r="AN22" s="27"/>
    </row>
    <row r="23" spans="2:40" s="583" customFormat="1" ht="15" customHeight="1" x14ac:dyDescent="0.45">
      <c r="B23" s="566"/>
      <c r="C23" s="104" t="s">
        <v>72</v>
      </c>
      <c r="D23" s="599">
        <f>IF($D$9="84 p. binnenwerk + 4 p. omslag",IF($D$15="Offline",46,0),0)</f>
        <v>0</v>
      </c>
      <c r="E23" s="567">
        <f t="shared" ref="E23:E26" si="1">IF(D23&gt;0,$D$10,0)</f>
        <v>0</v>
      </c>
      <c r="F23" s="568" t="s">
        <v>71</v>
      </c>
      <c r="G23" s="418"/>
      <c r="H23" s="584">
        <v>0</v>
      </c>
      <c r="I23" s="571">
        <v>0</v>
      </c>
      <c r="J23" s="585" t="s">
        <v>38</v>
      </c>
      <c r="K23" s="585" t="s">
        <v>38</v>
      </c>
      <c r="L23" s="572"/>
      <c r="M23" s="573">
        <v>555</v>
      </c>
      <c r="N23" s="418"/>
      <c r="O23" s="574">
        <v>0</v>
      </c>
      <c r="P23" s="575">
        <v>0</v>
      </c>
      <c r="Q23" s="576">
        <f>O23*(M23/1000)</f>
        <v>0</v>
      </c>
      <c r="R23" s="418"/>
      <c r="S23" s="574">
        <v>0</v>
      </c>
      <c r="T23" s="577">
        <f>S23*(M23/1000)</f>
        <v>0</v>
      </c>
      <c r="U23" s="575">
        <v>0</v>
      </c>
      <c r="V23" s="586">
        <v>1</v>
      </c>
      <c r="W23" s="587">
        <f>IF(D23&gt;0,1,0)+V23</f>
        <v>1</v>
      </c>
      <c r="X23" s="566"/>
      <c r="Y23" s="580"/>
      <c r="Z23" s="110" t="s">
        <v>72</v>
      </c>
      <c r="AA23" s="460">
        <f t="shared" ref="AA23:AA26" si="2">$O23*$D23</f>
        <v>0</v>
      </c>
      <c r="AB23" s="461">
        <f>$AA23*$M23/1000</f>
        <v>0</v>
      </c>
      <c r="AC23" s="461">
        <f t="shared" ref="AC23:AC26" si="3">$P23*$D23</f>
        <v>0</v>
      </c>
      <c r="AD23" s="461">
        <f>VLOOKUP($W23,$C$30:$P$36,$P$28,FALSE)*$D23</f>
        <v>0</v>
      </c>
      <c r="AE23" s="462">
        <f>SUM(AB23:AD23)</f>
        <v>0</v>
      </c>
      <c r="AF23" s="440"/>
      <c r="AG23" s="460">
        <f>$S23*$D23*($D$8/10000)</f>
        <v>0</v>
      </c>
      <c r="AH23" s="461">
        <f t="shared" ref="AH23:AH26" si="4">(D23*T23)*($D$8/10000)</f>
        <v>0</v>
      </c>
      <c r="AI23" s="461">
        <f>($D23*$U23)*$D$8/10000</f>
        <v>0</v>
      </c>
      <c r="AJ23" s="461">
        <f>VLOOKUP($W23,$C$30:$U$36,$U$28,FALSE)*($D$8/10000)*$D23</f>
        <v>0</v>
      </c>
      <c r="AK23" s="463">
        <f t="shared" ref="AK23:AK26" si="5">SUM(AH23:AJ23)</f>
        <v>0</v>
      </c>
      <c r="AL23" s="442">
        <f>AE23+AK23</f>
        <v>0</v>
      </c>
      <c r="AM23" s="581"/>
      <c r="AN23" s="582"/>
    </row>
    <row r="24" spans="2:40" s="583" customFormat="1" ht="15" customHeight="1" x14ac:dyDescent="0.45">
      <c r="B24" s="566"/>
      <c r="C24" s="104" t="s">
        <v>75</v>
      </c>
      <c r="D24" s="599">
        <f>IF($D$9="88 p. binnenwerk + 4 p. omslag",IF($D$15="Offline",46,0),0)</f>
        <v>0</v>
      </c>
      <c r="E24" s="567">
        <f t="shared" si="1"/>
        <v>0</v>
      </c>
      <c r="F24" s="568" t="s">
        <v>71</v>
      </c>
      <c r="G24" s="418"/>
      <c r="H24" s="584">
        <v>0</v>
      </c>
      <c r="I24" s="571">
        <v>0</v>
      </c>
      <c r="J24" s="585" t="s">
        <v>38</v>
      </c>
      <c r="K24" s="585" t="s">
        <v>38</v>
      </c>
      <c r="L24" s="572"/>
      <c r="M24" s="573">
        <v>555</v>
      </c>
      <c r="N24" s="418"/>
      <c r="O24" s="574">
        <v>0</v>
      </c>
      <c r="P24" s="575">
        <v>0</v>
      </c>
      <c r="Q24" s="576">
        <f>O24*(M24/1000)</f>
        <v>0</v>
      </c>
      <c r="R24" s="418"/>
      <c r="S24" s="574">
        <v>0</v>
      </c>
      <c r="T24" s="577">
        <f>S24*(M24/1000)</f>
        <v>0</v>
      </c>
      <c r="U24" s="575">
        <v>0</v>
      </c>
      <c r="V24" s="586">
        <v>1</v>
      </c>
      <c r="W24" s="587">
        <f>IF(D24&gt;0,1,0)+V24</f>
        <v>1</v>
      </c>
      <c r="X24" s="566"/>
      <c r="Y24" s="580"/>
      <c r="Z24" s="110" t="s">
        <v>75</v>
      </c>
      <c r="AA24" s="460">
        <f t="shared" si="2"/>
        <v>0</v>
      </c>
      <c r="AB24" s="461">
        <f>$AA24*$M24/1000</f>
        <v>0</v>
      </c>
      <c r="AC24" s="461">
        <f t="shared" si="3"/>
        <v>0</v>
      </c>
      <c r="AD24" s="461">
        <f>VLOOKUP($W24,$C$30:$P$36,$P$28,FALSE)*$D24</f>
        <v>0</v>
      </c>
      <c r="AE24" s="462">
        <f>SUM(AB24:AD24)</f>
        <v>0</v>
      </c>
      <c r="AF24" s="440"/>
      <c r="AG24" s="460">
        <f>$S24*$D24*($D$8/10000)</f>
        <v>0</v>
      </c>
      <c r="AH24" s="461">
        <f t="shared" si="4"/>
        <v>0</v>
      </c>
      <c r="AI24" s="461">
        <f>($D24*$U24)*$D$8/10000</f>
        <v>0</v>
      </c>
      <c r="AJ24" s="461">
        <f>VLOOKUP($W24,$C$30:$U$36,$U$28,FALSE)*($D$8/10000)*$D24</f>
        <v>0</v>
      </c>
      <c r="AK24" s="463">
        <f t="shared" si="5"/>
        <v>0</v>
      </c>
      <c r="AL24" s="442">
        <f>AE24+AK24</f>
        <v>0</v>
      </c>
      <c r="AM24" s="581"/>
      <c r="AN24" s="582"/>
    </row>
    <row r="25" spans="2:40" s="583" customFormat="1" ht="15" customHeight="1" x14ac:dyDescent="0.45">
      <c r="B25" s="566"/>
      <c r="C25" s="104" t="s">
        <v>159</v>
      </c>
      <c r="D25" s="599">
        <f>IF($D$9="96 p. binnenwerk + 4 p. omslag",IF($D$15="Offline",46,0),0)</f>
        <v>0</v>
      </c>
      <c r="E25" s="567">
        <f t="shared" si="1"/>
        <v>0</v>
      </c>
      <c r="F25" s="568" t="s">
        <v>71</v>
      </c>
      <c r="G25" s="418"/>
      <c r="H25" s="584">
        <v>0</v>
      </c>
      <c r="I25" s="571">
        <v>0</v>
      </c>
      <c r="J25" s="585" t="s">
        <v>38</v>
      </c>
      <c r="K25" s="585" t="s">
        <v>38</v>
      </c>
      <c r="L25" s="572"/>
      <c r="M25" s="573">
        <v>555</v>
      </c>
      <c r="N25" s="418"/>
      <c r="O25" s="574">
        <v>0</v>
      </c>
      <c r="P25" s="575">
        <v>0</v>
      </c>
      <c r="Q25" s="576">
        <f>O25*(M25/1000)</f>
        <v>0</v>
      </c>
      <c r="R25" s="418"/>
      <c r="S25" s="574">
        <v>0</v>
      </c>
      <c r="T25" s="577">
        <f>S25*(M25/1000)</f>
        <v>0</v>
      </c>
      <c r="U25" s="575">
        <v>0</v>
      </c>
      <c r="V25" s="586">
        <v>1</v>
      </c>
      <c r="W25" s="587">
        <f t="shared" ref="W25:W26" si="6">IF(D25&gt;0,1,0)+V25</f>
        <v>1</v>
      </c>
      <c r="X25" s="566"/>
      <c r="Y25" s="580"/>
      <c r="Z25" s="110" t="s">
        <v>159</v>
      </c>
      <c r="AA25" s="460">
        <f t="shared" si="2"/>
        <v>0</v>
      </c>
      <c r="AB25" s="461">
        <f>$AA25*$M25/1000</f>
        <v>0</v>
      </c>
      <c r="AC25" s="461">
        <f t="shared" si="3"/>
        <v>0</v>
      </c>
      <c r="AD25" s="461">
        <f>VLOOKUP($W25,$C$30:$P$36,$P$28,FALSE)*$D25</f>
        <v>0</v>
      </c>
      <c r="AE25" s="462">
        <f t="shared" ref="AE25:AE26" si="7">SUM(AB25:AD25)</f>
        <v>0</v>
      </c>
      <c r="AF25" s="440"/>
      <c r="AG25" s="460">
        <f>$S25*$D25*($D$8/10000)</f>
        <v>0</v>
      </c>
      <c r="AH25" s="461">
        <f t="shared" si="4"/>
        <v>0</v>
      </c>
      <c r="AI25" s="461">
        <f>($D25*$U25)*$D$8/10000</f>
        <v>0</v>
      </c>
      <c r="AJ25" s="461">
        <f>VLOOKUP($W25,$C$30:$U$36,$U$28,FALSE)*($D$8/10000)*$D25</f>
        <v>0</v>
      </c>
      <c r="AK25" s="463">
        <f t="shared" si="5"/>
        <v>0</v>
      </c>
      <c r="AL25" s="442">
        <f>AE25+AK25</f>
        <v>0</v>
      </c>
      <c r="AM25" s="581"/>
      <c r="AN25" s="582"/>
    </row>
    <row r="26" spans="2:40" s="591" customFormat="1" ht="15" customHeight="1" x14ac:dyDescent="0.45">
      <c r="B26" s="566"/>
      <c r="C26" s="113" t="s">
        <v>160</v>
      </c>
      <c r="D26" s="600">
        <f>IF(D23&gt;0,3,IF(D24&gt;0,3,IF(D25&gt;0,3,0)))</f>
        <v>0</v>
      </c>
      <c r="E26" s="567">
        <f t="shared" si="1"/>
        <v>0</v>
      </c>
      <c r="F26" s="568" t="s">
        <v>71</v>
      </c>
      <c r="G26" s="418"/>
      <c r="H26" s="584">
        <v>0</v>
      </c>
      <c r="I26" s="571">
        <v>0</v>
      </c>
      <c r="J26" s="588" t="s">
        <v>38</v>
      </c>
      <c r="K26" s="588" t="s">
        <v>38</v>
      </c>
      <c r="L26" s="572"/>
      <c r="M26" s="573">
        <v>555</v>
      </c>
      <c r="N26" s="418"/>
      <c r="O26" s="574">
        <v>0</v>
      </c>
      <c r="P26" s="575">
        <v>0</v>
      </c>
      <c r="Q26" s="576">
        <f t="shared" ref="Q26" si="8">O26*M26/1000</f>
        <v>0</v>
      </c>
      <c r="R26" s="418"/>
      <c r="S26" s="574">
        <v>0</v>
      </c>
      <c r="T26" s="577">
        <f t="shared" ref="T26" si="9">S26*M26/1000</f>
        <v>0</v>
      </c>
      <c r="U26" s="575">
        <v>0</v>
      </c>
      <c r="V26" s="586">
        <v>1</v>
      </c>
      <c r="W26" s="587">
        <f t="shared" si="6"/>
        <v>1</v>
      </c>
      <c r="X26" s="566"/>
      <c r="Y26" s="580"/>
      <c r="Z26" s="116" t="s">
        <v>160</v>
      </c>
      <c r="AA26" s="460">
        <f t="shared" si="2"/>
        <v>0</v>
      </c>
      <c r="AB26" s="461">
        <f t="shared" ref="AB26" si="10">$AA26*$M26/1000</f>
        <v>0</v>
      </c>
      <c r="AC26" s="461">
        <f t="shared" si="3"/>
        <v>0</v>
      </c>
      <c r="AD26" s="461">
        <f>VLOOKUP($W26,$C$30:$P$36,$P$28,FALSE)*$D26</f>
        <v>0</v>
      </c>
      <c r="AE26" s="462">
        <f t="shared" si="7"/>
        <v>0</v>
      </c>
      <c r="AF26" s="440"/>
      <c r="AG26" s="460">
        <f t="shared" ref="AG26" si="11">$S26*$D26*($D$8/10000)</f>
        <v>0</v>
      </c>
      <c r="AH26" s="461">
        <f t="shared" si="4"/>
        <v>0</v>
      </c>
      <c r="AI26" s="461">
        <f t="shared" ref="AI26" si="12">($D26*$U26)*$D$8/10000</f>
        <v>0</v>
      </c>
      <c r="AJ26" s="461">
        <f>VLOOKUP($W26,$C$30:$U$36,$U$28,FALSE)*($D$8/10000)*$D26</f>
        <v>0</v>
      </c>
      <c r="AK26" s="463">
        <f t="shared" si="5"/>
        <v>0</v>
      </c>
      <c r="AL26" s="442">
        <f>AE26+AK26</f>
        <v>0</v>
      </c>
      <c r="AM26" s="589"/>
      <c r="AN26" s="590"/>
    </row>
    <row r="27" spans="2:40" ht="15.65" customHeight="1" thickBot="1" x14ac:dyDescent="0.5">
      <c r="B27" s="18"/>
      <c r="C27" s="140"/>
      <c r="D27" s="241"/>
      <c r="E27" s="242"/>
      <c r="F27" s="242"/>
      <c r="G27" s="242"/>
      <c r="H27" s="241"/>
      <c r="I27" s="241"/>
      <c r="J27" s="241"/>
      <c r="K27" s="241"/>
      <c r="L27" s="241"/>
      <c r="M27" s="393"/>
      <c r="N27" s="242"/>
      <c r="O27" s="251"/>
      <c r="P27" s="251"/>
      <c r="Q27" s="251"/>
      <c r="R27" s="242"/>
      <c r="S27" s="130"/>
      <c r="T27" s="251"/>
      <c r="U27" s="251"/>
      <c r="V27" s="141"/>
      <c r="W27" s="22"/>
      <c r="X27" s="18"/>
      <c r="Y27" s="407"/>
      <c r="Z27" s="242"/>
      <c r="AA27" s="482"/>
      <c r="AB27" s="465"/>
      <c r="AC27" s="465"/>
      <c r="AD27" s="465"/>
      <c r="AE27" s="466"/>
      <c r="AF27" s="483"/>
      <c r="AG27" s="482"/>
      <c r="AH27" s="465"/>
      <c r="AI27" s="465"/>
      <c r="AJ27" s="465"/>
      <c r="AK27" s="463"/>
      <c r="AL27" s="442"/>
      <c r="AM27" s="408"/>
      <c r="AN27" s="27"/>
    </row>
    <row r="28" spans="2:40" ht="20.5" customHeight="1" thickBot="1" x14ac:dyDescent="0.5">
      <c r="B28" s="18"/>
      <c r="C28" s="788" t="s">
        <v>161</v>
      </c>
      <c r="D28" s="790"/>
      <c r="E28" s="790"/>
      <c r="F28" s="790"/>
      <c r="G28" s="790"/>
      <c r="H28" s="790"/>
      <c r="I28" s="790"/>
      <c r="J28" s="143"/>
      <c r="K28" s="143"/>
      <c r="L28" s="143"/>
      <c r="M28" s="143"/>
      <c r="N28" s="143"/>
      <c r="O28" s="142"/>
      <c r="P28" s="144">
        <v>14</v>
      </c>
      <c r="Q28" s="145"/>
      <c r="R28" s="143"/>
      <c r="S28" s="142"/>
      <c r="T28" s="143"/>
      <c r="U28" s="144">
        <v>19</v>
      </c>
      <c r="V28" s="145"/>
      <c r="W28" s="22"/>
      <c r="X28" s="18"/>
      <c r="Y28" s="407"/>
      <c r="Z28" s="142" t="str">
        <f>C38</f>
        <v>Extra bewerkingen (Pluspropositie):</v>
      </c>
      <c r="AA28" s="484"/>
      <c r="AB28" s="485"/>
      <c r="AC28" s="485"/>
      <c r="AD28" s="485"/>
      <c r="AE28" s="486"/>
      <c r="AF28" s="487"/>
      <c r="AG28" s="488"/>
      <c r="AH28" s="485"/>
      <c r="AI28" s="485"/>
      <c r="AJ28" s="485"/>
      <c r="AK28" s="489"/>
      <c r="AL28" s="490"/>
      <c r="AM28" s="408"/>
      <c r="AN28" s="27"/>
    </row>
    <row r="29" spans="2:40" ht="32.5" customHeight="1" x14ac:dyDescent="0.45">
      <c r="B29" s="18"/>
      <c r="C29" s="254" t="s">
        <v>41</v>
      </c>
      <c r="D29" s="393"/>
      <c r="E29" s="242"/>
      <c r="F29" s="242"/>
      <c r="G29" s="242"/>
      <c r="H29" s="316"/>
      <c r="I29" s="316"/>
      <c r="J29" s="393"/>
      <c r="K29" s="393"/>
      <c r="L29" s="393"/>
      <c r="M29" s="393"/>
      <c r="N29" s="242"/>
      <c r="O29" s="791" t="s">
        <v>42</v>
      </c>
      <c r="P29" s="796"/>
      <c r="Q29" s="793"/>
      <c r="R29" s="251"/>
      <c r="S29" s="146"/>
      <c r="T29" s="13"/>
      <c r="U29" s="221" t="s">
        <v>43</v>
      </c>
      <c r="V29" s="147"/>
      <c r="W29" s="22"/>
      <c r="X29" s="18"/>
      <c r="Y29" s="407"/>
      <c r="Z29" s="234"/>
      <c r="AA29" s="491"/>
      <c r="AB29" s="492"/>
      <c r="AC29" s="492"/>
      <c r="AD29" s="492"/>
      <c r="AE29" s="493"/>
      <c r="AF29" s="494"/>
      <c r="AG29" s="495"/>
      <c r="AH29" s="492"/>
      <c r="AI29" s="492"/>
      <c r="AJ29" s="492"/>
      <c r="AK29" s="493"/>
      <c r="AL29" s="442"/>
      <c r="AM29" s="408"/>
      <c r="AN29" s="27"/>
    </row>
    <row r="30" spans="2:40" x14ac:dyDescent="0.45">
      <c r="B30" s="18"/>
      <c r="C30" s="149">
        <v>1</v>
      </c>
      <c r="D30" s="241"/>
      <c r="E30" s="242"/>
      <c r="F30" s="242"/>
      <c r="G30" s="242"/>
      <c r="H30" s="241"/>
      <c r="I30" s="241"/>
      <c r="J30" s="241"/>
      <c r="K30" s="241"/>
      <c r="L30" s="241"/>
      <c r="M30" s="241"/>
      <c r="N30" s="241"/>
      <c r="O30" s="130"/>
      <c r="P30" s="592">
        <v>0</v>
      </c>
      <c r="Q30" s="134"/>
      <c r="R30" s="251"/>
      <c r="S30" s="130"/>
      <c r="T30" s="251"/>
      <c r="U30" s="592">
        <v>0</v>
      </c>
      <c r="V30" s="134"/>
      <c r="W30" s="22"/>
      <c r="X30" s="18"/>
      <c r="Y30" s="407"/>
      <c r="Z30" s="150" t="str">
        <f>C40</f>
        <v>Meehechten extra katern / insert / outsert</v>
      </c>
      <c r="AA30" s="491"/>
      <c r="AB30" s="492"/>
      <c r="AC30" s="497"/>
      <c r="AD30" s="497">
        <f>D40*P40</f>
        <v>0</v>
      </c>
      <c r="AE30" s="498">
        <f>AD30</f>
        <v>0</v>
      </c>
      <c r="AF30" s="499"/>
      <c r="AG30" s="500"/>
      <c r="AH30" s="501"/>
      <c r="AI30" s="502"/>
      <c r="AJ30" s="502">
        <f>(E40/10000)*U40*D40</f>
        <v>0</v>
      </c>
      <c r="AK30" s="503">
        <f>AJ30</f>
        <v>0</v>
      </c>
      <c r="AL30" s="442">
        <f>AE30+AK30</f>
        <v>0</v>
      </c>
      <c r="AM30" s="408"/>
      <c r="AN30" s="27"/>
    </row>
    <row r="31" spans="2:40" x14ac:dyDescent="0.45">
      <c r="B31" s="18"/>
      <c r="C31" s="151">
        <v>2</v>
      </c>
      <c r="D31" s="241"/>
      <c r="E31" s="242"/>
      <c r="F31" s="242"/>
      <c r="G31" s="242"/>
      <c r="H31" s="241"/>
      <c r="I31" s="241"/>
      <c r="J31" s="241"/>
      <c r="K31" s="241"/>
      <c r="L31" s="241"/>
      <c r="M31" s="393"/>
      <c r="N31" s="242"/>
      <c r="O31" s="130"/>
      <c r="P31" s="592">
        <v>0</v>
      </c>
      <c r="Q31" s="134"/>
      <c r="R31" s="251"/>
      <c r="S31" s="130"/>
      <c r="T31" s="251"/>
      <c r="U31" s="592">
        <v>0</v>
      </c>
      <c r="V31" s="134"/>
      <c r="W31" s="22"/>
      <c r="X31" s="18"/>
      <c r="Y31" s="407"/>
      <c r="Z31" s="148" t="str">
        <f>C41</f>
        <v>Meehechten via plano oplegstation (outsert)</v>
      </c>
      <c r="AA31" s="504"/>
      <c r="AB31" s="505"/>
      <c r="AC31" s="506"/>
      <c r="AD31" s="506">
        <f>$D41*$P41</f>
        <v>0</v>
      </c>
      <c r="AE31" s="507">
        <f>AD31</f>
        <v>0</v>
      </c>
      <c r="AF31" s="508"/>
      <c r="AG31" s="509"/>
      <c r="AH31" s="510"/>
      <c r="AI31" s="511"/>
      <c r="AJ31" s="502">
        <f>(E41/10000)*U41*D41</f>
        <v>0</v>
      </c>
      <c r="AK31" s="512">
        <f>AJ31</f>
        <v>0</v>
      </c>
      <c r="AL31" s="442">
        <f>AE31+AK31</f>
        <v>0</v>
      </c>
      <c r="AM31" s="408"/>
      <c r="AN31" s="27"/>
    </row>
    <row r="32" spans="2:40" x14ac:dyDescent="0.45">
      <c r="B32" s="18"/>
      <c r="C32" s="149">
        <v>3</v>
      </c>
      <c r="D32" s="241"/>
      <c r="E32" s="242"/>
      <c r="F32" s="242"/>
      <c r="G32" s="242"/>
      <c r="H32" s="241"/>
      <c r="I32" s="241"/>
      <c r="J32" s="241"/>
      <c r="K32" s="241"/>
      <c r="L32" s="241"/>
      <c r="M32" s="393"/>
      <c r="N32" s="242"/>
      <c r="O32" s="130"/>
      <c r="P32" s="592">
        <v>0</v>
      </c>
      <c r="Q32" s="134"/>
      <c r="R32" s="251"/>
      <c r="S32" s="130"/>
      <c r="T32" s="251"/>
      <c r="U32" s="592">
        <v>0</v>
      </c>
      <c r="V32" s="134"/>
      <c r="W32" s="22"/>
      <c r="X32" s="18"/>
      <c r="Y32" s="407"/>
      <c r="Z32" s="150" t="str">
        <f>C42</f>
        <v>Plakkaart (op katernscheiding)</v>
      </c>
      <c r="AA32" s="504"/>
      <c r="AB32" s="505"/>
      <c r="AC32" s="506"/>
      <c r="AD32" s="506">
        <f>$D42*$P42</f>
        <v>0</v>
      </c>
      <c r="AE32" s="507">
        <f>AD32</f>
        <v>0</v>
      </c>
      <c r="AF32" s="508"/>
      <c r="AG32" s="509"/>
      <c r="AH32" s="510"/>
      <c r="AI32" s="511"/>
      <c r="AJ32" s="502">
        <f>(E42/10000)*U42*D42</f>
        <v>0</v>
      </c>
      <c r="AK32" s="512">
        <f>AJ32</f>
        <v>0</v>
      </c>
      <c r="AL32" s="442">
        <f>AE32+AK32</f>
        <v>0</v>
      </c>
      <c r="AM32" s="408"/>
      <c r="AN32" s="27"/>
    </row>
    <row r="33" spans="1:40" x14ac:dyDescent="0.45">
      <c r="B33" s="18"/>
      <c r="C33" s="151">
        <v>4</v>
      </c>
      <c r="D33" s="241"/>
      <c r="E33" s="242"/>
      <c r="F33" s="242"/>
      <c r="G33" s="242"/>
      <c r="H33" s="241"/>
      <c r="I33" s="241"/>
      <c r="J33" s="241"/>
      <c r="K33" s="241"/>
      <c r="L33" s="241"/>
      <c r="M33" s="393"/>
      <c r="N33" s="242"/>
      <c r="O33" s="130"/>
      <c r="P33" s="592">
        <v>0</v>
      </c>
      <c r="Q33" s="134"/>
      <c r="R33" s="251"/>
      <c r="S33" s="130"/>
      <c r="T33" s="251"/>
      <c r="U33" s="592">
        <v>0</v>
      </c>
      <c r="V33" s="134"/>
      <c r="W33" s="22"/>
      <c r="X33" s="18"/>
      <c r="Y33" s="407"/>
      <c r="Z33" s="148" t="str">
        <f>C43</f>
        <v xml:space="preserve">Insteekkaart, kaart los insteken tijdens hechten (willekeurig) </v>
      </c>
      <c r="AA33" s="513"/>
      <c r="AB33" s="505"/>
      <c r="AC33" s="506"/>
      <c r="AD33" s="506">
        <f>$D43*$P43</f>
        <v>0</v>
      </c>
      <c r="AE33" s="507">
        <f>AD33</f>
        <v>0</v>
      </c>
      <c r="AF33" s="508"/>
      <c r="AG33" s="509"/>
      <c r="AH33" s="510"/>
      <c r="AI33" s="511"/>
      <c r="AJ33" s="502">
        <f>(E43/10000)*U43*D43</f>
        <v>0</v>
      </c>
      <c r="AK33" s="512">
        <f>AJ33</f>
        <v>0</v>
      </c>
      <c r="AL33" s="442">
        <f>AE33+AK33</f>
        <v>0</v>
      </c>
      <c r="AM33" s="408"/>
      <c r="AN33" s="27"/>
    </row>
    <row r="34" spans="1:40" ht="17" thickBot="1" x14ac:dyDescent="0.5">
      <c r="B34" s="18"/>
      <c r="C34" s="149">
        <v>5</v>
      </c>
      <c r="D34" s="241"/>
      <c r="E34" s="242"/>
      <c r="F34" s="242"/>
      <c r="G34" s="242"/>
      <c r="H34" s="241"/>
      <c r="I34" s="241"/>
      <c r="J34" s="241"/>
      <c r="K34" s="241"/>
      <c r="L34" s="241"/>
      <c r="M34" s="393"/>
      <c r="N34" s="242"/>
      <c r="O34" s="130"/>
      <c r="P34" s="592">
        <v>0</v>
      </c>
      <c r="Q34" s="134"/>
      <c r="R34" s="251"/>
      <c r="S34" s="130"/>
      <c r="T34" s="251"/>
      <c r="U34" s="592">
        <v>0</v>
      </c>
      <c r="V34" s="134"/>
      <c r="W34" s="22"/>
      <c r="X34" s="18"/>
      <c r="Y34" s="407"/>
      <c r="Z34" s="242"/>
      <c r="AA34" s="514"/>
      <c r="AB34" s="515"/>
      <c r="AC34" s="515"/>
      <c r="AD34" s="516"/>
      <c r="AE34" s="517"/>
      <c r="AF34" s="499"/>
      <c r="AG34" s="518"/>
      <c r="AH34" s="519"/>
      <c r="AI34" s="519"/>
      <c r="AJ34" s="519"/>
      <c r="AK34" s="517"/>
      <c r="AL34" s="442"/>
      <c r="AM34" s="408"/>
      <c r="AN34" s="27"/>
    </row>
    <row r="35" spans="1:40" ht="20.5" customHeight="1" x14ac:dyDescent="0.45">
      <c r="B35" s="18"/>
      <c r="C35" s="149">
        <v>6</v>
      </c>
      <c r="D35" s="241"/>
      <c r="E35" s="242"/>
      <c r="F35" s="242"/>
      <c r="G35" s="242"/>
      <c r="H35" s="241"/>
      <c r="I35" s="241"/>
      <c r="J35" s="241"/>
      <c r="K35" s="241"/>
      <c r="L35" s="241"/>
      <c r="M35" s="393"/>
      <c r="N35" s="242"/>
      <c r="O35" s="130"/>
      <c r="P35" s="592">
        <v>0</v>
      </c>
      <c r="Q35" s="134"/>
      <c r="R35" s="251"/>
      <c r="S35" s="130"/>
      <c r="T35" s="251"/>
      <c r="U35" s="592">
        <v>0</v>
      </c>
      <c r="V35" s="134"/>
      <c r="W35" s="22"/>
      <c r="X35" s="18"/>
      <c r="Y35" s="407"/>
      <c r="Z35" s="142" t="s">
        <v>84</v>
      </c>
      <c r="AA35" s="520"/>
      <c r="AB35" s="521"/>
      <c r="AC35" s="521"/>
      <c r="AD35" s="522"/>
      <c r="AE35" s="523"/>
      <c r="AF35" s="499"/>
      <c r="AG35" s="524"/>
      <c r="AH35" s="525"/>
      <c r="AI35" s="525"/>
      <c r="AJ35" s="525"/>
      <c r="AK35" s="525"/>
      <c r="AL35" s="442"/>
      <c r="AM35" s="408"/>
      <c r="AN35" s="27"/>
    </row>
    <row r="36" spans="1:40" ht="17" thickBot="1" x14ac:dyDescent="0.5">
      <c r="B36" s="18"/>
      <c r="C36" s="157">
        <v>7</v>
      </c>
      <c r="D36" s="158"/>
      <c r="E36" s="158"/>
      <c r="F36" s="158"/>
      <c r="G36" s="158"/>
      <c r="H36" s="158"/>
      <c r="I36" s="158"/>
      <c r="J36" s="158"/>
      <c r="K36" s="158"/>
      <c r="L36" s="158"/>
      <c r="M36" s="159"/>
      <c r="N36" s="158"/>
      <c r="O36" s="160"/>
      <c r="P36" s="593">
        <v>0</v>
      </c>
      <c r="Q36" s="161"/>
      <c r="R36" s="158"/>
      <c r="S36" s="160"/>
      <c r="T36" s="162"/>
      <c r="U36" s="594">
        <v>0</v>
      </c>
      <c r="V36" s="163"/>
      <c r="W36" s="22"/>
      <c r="X36" s="18"/>
      <c r="Y36" s="407"/>
      <c r="Z36" s="152" t="s">
        <v>85</v>
      </c>
      <c r="AA36" s="513"/>
      <c r="AB36" s="505"/>
      <c r="AC36" s="506"/>
      <c r="AD36" s="506">
        <f>$D45*$P45</f>
        <v>0</v>
      </c>
      <c r="AE36" s="507">
        <f>AD36</f>
        <v>0</v>
      </c>
      <c r="AF36" s="508"/>
      <c r="AG36" s="509"/>
      <c r="AH36" s="510"/>
      <c r="AI36" s="511"/>
      <c r="AJ36" s="528">
        <f>(E43/10000)*U45*D45</f>
        <v>0</v>
      </c>
      <c r="AK36" s="512">
        <f>AJ36</f>
        <v>0</v>
      </c>
      <c r="AL36" s="442">
        <f>AE36+AK36</f>
        <v>0</v>
      </c>
      <c r="AM36" s="408"/>
      <c r="AN36" s="27"/>
    </row>
    <row r="37" spans="1:40" ht="10" customHeight="1" thickBot="1" x14ac:dyDescent="0.5">
      <c r="B37" s="18"/>
      <c r="C37" s="164"/>
      <c r="D37" s="241"/>
      <c r="E37" s="242"/>
      <c r="F37" s="242"/>
      <c r="G37" s="242"/>
      <c r="H37" s="241"/>
      <c r="I37" s="241"/>
      <c r="J37" s="241"/>
      <c r="K37" s="241"/>
      <c r="L37" s="241"/>
      <c r="M37" s="393"/>
      <c r="N37" s="242"/>
      <c r="O37" s="130"/>
      <c r="P37" s="251"/>
      <c r="Q37" s="134"/>
      <c r="R37" s="242"/>
      <c r="S37" s="130"/>
      <c r="T37" s="251"/>
      <c r="U37" s="251"/>
      <c r="V37" s="132"/>
      <c r="W37" s="22"/>
      <c r="X37" s="18"/>
      <c r="Y37" s="407"/>
      <c r="Z37" s="242"/>
      <c r="AA37" s="514"/>
      <c r="AB37" s="515"/>
      <c r="AC37" s="515"/>
      <c r="AD37" s="516"/>
      <c r="AE37" s="517"/>
      <c r="AF37" s="499"/>
      <c r="AG37" s="518"/>
      <c r="AH37" s="516"/>
      <c r="AI37" s="516"/>
      <c r="AJ37" s="516"/>
      <c r="AK37" s="516"/>
      <c r="AL37" s="442"/>
      <c r="AM37" s="408"/>
      <c r="AN37" s="27"/>
    </row>
    <row r="38" spans="1:40" ht="35.5" customHeight="1" x14ac:dyDescent="0.45">
      <c r="B38" s="18"/>
      <c r="C38" s="142" t="s">
        <v>45</v>
      </c>
      <c r="D38" s="217" t="s">
        <v>19</v>
      </c>
      <c r="E38" s="217" t="s">
        <v>83</v>
      </c>
      <c r="F38" s="217"/>
      <c r="G38" s="217"/>
      <c r="H38" s="217"/>
      <c r="I38" s="217"/>
      <c r="J38" s="217"/>
      <c r="K38" s="217"/>
      <c r="L38" s="217"/>
      <c r="M38" s="217"/>
      <c r="N38" s="217"/>
      <c r="O38" s="782" t="s">
        <v>129</v>
      </c>
      <c r="P38" s="782"/>
      <c r="Q38" s="783"/>
      <c r="R38" s="217"/>
      <c r="S38" s="218"/>
      <c r="T38" s="217"/>
      <c r="U38" s="219" t="s">
        <v>46</v>
      </c>
      <c r="V38" s="220"/>
      <c r="W38" s="22"/>
      <c r="X38" s="18"/>
      <c r="Y38" s="407"/>
      <c r="Z38" s="142" t="s">
        <v>86</v>
      </c>
      <c r="AA38" s="529"/>
      <c r="AB38" s="505"/>
      <c r="AC38" s="506"/>
      <c r="AD38" s="506"/>
      <c r="AE38" s="507"/>
      <c r="AF38" s="508"/>
      <c r="AG38" s="509"/>
      <c r="AH38" s="510"/>
      <c r="AI38" s="511"/>
      <c r="AJ38" s="528"/>
      <c r="AK38" s="512"/>
      <c r="AL38" s="442"/>
      <c r="AM38" s="408"/>
      <c r="AN38" s="27"/>
    </row>
    <row r="39" spans="1:40" ht="18" customHeight="1" thickBot="1" x14ac:dyDescent="0.5">
      <c r="B39" s="240"/>
      <c r="C39" s="235" t="s">
        <v>80</v>
      </c>
      <c r="D39" s="166">
        <v>49</v>
      </c>
      <c r="E39" s="243">
        <v>122000</v>
      </c>
      <c r="F39" s="530" t="s">
        <v>214</v>
      </c>
      <c r="G39" s="242"/>
      <c r="H39" s="241"/>
      <c r="I39" s="241"/>
      <c r="J39" s="241"/>
      <c r="K39" s="241"/>
      <c r="L39" s="241"/>
      <c r="M39" s="393"/>
      <c r="N39" s="241"/>
      <c r="O39" s="130"/>
      <c r="P39" s="531"/>
      <c r="Q39" s="134"/>
      <c r="R39" s="251"/>
      <c r="S39" s="130"/>
      <c r="T39" s="251"/>
      <c r="U39" s="531"/>
      <c r="V39" s="167"/>
      <c r="W39" s="22"/>
      <c r="X39" s="18"/>
      <c r="Y39" s="408"/>
      <c r="Z39" s="233" t="str">
        <f>C47</f>
        <v>Transportkosten (1 adres in Nederland)</v>
      </c>
      <c r="AA39" s="532"/>
      <c r="AB39" s="533"/>
      <c r="AC39" s="534"/>
      <c r="AD39" s="534">
        <f>$D47*$P47</f>
        <v>0</v>
      </c>
      <c r="AE39" s="535">
        <f>AD39</f>
        <v>0</v>
      </c>
      <c r="AF39" s="536"/>
      <c r="AG39" s="537"/>
      <c r="AH39" s="538"/>
      <c r="AI39" s="539"/>
      <c r="AJ39" s="540">
        <f>(E47/10000)*U47</f>
        <v>0</v>
      </c>
      <c r="AK39" s="541">
        <f>AJ39</f>
        <v>0</v>
      </c>
      <c r="AL39" s="542">
        <f>AE39+AK39</f>
        <v>0</v>
      </c>
      <c r="AM39" s="408"/>
      <c r="AN39" s="27"/>
    </row>
    <row r="40" spans="1:40" ht="16.5" customHeight="1" thickBot="1" x14ac:dyDescent="0.55000000000000004">
      <c r="B40" s="18"/>
      <c r="C40" s="235" t="s">
        <v>47</v>
      </c>
      <c r="D40" s="166">
        <v>4</v>
      </c>
      <c r="E40" s="243">
        <v>122000</v>
      </c>
      <c r="F40" s="242"/>
      <c r="G40" s="242"/>
      <c r="H40" s="241"/>
      <c r="I40" s="241"/>
      <c r="J40" s="241"/>
      <c r="K40" s="241"/>
      <c r="L40" s="241"/>
      <c r="M40" s="393"/>
      <c r="N40" s="241"/>
      <c r="O40" s="130"/>
      <c r="P40" s="595">
        <v>0</v>
      </c>
      <c r="Q40" s="134"/>
      <c r="R40" s="251"/>
      <c r="S40" s="130"/>
      <c r="T40" s="251"/>
      <c r="U40" s="595">
        <v>0</v>
      </c>
      <c r="V40" s="167"/>
      <c r="W40" s="22"/>
      <c r="X40" s="18"/>
      <c r="Y40" s="408"/>
      <c r="Z40" s="544"/>
      <c r="AA40" s="291"/>
      <c r="AB40" s="545"/>
      <c r="AC40" s="350"/>
      <c r="AD40" s="351"/>
      <c r="AE40" s="352"/>
      <c r="AF40" s="546"/>
      <c r="AG40" s="546"/>
      <c r="AH40" s="547"/>
      <c r="AI40" s="548"/>
      <c r="AJ40" s="548"/>
      <c r="AK40" s="356"/>
      <c r="AL40" s="357"/>
      <c r="AM40" s="408"/>
      <c r="AN40" s="27"/>
    </row>
    <row r="41" spans="1:40" ht="16.5" customHeight="1" x14ac:dyDescent="0.45">
      <c r="B41" s="18"/>
      <c r="C41" s="168" t="s">
        <v>48</v>
      </c>
      <c r="D41" s="166">
        <v>0</v>
      </c>
      <c r="E41" s="243">
        <v>0</v>
      </c>
      <c r="F41" s="242"/>
      <c r="G41" s="242"/>
      <c r="H41" s="241"/>
      <c r="I41" s="241"/>
      <c r="J41" s="241"/>
      <c r="K41" s="241"/>
      <c r="L41" s="241"/>
      <c r="M41" s="393"/>
      <c r="N41" s="241"/>
      <c r="O41" s="130"/>
      <c r="P41" s="595">
        <v>0</v>
      </c>
      <c r="Q41" s="134"/>
      <c r="R41" s="251"/>
      <c r="S41" s="130"/>
      <c r="T41" s="251"/>
      <c r="U41" s="595">
        <v>0</v>
      </c>
      <c r="V41" s="167"/>
      <c r="W41" s="22"/>
      <c r="X41" s="18"/>
      <c r="Y41" s="408"/>
      <c r="Z41" s="142" t="s">
        <v>122</v>
      </c>
      <c r="AA41" s="15"/>
      <c r="AB41" s="319"/>
      <c r="AC41" s="319"/>
      <c r="AD41" s="319"/>
      <c r="AE41" s="319"/>
      <c r="AF41" s="10"/>
      <c r="AG41" s="16"/>
      <c r="AH41" s="319"/>
      <c r="AI41" s="319"/>
      <c r="AJ41" s="319"/>
      <c r="AK41" s="319"/>
      <c r="AL41" s="329"/>
      <c r="AM41" s="408"/>
      <c r="AN41" s="27"/>
    </row>
    <row r="42" spans="1:40" ht="16.5" customHeight="1" x14ac:dyDescent="0.45">
      <c r="B42" s="18"/>
      <c r="C42" s="168" t="s">
        <v>49</v>
      </c>
      <c r="D42" s="166">
        <v>4</v>
      </c>
      <c r="E42" s="243">
        <v>137000</v>
      </c>
      <c r="F42" s="242"/>
      <c r="G42" s="242"/>
      <c r="H42" s="241"/>
      <c r="I42" s="241"/>
      <c r="J42" s="241"/>
      <c r="K42" s="241"/>
      <c r="L42" s="241"/>
      <c r="M42" s="393"/>
      <c r="N42" s="241"/>
      <c r="O42" s="130"/>
      <c r="P42" s="595">
        <v>0</v>
      </c>
      <c r="Q42" s="134"/>
      <c r="R42" s="251"/>
      <c r="S42" s="130"/>
      <c r="T42" s="251"/>
      <c r="U42" s="595">
        <v>0</v>
      </c>
      <c r="V42" s="167"/>
      <c r="W42" s="22"/>
      <c r="X42" s="18"/>
      <c r="Y42" s="408"/>
      <c r="Z42" s="18"/>
      <c r="AA42" s="165"/>
      <c r="AB42" s="320"/>
      <c r="AC42" s="324"/>
      <c r="AD42" s="324"/>
      <c r="AE42" s="320"/>
      <c r="AF42" s="308"/>
      <c r="AG42" s="165"/>
      <c r="AH42" s="320"/>
      <c r="AI42" s="320"/>
      <c r="AJ42" s="320"/>
      <c r="AK42" s="318"/>
      <c r="AL42" s="330"/>
      <c r="AM42" s="408"/>
      <c r="AN42" s="27"/>
    </row>
    <row r="43" spans="1:40" ht="16.5" customHeight="1" thickBot="1" x14ac:dyDescent="0.5">
      <c r="B43" s="18"/>
      <c r="C43" s="168" t="s">
        <v>50</v>
      </c>
      <c r="D43" s="166">
        <v>0</v>
      </c>
      <c r="E43" s="243">
        <v>0</v>
      </c>
      <c r="F43" s="549" t="s">
        <v>147</v>
      </c>
      <c r="G43" s="242"/>
      <c r="H43" s="241"/>
      <c r="I43" s="241"/>
      <c r="J43" s="241"/>
      <c r="K43" s="241"/>
      <c r="L43" s="241"/>
      <c r="M43" s="393"/>
      <c r="N43" s="241"/>
      <c r="O43" s="130"/>
      <c r="P43" s="595">
        <v>0</v>
      </c>
      <c r="Q43" s="134"/>
      <c r="R43" s="251"/>
      <c r="S43" s="130"/>
      <c r="T43" s="251"/>
      <c r="U43" s="595">
        <v>0</v>
      </c>
      <c r="V43" s="167"/>
      <c r="W43" s="22"/>
      <c r="X43" s="18"/>
      <c r="Y43" s="408"/>
      <c r="Z43" s="309" t="s">
        <v>123</v>
      </c>
      <c r="AA43" s="310"/>
      <c r="AB43" s="321"/>
      <c r="AC43" s="325"/>
      <c r="AD43" s="325"/>
      <c r="AE43" s="321"/>
      <c r="AF43" s="311"/>
      <c r="AG43" s="310"/>
      <c r="AH43" s="321"/>
      <c r="AI43" s="321"/>
      <c r="AJ43" s="321"/>
      <c r="AK43" s="321"/>
      <c r="AL43" s="328">
        <f>$K$79</f>
        <v>0</v>
      </c>
      <c r="AM43" s="408"/>
      <c r="AN43" s="27"/>
    </row>
    <row r="44" spans="1:40" ht="16.5" customHeight="1" thickBot="1" x14ac:dyDescent="0.5">
      <c r="B44" s="18"/>
      <c r="C44" s="142" t="s">
        <v>84</v>
      </c>
      <c r="D44" s="142"/>
      <c r="E44" s="142"/>
      <c r="F44" s="338"/>
      <c r="G44" s="338"/>
      <c r="H44" s="338"/>
      <c r="I44" s="338"/>
      <c r="J44" s="338"/>
      <c r="K44" s="338"/>
      <c r="L44" s="338"/>
      <c r="M44" s="338"/>
      <c r="N44" s="338"/>
      <c r="O44" s="338"/>
      <c r="P44" s="338"/>
      <c r="Q44" s="338"/>
      <c r="R44" s="338"/>
      <c r="S44" s="338"/>
      <c r="T44" s="338"/>
      <c r="U44" s="338"/>
      <c r="V44" s="339"/>
      <c r="W44" s="22"/>
      <c r="X44" s="18"/>
      <c r="Y44" s="408"/>
      <c r="Z44" s="312" t="s">
        <v>124</v>
      </c>
      <c r="AA44" s="176"/>
      <c r="AB44" s="322"/>
      <c r="AC44" s="326"/>
      <c r="AD44" s="326"/>
      <c r="AE44" s="322"/>
      <c r="AF44" s="178"/>
      <c r="AG44" s="176"/>
      <c r="AH44" s="322"/>
      <c r="AI44" s="322"/>
      <c r="AJ44" s="322"/>
      <c r="AK44" s="322"/>
      <c r="AL44" s="328">
        <f>$K$87</f>
        <v>0</v>
      </c>
      <c r="AM44" s="408"/>
      <c r="AN44" s="27"/>
    </row>
    <row r="45" spans="1:40" ht="16.5" customHeight="1" thickBot="1" x14ac:dyDescent="0.5">
      <c r="B45" s="18"/>
      <c r="C45" s="245" t="s">
        <v>85</v>
      </c>
      <c r="D45" s="166">
        <v>49</v>
      </c>
      <c r="E45" s="243">
        <v>0</v>
      </c>
      <c r="F45" s="340"/>
      <c r="G45" s="340"/>
      <c r="H45" s="341"/>
      <c r="I45" s="341"/>
      <c r="J45" s="341"/>
      <c r="K45" s="341"/>
      <c r="L45" s="341"/>
      <c r="M45" s="342"/>
      <c r="N45" s="341"/>
      <c r="O45" s="343"/>
      <c r="P45" s="595">
        <v>0</v>
      </c>
      <c r="Q45" s="344"/>
      <c r="R45" s="345"/>
      <c r="S45" s="343"/>
      <c r="T45" s="345"/>
      <c r="U45" s="596">
        <v>0</v>
      </c>
      <c r="V45" s="344"/>
      <c r="W45" s="22"/>
      <c r="X45" s="18"/>
      <c r="Y45" s="408"/>
      <c r="Z45" s="551"/>
      <c r="AA45" s="291"/>
      <c r="AB45" s="545"/>
      <c r="AC45" s="545"/>
      <c r="AD45" s="545"/>
      <c r="AE45" s="545"/>
      <c r="AF45" s="291"/>
      <c r="AG45" s="291"/>
      <c r="AH45" s="545"/>
      <c r="AI45" s="545"/>
      <c r="AJ45" s="545"/>
      <c r="AK45" s="545"/>
      <c r="AL45" s="552"/>
      <c r="AM45" s="408"/>
      <c r="AN45" s="27"/>
    </row>
    <row r="46" spans="1:40" ht="16.5" customHeight="1" x14ac:dyDescent="0.45">
      <c r="B46" s="18"/>
      <c r="C46" s="142" t="s">
        <v>86</v>
      </c>
      <c r="D46" s="142"/>
      <c r="E46" s="142"/>
      <c r="F46" s="338"/>
      <c r="G46" s="338"/>
      <c r="H46" s="338"/>
      <c r="I46" s="338"/>
      <c r="J46" s="338"/>
      <c r="K46" s="338"/>
      <c r="L46" s="338"/>
      <c r="M46" s="338"/>
      <c r="N46" s="338"/>
      <c r="O46" s="338"/>
      <c r="P46" s="338"/>
      <c r="Q46" s="338"/>
      <c r="R46" s="338"/>
      <c r="S46" s="338"/>
      <c r="T46" s="338"/>
      <c r="U46" s="338"/>
      <c r="V46" s="339"/>
      <c r="W46" s="22"/>
      <c r="X46" s="18"/>
      <c r="Y46" s="408"/>
      <c r="Z46" s="553" t="s">
        <v>44</v>
      </c>
      <c r="AA46" s="154" t="str">
        <f>SUM(AA20:AA39)&amp;" KG"</f>
        <v>0 KG</v>
      </c>
      <c r="AB46" s="323">
        <f>SUM(AB20:AB39)</f>
        <v>0</v>
      </c>
      <c r="AC46" s="323">
        <f>SUM(AC20:AC39)</f>
        <v>0</v>
      </c>
      <c r="AD46" s="323">
        <f>SUM(AD20:AD39)</f>
        <v>0</v>
      </c>
      <c r="AE46" s="323">
        <f>SUM(AB46:AD46)</f>
        <v>0</v>
      </c>
      <c r="AF46" s="155"/>
      <c r="AG46" s="156" t="str">
        <f>SUM(AG20:AG39)&amp;" KG"</f>
        <v>0 KG</v>
      </c>
      <c r="AH46" s="323">
        <f>SUM(AH20:AH39)</f>
        <v>0</v>
      </c>
      <c r="AI46" s="323">
        <f>SUM(AI20:AI39)</f>
        <v>0</v>
      </c>
      <c r="AJ46" s="323">
        <f>SUM(AJ20:AJ39)</f>
        <v>0</v>
      </c>
      <c r="AK46" s="323">
        <f>SUM(AH46:AJ46)</f>
        <v>0</v>
      </c>
      <c r="AL46" s="323">
        <f>SUM(AL20:AL44)</f>
        <v>0</v>
      </c>
      <c r="AM46" s="695">
        <f>IF(AL46&gt;0,1,0)</f>
        <v>0</v>
      </c>
      <c r="AN46" s="27"/>
    </row>
    <row r="47" spans="1:40" ht="16.5" customHeight="1" thickBot="1" x14ac:dyDescent="0.5">
      <c r="B47" s="18"/>
      <c r="C47" s="246" t="s">
        <v>51</v>
      </c>
      <c r="D47" s="169">
        <v>49</v>
      </c>
      <c r="E47" s="244">
        <v>0</v>
      </c>
      <c r="F47" s="733" t="s">
        <v>226</v>
      </c>
      <c r="G47" s="170"/>
      <c r="H47" s="58"/>
      <c r="I47" s="58"/>
      <c r="J47" s="58"/>
      <c r="K47" s="58"/>
      <c r="L47" s="58"/>
      <c r="M47" s="171"/>
      <c r="N47" s="172"/>
      <c r="O47" s="173"/>
      <c r="P47" s="735">
        <v>0</v>
      </c>
      <c r="Q47" s="141"/>
      <c r="R47" s="394"/>
      <c r="S47" s="173"/>
      <c r="T47" s="59"/>
      <c r="U47" s="735">
        <v>0</v>
      </c>
      <c r="V47" s="141"/>
      <c r="W47" s="22"/>
      <c r="X47" s="18"/>
      <c r="Y47" s="408"/>
      <c r="Z47" s="408"/>
      <c r="AA47" s="408"/>
      <c r="AB47" s="408"/>
      <c r="AC47" s="408"/>
      <c r="AD47" s="408"/>
      <c r="AE47" s="408"/>
      <c r="AF47" s="408"/>
      <c r="AG47" s="408"/>
      <c r="AH47" s="408"/>
      <c r="AI47" s="408"/>
      <c r="AJ47" s="408"/>
      <c r="AK47" s="408"/>
      <c r="AL47" s="408"/>
      <c r="AM47" s="408"/>
      <c r="AN47" s="27"/>
    </row>
    <row r="48" spans="1:40" ht="22.5" customHeight="1" thickBot="1" x14ac:dyDescent="0.5">
      <c r="A48" s="1"/>
      <c r="B48" s="174"/>
      <c r="C48" s="239"/>
      <c r="D48" s="158" t="s">
        <v>2</v>
      </c>
      <c r="E48" s="170"/>
      <c r="F48" s="170"/>
      <c r="G48" s="170"/>
      <c r="H48" s="158" t="s">
        <v>2</v>
      </c>
      <c r="I48" s="158" t="s">
        <v>2</v>
      </c>
      <c r="J48" s="158"/>
      <c r="K48" s="158"/>
      <c r="L48" s="158"/>
      <c r="M48" s="159" t="s">
        <v>2</v>
      </c>
      <c r="N48" s="170"/>
      <c r="O48" s="162"/>
      <c r="P48" s="162"/>
      <c r="Q48" s="162"/>
      <c r="R48" s="170"/>
      <c r="S48" s="162"/>
      <c r="T48" s="162"/>
      <c r="U48" s="162"/>
      <c r="V48" s="162"/>
      <c r="W48" s="175"/>
      <c r="X48" s="174"/>
      <c r="Y48" s="170"/>
      <c r="Z48" s="170"/>
      <c r="AA48" s="176"/>
      <c r="AB48" s="176"/>
      <c r="AC48" s="177"/>
      <c r="AD48" s="177"/>
      <c r="AE48" s="176"/>
      <c r="AF48" s="178"/>
      <c r="AG48" s="176"/>
      <c r="AH48" s="176"/>
      <c r="AI48" s="176"/>
      <c r="AJ48" s="176"/>
      <c r="AK48" s="179"/>
      <c r="AL48" s="179"/>
      <c r="AM48" s="158"/>
      <c r="AN48" s="161"/>
    </row>
    <row r="49" spans="1:40" ht="18" customHeight="1" x14ac:dyDescent="0.45"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ht="28" hidden="1" x14ac:dyDescent="0.45">
      <c r="H50" s="180" t="s">
        <v>52</v>
      </c>
      <c r="I50" s="180" t="s">
        <v>53</v>
      </c>
      <c r="J50" s="180" t="s">
        <v>54</v>
      </c>
      <c r="K50" s="180" t="s">
        <v>55</v>
      </c>
      <c r="L50" s="180" t="s">
        <v>56</v>
      </c>
      <c r="M50" s="181" t="s">
        <v>57</v>
      </c>
      <c r="P50" s="6" t="s">
        <v>58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hidden="1" x14ac:dyDescent="0.45">
      <c r="C51" s="2" t="s">
        <v>47</v>
      </c>
      <c r="D51" s="182">
        <v>2</v>
      </c>
      <c r="H51" s="183">
        <v>16</v>
      </c>
      <c r="I51" s="183">
        <v>12</v>
      </c>
      <c r="J51" s="183">
        <v>4</v>
      </c>
      <c r="K51" s="183">
        <v>16</v>
      </c>
      <c r="L51" s="183">
        <v>7</v>
      </c>
      <c r="M51" s="183">
        <v>8</v>
      </c>
      <c r="P51" s="6" t="s">
        <v>59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hidden="1" x14ac:dyDescent="0.45">
      <c r="C52" s="2" t="s">
        <v>50</v>
      </c>
      <c r="D52" s="182">
        <v>5</v>
      </c>
      <c r="H52" s="183">
        <v>1</v>
      </c>
      <c r="I52" s="183">
        <v>0</v>
      </c>
      <c r="J52" s="183">
        <v>21</v>
      </c>
      <c r="K52" s="183">
        <v>0</v>
      </c>
      <c r="L52" s="183">
        <v>51</v>
      </c>
      <c r="M52" s="183">
        <v>26</v>
      </c>
      <c r="P52" s="6" t="s">
        <v>60</v>
      </c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idden="1" x14ac:dyDescent="0.45">
      <c r="C53" s="2" t="s">
        <v>48</v>
      </c>
      <c r="D53" s="182">
        <v>3</v>
      </c>
      <c r="H53" s="183">
        <v>4</v>
      </c>
      <c r="I53" s="183">
        <v>4</v>
      </c>
      <c r="J53" s="183">
        <v>0</v>
      </c>
      <c r="K53" s="183">
        <v>4</v>
      </c>
      <c r="L53" s="183">
        <v>0</v>
      </c>
      <c r="M53" s="183">
        <v>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hidden="1" x14ac:dyDescent="0.45">
      <c r="C54" s="2" t="s">
        <v>49</v>
      </c>
      <c r="D54" s="182">
        <v>4</v>
      </c>
      <c r="H54" s="183">
        <v>0</v>
      </c>
      <c r="I54" s="183">
        <v>0</v>
      </c>
      <c r="J54" s="183">
        <v>0</v>
      </c>
      <c r="K54" s="183">
        <v>0</v>
      </c>
      <c r="L54" s="183">
        <v>0</v>
      </c>
      <c r="M54" s="183">
        <v>4</v>
      </c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ht="26.5" x14ac:dyDescent="0.45">
      <c r="A55" s="255"/>
      <c r="B55" s="256"/>
      <c r="C55" s="362" t="s">
        <v>100</v>
      </c>
      <c r="D55" s="258" t="s">
        <v>101</v>
      </c>
      <c r="E55" s="258"/>
      <c r="F55" s="256"/>
      <c r="G55" s="256"/>
      <c r="H55" s="259"/>
      <c r="I55" s="256"/>
      <c r="J55" s="257" t="s">
        <v>162</v>
      </c>
      <c r="K55" s="256"/>
      <c r="L55" s="257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ht="17" thickBot="1" x14ac:dyDescent="0.5">
      <c r="A56" s="255"/>
      <c r="B56" s="260"/>
      <c r="C56" s="260"/>
      <c r="D56" s="260"/>
      <c r="E56" s="260"/>
      <c r="F56" s="256"/>
      <c r="G56" s="256"/>
      <c r="H56" s="260"/>
      <c r="I56" s="256"/>
      <c r="J56" s="260"/>
      <c r="K56" s="256"/>
      <c r="L56" s="260"/>
    </row>
    <row r="57" spans="1:40" ht="27.5" thickTop="1" thickBot="1" x14ac:dyDescent="0.5">
      <c r="A57" s="255"/>
      <c r="B57" s="256"/>
      <c r="C57" s="257" t="s">
        <v>1</v>
      </c>
      <c r="D57" s="554">
        <f>D4</f>
        <v>0</v>
      </c>
      <c r="E57" s="258"/>
      <c r="F57" s="256"/>
      <c r="G57" s="256"/>
      <c r="H57" s="259"/>
      <c r="I57" s="256"/>
      <c r="J57" s="260"/>
      <c r="K57" s="256"/>
      <c r="L57" s="260"/>
    </row>
    <row r="58" spans="1:40" ht="27" thickTop="1" x14ac:dyDescent="0.45">
      <c r="A58" s="255"/>
      <c r="B58" s="257"/>
      <c r="C58" s="258"/>
      <c r="D58" s="258"/>
      <c r="E58" s="258"/>
      <c r="F58" s="256"/>
      <c r="G58" s="256"/>
      <c r="H58" s="259"/>
      <c r="I58" s="256"/>
      <c r="J58" s="260"/>
      <c r="K58" s="256"/>
      <c r="L58" s="260"/>
    </row>
    <row r="59" spans="1:40" ht="17" thickBot="1" x14ac:dyDescent="0.5">
      <c r="A59" s="255"/>
      <c r="B59" s="261" t="s">
        <v>103</v>
      </c>
      <c r="C59" s="262" t="s">
        <v>52</v>
      </c>
      <c r="D59" s="260"/>
      <c r="E59" s="263"/>
      <c r="F59" s="256"/>
      <c r="G59" s="256"/>
      <c r="H59" s="264"/>
      <c r="I59" s="256"/>
      <c r="J59" s="260"/>
      <c r="K59" s="256"/>
      <c r="L59" s="260"/>
    </row>
    <row r="60" spans="1:40" ht="17.5" thickTop="1" thickBot="1" x14ac:dyDescent="0.5">
      <c r="A60" s="255"/>
      <c r="B60" s="261" t="s">
        <v>103</v>
      </c>
      <c r="C60" s="266" t="s">
        <v>104</v>
      </c>
      <c r="D60" s="556">
        <v>122000</v>
      </c>
      <c r="E60" s="263"/>
      <c r="F60" s="256"/>
      <c r="G60" s="256"/>
      <c r="H60" s="264"/>
      <c r="I60" s="256"/>
      <c r="J60" s="260"/>
      <c r="K60" s="256"/>
      <c r="L60" s="260"/>
    </row>
    <row r="61" spans="1:40" ht="17.5" hidden="1" thickTop="1" thickBot="1" x14ac:dyDescent="0.5">
      <c r="A61" s="255"/>
      <c r="B61" s="261" t="s">
        <v>103</v>
      </c>
      <c r="C61" s="265" t="s">
        <v>105</v>
      </c>
      <c r="D61" s="555">
        <v>122</v>
      </c>
      <c r="E61" s="263"/>
      <c r="F61" s="256"/>
      <c r="G61" s="256"/>
      <c r="H61" s="263"/>
      <c r="I61" s="256"/>
      <c r="J61" s="263"/>
      <c r="K61" s="256"/>
      <c r="L61" s="263"/>
    </row>
    <row r="62" spans="1:40" ht="32" hidden="1" thickTop="1" thickBot="1" x14ac:dyDescent="0.5">
      <c r="A62" s="255"/>
      <c r="B62" s="256"/>
      <c r="C62" s="266" t="s">
        <v>106</v>
      </c>
      <c r="D62" s="556">
        <v>122122</v>
      </c>
      <c r="E62" s="256"/>
      <c r="F62" s="256"/>
      <c r="G62" s="256"/>
      <c r="H62" s="263"/>
      <c r="I62" s="256"/>
      <c r="J62" s="263"/>
      <c r="K62" s="256"/>
      <c r="L62" s="263"/>
    </row>
    <row r="63" spans="1:40" ht="17.5" thickTop="1" thickBot="1" x14ac:dyDescent="0.5">
      <c r="A63" s="255"/>
      <c r="B63" s="256"/>
      <c r="C63" s="261"/>
      <c r="D63" s="597"/>
      <c r="E63" s="260"/>
      <c r="F63" s="256"/>
      <c r="G63" s="256"/>
      <c r="H63" s="264"/>
      <c r="I63" s="256"/>
      <c r="J63" s="260"/>
      <c r="K63" s="256"/>
      <c r="L63" s="260"/>
    </row>
    <row r="64" spans="1:40" ht="17.5" thickTop="1" thickBot="1" x14ac:dyDescent="0.5">
      <c r="A64" s="269"/>
      <c r="B64" s="256"/>
      <c r="C64" s="266" t="s">
        <v>107</v>
      </c>
      <c r="D64" s="556">
        <v>49</v>
      </c>
      <c r="E64" s="263"/>
      <c r="F64" s="256"/>
      <c r="G64" s="256"/>
      <c r="H64" s="263"/>
      <c r="I64" s="256"/>
      <c r="J64" s="263"/>
      <c r="K64" s="256"/>
      <c r="L64" s="263"/>
    </row>
    <row r="65" spans="1:12" ht="17.5" thickTop="1" thickBot="1" x14ac:dyDescent="0.5">
      <c r="A65" s="255"/>
      <c r="B65" s="256"/>
      <c r="C65" s="261"/>
      <c r="D65" s="597"/>
      <c r="E65" s="260"/>
      <c r="F65" s="256"/>
      <c r="G65" s="256"/>
      <c r="H65" s="264"/>
      <c r="I65" s="256"/>
      <c r="J65" s="260"/>
      <c r="K65" s="256"/>
      <c r="L65" s="260"/>
    </row>
    <row r="66" spans="1:12" ht="32" thickTop="1" thickBot="1" x14ac:dyDescent="0.5">
      <c r="A66" s="269"/>
      <c r="B66" s="256"/>
      <c r="C66" s="270" t="s">
        <v>108</v>
      </c>
      <c r="D66" s="556">
        <v>14000</v>
      </c>
      <c r="E66" s="263"/>
      <c r="F66" s="256"/>
      <c r="G66" s="256"/>
      <c r="H66" s="263"/>
      <c r="I66" s="256"/>
      <c r="J66" s="263"/>
      <c r="K66" s="256"/>
      <c r="L66" s="263"/>
    </row>
    <row r="67" spans="1:12" ht="17.5" hidden="1" thickTop="1" thickBot="1" x14ac:dyDescent="0.5">
      <c r="A67" s="269"/>
      <c r="B67" s="271"/>
      <c r="C67" s="266" t="s">
        <v>109</v>
      </c>
      <c r="D67" s="267">
        <v>1</v>
      </c>
      <c r="E67" s="263"/>
      <c r="F67" s="256"/>
      <c r="G67" s="256"/>
      <c r="H67" s="263"/>
      <c r="I67" s="256"/>
      <c r="J67" s="263"/>
      <c r="K67" s="256"/>
      <c r="L67" s="263"/>
    </row>
    <row r="68" spans="1:12" ht="32" hidden="1" thickTop="1" thickBot="1" x14ac:dyDescent="0.5">
      <c r="A68" s="269"/>
      <c r="B68" s="256"/>
      <c r="C68" s="270" t="s">
        <v>110</v>
      </c>
      <c r="D68" s="267">
        <v>0</v>
      </c>
      <c r="E68" s="263"/>
      <c r="F68" s="256"/>
      <c r="G68" s="256"/>
      <c r="H68" s="263"/>
      <c r="I68" s="256"/>
      <c r="J68" s="263"/>
      <c r="K68" s="256"/>
      <c r="L68" s="263"/>
    </row>
    <row r="69" spans="1:12" ht="17" thickTop="1" x14ac:dyDescent="0.45">
      <c r="A69" s="269"/>
      <c r="B69" s="271"/>
      <c r="C69" s="272"/>
      <c r="D69" s="273"/>
      <c r="E69" s="263"/>
      <c r="F69" s="256"/>
      <c r="G69" s="256"/>
      <c r="H69" s="263"/>
      <c r="I69" s="256"/>
      <c r="J69" s="263"/>
      <c r="K69" s="256"/>
      <c r="L69" s="263"/>
    </row>
    <row r="70" spans="1:12" ht="17" thickBot="1" x14ac:dyDescent="0.5">
      <c r="A70" s="269"/>
      <c r="B70" s="256"/>
      <c r="C70" s="263"/>
      <c r="D70" s="256"/>
      <c r="E70" s="256"/>
      <c r="F70" s="256"/>
      <c r="G70" s="256"/>
      <c r="H70" s="256"/>
      <c r="I70" s="256"/>
      <c r="J70" s="256"/>
      <c r="K70" s="256"/>
      <c r="L70" s="256"/>
    </row>
    <row r="71" spans="1:12" x14ac:dyDescent="0.45">
      <c r="A71" s="269"/>
      <c r="B71" s="737" t="s">
        <v>163</v>
      </c>
      <c r="C71" s="274"/>
      <c r="D71" s="769" t="s">
        <v>131</v>
      </c>
      <c r="E71" s="784" t="s">
        <v>130</v>
      </c>
      <c r="F71" s="256"/>
      <c r="G71" s="256"/>
      <c r="H71" s="753" t="s">
        <v>132</v>
      </c>
      <c r="I71" s="256"/>
      <c r="J71" s="771" t="s">
        <v>111</v>
      </c>
      <c r="K71" s="772"/>
      <c r="L71" s="256"/>
    </row>
    <row r="72" spans="1:12" ht="17" thickBot="1" x14ac:dyDescent="0.5">
      <c r="A72" s="269"/>
      <c r="B72" s="738"/>
      <c r="C72" s="275"/>
      <c r="D72" s="770"/>
      <c r="E72" s="785"/>
      <c r="F72" s="256"/>
      <c r="G72" s="256"/>
      <c r="H72" s="754"/>
      <c r="I72" s="256"/>
      <c r="J72" s="385"/>
      <c r="K72" s="386"/>
      <c r="L72" s="256"/>
    </row>
    <row r="73" spans="1:12" x14ac:dyDescent="0.45">
      <c r="A73" s="269"/>
      <c r="B73" s="738"/>
      <c r="C73" s="278" t="s">
        <v>143</v>
      </c>
      <c r="D73" s="560">
        <f>D60</f>
        <v>122000</v>
      </c>
      <c r="E73" s="560">
        <v>49</v>
      </c>
      <c r="F73" s="256"/>
      <c r="G73" s="256"/>
      <c r="H73" s="279">
        <v>0</v>
      </c>
      <c r="I73" s="256"/>
      <c r="J73" s="280"/>
      <c r="K73" s="561">
        <f>$H73/1000*$D73*E73</f>
        <v>0</v>
      </c>
      <c r="L73" s="256"/>
    </row>
    <row r="74" spans="1:12" x14ac:dyDescent="0.45">
      <c r="A74" s="269"/>
      <c r="B74" s="738"/>
      <c r="C74" s="281" t="s">
        <v>231</v>
      </c>
      <c r="D74" s="560">
        <v>122000</v>
      </c>
      <c r="E74" s="560">
        <v>6</v>
      </c>
      <c r="F74" s="256"/>
      <c r="G74" s="256"/>
      <c r="H74" s="279">
        <v>0</v>
      </c>
      <c r="I74" s="256"/>
      <c r="J74" s="282"/>
      <c r="K74" s="562">
        <f>$H74/1000*$D74*E74</f>
        <v>0</v>
      </c>
      <c r="L74" s="256"/>
    </row>
    <row r="75" spans="1:12" x14ac:dyDescent="0.45">
      <c r="A75" s="269"/>
      <c r="B75" s="738"/>
      <c r="C75" s="281" t="s">
        <v>112</v>
      </c>
      <c r="D75" s="560">
        <v>0</v>
      </c>
      <c r="E75" s="560">
        <v>0</v>
      </c>
      <c r="F75" s="256"/>
      <c r="G75" s="256"/>
      <c r="H75" s="279">
        <v>0</v>
      </c>
      <c r="I75" s="256"/>
      <c r="J75" s="282"/>
      <c r="K75" s="562">
        <f>$H75/1000*$D75*E75</f>
        <v>0</v>
      </c>
      <c r="L75" s="256"/>
    </row>
    <row r="76" spans="1:12" x14ac:dyDescent="0.45">
      <c r="A76" s="269"/>
      <c r="B76" s="738"/>
      <c r="C76" s="281" t="s">
        <v>113</v>
      </c>
      <c r="D76" s="560">
        <f>D73</f>
        <v>122000</v>
      </c>
      <c r="E76" s="560">
        <v>6</v>
      </c>
      <c r="F76" s="256"/>
      <c r="G76" s="256"/>
      <c r="H76" s="279">
        <v>0</v>
      </c>
      <c r="I76" s="256"/>
      <c r="J76" s="282"/>
      <c r="K76" s="562">
        <f t="shared" ref="K76:K78" si="13">$H76/1000*$D76*E76</f>
        <v>0</v>
      </c>
      <c r="L76" s="256"/>
    </row>
    <row r="77" spans="1:12" x14ac:dyDescent="0.45">
      <c r="A77" s="269"/>
      <c r="B77" s="738"/>
      <c r="C77" s="281" t="s">
        <v>114</v>
      </c>
      <c r="D77" s="560">
        <v>0</v>
      </c>
      <c r="E77" s="560">
        <v>0</v>
      </c>
      <c r="F77" s="256"/>
      <c r="G77" s="256"/>
      <c r="H77" s="279">
        <v>0</v>
      </c>
      <c r="I77" s="256"/>
      <c r="J77" s="282"/>
      <c r="K77" s="562">
        <f t="shared" si="13"/>
        <v>0</v>
      </c>
      <c r="L77" s="256"/>
    </row>
    <row r="78" spans="1:12" ht="17" thickBot="1" x14ac:dyDescent="0.5">
      <c r="A78" s="269"/>
      <c r="B78" s="739"/>
      <c r="C78" s="283" t="s">
        <v>115</v>
      </c>
      <c r="D78" s="563">
        <v>0</v>
      </c>
      <c r="E78" s="563">
        <v>0</v>
      </c>
      <c r="F78" s="256"/>
      <c r="G78" s="256"/>
      <c r="H78" s="284">
        <v>0</v>
      </c>
      <c r="I78" s="256"/>
      <c r="J78" s="285"/>
      <c r="K78" s="564">
        <f t="shared" si="13"/>
        <v>0</v>
      </c>
      <c r="L78" s="256"/>
    </row>
    <row r="79" spans="1:12" x14ac:dyDescent="0.45">
      <c r="A79" s="269"/>
      <c r="B79" s="286"/>
      <c r="C79" s="287" t="s">
        <v>116</v>
      </c>
      <c r="D79" s="288"/>
      <c r="E79" s="256"/>
      <c r="F79" s="256"/>
      <c r="G79" s="256"/>
      <c r="H79" s="289"/>
      <c r="I79" s="256"/>
      <c r="J79" s="290"/>
      <c r="K79" s="565">
        <f>SUM(K73:K78)</f>
        <v>0</v>
      </c>
      <c r="L79" s="256"/>
    </row>
    <row r="80" spans="1:12" ht="17" thickBot="1" x14ac:dyDescent="0.5">
      <c r="A80" s="269"/>
      <c r="B80" s="263"/>
      <c r="C80" s="263"/>
      <c r="D80" s="263"/>
      <c r="E80" s="263"/>
      <c r="F80" s="291"/>
      <c r="G80" s="291"/>
      <c r="H80" s="263"/>
      <c r="I80" s="256"/>
      <c r="J80" s="263"/>
      <c r="K80" s="256"/>
      <c r="L80" s="256"/>
    </row>
    <row r="81" spans="1:12" x14ac:dyDescent="0.45">
      <c r="A81" s="269"/>
      <c r="B81" s="744" t="s">
        <v>117</v>
      </c>
      <c r="C81" s="292"/>
      <c r="D81" s="747" t="s">
        <v>133</v>
      </c>
      <c r="E81" s="748"/>
      <c r="F81" s="749"/>
      <c r="G81" s="291"/>
      <c r="H81" s="753" t="s">
        <v>118</v>
      </c>
      <c r="I81" s="256"/>
      <c r="J81" s="740" t="s">
        <v>111</v>
      </c>
      <c r="K81" s="795"/>
      <c r="L81" s="256"/>
    </row>
    <row r="82" spans="1:12" ht="17" thickBot="1" x14ac:dyDescent="0.5">
      <c r="A82" s="269"/>
      <c r="B82" s="745"/>
      <c r="C82" s="293"/>
      <c r="D82" s="750"/>
      <c r="E82" s="794"/>
      <c r="F82" s="752"/>
      <c r="G82" s="291"/>
      <c r="H82" s="754"/>
      <c r="I82" s="256"/>
      <c r="J82" s="742"/>
      <c r="K82" s="743"/>
      <c r="L82" s="256"/>
    </row>
    <row r="83" spans="1:12" x14ac:dyDescent="0.45">
      <c r="A83" s="269"/>
      <c r="B83" s="745"/>
      <c r="C83" s="294" t="s">
        <v>119</v>
      </c>
      <c r="D83" s="755" t="s">
        <v>223</v>
      </c>
      <c r="E83" s="756"/>
      <c r="F83" s="757"/>
      <c r="G83" s="291"/>
      <c r="H83" s="295">
        <v>0</v>
      </c>
      <c r="I83" s="256"/>
      <c r="J83" s="296"/>
      <c r="K83" s="297">
        <f>H83*$D$64</f>
        <v>0</v>
      </c>
      <c r="L83" s="256"/>
    </row>
    <row r="84" spans="1:12" x14ac:dyDescent="0.45">
      <c r="A84" s="269"/>
      <c r="B84" s="745"/>
      <c r="C84" s="382" t="s">
        <v>148</v>
      </c>
      <c r="D84" s="758" t="s">
        <v>224</v>
      </c>
      <c r="E84" s="759"/>
      <c r="F84" s="760"/>
      <c r="G84" s="291"/>
      <c r="H84" s="279">
        <v>0</v>
      </c>
      <c r="I84" s="256"/>
      <c r="J84" s="296"/>
      <c r="K84" s="297">
        <f>H84*$D$64</f>
        <v>0</v>
      </c>
      <c r="L84" s="256"/>
    </row>
    <row r="85" spans="1:12" x14ac:dyDescent="0.45">
      <c r="A85" s="269"/>
      <c r="B85" s="745"/>
      <c r="C85" s="294" t="s">
        <v>120</v>
      </c>
      <c r="D85" s="758" t="s">
        <v>225</v>
      </c>
      <c r="E85" s="759"/>
      <c r="F85" s="760"/>
      <c r="G85" s="291"/>
      <c r="H85" s="295">
        <v>0</v>
      </c>
      <c r="I85" s="256"/>
      <c r="J85" s="296"/>
      <c r="K85" s="297">
        <f>H85*$D$64</f>
        <v>0</v>
      </c>
      <c r="L85" s="256"/>
    </row>
    <row r="86" spans="1:12" ht="17" thickBot="1" x14ac:dyDescent="0.5">
      <c r="A86" s="269"/>
      <c r="B86" s="746"/>
      <c r="C86" s="298" t="s">
        <v>121</v>
      </c>
      <c r="D86" s="761" t="s">
        <v>219</v>
      </c>
      <c r="E86" s="762"/>
      <c r="F86" s="763"/>
      <c r="G86" s="291"/>
      <c r="H86" s="299">
        <v>0</v>
      </c>
      <c r="I86" s="256"/>
      <c r="J86" s="296"/>
      <c r="K86" s="297">
        <f>H86*$D$64</f>
        <v>0</v>
      </c>
      <c r="L86" s="256"/>
    </row>
    <row r="87" spans="1:12" x14ac:dyDescent="0.45">
      <c r="A87" s="269"/>
      <c r="B87" s="263"/>
      <c r="C87" s="287" t="s">
        <v>116</v>
      </c>
      <c r="D87" s="300"/>
      <c r="E87" s="256"/>
      <c r="F87" s="291"/>
      <c r="G87" s="291"/>
      <c r="H87" s="301"/>
      <c r="I87" s="256"/>
      <c r="J87" s="302"/>
      <c r="K87" s="303">
        <f>SUM(K81:K86)</f>
        <v>0</v>
      </c>
      <c r="L87" s="256"/>
    </row>
    <row r="88" spans="1:12" ht="17" thickBot="1" x14ac:dyDescent="0.5">
      <c r="A88" s="269"/>
      <c r="B88" s="263"/>
      <c r="C88" s="263"/>
      <c r="D88" s="263"/>
      <c r="E88" s="263"/>
      <c r="F88" s="291"/>
      <c r="G88" s="291"/>
      <c r="H88" s="263"/>
      <c r="I88" s="256"/>
      <c r="J88" s="256"/>
      <c r="K88" s="256"/>
      <c r="L88" s="256"/>
    </row>
    <row r="89" spans="1:12" ht="17" thickBot="1" x14ac:dyDescent="0.5">
      <c r="A89" s="269"/>
      <c r="B89" s="271"/>
      <c r="C89" s="304"/>
      <c r="D89" s="305"/>
      <c r="E89" s="305"/>
      <c r="F89" s="305"/>
      <c r="G89" s="305"/>
      <c r="H89" s="305"/>
      <c r="I89" s="305"/>
      <c r="J89" s="306"/>
      <c r="K89" s="307">
        <f>SUM(J73:K78, J83:K86)</f>
        <v>0</v>
      </c>
      <c r="L89" s="256"/>
    </row>
    <row r="90" spans="1:12" x14ac:dyDescent="0.45">
      <c r="A90" s="269"/>
      <c r="B90" s="271"/>
      <c r="C90" s="263"/>
      <c r="D90" s="263"/>
      <c r="E90" s="263"/>
      <c r="F90" s="263"/>
      <c r="G90" s="263"/>
      <c r="H90" s="263"/>
      <c r="I90" s="263"/>
      <c r="J90" s="263"/>
      <c r="K90" s="263"/>
      <c r="L90" s="256"/>
    </row>
    <row r="91" spans="1:12" x14ac:dyDescent="0.45">
      <c r="A91" s="269"/>
      <c r="B91" s="263"/>
      <c r="C91" s="263"/>
      <c r="D91" s="263"/>
      <c r="E91" s="263"/>
      <c r="F91" s="263"/>
      <c r="G91" s="263"/>
      <c r="H91" s="263"/>
      <c r="I91" s="256"/>
      <c r="J91" s="256"/>
      <c r="K91" s="256"/>
      <c r="L91" s="256"/>
    </row>
  </sheetData>
  <sheetProtection algorithmName="SHA-512" hashValue="HFiASBflOiu2i/wMu35Iophstn+ulHqlyqNsG2Tap+IdTCijEFWkNiD4a6iXdulkfCXeo1+ac9XkkDPod2V8ug==" saltValue="w45VCm+oKgafhhQGN/UWJg==" spinCount="100000" sheet="1" objects="1" scenarios="1"/>
  <mergeCells count="24">
    <mergeCell ref="Z12:AK14"/>
    <mergeCell ref="E16:F16"/>
    <mergeCell ref="H16:M16"/>
    <mergeCell ref="O16:Q16"/>
    <mergeCell ref="S16:V16"/>
    <mergeCell ref="AA16:AE16"/>
    <mergeCell ref="AG16:AK16"/>
    <mergeCell ref="C22:D22"/>
    <mergeCell ref="C28:I28"/>
    <mergeCell ref="O29:Q29"/>
    <mergeCell ref="O38:Q38"/>
    <mergeCell ref="B71:B78"/>
    <mergeCell ref="D71:D72"/>
    <mergeCell ref="E71:E72"/>
    <mergeCell ref="H71:H72"/>
    <mergeCell ref="J71:K71"/>
    <mergeCell ref="B81:B86"/>
    <mergeCell ref="D81:F82"/>
    <mergeCell ref="H81:H82"/>
    <mergeCell ref="J81:K82"/>
    <mergeCell ref="D83:F83"/>
    <mergeCell ref="D84:F84"/>
    <mergeCell ref="D85:F85"/>
    <mergeCell ref="D86:F86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48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Selecteer een omvang." xr:uid="{3AF4967B-7C69-468F-A12A-85C2E1C6260C}">
          <x14:formula1>
            <xm:f>Blad2!$C$9:$C$12</xm:f>
          </x14:formula1>
          <xm:sqref>D9</xm:sqref>
        </x14:dataValidation>
        <x14:dataValidation type="list" allowBlank="1" showInputMessage="1" showErrorMessage="1" prompt="Selecteer een pagina breedte._x000a_" xr:uid="{4BDDDD35-1D59-460E-9523-65E5A39839DC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druktechniek." xr:uid="{E34E5658-2CB5-4B36-8899-5A445499C9AB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looprichting." xr:uid="{2A15C833-D73D-4BE5-A3A3-1316DBFFA210}">
          <x14:formula1>
            <xm:f>Blad2!$F$1:$F$3</xm:f>
          </x14:formula1>
          <xm:sqref>L20 L23:L26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C747A-DD92-4B8D-8A46-F147FAA36F6C}">
  <dimension ref="A1:AN99"/>
  <sheetViews>
    <sheetView showGridLines="0" topLeftCell="A7" zoomScale="90" zoomScaleNormal="90" workbookViewId="0">
      <selection activeCell="N85" sqref="N85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165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166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42"/>
      <c r="Z3" s="242"/>
      <c r="AA3" s="316"/>
      <c r="AB3" s="316"/>
      <c r="AC3" s="316"/>
      <c r="AD3" s="316"/>
      <c r="AE3" s="316"/>
      <c r="AF3" s="241"/>
      <c r="AG3" s="388"/>
      <c r="AH3" s="388"/>
      <c r="AI3" s="388"/>
      <c r="AJ3" s="388"/>
      <c r="AK3" s="241"/>
      <c r="AL3" s="241"/>
      <c r="AM3" s="241"/>
      <c r="AN3" s="27"/>
    </row>
    <row r="4" spans="2:40" ht="31.5" customHeight="1" thickBot="1" x14ac:dyDescent="0.5">
      <c r="B4" s="18"/>
      <c r="C4" s="139" t="s">
        <v>1</v>
      </c>
      <c r="D4" s="389"/>
      <c r="E4" s="390" t="str">
        <f>IF(D4="","verplicht veld","")</f>
        <v>verplicht veld</v>
      </c>
      <c r="F4" s="22"/>
      <c r="G4" s="242"/>
      <c r="H4" s="241"/>
      <c r="I4" s="241"/>
      <c r="J4" s="391"/>
      <c r="K4" s="391"/>
      <c r="L4" s="392"/>
      <c r="M4" s="393"/>
      <c r="N4" s="242"/>
      <c r="O4" s="392"/>
      <c r="P4" s="392"/>
      <c r="Q4" s="392"/>
      <c r="R4" s="242"/>
      <c r="S4" s="392"/>
      <c r="T4" s="392"/>
      <c r="U4" s="394" t="s">
        <v>2</v>
      </c>
      <c r="V4" s="32" t="s">
        <v>2</v>
      </c>
      <c r="W4" s="22"/>
      <c r="X4" s="18"/>
      <c r="Y4" s="242"/>
      <c r="Z4" s="242"/>
      <c r="AA4" s="395"/>
      <c r="AB4" s="316"/>
      <c r="AC4" s="316"/>
      <c r="AD4" s="316"/>
      <c r="AE4" s="316"/>
      <c r="AF4" s="241"/>
      <c r="AG4" s="388"/>
      <c r="AH4" s="388"/>
      <c r="AI4" s="388"/>
      <c r="AJ4" s="388"/>
      <c r="AK4" s="241"/>
      <c r="AL4" s="241"/>
      <c r="AM4" s="241"/>
      <c r="AN4" s="27"/>
    </row>
    <row r="5" spans="2:40" ht="18" customHeight="1" thickBot="1" x14ac:dyDescent="0.5">
      <c r="B5" s="18"/>
      <c r="C5" s="139" t="s">
        <v>3</v>
      </c>
      <c r="D5" s="34">
        <v>45</v>
      </c>
      <c r="E5" s="242"/>
      <c r="F5" s="22"/>
      <c r="G5" s="242"/>
      <c r="H5" s="35" t="s">
        <v>4</v>
      </c>
      <c r="I5" s="36"/>
      <c r="J5" s="37"/>
      <c r="K5" s="37"/>
      <c r="L5" s="37"/>
      <c r="M5" s="38"/>
      <c r="N5" s="242"/>
      <c r="O5" s="392"/>
      <c r="P5" s="396"/>
      <c r="Q5" s="397"/>
      <c r="R5" s="242"/>
      <c r="S5" s="394"/>
      <c r="T5" s="394"/>
      <c r="U5" s="394" t="s">
        <v>2</v>
      </c>
      <c r="V5" s="32" t="s">
        <v>2</v>
      </c>
      <c r="W5" s="22"/>
      <c r="X5" s="18"/>
      <c r="Y5" s="242"/>
      <c r="Z5" s="242"/>
      <c r="AA5" s="395"/>
      <c r="AB5" s="316"/>
      <c r="AC5" s="316"/>
      <c r="AD5" s="316"/>
      <c r="AE5" s="316"/>
      <c r="AF5" s="241"/>
      <c r="AG5" s="388"/>
      <c r="AH5" s="388"/>
      <c r="AI5" s="388"/>
      <c r="AJ5" s="388"/>
      <c r="AK5" s="241"/>
      <c r="AL5" s="241"/>
      <c r="AM5" s="241"/>
      <c r="AN5" s="27"/>
    </row>
    <row r="6" spans="2:40" ht="18" customHeight="1" x14ac:dyDescent="0.45">
      <c r="B6" s="18"/>
      <c r="C6" s="139" t="s">
        <v>67</v>
      </c>
      <c r="D6" s="34" t="s">
        <v>81</v>
      </c>
      <c r="E6" s="242"/>
      <c r="F6" s="22"/>
      <c r="G6" s="242"/>
      <c r="H6" s="398" t="s">
        <v>5</v>
      </c>
      <c r="I6" s="399"/>
      <c r="J6" s="400"/>
      <c r="K6" s="399"/>
      <c r="L6" s="399"/>
      <c r="M6" s="401"/>
      <c r="N6" s="242"/>
      <c r="O6" s="392"/>
      <c r="P6" s="396"/>
      <c r="Q6" s="397"/>
      <c r="R6" s="242"/>
      <c r="S6" s="394"/>
      <c r="T6" s="394"/>
      <c r="U6" s="394" t="s">
        <v>2</v>
      </c>
      <c r="V6" s="32" t="s">
        <v>2</v>
      </c>
      <c r="W6" s="22"/>
      <c r="X6" s="18"/>
      <c r="Y6" s="242"/>
      <c r="Z6" s="242"/>
      <c r="AA6" s="395"/>
      <c r="AB6" s="316"/>
      <c r="AC6" s="316"/>
      <c r="AD6" s="316"/>
      <c r="AE6" s="316"/>
      <c r="AF6" s="241"/>
      <c r="AG6" s="388"/>
      <c r="AH6" s="388"/>
      <c r="AI6" s="388"/>
      <c r="AJ6" s="388"/>
      <c r="AK6" s="241"/>
      <c r="AL6" s="241"/>
      <c r="AM6" s="241"/>
      <c r="AN6" s="27"/>
    </row>
    <row r="7" spans="2:40" ht="18" customHeight="1" thickBot="1" x14ac:dyDescent="0.5">
      <c r="B7" s="18"/>
      <c r="C7" s="139" t="s">
        <v>68</v>
      </c>
      <c r="D7" s="34" t="s">
        <v>71</v>
      </c>
      <c r="E7" s="242"/>
      <c r="F7" s="22"/>
      <c r="G7" s="242"/>
      <c r="H7" s="45" t="s">
        <v>6</v>
      </c>
      <c r="I7" s="46"/>
      <c r="J7" s="47"/>
      <c r="K7" s="47"/>
      <c r="L7" s="47"/>
      <c r="M7" s="48"/>
      <c r="N7" s="242"/>
      <c r="O7" s="392"/>
      <c r="P7" s="396"/>
      <c r="Q7" s="397"/>
      <c r="R7" s="242"/>
      <c r="S7" s="394"/>
      <c r="T7" s="394"/>
      <c r="U7" s="394" t="s">
        <v>2</v>
      </c>
      <c r="V7" s="32" t="s">
        <v>2</v>
      </c>
      <c r="W7" s="22"/>
      <c r="X7" s="18"/>
      <c r="Y7" s="242"/>
      <c r="Z7" s="242"/>
      <c r="AA7" s="395"/>
      <c r="AB7" s="316"/>
      <c r="AC7" s="316"/>
      <c r="AD7" s="316"/>
      <c r="AE7" s="316"/>
      <c r="AF7" s="241"/>
      <c r="AG7" s="388"/>
      <c r="AH7" s="388"/>
      <c r="AI7" s="388"/>
      <c r="AJ7" s="388"/>
      <c r="AK7" s="241"/>
      <c r="AL7" s="241"/>
      <c r="AM7" s="241"/>
      <c r="AN7" s="27"/>
    </row>
    <row r="8" spans="2:40" ht="18" customHeight="1" x14ac:dyDescent="0.45">
      <c r="B8" s="18"/>
      <c r="C8" s="139" t="s">
        <v>7</v>
      </c>
      <c r="D8" s="49">
        <v>103400</v>
      </c>
      <c r="E8" s="242"/>
      <c r="F8" s="22"/>
      <c r="G8" s="242"/>
      <c r="H8" s="392"/>
      <c r="I8" s="392"/>
      <c r="J8" s="392"/>
      <c r="K8" s="402" t="s">
        <v>2</v>
      </c>
      <c r="L8" s="403" t="s">
        <v>2</v>
      </c>
      <c r="M8" s="402"/>
      <c r="N8" s="242"/>
      <c r="O8" s="392"/>
      <c r="P8" s="403"/>
      <c r="Q8" s="392" t="s">
        <v>2</v>
      </c>
      <c r="R8" s="242"/>
      <c r="S8" s="394" t="s">
        <v>2</v>
      </c>
      <c r="T8" s="394"/>
      <c r="U8" s="394" t="s">
        <v>2</v>
      </c>
      <c r="V8" s="32" t="s">
        <v>2</v>
      </c>
      <c r="W8" s="22"/>
      <c r="X8" s="18"/>
      <c r="Y8" s="242"/>
      <c r="Z8" s="242"/>
      <c r="AA8" s="395"/>
      <c r="AB8" s="316"/>
      <c r="AC8" s="316"/>
      <c r="AD8" s="316"/>
      <c r="AE8" s="316"/>
      <c r="AF8" s="241"/>
      <c r="AG8" s="388"/>
      <c r="AH8" s="388"/>
      <c r="AI8" s="388"/>
      <c r="AJ8" s="388"/>
      <c r="AK8" s="241"/>
      <c r="AL8" s="404"/>
      <c r="AM8" s="241"/>
      <c r="AN8" s="27"/>
    </row>
    <row r="9" spans="2:40" ht="32.5" customHeight="1" x14ac:dyDescent="0.45">
      <c r="B9" s="18"/>
      <c r="C9" s="137" t="s">
        <v>96</v>
      </c>
      <c r="D9" s="252"/>
      <c r="E9" s="390" t="str">
        <f>IF(D9="","verplicht veld","")</f>
        <v>verplicht veld</v>
      </c>
      <c r="F9" s="22"/>
      <c r="G9" s="242"/>
      <c r="H9" s="392"/>
      <c r="I9" s="392"/>
      <c r="J9" s="392"/>
      <c r="K9" s="402"/>
      <c r="L9" s="403"/>
      <c r="M9" s="402"/>
      <c r="N9" s="242"/>
      <c r="O9" s="392"/>
      <c r="P9" s="403"/>
      <c r="Q9" s="392"/>
      <c r="R9" s="242"/>
      <c r="S9" s="394"/>
      <c r="T9" s="394"/>
      <c r="U9" s="394"/>
      <c r="V9" s="32"/>
      <c r="W9" s="22"/>
      <c r="X9" s="18"/>
      <c r="Y9" s="242"/>
      <c r="Z9" s="242"/>
      <c r="AA9" s="395"/>
      <c r="AB9" s="316"/>
      <c r="AC9" s="316"/>
      <c r="AD9" s="316"/>
      <c r="AE9" s="316"/>
      <c r="AF9" s="241"/>
      <c r="AG9" s="388"/>
      <c r="AH9" s="388"/>
      <c r="AI9" s="388"/>
      <c r="AJ9" s="388"/>
      <c r="AK9" s="241"/>
      <c r="AL9" s="404"/>
      <c r="AM9" s="241"/>
      <c r="AN9" s="27"/>
    </row>
    <row r="10" spans="2:40" ht="18" customHeight="1" x14ac:dyDescent="0.45">
      <c r="B10" s="18"/>
      <c r="C10" s="137" t="s">
        <v>141</v>
      </c>
      <c r="D10" s="252"/>
      <c r="E10" s="390" t="str">
        <f>IF(D10="","verplicht veld","")</f>
        <v>verplicht veld</v>
      </c>
      <c r="F10" s="22"/>
      <c r="G10" s="242"/>
      <c r="H10" s="392"/>
      <c r="I10" s="392"/>
      <c r="J10" s="392"/>
      <c r="K10" s="402"/>
      <c r="L10" s="403"/>
      <c r="M10" s="402"/>
      <c r="N10" s="242"/>
      <c r="O10" s="392"/>
      <c r="P10" s="403"/>
      <c r="Q10" s="392"/>
      <c r="R10" s="242"/>
      <c r="S10" s="394"/>
      <c r="T10" s="394"/>
      <c r="U10" s="394"/>
      <c r="V10" s="32"/>
      <c r="W10" s="22"/>
      <c r="X10" s="18"/>
      <c r="Y10" s="242"/>
      <c r="Z10" s="242"/>
      <c r="AA10" s="395"/>
      <c r="AB10" s="316"/>
      <c r="AC10" s="316"/>
      <c r="AD10" s="316"/>
      <c r="AE10" s="316"/>
      <c r="AF10" s="241"/>
      <c r="AG10" s="388"/>
      <c r="AH10" s="388"/>
      <c r="AI10" s="388"/>
      <c r="AJ10" s="388"/>
      <c r="AK10" s="241"/>
      <c r="AL10" s="404"/>
      <c r="AM10" s="241"/>
      <c r="AN10" s="27"/>
    </row>
    <row r="11" spans="2:40" ht="18" customHeight="1" x14ac:dyDescent="0.45">
      <c r="B11" s="18"/>
      <c r="C11" s="139" t="s">
        <v>8</v>
      </c>
      <c r="D11" s="317"/>
      <c r="E11" s="390" t="str">
        <f>IF(D11="","verplicht veld","")</f>
        <v>verplicht veld</v>
      </c>
      <c r="F11" s="22"/>
      <c r="G11" s="242"/>
      <c r="H11" s="392"/>
      <c r="I11" s="392"/>
      <c r="J11" s="392"/>
      <c r="K11" s="392" t="s">
        <v>2</v>
      </c>
      <c r="L11" s="392" t="s">
        <v>2</v>
      </c>
      <c r="M11" s="402"/>
      <c r="N11" s="242"/>
      <c r="O11" s="396" t="s">
        <v>2</v>
      </c>
      <c r="P11" s="396"/>
      <c r="Q11" s="397" t="s">
        <v>2</v>
      </c>
      <c r="R11" s="242"/>
      <c r="S11" s="394"/>
      <c r="T11" s="394"/>
      <c r="U11" s="394" t="s">
        <v>2</v>
      </c>
      <c r="V11" s="32" t="s">
        <v>2</v>
      </c>
      <c r="W11" s="22"/>
      <c r="X11" s="18"/>
      <c r="Y11" s="242"/>
      <c r="Z11" s="242"/>
      <c r="AA11" s="395"/>
      <c r="AB11" s="316"/>
      <c r="AC11" s="316"/>
      <c r="AD11" s="316"/>
      <c r="AE11" s="405"/>
      <c r="AF11" s="241"/>
      <c r="AG11" s="388"/>
      <c r="AH11" s="388"/>
      <c r="AI11" s="388"/>
      <c r="AJ11" s="388"/>
      <c r="AK11" s="405"/>
      <c r="AL11" s="406"/>
      <c r="AM11" s="241"/>
      <c r="AN11" s="27"/>
    </row>
    <row r="12" spans="2:40" ht="18" customHeight="1" x14ac:dyDescent="0.45">
      <c r="B12" s="18"/>
      <c r="C12" s="139" t="s">
        <v>69</v>
      </c>
      <c r="D12" s="49" t="s">
        <v>9</v>
      </c>
      <c r="E12" s="242"/>
      <c r="F12" s="22"/>
      <c r="G12" s="242"/>
      <c r="H12" s="392"/>
      <c r="I12" s="392"/>
      <c r="J12" s="392"/>
      <c r="K12" s="392"/>
      <c r="L12" s="392"/>
      <c r="M12" s="402"/>
      <c r="N12" s="242"/>
      <c r="O12" s="396"/>
      <c r="P12" s="396"/>
      <c r="Q12" s="397"/>
      <c r="R12" s="242"/>
      <c r="S12" s="394"/>
      <c r="T12" s="394"/>
      <c r="U12" s="394"/>
      <c r="V12" s="32"/>
      <c r="W12" s="22"/>
      <c r="X12" s="18"/>
      <c r="Y12" s="407"/>
      <c r="Z12" s="798" t="str">
        <f>"RESULTAAT "&amp;$D$3</f>
        <v>RESULTAAT NCRV GIDS</v>
      </c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408"/>
      <c r="AM12" s="408"/>
      <c r="AN12" s="27"/>
    </row>
    <row r="13" spans="2:40" ht="18" customHeight="1" x14ac:dyDescent="0.45">
      <c r="B13" s="18"/>
      <c r="C13" s="139" t="s">
        <v>70</v>
      </c>
      <c r="D13" s="49" t="s">
        <v>82</v>
      </c>
      <c r="E13" s="242"/>
      <c r="F13" s="22"/>
      <c r="G13" s="242"/>
      <c r="H13" s="392"/>
      <c r="I13" s="392"/>
      <c r="J13" s="392"/>
      <c r="K13" s="392"/>
      <c r="L13" s="392"/>
      <c r="M13" s="402"/>
      <c r="N13" s="242"/>
      <c r="O13" s="396"/>
      <c r="P13" s="396"/>
      <c r="Q13" s="397"/>
      <c r="R13" s="242"/>
      <c r="S13" s="394"/>
      <c r="T13" s="394"/>
      <c r="U13" s="394"/>
      <c r="V13" s="32"/>
      <c r="W13" s="22"/>
      <c r="X13" s="18"/>
      <c r="Y13" s="407"/>
      <c r="Z13" s="798"/>
      <c r="AA13" s="798"/>
      <c r="AB13" s="798"/>
      <c r="AC13" s="798"/>
      <c r="AD13" s="798"/>
      <c r="AE13" s="798"/>
      <c r="AF13" s="798"/>
      <c r="AG13" s="798"/>
      <c r="AH13" s="798"/>
      <c r="AI13" s="798"/>
      <c r="AJ13" s="798"/>
      <c r="AK13" s="798"/>
      <c r="AL13" s="409" t="str">
        <f>C8&amp;" jaarbasis"</f>
        <v>Oplage: jaarbasis</v>
      </c>
      <c r="AM13" s="408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42"/>
      <c r="F14" s="22"/>
      <c r="G14" s="242"/>
      <c r="H14" s="392"/>
      <c r="I14" s="392"/>
      <c r="J14" s="392"/>
      <c r="K14" s="392" t="s">
        <v>2</v>
      </c>
      <c r="L14" s="392" t="s">
        <v>2</v>
      </c>
      <c r="M14" s="402"/>
      <c r="N14" s="242"/>
      <c r="O14" s="396"/>
      <c r="P14" s="396"/>
      <c r="Q14" s="397"/>
      <c r="R14" s="242"/>
      <c r="S14" s="394"/>
      <c r="T14" s="394"/>
      <c r="U14" s="394"/>
      <c r="V14" s="32"/>
      <c r="W14" s="22"/>
      <c r="X14" s="18"/>
      <c r="Y14" s="407"/>
      <c r="Z14" s="798"/>
      <c r="AA14" s="798"/>
      <c r="AB14" s="798"/>
      <c r="AC14" s="798"/>
      <c r="AD14" s="798"/>
      <c r="AE14" s="798"/>
      <c r="AF14" s="798"/>
      <c r="AG14" s="798"/>
      <c r="AH14" s="798"/>
      <c r="AI14" s="798"/>
      <c r="AJ14" s="798"/>
      <c r="AK14" s="798"/>
      <c r="AL14" s="411">
        <f>D5*D8</f>
        <v>4653000</v>
      </c>
      <c r="AM14" s="408"/>
      <c r="AN14" s="27"/>
    </row>
    <row r="15" spans="2:40" ht="18" customHeight="1" thickBot="1" x14ac:dyDescent="0.5">
      <c r="B15" s="18"/>
      <c r="C15" s="119" t="s">
        <v>89</v>
      </c>
      <c r="D15" s="412"/>
      <c r="E15" s="390" t="str">
        <f>IF(D15="","verplicht veld","")</f>
        <v>verplicht veld</v>
      </c>
      <c r="F15" s="22"/>
      <c r="G15" s="242"/>
      <c r="H15" s="392"/>
      <c r="I15" s="392"/>
      <c r="J15" s="392"/>
      <c r="K15" s="392"/>
      <c r="L15" s="392"/>
      <c r="M15" s="402"/>
      <c r="N15" s="242"/>
      <c r="O15" s="396"/>
      <c r="P15" s="396"/>
      <c r="Q15" s="397"/>
      <c r="R15" s="242"/>
      <c r="S15" s="394"/>
      <c r="T15" s="394"/>
      <c r="U15" s="394"/>
      <c r="V15" s="32"/>
      <c r="W15" s="22"/>
      <c r="X15" s="18"/>
      <c r="Y15" s="407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1"/>
      <c r="AM15" s="408"/>
      <c r="AN15" s="27"/>
    </row>
    <row r="16" spans="2:40" s="67" customFormat="1" ht="31.5" customHeight="1" thickBot="1" x14ac:dyDescent="0.5">
      <c r="B16" s="18"/>
      <c r="C16" s="237" t="s">
        <v>12</v>
      </c>
      <c r="D16" s="384"/>
      <c r="E16" s="767" t="s">
        <v>66</v>
      </c>
      <c r="F16" s="768"/>
      <c r="G16" s="242"/>
      <c r="H16" s="774" t="s">
        <v>13</v>
      </c>
      <c r="I16" s="775"/>
      <c r="J16" s="775"/>
      <c r="K16" s="775"/>
      <c r="L16" s="775"/>
      <c r="M16" s="776"/>
      <c r="N16" s="414"/>
      <c r="O16" s="774" t="s">
        <v>14</v>
      </c>
      <c r="P16" s="775"/>
      <c r="Q16" s="776"/>
      <c r="R16" s="414"/>
      <c r="S16" s="774" t="s">
        <v>15</v>
      </c>
      <c r="T16" s="775"/>
      <c r="U16" s="775"/>
      <c r="V16" s="776"/>
      <c r="W16" s="22"/>
      <c r="X16" s="18"/>
      <c r="Y16" s="415"/>
      <c r="Z16" s="63"/>
      <c r="AA16" s="777" t="s">
        <v>16</v>
      </c>
      <c r="AB16" s="778"/>
      <c r="AC16" s="778"/>
      <c r="AD16" s="778"/>
      <c r="AE16" s="779"/>
      <c r="AF16" s="242"/>
      <c r="AG16" s="780" t="s">
        <v>17</v>
      </c>
      <c r="AH16" s="781"/>
      <c r="AI16" s="781"/>
      <c r="AJ16" s="781"/>
      <c r="AK16" s="778"/>
      <c r="AL16" s="64" t="s">
        <v>18</v>
      </c>
      <c r="AM16" s="416"/>
      <c r="AN16" s="66"/>
    </row>
    <row r="17" spans="2:40" ht="189.5" thickBot="1" x14ac:dyDescent="0.5">
      <c r="B17" s="18"/>
      <c r="C17" s="238"/>
      <c r="D17" s="230"/>
      <c r="E17" s="242"/>
      <c r="F17" s="14"/>
      <c r="G17" s="242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42"/>
      <c r="O17" s="189" t="s">
        <v>25</v>
      </c>
      <c r="P17" s="190" t="s">
        <v>26</v>
      </c>
      <c r="Q17" s="70" t="s">
        <v>27</v>
      </c>
      <c r="R17" s="242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407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42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408"/>
      <c r="AN17" s="27"/>
    </row>
    <row r="18" spans="2:40" ht="17" thickBot="1" x14ac:dyDescent="0.5">
      <c r="B18" s="18"/>
      <c r="C18" s="387" t="s">
        <v>61</v>
      </c>
      <c r="D18" s="78"/>
      <c r="E18" s="417" t="s">
        <v>63</v>
      </c>
      <c r="F18" s="223" t="s">
        <v>64</v>
      </c>
      <c r="G18" s="418"/>
      <c r="H18" s="192"/>
      <c r="I18" s="419"/>
      <c r="J18" s="192"/>
      <c r="K18" s="419"/>
      <c r="L18" s="194"/>
      <c r="M18" s="195"/>
      <c r="N18" s="418"/>
      <c r="O18" s="196" t="s">
        <v>36</v>
      </c>
      <c r="P18" s="420" t="s">
        <v>37</v>
      </c>
      <c r="Q18" s="198" t="s">
        <v>37</v>
      </c>
      <c r="R18" s="418"/>
      <c r="S18" s="196" t="s">
        <v>36</v>
      </c>
      <c r="T18" s="421" t="s">
        <v>37</v>
      </c>
      <c r="U18" s="420" t="s">
        <v>37</v>
      </c>
      <c r="V18" s="200" t="s">
        <v>37</v>
      </c>
      <c r="W18" s="22"/>
      <c r="X18" s="18"/>
      <c r="Y18" s="407"/>
      <c r="Z18" s="79" t="s">
        <v>61</v>
      </c>
      <c r="AA18" s="80"/>
      <c r="AB18" s="81"/>
      <c r="AC18" s="81"/>
      <c r="AD18" s="81"/>
      <c r="AE18" s="82"/>
      <c r="AF18" s="308"/>
      <c r="AG18" s="84"/>
      <c r="AH18" s="85"/>
      <c r="AI18" s="85"/>
      <c r="AJ18" s="85"/>
      <c r="AK18" s="422"/>
      <c r="AL18" s="77"/>
      <c r="AM18" s="408"/>
      <c r="AN18" s="27"/>
    </row>
    <row r="19" spans="2:40" ht="10" customHeight="1" x14ac:dyDescent="0.45">
      <c r="B19" s="18"/>
      <c r="C19" s="87"/>
      <c r="D19" s="88"/>
      <c r="E19" s="242"/>
      <c r="F19" s="22"/>
      <c r="G19" s="242"/>
      <c r="H19" s="89"/>
      <c r="I19" s="423"/>
      <c r="J19" s="423"/>
      <c r="K19" s="423"/>
      <c r="L19" s="91"/>
      <c r="M19" s="92"/>
      <c r="N19" s="242"/>
      <c r="O19" s="93"/>
      <c r="P19" s="424"/>
      <c r="Q19" s="70"/>
      <c r="R19" s="242"/>
      <c r="S19" s="93"/>
      <c r="T19" s="424"/>
      <c r="U19" s="424"/>
      <c r="V19" s="95"/>
      <c r="W19" s="22"/>
      <c r="X19" s="18"/>
      <c r="Y19" s="407"/>
      <c r="Z19" s="96"/>
      <c r="AA19" s="97"/>
      <c r="AB19" s="425"/>
      <c r="AC19" s="425"/>
      <c r="AD19" s="425"/>
      <c r="AE19" s="99"/>
      <c r="AF19" s="242"/>
      <c r="AG19" s="97"/>
      <c r="AH19" s="426"/>
      <c r="AI19" s="425"/>
      <c r="AJ19" s="425"/>
      <c r="AK19" s="99"/>
      <c r="AL19" s="77"/>
      <c r="AM19" s="408"/>
      <c r="AN19" s="27"/>
    </row>
    <row r="20" spans="2:40" ht="17" thickBot="1" x14ac:dyDescent="0.5">
      <c r="B20" s="18"/>
      <c r="C20" s="100" t="s">
        <v>79</v>
      </c>
      <c r="D20" s="379">
        <f>IF(AND($D$15="Offline",$D$27&gt;0),$D$27,IF(AND($D$15="Offline",$D$28&gt;0),$D$28,0))+$D$31+D32+$D$34</f>
        <v>0</v>
      </c>
      <c r="E20" s="336">
        <f>IF(D20&gt;0,$D$10,0)</f>
        <v>0</v>
      </c>
      <c r="F20" s="427" t="s">
        <v>71</v>
      </c>
      <c r="G20" s="242"/>
      <c r="H20" s="428">
        <v>0</v>
      </c>
      <c r="I20" s="429">
        <v>0</v>
      </c>
      <c r="J20" s="430">
        <v>0</v>
      </c>
      <c r="K20" s="430">
        <v>0</v>
      </c>
      <c r="L20" s="431"/>
      <c r="M20" s="101">
        <v>600</v>
      </c>
      <c r="N20" s="242"/>
      <c r="O20" s="432">
        <v>0</v>
      </c>
      <c r="P20" s="433">
        <v>0</v>
      </c>
      <c r="Q20" s="434">
        <f>O20*(M20/1000)</f>
        <v>0</v>
      </c>
      <c r="R20" s="242"/>
      <c r="S20" s="432">
        <v>0</v>
      </c>
      <c r="T20" s="435">
        <f>S20*(M20/1000)</f>
        <v>0</v>
      </c>
      <c r="U20" s="433">
        <v>0</v>
      </c>
      <c r="V20" s="436">
        <v>1</v>
      </c>
      <c r="W20" s="22"/>
      <c r="X20" s="18"/>
      <c r="Y20" s="407"/>
      <c r="Z20" s="102" t="s">
        <v>79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440"/>
      <c r="AG20" s="437">
        <f>$S20*$D20*($D$8/10000)</f>
        <v>0</v>
      </c>
      <c r="AH20" s="438">
        <f>($D20*$T20)*($D$8/10000)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408"/>
      <c r="AN20" s="27"/>
    </row>
    <row r="21" spans="2:40" ht="10" customHeight="1" thickBot="1" x14ac:dyDescent="0.5">
      <c r="B21" s="18"/>
      <c r="C21" s="87"/>
      <c r="D21" s="88"/>
      <c r="E21" s="242"/>
      <c r="F21" s="22"/>
      <c r="G21" s="242"/>
      <c r="H21" s="89"/>
      <c r="I21" s="423"/>
      <c r="J21" s="423"/>
      <c r="K21" s="423"/>
      <c r="L21" s="91"/>
      <c r="M21" s="92"/>
      <c r="N21" s="242"/>
      <c r="O21" s="93"/>
      <c r="P21" s="424"/>
      <c r="Q21" s="70"/>
      <c r="R21" s="242"/>
      <c r="S21" s="93"/>
      <c r="T21" s="424"/>
      <c r="U21" s="424"/>
      <c r="V21" s="95"/>
      <c r="W21" s="22"/>
      <c r="X21" s="18"/>
      <c r="Y21" s="407"/>
      <c r="Z21" s="96"/>
      <c r="AA21" s="443"/>
      <c r="AB21" s="444"/>
      <c r="AC21" s="444"/>
      <c r="AD21" s="444"/>
      <c r="AE21" s="445"/>
      <c r="AF21" s="446"/>
      <c r="AG21" s="443"/>
      <c r="AH21" s="444"/>
      <c r="AI21" s="444"/>
      <c r="AJ21" s="444"/>
      <c r="AK21" s="447"/>
      <c r="AL21" s="448"/>
      <c r="AM21" s="408"/>
      <c r="AN21" s="27"/>
    </row>
    <row r="22" spans="2:40" ht="14.5" customHeight="1" x14ac:dyDescent="0.45">
      <c r="B22" s="18"/>
      <c r="C22" s="786" t="s">
        <v>97</v>
      </c>
      <c r="D22" s="787"/>
      <c r="E22" s="417" t="s">
        <v>63</v>
      </c>
      <c r="F22" s="223" t="s">
        <v>64</v>
      </c>
      <c r="G22" s="418"/>
      <c r="H22" s="201" t="s">
        <v>2</v>
      </c>
      <c r="I22" s="449" t="s">
        <v>2</v>
      </c>
      <c r="J22" s="201" t="s">
        <v>2</v>
      </c>
      <c r="K22" s="449" t="s">
        <v>2</v>
      </c>
      <c r="L22" s="203" t="s">
        <v>2</v>
      </c>
      <c r="M22" s="204" t="s">
        <v>2</v>
      </c>
      <c r="N22" s="418"/>
      <c r="O22" s="205" t="s">
        <v>36</v>
      </c>
      <c r="P22" s="450" t="s">
        <v>37</v>
      </c>
      <c r="Q22" s="207" t="s">
        <v>37</v>
      </c>
      <c r="R22" s="418"/>
      <c r="S22" s="205" t="s">
        <v>36</v>
      </c>
      <c r="T22" s="451" t="s">
        <v>37</v>
      </c>
      <c r="U22" s="450" t="s">
        <v>37</v>
      </c>
      <c r="V22" s="209" t="s">
        <v>37</v>
      </c>
      <c r="W22" s="22"/>
      <c r="X22" s="18"/>
      <c r="Y22" s="407"/>
      <c r="Z22" s="103" t="s">
        <v>35</v>
      </c>
      <c r="AA22" s="452"/>
      <c r="AB22" s="453"/>
      <c r="AC22" s="453"/>
      <c r="AD22" s="453"/>
      <c r="AE22" s="454"/>
      <c r="AF22" s="455"/>
      <c r="AG22" s="456"/>
      <c r="AH22" s="453"/>
      <c r="AI22" s="453"/>
      <c r="AJ22" s="453"/>
      <c r="AK22" s="457"/>
      <c r="AL22" s="458"/>
      <c r="AM22" s="408"/>
      <c r="AN22" s="27"/>
    </row>
    <row r="23" spans="2:40" ht="15" customHeight="1" x14ac:dyDescent="0.45">
      <c r="B23" s="18"/>
      <c r="C23" s="104" t="s">
        <v>72</v>
      </c>
      <c r="D23" s="379">
        <f>IF($D$9="84 p. selfcovered",IF($D$15="Inline",30,0),0)</f>
        <v>0</v>
      </c>
      <c r="E23" s="336">
        <f t="shared" ref="E23:E24" si="0">IF(D23&gt;0,$D$10,0)</f>
        <v>0</v>
      </c>
      <c r="F23" s="427" t="s">
        <v>71</v>
      </c>
      <c r="G23" s="242"/>
      <c r="H23" s="459">
        <v>0</v>
      </c>
      <c r="I23" s="430">
        <v>0</v>
      </c>
      <c r="J23" s="107" t="s">
        <v>38</v>
      </c>
      <c r="K23" s="107" t="s">
        <v>38</v>
      </c>
      <c r="L23" s="431"/>
      <c r="M23" s="101">
        <v>555</v>
      </c>
      <c r="N23" s="242"/>
      <c r="O23" s="432">
        <v>0</v>
      </c>
      <c r="P23" s="433">
        <v>0</v>
      </c>
      <c r="Q23" s="434">
        <f>O23*(M23/1000)</f>
        <v>0</v>
      </c>
      <c r="R23" s="242"/>
      <c r="S23" s="432">
        <v>0</v>
      </c>
      <c r="T23" s="598">
        <f>S23*(M23/1000)</f>
        <v>0</v>
      </c>
      <c r="U23" s="433">
        <v>0</v>
      </c>
      <c r="V23" s="249" t="s">
        <v>38</v>
      </c>
      <c r="W23" s="22"/>
      <c r="X23" s="18"/>
      <c r="Y23" s="407"/>
      <c r="Z23" s="110" t="s">
        <v>72</v>
      </c>
      <c r="AA23" s="460">
        <f t="shared" ref="AA23:AA24" si="1">$O23*$D23</f>
        <v>0</v>
      </c>
      <c r="AB23" s="461">
        <f>$AA23*$M23/1000</f>
        <v>0</v>
      </c>
      <c r="AC23" s="461">
        <f t="shared" ref="AC23" si="2">$P23*$D23</f>
        <v>0</v>
      </c>
      <c r="AD23" s="461" t="s">
        <v>38</v>
      </c>
      <c r="AE23" s="462">
        <f t="shared" ref="AE23:AE24" si="3">SUM(AB23:AC23)</f>
        <v>0</v>
      </c>
      <c r="AF23" s="440"/>
      <c r="AG23" s="460">
        <f>$S23*$D23*($D$8/10000)</f>
        <v>0</v>
      </c>
      <c r="AH23" s="461">
        <f t="shared" ref="AH23:AH24" si="4">($D23*$T23)*($D$8/10000)</f>
        <v>0</v>
      </c>
      <c r="AI23" s="461">
        <f t="shared" ref="AI23:AI24" si="5">($D23*$U23)*$D$8/10000</f>
        <v>0</v>
      </c>
      <c r="AJ23" s="461" t="str">
        <f>IFERROR(VLOOKUP($V23,$C$38:$U$44,$U$36,FALSE)*($D$8/10000)*$D23,"n.v.t.")</f>
        <v>n.v.t.</v>
      </c>
      <c r="AK23" s="463">
        <f t="shared" ref="AK23" si="6">SUM(AH23:AJ23)</f>
        <v>0</v>
      </c>
      <c r="AL23" s="442">
        <f>AE23+AK23</f>
        <v>0</v>
      </c>
      <c r="AM23" s="408"/>
      <c r="AN23" s="27"/>
    </row>
    <row r="24" spans="2:40" ht="15" customHeight="1" thickBot="1" x14ac:dyDescent="0.5">
      <c r="B24" s="18"/>
      <c r="C24" s="104" t="s">
        <v>75</v>
      </c>
      <c r="D24" s="379">
        <f>IF($D$9="88 p. selfcovered",IF($D$15="Inline",30,0),0)</f>
        <v>0</v>
      </c>
      <c r="E24" s="336">
        <f t="shared" si="0"/>
        <v>0</v>
      </c>
      <c r="F24" s="427" t="s">
        <v>71</v>
      </c>
      <c r="G24" s="242"/>
      <c r="H24" s="459">
        <v>0</v>
      </c>
      <c r="I24" s="430">
        <v>0</v>
      </c>
      <c r="J24" s="107" t="s">
        <v>38</v>
      </c>
      <c r="K24" s="107" t="s">
        <v>38</v>
      </c>
      <c r="L24" s="431"/>
      <c r="M24" s="101">
        <v>555</v>
      </c>
      <c r="N24" s="242"/>
      <c r="O24" s="432">
        <v>0</v>
      </c>
      <c r="P24" s="433">
        <v>0</v>
      </c>
      <c r="Q24" s="434">
        <f>O24*(M24/1000)</f>
        <v>0</v>
      </c>
      <c r="R24" s="242"/>
      <c r="S24" s="432">
        <v>0</v>
      </c>
      <c r="T24" s="598">
        <f>S24*(M24/1000)</f>
        <v>0</v>
      </c>
      <c r="U24" s="433">
        <v>0</v>
      </c>
      <c r="V24" s="249" t="s">
        <v>38</v>
      </c>
      <c r="W24" s="22"/>
      <c r="X24" s="18"/>
      <c r="Y24" s="407"/>
      <c r="Z24" s="110" t="s">
        <v>75</v>
      </c>
      <c r="AA24" s="460">
        <f t="shared" si="1"/>
        <v>0</v>
      </c>
      <c r="AB24" s="461">
        <f>$AA24*$M24/1000</f>
        <v>0</v>
      </c>
      <c r="AC24" s="461">
        <f>$P24*$D24</f>
        <v>0</v>
      </c>
      <c r="AD24" s="461" t="s">
        <v>38</v>
      </c>
      <c r="AE24" s="462">
        <f t="shared" si="3"/>
        <v>0</v>
      </c>
      <c r="AF24" s="440"/>
      <c r="AG24" s="460">
        <f>$S24*$D24*($D$8/10000)</f>
        <v>0</v>
      </c>
      <c r="AH24" s="461">
        <f t="shared" si="4"/>
        <v>0</v>
      </c>
      <c r="AI24" s="461">
        <f t="shared" si="5"/>
        <v>0</v>
      </c>
      <c r="AJ24" s="461" t="str">
        <f>IFERROR(VLOOKUP($V24,$C$38:$U$44,$U$36,FALSE)*($D$8/10000)*$D24,"n.v.t.")</f>
        <v>n.v.t.</v>
      </c>
      <c r="AK24" s="463">
        <f>SUM(AH24:AI24)</f>
        <v>0</v>
      </c>
      <c r="AL24" s="442">
        <f>AE24+AK24</f>
        <v>0</v>
      </c>
      <c r="AM24" s="408"/>
      <c r="AN24" s="27"/>
    </row>
    <row r="25" spans="2:40" ht="10" customHeight="1" thickBot="1" x14ac:dyDescent="0.5">
      <c r="B25" s="18"/>
      <c r="C25" s="87"/>
      <c r="D25" s="127"/>
      <c r="E25" s="242"/>
      <c r="F25" s="22"/>
      <c r="G25" s="242"/>
      <c r="H25" s="128"/>
      <c r="I25" s="241"/>
      <c r="J25" s="241"/>
      <c r="K25" s="241"/>
      <c r="L25" s="241"/>
      <c r="M25" s="129"/>
      <c r="N25" s="242"/>
      <c r="O25" s="130"/>
      <c r="P25" s="251"/>
      <c r="Q25" s="132"/>
      <c r="R25" s="242"/>
      <c r="S25" s="130"/>
      <c r="T25" s="464"/>
      <c r="U25" s="251"/>
      <c r="V25" s="134"/>
      <c r="W25" s="22"/>
      <c r="X25" s="18"/>
      <c r="Y25" s="407"/>
      <c r="Z25" s="242"/>
      <c r="AA25" s="460"/>
      <c r="AB25" s="465"/>
      <c r="AC25" s="465"/>
      <c r="AD25" s="465"/>
      <c r="AE25" s="466"/>
      <c r="AF25" s="440"/>
      <c r="AG25" s="460"/>
      <c r="AH25" s="465"/>
      <c r="AI25" s="465"/>
      <c r="AJ25" s="465"/>
      <c r="AK25" s="463"/>
      <c r="AL25" s="442"/>
      <c r="AM25" s="408"/>
      <c r="AN25" s="27"/>
    </row>
    <row r="26" spans="2:40" x14ac:dyDescent="0.45">
      <c r="B26" s="18"/>
      <c r="C26" s="788" t="s">
        <v>39</v>
      </c>
      <c r="D26" s="789"/>
      <c r="E26" s="417" t="s">
        <v>63</v>
      </c>
      <c r="F26" s="224" t="s">
        <v>64</v>
      </c>
      <c r="G26" s="418"/>
      <c r="H26" s="210" t="s">
        <v>2</v>
      </c>
      <c r="I26" s="211" t="s">
        <v>2</v>
      </c>
      <c r="J26" s="201" t="s">
        <v>2</v>
      </c>
      <c r="K26" s="449" t="s">
        <v>2</v>
      </c>
      <c r="L26" s="203" t="s">
        <v>2</v>
      </c>
      <c r="M26" s="204" t="s">
        <v>2</v>
      </c>
      <c r="N26" s="418"/>
      <c r="O26" s="212" t="s">
        <v>36</v>
      </c>
      <c r="P26" s="213" t="s">
        <v>37</v>
      </c>
      <c r="Q26" s="214" t="s">
        <v>37</v>
      </c>
      <c r="R26" s="418"/>
      <c r="S26" s="212" t="s">
        <v>36</v>
      </c>
      <c r="T26" s="215" t="s">
        <v>37</v>
      </c>
      <c r="U26" s="213" t="s">
        <v>37</v>
      </c>
      <c r="V26" s="216" t="s">
        <v>40</v>
      </c>
      <c r="W26" s="22"/>
      <c r="X26" s="18"/>
      <c r="Y26" s="407"/>
      <c r="Z26" s="136" t="s">
        <v>39</v>
      </c>
      <c r="AA26" s="467"/>
      <c r="AB26" s="468"/>
      <c r="AC26" s="468"/>
      <c r="AD26" s="468"/>
      <c r="AE26" s="469"/>
      <c r="AF26" s="440"/>
      <c r="AG26" s="470"/>
      <c r="AH26" s="468"/>
      <c r="AI26" s="468"/>
      <c r="AJ26" s="468"/>
      <c r="AK26" s="471"/>
      <c r="AL26" s="442"/>
      <c r="AM26" s="408"/>
      <c r="AN26" s="27"/>
    </row>
    <row r="27" spans="2:40" ht="15" customHeight="1" x14ac:dyDescent="0.45">
      <c r="B27" s="18"/>
      <c r="C27" s="104" t="s">
        <v>127</v>
      </c>
      <c r="D27" s="379">
        <f>IF($D$9="80 p. binnenwerk + 4 p. omslag",IF($D$15="Offline",38,0),0)</f>
        <v>0</v>
      </c>
      <c r="E27" s="336">
        <f t="shared" ref="E27:E34" si="7">IF(D27&gt;0,$D$10,0)</f>
        <v>0</v>
      </c>
      <c r="F27" s="427" t="s">
        <v>71</v>
      </c>
      <c r="G27" s="242"/>
      <c r="H27" s="459">
        <v>0</v>
      </c>
      <c r="I27" s="430">
        <v>0</v>
      </c>
      <c r="J27" s="107" t="s">
        <v>38</v>
      </c>
      <c r="K27" s="107" t="s">
        <v>38</v>
      </c>
      <c r="L27" s="431"/>
      <c r="M27" s="101">
        <v>555</v>
      </c>
      <c r="N27" s="242"/>
      <c r="O27" s="432">
        <v>0</v>
      </c>
      <c r="P27" s="433">
        <v>0</v>
      </c>
      <c r="Q27" s="434">
        <f>O27*(M27/1000)</f>
        <v>0</v>
      </c>
      <c r="R27" s="242"/>
      <c r="S27" s="432">
        <v>0</v>
      </c>
      <c r="T27" s="435">
        <f>S27*(M27/1000)</f>
        <v>0</v>
      </c>
      <c r="U27" s="433">
        <v>0</v>
      </c>
      <c r="V27" s="472">
        <v>1</v>
      </c>
      <c r="W27" s="314">
        <f>IF(D27&gt;0,1,0)+V27</f>
        <v>1</v>
      </c>
      <c r="X27" s="18"/>
      <c r="Y27" s="407"/>
      <c r="Z27" s="110" t="s">
        <v>74</v>
      </c>
      <c r="AA27" s="460">
        <f t="shared" ref="AA27:AA34" si="8">$O27*$D27</f>
        <v>0</v>
      </c>
      <c r="AB27" s="461">
        <f>$AA27*$M27/1000</f>
        <v>0</v>
      </c>
      <c r="AC27" s="461">
        <f t="shared" ref="AC27:AC34" si="9">$P27*$D27</f>
        <v>0</v>
      </c>
      <c r="AD27" s="461">
        <f t="shared" ref="AD27:AD34" si="10">VLOOKUP($W27,$C$38:$P$44,$P$36,FALSE)*$D27</f>
        <v>0</v>
      </c>
      <c r="AE27" s="462">
        <f>SUM(AB27:AD27)</f>
        <v>0</v>
      </c>
      <c r="AF27" s="440"/>
      <c r="AG27" s="460">
        <f>$S27*$D27*($D$8/10000)</f>
        <v>0</v>
      </c>
      <c r="AH27" s="461">
        <f t="shared" ref="AH27:AH34" si="11">($D27*$T27)*($D$8/10000)</f>
        <v>0</v>
      </c>
      <c r="AI27" s="461">
        <f t="shared" ref="AI27:AI34" si="12">($D27*$U27)*$D$8/10000</f>
        <v>0</v>
      </c>
      <c r="AJ27" s="461">
        <f t="shared" ref="AJ27:AJ34" si="13">VLOOKUP($W27,$C$38:$U$44,$U$36,FALSE)*($D$8/10000)*$D27</f>
        <v>0</v>
      </c>
      <c r="AK27" s="463">
        <f t="shared" ref="AK27:AK34" si="14">SUM(AH27:AJ27)</f>
        <v>0</v>
      </c>
      <c r="AL27" s="442">
        <f>AE27+AK27</f>
        <v>0</v>
      </c>
      <c r="AM27" s="408"/>
      <c r="AN27" s="27"/>
    </row>
    <row r="28" spans="2:40" ht="15" customHeight="1" x14ac:dyDescent="0.45">
      <c r="B28" s="18"/>
      <c r="C28" s="104" t="s">
        <v>126</v>
      </c>
      <c r="D28" s="379">
        <f>IF($D$9="84 p. binnenwerk + 4 p. omslag",IF($D$15="Offline",38,0),0)</f>
        <v>0</v>
      </c>
      <c r="E28" s="336">
        <f t="shared" si="7"/>
        <v>0</v>
      </c>
      <c r="F28" s="427" t="s">
        <v>71</v>
      </c>
      <c r="G28" s="242"/>
      <c r="H28" s="459">
        <v>0</v>
      </c>
      <c r="I28" s="430">
        <v>0</v>
      </c>
      <c r="J28" s="107" t="s">
        <v>38</v>
      </c>
      <c r="K28" s="107" t="s">
        <v>38</v>
      </c>
      <c r="L28" s="431"/>
      <c r="M28" s="101">
        <v>555</v>
      </c>
      <c r="N28" s="242"/>
      <c r="O28" s="432">
        <v>0</v>
      </c>
      <c r="P28" s="433">
        <v>0</v>
      </c>
      <c r="Q28" s="434">
        <f>O28*(M28/1000)</f>
        <v>0</v>
      </c>
      <c r="R28" s="242"/>
      <c r="S28" s="432">
        <v>0</v>
      </c>
      <c r="T28" s="435">
        <f>S28*(M28/1000)</f>
        <v>0</v>
      </c>
      <c r="U28" s="433">
        <v>0</v>
      </c>
      <c r="V28" s="472">
        <v>1</v>
      </c>
      <c r="W28" s="314">
        <f t="shared" ref="W28" si="15">IF(D28&gt;0,1,0)+V28</f>
        <v>1</v>
      </c>
      <c r="X28" s="18"/>
      <c r="Y28" s="407"/>
      <c r="Z28" s="110" t="s">
        <v>73</v>
      </c>
      <c r="AA28" s="460">
        <f>$O28*$D28</f>
        <v>0</v>
      </c>
      <c r="AB28" s="461">
        <f>$AA28*$M28/1000</f>
        <v>0</v>
      </c>
      <c r="AC28" s="461">
        <f t="shared" si="9"/>
        <v>0</v>
      </c>
      <c r="AD28" s="461">
        <f t="shared" si="10"/>
        <v>0</v>
      </c>
      <c r="AE28" s="462">
        <f t="shared" ref="AE28:AE34" si="16">SUM(AB28:AD28)</f>
        <v>0</v>
      </c>
      <c r="AF28" s="440"/>
      <c r="AG28" s="460">
        <f>$S28*$D28*($D$8/10000)</f>
        <v>0</v>
      </c>
      <c r="AH28" s="461">
        <f t="shared" si="11"/>
        <v>0</v>
      </c>
      <c r="AI28" s="461">
        <f t="shared" si="12"/>
        <v>0</v>
      </c>
      <c r="AJ28" s="461">
        <f t="shared" si="13"/>
        <v>0</v>
      </c>
      <c r="AK28" s="463">
        <f t="shared" si="14"/>
        <v>0</v>
      </c>
      <c r="AL28" s="442">
        <f>AE28+AK28</f>
        <v>0</v>
      </c>
      <c r="AM28" s="408"/>
      <c r="AN28" s="27"/>
    </row>
    <row r="29" spans="2:40" ht="15" customHeight="1" x14ac:dyDescent="0.45">
      <c r="B29" s="18"/>
      <c r="C29" s="104" t="s">
        <v>128</v>
      </c>
      <c r="D29" s="379">
        <f>IF($D$9="84 p. selfcovered",IF($D$15="Offline",38,8),0)</f>
        <v>0</v>
      </c>
      <c r="E29" s="336">
        <f t="shared" si="7"/>
        <v>0</v>
      </c>
      <c r="F29" s="427" t="s">
        <v>71</v>
      </c>
      <c r="G29" s="242"/>
      <c r="H29" s="459">
        <v>0</v>
      </c>
      <c r="I29" s="430">
        <v>0</v>
      </c>
      <c r="J29" s="107" t="s">
        <v>38</v>
      </c>
      <c r="K29" s="107" t="s">
        <v>38</v>
      </c>
      <c r="L29" s="431"/>
      <c r="M29" s="101">
        <v>555</v>
      </c>
      <c r="N29" s="242"/>
      <c r="O29" s="432">
        <v>0</v>
      </c>
      <c r="P29" s="433">
        <v>0</v>
      </c>
      <c r="Q29" s="434">
        <f>O29*(M29/1000)</f>
        <v>0</v>
      </c>
      <c r="R29" s="242"/>
      <c r="S29" s="432">
        <v>0</v>
      </c>
      <c r="T29" s="435">
        <f>S29*(M29/1000)</f>
        <v>0</v>
      </c>
      <c r="U29" s="433">
        <v>0</v>
      </c>
      <c r="V29" s="472">
        <v>1</v>
      </c>
      <c r="W29" s="736">
        <f>IF(D29&gt;0,0,0)+V29</f>
        <v>1</v>
      </c>
      <c r="X29" s="18"/>
      <c r="Y29" s="407"/>
      <c r="Z29" s="110" t="s">
        <v>73</v>
      </c>
      <c r="AA29" s="460">
        <f t="shared" si="8"/>
        <v>0</v>
      </c>
      <c r="AB29" s="461">
        <f>$AA29*$M29/1000</f>
        <v>0</v>
      </c>
      <c r="AC29" s="461">
        <f t="shared" si="9"/>
        <v>0</v>
      </c>
      <c r="AD29" s="461">
        <f t="shared" si="10"/>
        <v>0</v>
      </c>
      <c r="AE29" s="462">
        <f t="shared" si="16"/>
        <v>0</v>
      </c>
      <c r="AF29" s="440"/>
      <c r="AG29" s="460">
        <f>$S29*$D29*($D$8/10000)</f>
        <v>0</v>
      </c>
      <c r="AH29" s="461">
        <f t="shared" si="11"/>
        <v>0</v>
      </c>
      <c r="AI29" s="461">
        <f t="shared" si="12"/>
        <v>0</v>
      </c>
      <c r="AJ29" s="461">
        <f t="shared" si="13"/>
        <v>0</v>
      </c>
      <c r="AK29" s="463">
        <f t="shared" ref="AK29" si="17">SUM(AH29:AJ29)</f>
        <v>0</v>
      </c>
      <c r="AL29" s="442">
        <f t="shared" ref="AL29:AL34" si="18">AE29+AK29</f>
        <v>0</v>
      </c>
      <c r="AM29" s="408"/>
      <c r="AN29" s="27"/>
    </row>
    <row r="30" spans="2:40" s="112" customFormat="1" ht="15" customHeight="1" x14ac:dyDescent="0.45">
      <c r="B30" s="18"/>
      <c r="C30" s="137" t="s">
        <v>75</v>
      </c>
      <c r="D30" s="379">
        <f>IF($D$9="88 p. selfcovered",IF($D$15="Offline",38,8),0)</f>
        <v>0</v>
      </c>
      <c r="E30" s="336">
        <f t="shared" si="7"/>
        <v>0</v>
      </c>
      <c r="F30" s="427" t="s">
        <v>71</v>
      </c>
      <c r="G30" s="242"/>
      <c r="H30" s="459">
        <v>0</v>
      </c>
      <c r="I30" s="430">
        <v>0</v>
      </c>
      <c r="J30" s="111" t="s">
        <v>38</v>
      </c>
      <c r="K30" s="111" t="s">
        <v>38</v>
      </c>
      <c r="L30" s="431"/>
      <c r="M30" s="101">
        <v>555</v>
      </c>
      <c r="N30" s="242"/>
      <c r="O30" s="432">
        <v>0</v>
      </c>
      <c r="P30" s="433">
        <v>0</v>
      </c>
      <c r="Q30" s="434">
        <f>O30*M30/1000</f>
        <v>0</v>
      </c>
      <c r="R30" s="242"/>
      <c r="S30" s="432">
        <v>0</v>
      </c>
      <c r="T30" s="435">
        <f t="shared" ref="T30:T34" si="19">S30*M30/1000</f>
        <v>0</v>
      </c>
      <c r="U30" s="433">
        <v>0</v>
      </c>
      <c r="V30" s="472">
        <v>1</v>
      </c>
      <c r="W30" s="314">
        <f t="shared" ref="W30:W34" si="20">IF(D30&gt;0,0,0)+V30</f>
        <v>1</v>
      </c>
      <c r="X30" s="18"/>
      <c r="Y30" s="407"/>
      <c r="Z30" s="138" t="s">
        <v>75</v>
      </c>
      <c r="AA30" s="460">
        <f t="shared" si="8"/>
        <v>0</v>
      </c>
      <c r="AB30" s="461">
        <f t="shared" ref="AB30:AB34" si="21">$AA30*$M30/1000</f>
        <v>0</v>
      </c>
      <c r="AC30" s="461">
        <f t="shared" si="9"/>
        <v>0</v>
      </c>
      <c r="AD30" s="461">
        <f t="shared" si="10"/>
        <v>0</v>
      </c>
      <c r="AE30" s="462">
        <f t="shared" si="16"/>
        <v>0</v>
      </c>
      <c r="AF30" s="440"/>
      <c r="AG30" s="460">
        <f t="shared" ref="AG30:AG34" si="22">$S30*$D30*($D$8/10000)</f>
        <v>0</v>
      </c>
      <c r="AH30" s="461">
        <f t="shared" si="11"/>
        <v>0</v>
      </c>
      <c r="AI30" s="461">
        <f t="shared" si="12"/>
        <v>0</v>
      </c>
      <c r="AJ30" s="461">
        <f t="shared" si="13"/>
        <v>0</v>
      </c>
      <c r="AK30" s="463">
        <f t="shared" si="14"/>
        <v>0</v>
      </c>
      <c r="AL30" s="442">
        <f t="shared" si="18"/>
        <v>0</v>
      </c>
      <c r="AM30" s="473"/>
      <c r="AN30" s="118"/>
    </row>
    <row r="31" spans="2:40" s="112" customFormat="1" ht="15" customHeight="1" x14ac:dyDescent="0.45">
      <c r="B31" s="18"/>
      <c r="C31" s="113" t="s">
        <v>142</v>
      </c>
      <c r="D31" s="380">
        <f>IF(D27&gt;0,6,0)</f>
        <v>0</v>
      </c>
      <c r="E31" s="336">
        <f t="shared" si="7"/>
        <v>0</v>
      </c>
      <c r="F31" s="427" t="s">
        <v>71</v>
      </c>
      <c r="G31" s="242"/>
      <c r="H31" s="459">
        <v>0</v>
      </c>
      <c r="I31" s="430">
        <v>0</v>
      </c>
      <c r="J31" s="111" t="s">
        <v>38</v>
      </c>
      <c r="K31" s="111" t="s">
        <v>38</v>
      </c>
      <c r="L31" s="431"/>
      <c r="M31" s="101">
        <v>555</v>
      </c>
      <c r="N31" s="242"/>
      <c r="O31" s="432">
        <v>0</v>
      </c>
      <c r="P31" s="433">
        <v>0</v>
      </c>
      <c r="Q31" s="434">
        <f t="shared" ref="Q31:Q34" si="23">O31*M31/1000</f>
        <v>0</v>
      </c>
      <c r="R31" s="242"/>
      <c r="S31" s="432">
        <v>0</v>
      </c>
      <c r="T31" s="435">
        <f t="shared" si="19"/>
        <v>0</v>
      </c>
      <c r="U31" s="433">
        <v>0</v>
      </c>
      <c r="V31" s="472">
        <v>1</v>
      </c>
      <c r="W31" s="314">
        <f t="shared" si="20"/>
        <v>1</v>
      </c>
      <c r="X31" s="18"/>
      <c r="Y31" s="407"/>
      <c r="Z31" s="116" t="s">
        <v>142</v>
      </c>
      <c r="AA31" s="460">
        <f t="shared" si="8"/>
        <v>0</v>
      </c>
      <c r="AB31" s="461">
        <f t="shared" si="21"/>
        <v>0</v>
      </c>
      <c r="AC31" s="461">
        <f t="shared" si="9"/>
        <v>0</v>
      </c>
      <c r="AD31" s="461">
        <f t="shared" si="10"/>
        <v>0</v>
      </c>
      <c r="AE31" s="462">
        <f t="shared" ref="AE31" si="24">SUM(AB31:AD31)</f>
        <v>0</v>
      </c>
      <c r="AF31" s="440"/>
      <c r="AG31" s="460">
        <f t="shared" si="22"/>
        <v>0</v>
      </c>
      <c r="AH31" s="461">
        <f t="shared" si="11"/>
        <v>0</v>
      </c>
      <c r="AI31" s="461">
        <f t="shared" si="12"/>
        <v>0</v>
      </c>
      <c r="AJ31" s="461">
        <f t="shared" si="13"/>
        <v>0</v>
      </c>
      <c r="AK31" s="463">
        <f t="shared" ref="AK31" si="25">SUM(AH31:AJ31)</f>
        <v>0</v>
      </c>
      <c r="AL31" s="442">
        <f>AE31+AK31</f>
        <v>0</v>
      </c>
      <c r="AM31" s="473"/>
      <c r="AN31" s="118"/>
    </row>
    <row r="32" spans="2:40" s="112" customFormat="1" ht="15" customHeight="1" x14ac:dyDescent="0.45">
      <c r="B32" s="18"/>
      <c r="C32" s="113" t="s">
        <v>76</v>
      </c>
      <c r="D32" s="380">
        <f>IF(D28&gt;0,6,IF(D23&gt;0,6,IF(D24&gt;0,6,IF(D29&gt;0,6,IF(D30&gt;0,6,0)))))</f>
        <v>0</v>
      </c>
      <c r="E32" s="336">
        <f t="shared" si="7"/>
        <v>0</v>
      </c>
      <c r="F32" s="427" t="s">
        <v>71</v>
      </c>
      <c r="G32" s="242"/>
      <c r="H32" s="459">
        <v>0</v>
      </c>
      <c r="I32" s="430">
        <v>0</v>
      </c>
      <c r="J32" s="111" t="s">
        <v>38</v>
      </c>
      <c r="K32" s="111" t="s">
        <v>38</v>
      </c>
      <c r="L32" s="431"/>
      <c r="M32" s="101">
        <v>555</v>
      </c>
      <c r="N32" s="242"/>
      <c r="O32" s="432">
        <v>0</v>
      </c>
      <c r="P32" s="433">
        <v>0</v>
      </c>
      <c r="Q32" s="434">
        <f t="shared" si="23"/>
        <v>0</v>
      </c>
      <c r="R32" s="242"/>
      <c r="S32" s="432">
        <v>0</v>
      </c>
      <c r="T32" s="435">
        <f t="shared" si="19"/>
        <v>0</v>
      </c>
      <c r="U32" s="433">
        <v>0</v>
      </c>
      <c r="V32" s="472">
        <v>1</v>
      </c>
      <c r="W32" s="314">
        <f t="shared" si="20"/>
        <v>1</v>
      </c>
      <c r="X32" s="18"/>
      <c r="Y32" s="407"/>
      <c r="Z32" s="116" t="s">
        <v>76</v>
      </c>
      <c r="AA32" s="460">
        <f t="shared" si="8"/>
        <v>0</v>
      </c>
      <c r="AB32" s="461">
        <f t="shared" si="21"/>
        <v>0</v>
      </c>
      <c r="AC32" s="461">
        <f t="shared" si="9"/>
        <v>0</v>
      </c>
      <c r="AD32" s="461">
        <f t="shared" si="10"/>
        <v>0</v>
      </c>
      <c r="AE32" s="462">
        <f t="shared" si="16"/>
        <v>0</v>
      </c>
      <c r="AF32" s="440"/>
      <c r="AG32" s="460">
        <f t="shared" si="22"/>
        <v>0</v>
      </c>
      <c r="AH32" s="461">
        <f t="shared" si="11"/>
        <v>0</v>
      </c>
      <c r="AI32" s="461">
        <f t="shared" si="12"/>
        <v>0</v>
      </c>
      <c r="AJ32" s="461">
        <f t="shared" si="13"/>
        <v>0</v>
      </c>
      <c r="AK32" s="463">
        <f t="shared" si="14"/>
        <v>0</v>
      </c>
      <c r="AL32" s="442">
        <f>AE32+AK32</f>
        <v>0</v>
      </c>
      <c r="AM32" s="473"/>
      <c r="AN32" s="118"/>
    </row>
    <row r="33" spans="2:40" s="112" customFormat="1" ht="15" customHeight="1" x14ac:dyDescent="0.45">
      <c r="B33" s="18"/>
      <c r="C33" s="113" t="s">
        <v>77</v>
      </c>
      <c r="D33" s="380">
        <v>0</v>
      </c>
      <c r="E33" s="336">
        <f t="shared" si="7"/>
        <v>0</v>
      </c>
      <c r="F33" s="427" t="s">
        <v>71</v>
      </c>
      <c r="G33" s="242"/>
      <c r="H33" s="459">
        <v>0</v>
      </c>
      <c r="I33" s="430">
        <v>0</v>
      </c>
      <c r="J33" s="111" t="s">
        <v>38</v>
      </c>
      <c r="K33" s="111" t="s">
        <v>38</v>
      </c>
      <c r="L33" s="431"/>
      <c r="M33" s="101">
        <v>555</v>
      </c>
      <c r="N33" s="242"/>
      <c r="O33" s="432">
        <v>0</v>
      </c>
      <c r="P33" s="433">
        <v>0</v>
      </c>
      <c r="Q33" s="434">
        <f t="shared" si="23"/>
        <v>0</v>
      </c>
      <c r="R33" s="242"/>
      <c r="S33" s="432">
        <v>0</v>
      </c>
      <c r="T33" s="435">
        <f t="shared" si="19"/>
        <v>0</v>
      </c>
      <c r="U33" s="433">
        <v>0</v>
      </c>
      <c r="V33" s="472">
        <v>1</v>
      </c>
      <c r="W33" s="314">
        <f t="shared" si="20"/>
        <v>1</v>
      </c>
      <c r="X33" s="18"/>
      <c r="Y33" s="407"/>
      <c r="Z33" s="116" t="s">
        <v>77</v>
      </c>
      <c r="AA33" s="460">
        <f t="shared" si="8"/>
        <v>0</v>
      </c>
      <c r="AB33" s="461">
        <f t="shared" si="21"/>
        <v>0</v>
      </c>
      <c r="AC33" s="461">
        <f t="shared" si="9"/>
        <v>0</v>
      </c>
      <c r="AD33" s="461">
        <f t="shared" si="10"/>
        <v>0</v>
      </c>
      <c r="AE33" s="462">
        <f t="shared" si="16"/>
        <v>0</v>
      </c>
      <c r="AF33" s="440"/>
      <c r="AG33" s="460">
        <f t="shared" si="22"/>
        <v>0</v>
      </c>
      <c r="AH33" s="461">
        <f t="shared" si="11"/>
        <v>0</v>
      </c>
      <c r="AI33" s="461">
        <f t="shared" si="12"/>
        <v>0</v>
      </c>
      <c r="AJ33" s="461">
        <f t="shared" si="13"/>
        <v>0</v>
      </c>
      <c r="AK33" s="463">
        <f t="shared" si="14"/>
        <v>0</v>
      </c>
      <c r="AL33" s="442">
        <f t="shared" si="18"/>
        <v>0</v>
      </c>
      <c r="AM33" s="473"/>
      <c r="AN33" s="118"/>
    </row>
    <row r="34" spans="2:40" s="112" customFormat="1" ht="15" customHeight="1" thickBot="1" x14ac:dyDescent="0.5">
      <c r="B34" s="18"/>
      <c r="C34" s="119" t="s">
        <v>78</v>
      </c>
      <c r="D34" s="381">
        <f>IF(D31&gt;0,1,IF(D32&gt;0,1,IF(D33&gt;0,1,0)))</f>
        <v>0</v>
      </c>
      <c r="E34" s="336">
        <f t="shared" si="7"/>
        <v>0</v>
      </c>
      <c r="F34" s="427" t="s">
        <v>71</v>
      </c>
      <c r="G34" s="242"/>
      <c r="H34" s="474">
        <v>0</v>
      </c>
      <c r="I34" s="475">
        <v>0</v>
      </c>
      <c r="J34" s="122" t="s">
        <v>38</v>
      </c>
      <c r="K34" s="122" t="s">
        <v>38</v>
      </c>
      <c r="L34" s="476"/>
      <c r="M34" s="123">
        <v>555</v>
      </c>
      <c r="N34" s="242"/>
      <c r="O34" s="477">
        <v>0</v>
      </c>
      <c r="P34" s="478">
        <v>0</v>
      </c>
      <c r="Q34" s="479">
        <f t="shared" si="23"/>
        <v>0</v>
      </c>
      <c r="R34" s="242"/>
      <c r="S34" s="477">
        <v>0</v>
      </c>
      <c r="T34" s="480">
        <f t="shared" si="19"/>
        <v>0</v>
      </c>
      <c r="U34" s="478">
        <v>0</v>
      </c>
      <c r="V34" s="481">
        <v>1</v>
      </c>
      <c r="W34" s="314">
        <f t="shared" si="20"/>
        <v>1</v>
      </c>
      <c r="X34" s="18"/>
      <c r="Y34" s="407"/>
      <c r="Z34" s="126" t="s">
        <v>78</v>
      </c>
      <c r="AA34" s="437">
        <f t="shared" si="8"/>
        <v>0</v>
      </c>
      <c r="AB34" s="438">
        <f t="shared" si="21"/>
        <v>0</v>
      </c>
      <c r="AC34" s="438">
        <f t="shared" si="9"/>
        <v>0</v>
      </c>
      <c r="AD34" s="438">
        <f t="shared" si="10"/>
        <v>0</v>
      </c>
      <c r="AE34" s="439">
        <f t="shared" si="16"/>
        <v>0</v>
      </c>
      <c r="AF34" s="440"/>
      <c r="AG34" s="437">
        <f t="shared" si="22"/>
        <v>0</v>
      </c>
      <c r="AH34" s="438">
        <f t="shared" si="11"/>
        <v>0</v>
      </c>
      <c r="AI34" s="438">
        <f t="shared" si="12"/>
        <v>0</v>
      </c>
      <c r="AJ34" s="438">
        <f t="shared" si="13"/>
        <v>0</v>
      </c>
      <c r="AK34" s="441">
        <f t="shared" si="14"/>
        <v>0</v>
      </c>
      <c r="AL34" s="442">
        <f t="shared" si="18"/>
        <v>0</v>
      </c>
      <c r="AM34" s="473"/>
      <c r="AN34" s="118"/>
    </row>
    <row r="35" spans="2:40" ht="15.65" customHeight="1" thickBot="1" x14ac:dyDescent="0.5">
      <c r="B35" s="18"/>
      <c r="C35" s="140"/>
      <c r="D35" s="241"/>
      <c r="E35" s="242"/>
      <c r="F35" s="242"/>
      <c r="G35" s="242"/>
      <c r="H35" s="241"/>
      <c r="I35" s="241"/>
      <c r="J35" s="241"/>
      <c r="K35" s="241"/>
      <c r="L35" s="241"/>
      <c r="M35" s="393"/>
      <c r="N35" s="242"/>
      <c r="O35" s="251"/>
      <c r="P35" s="251"/>
      <c r="Q35" s="251"/>
      <c r="R35" s="242"/>
      <c r="S35" s="130"/>
      <c r="T35" s="251"/>
      <c r="U35" s="251"/>
      <c r="V35" s="141"/>
      <c r="W35" s="22"/>
      <c r="X35" s="18"/>
      <c r="Y35" s="407"/>
      <c r="Z35" s="242"/>
      <c r="AA35" s="482"/>
      <c r="AB35" s="465"/>
      <c r="AC35" s="465"/>
      <c r="AD35" s="465"/>
      <c r="AE35" s="466"/>
      <c r="AF35" s="483"/>
      <c r="AG35" s="482"/>
      <c r="AH35" s="465"/>
      <c r="AI35" s="465"/>
      <c r="AJ35" s="465"/>
      <c r="AK35" s="463"/>
      <c r="AL35" s="442"/>
      <c r="AM35" s="408"/>
      <c r="AN35" s="27"/>
    </row>
    <row r="36" spans="2:40" ht="20.5" customHeight="1" thickBot="1" x14ac:dyDescent="0.5">
      <c r="B36" s="18"/>
      <c r="C36" s="788" t="s">
        <v>62</v>
      </c>
      <c r="D36" s="790"/>
      <c r="E36" s="790"/>
      <c r="F36" s="790"/>
      <c r="G36" s="790"/>
      <c r="H36" s="790"/>
      <c r="I36" s="790"/>
      <c r="J36" s="143"/>
      <c r="K36" s="143"/>
      <c r="L36" s="143"/>
      <c r="M36" s="143"/>
      <c r="N36" s="143"/>
      <c r="O36" s="142"/>
      <c r="P36" s="144">
        <v>14</v>
      </c>
      <c r="Q36" s="145"/>
      <c r="R36" s="143"/>
      <c r="S36" s="142"/>
      <c r="T36" s="143"/>
      <c r="U36" s="144">
        <v>19</v>
      </c>
      <c r="V36" s="145"/>
      <c r="W36" s="22"/>
      <c r="X36" s="18"/>
      <c r="Y36" s="407"/>
      <c r="Z36" s="142" t="str">
        <f>C46</f>
        <v>Extra bewerkingen (Pluspropositie):</v>
      </c>
      <c r="AA36" s="484"/>
      <c r="AB36" s="485"/>
      <c r="AC36" s="485"/>
      <c r="AD36" s="485"/>
      <c r="AE36" s="486"/>
      <c r="AF36" s="487"/>
      <c r="AG36" s="488"/>
      <c r="AH36" s="485"/>
      <c r="AI36" s="485"/>
      <c r="AJ36" s="485"/>
      <c r="AK36" s="489"/>
      <c r="AL36" s="490"/>
      <c r="AM36" s="408"/>
      <c r="AN36" s="27"/>
    </row>
    <row r="37" spans="2:40" ht="32.5" customHeight="1" x14ac:dyDescent="0.45">
      <c r="B37" s="18"/>
      <c r="C37" s="254" t="s">
        <v>41</v>
      </c>
      <c r="D37" s="393"/>
      <c r="E37" s="242"/>
      <c r="F37" s="242"/>
      <c r="G37" s="242"/>
      <c r="H37" s="316"/>
      <c r="I37" s="316"/>
      <c r="J37" s="393"/>
      <c r="K37" s="393"/>
      <c r="L37" s="393"/>
      <c r="M37" s="393"/>
      <c r="N37" s="242"/>
      <c r="O37" s="791" t="s">
        <v>42</v>
      </c>
      <c r="P37" s="796"/>
      <c r="Q37" s="793"/>
      <c r="R37" s="251"/>
      <c r="S37" s="146"/>
      <c r="T37" s="13"/>
      <c r="U37" s="221" t="s">
        <v>43</v>
      </c>
      <c r="V37" s="147"/>
      <c r="W37" s="22"/>
      <c r="X37" s="18"/>
      <c r="Y37" s="407"/>
      <c r="Z37" s="234"/>
      <c r="AA37" s="491"/>
      <c r="AB37" s="492"/>
      <c r="AC37" s="492"/>
      <c r="AD37" s="492"/>
      <c r="AE37" s="493"/>
      <c r="AF37" s="494"/>
      <c r="AG37" s="495"/>
      <c r="AH37" s="492"/>
      <c r="AI37" s="492"/>
      <c r="AJ37" s="492"/>
      <c r="AK37" s="493"/>
      <c r="AL37" s="442"/>
      <c r="AM37" s="408"/>
      <c r="AN37" s="27"/>
    </row>
    <row r="38" spans="2:40" x14ac:dyDescent="0.45">
      <c r="B38" s="18"/>
      <c r="C38" s="149">
        <v>1</v>
      </c>
      <c r="D38" s="241"/>
      <c r="E38" s="242"/>
      <c r="F38" s="242"/>
      <c r="G38" s="242"/>
      <c r="H38" s="241"/>
      <c r="I38" s="241"/>
      <c r="J38" s="241"/>
      <c r="K38" s="241"/>
      <c r="L38" s="241"/>
      <c r="M38" s="241"/>
      <c r="N38" s="241"/>
      <c r="O38" s="130"/>
      <c r="P38" s="496">
        <v>0</v>
      </c>
      <c r="Q38" s="134"/>
      <c r="R38" s="251"/>
      <c r="S38" s="130"/>
      <c r="T38" s="251"/>
      <c r="U38" s="496">
        <v>0</v>
      </c>
      <c r="V38" s="134"/>
      <c r="W38" s="22"/>
      <c r="X38" s="18"/>
      <c r="Y38" s="407"/>
      <c r="Z38" s="150" t="str">
        <f>C48</f>
        <v>Meehechten extra katern / insert / outsert</v>
      </c>
      <c r="AA38" s="491"/>
      <c r="AB38" s="492"/>
      <c r="AC38" s="497"/>
      <c r="AD38" s="497">
        <f>D48*P48</f>
        <v>0</v>
      </c>
      <c r="AE38" s="498">
        <f>AD38</f>
        <v>0</v>
      </c>
      <c r="AF38" s="499"/>
      <c r="AG38" s="500"/>
      <c r="AH38" s="501"/>
      <c r="AI38" s="502"/>
      <c r="AJ38" s="502">
        <f>(E48/10000)*U48*D48</f>
        <v>0</v>
      </c>
      <c r="AK38" s="503">
        <f>AJ38</f>
        <v>0</v>
      </c>
      <c r="AL38" s="442">
        <f>AE38+AK38</f>
        <v>0</v>
      </c>
      <c r="AM38" s="408"/>
      <c r="AN38" s="27"/>
    </row>
    <row r="39" spans="2:40" x14ac:dyDescent="0.45">
      <c r="B39" s="18"/>
      <c r="C39" s="151">
        <v>2</v>
      </c>
      <c r="D39" s="241"/>
      <c r="E39" s="242"/>
      <c r="F39" s="242"/>
      <c r="G39" s="242"/>
      <c r="H39" s="241"/>
      <c r="I39" s="241"/>
      <c r="J39" s="241"/>
      <c r="K39" s="241"/>
      <c r="L39" s="241"/>
      <c r="M39" s="393"/>
      <c r="N39" s="242"/>
      <c r="O39" s="130"/>
      <c r="P39" s="496">
        <v>0</v>
      </c>
      <c r="Q39" s="134"/>
      <c r="R39" s="251"/>
      <c r="S39" s="130"/>
      <c r="T39" s="251"/>
      <c r="U39" s="496">
        <v>0</v>
      </c>
      <c r="V39" s="134"/>
      <c r="W39" s="22"/>
      <c r="X39" s="18"/>
      <c r="Y39" s="407"/>
      <c r="Z39" s="148" t="str">
        <f>C49</f>
        <v>Meehechten via plano oplegstation (outsert)</v>
      </c>
      <c r="AA39" s="504"/>
      <c r="AB39" s="505"/>
      <c r="AC39" s="506"/>
      <c r="AD39" s="506">
        <f>$D49*$P49</f>
        <v>0</v>
      </c>
      <c r="AE39" s="507">
        <f>AD39</f>
        <v>0</v>
      </c>
      <c r="AF39" s="508"/>
      <c r="AG39" s="509"/>
      <c r="AH39" s="510"/>
      <c r="AI39" s="511"/>
      <c r="AJ39" s="502">
        <f>(E49/10000)*U49*D49</f>
        <v>0</v>
      </c>
      <c r="AK39" s="512">
        <f>AJ39</f>
        <v>0</v>
      </c>
      <c r="AL39" s="442">
        <f>AE39+AK39</f>
        <v>0</v>
      </c>
      <c r="AM39" s="408"/>
      <c r="AN39" s="27"/>
    </row>
    <row r="40" spans="2:40" x14ac:dyDescent="0.45">
      <c r="B40" s="18"/>
      <c r="C40" s="149">
        <v>3</v>
      </c>
      <c r="D40" s="241"/>
      <c r="E40" s="242"/>
      <c r="F40" s="242"/>
      <c r="G40" s="242"/>
      <c r="H40" s="241"/>
      <c r="I40" s="241"/>
      <c r="J40" s="241"/>
      <c r="K40" s="241"/>
      <c r="L40" s="241"/>
      <c r="M40" s="393"/>
      <c r="N40" s="242"/>
      <c r="O40" s="130"/>
      <c r="P40" s="496">
        <v>0</v>
      </c>
      <c r="Q40" s="134"/>
      <c r="R40" s="251"/>
      <c r="S40" s="130"/>
      <c r="T40" s="251"/>
      <c r="U40" s="496">
        <v>0</v>
      </c>
      <c r="V40" s="134"/>
      <c r="W40" s="22"/>
      <c r="X40" s="18"/>
      <c r="Y40" s="407"/>
      <c r="Z40" s="150" t="str">
        <f>C50</f>
        <v>Plakkaart (op katernscheiding)</v>
      </c>
      <c r="AA40" s="504"/>
      <c r="AB40" s="505"/>
      <c r="AC40" s="506"/>
      <c r="AD40" s="506">
        <f>$D50*$P50</f>
        <v>0</v>
      </c>
      <c r="AE40" s="507">
        <f>AD40</f>
        <v>0</v>
      </c>
      <c r="AF40" s="508"/>
      <c r="AG40" s="509"/>
      <c r="AH40" s="510"/>
      <c r="AI40" s="511"/>
      <c r="AJ40" s="502">
        <f>(E50/10000)*U50*D50</f>
        <v>0</v>
      </c>
      <c r="AK40" s="512">
        <f>AJ40</f>
        <v>0</v>
      </c>
      <c r="AL40" s="442">
        <f>AE40+AK40</f>
        <v>0</v>
      </c>
      <c r="AM40" s="408"/>
      <c r="AN40" s="27"/>
    </row>
    <row r="41" spans="2:40" x14ac:dyDescent="0.45">
      <c r="B41" s="18"/>
      <c r="C41" s="151">
        <v>4</v>
      </c>
      <c r="D41" s="241"/>
      <c r="E41" s="242"/>
      <c r="F41" s="242"/>
      <c r="G41" s="242"/>
      <c r="H41" s="241"/>
      <c r="I41" s="241"/>
      <c r="J41" s="241"/>
      <c r="K41" s="241"/>
      <c r="L41" s="241"/>
      <c r="M41" s="393"/>
      <c r="N41" s="242"/>
      <c r="O41" s="130"/>
      <c r="P41" s="496">
        <v>0</v>
      </c>
      <c r="Q41" s="134"/>
      <c r="R41" s="251"/>
      <c r="S41" s="130"/>
      <c r="T41" s="251"/>
      <c r="U41" s="496">
        <v>0</v>
      </c>
      <c r="V41" s="134"/>
      <c r="W41" s="22"/>
      <c r="X41" s="18"/>
      <c r="Y41" s="407"/>
      <c r="Z41" s="148" t="str">
        <f>C51</f>
        <v xml:space="preserve">Insteekkaart, kaart los insteken tijdens hechten (willekeurig) </v>
      </c>
      <c r="AA41" s="513"/>
      <c r="AB41" s="505"/>
      <c r="AC41" s="506"/>
      <c r="AD41" s="506">
        <f>$D51*$P51</f>
        <v>0</v>
      </c>
      <c r="AE41" s="507">
        <f>AD41</f>
        <v>0</v>
      </c>
      <c r="AF41" s="508"/>
      <c r="AG41" s="509"/>
      <c r="AH41" s="510"/>
      <c r="AI41" s="511"/>
      <c r="AJ41" s="502">
        <f>(E51/10000)*U51*D51</f>
        <v>0</v>
      </c>
      <c r="AK41" s="512">
        <f>AJ41</f>
        <v>0</v>
      </c>
      <c r="AL41" s="442">
        <f>AE41+AK41</f>
        <v>0</v>
      </c>
      <c r="AM41" s="408"/>
      <c r="AN41" s="27"/>
    </row>
    <row r="42" spans="2:40" ht="17" thickBot="1" x14ac:dyDescent="0.5">
      <c r="B42" s="18"/>
      <c r="C42" s="149">
        <v>5</v>
      </c>
      <c r="D42" s="241"/>
      <c r="E42" s="242"/>
      <c r="F42" s="242"/>
      <c r="G42" s="242"/>
      <c r="H42" s="241"/>
      <c r="I42" s="241"/>
      <c r="J42" s="241"/>
      <c r="K42" s="241"/>
      <c r="L42" s="241"/>
      <c r="M42" s="393"/>
      <c r="N42" s="242"/>
      <c r="O42" s="130"/>
      <c r="P42" s="496">
        <v>0</v>
      </c>
      <c r="Q42" s="134"/>
      <c r="R42" s="251"/>
      <c r="S42" s="130"/>
      <c r="T42" s="251"/>
      <c r="U42" s="496">
        <v>0</v>
      </c>
      <c r="V42" s="134"/>
      <c r="W42" s="22"/>
      <c r="X42" s="18"/>
      <c r="Y42" s="407"/>
      <c r="Z42" s="242"/>
      <c r="AA42" s="514"/>
      <c r="AB42" s="515"/>
      <c r="AC42" s="515"/>
      <c r="AD42" s="516"/>
      <c r="AE42" s="517"/>
      <c r="AF42" s="499"/>
      <c r="AG42" s="518"/>
      <c r="AH42" s="519"/>
      <c r="AI42" s="519"/>
      <c r="AJ42" s="519"/>
      <c r="AK42" s="517"/>
      <c r="AL42" s="442"/>
      <c r="AM42" s="408"/>
      <c r="AN42" s="27"/>
    </row>
    <row r="43" spans="2:40" ht="20.5" customHeight="1" x14ac:dyDescent="0.45">
      <c r="B43" s="18"/>
      <c r="C43" s="149">
        <v>6</v>
      </c>
      <c r="D43" s="241"/>
      <c r="E43" s="242"/>
      <c r="F43" s="242"/>
      <c r="G43" s="242"/>
      <c r="H43" s="241"/>
      <c r="I43" s="241"/>
      <c r="J43" s="241"/>
      <c r="K43" s="241"/>
      <c r="L43" s="241"/>
      <c r="M43" s="393"/>
      <c r="N43" s="242"/>
      <c r="O43" s="130"/>
      <c r="P43" s="496">
        <v>0</v>
      </c>
      <c r="Q43" s="134"/>
      <c r="R43" s="251"/>
      <c r="S43" s="130"/>
      <c r="T43" s="251"/>
      <c r="U43" s="496">
        <v>0</v>
      </c>
      <c r="V43" s="134"/>
      <c r="W43" s="22"/>
      <c r="X43" s="18"/>
      <c r="Y43" s="407"/>
      <c r="Z43" s="142" t="s">
        <v>84</v>
      </c>
      <c r="AA43" s="520"/>
      <c r="AB43" s="521"/>
      <c r="AC43" s="521"/>
      <c r="AD43" s="522"/>
      <c r="AE43" s="523"/>
      <c r="AF43" s="499"/>
      <c r="AG43" s="524"/>
      <c r="AH43" s="525"/>
      <c r="AI43" s="525"/>
      <c r="AJ43" s="525"/>
      <c r="AK43" s="525"/>
      <c r="AL43" s="442"/>
      <c r="AM43" s="408"/>
      <c r="AN43" s="27"/>
    </row>
    <row r="44" spans="2:40" ht="17" thickBot="1" x14ac:dyDescent="0.5">
      <c r="B44" s="18"/>
      <c r="C44" s="157">
        <v>7</v>
      </c>
      <c r="D44" s="158"/>
      <c r="E44" s="158"/>
      <c r="F44" s="158"/>
      <c r="G44" s="158"/>
      <c r="H44" s="158"/>
      <c r="I44" s="158"/>
      <c r="J44" s="158"/>
      <c r="K44" s="158"/>
      <c r="L44" s="158"/>
      <c r="M44" s="159"/>
      <c r="N44" s="158"/>
      <c r="O44" s="160"/>
      <c r="P44" s="526">
        <v>0</v>
      </c>
      <c r="Q44" s="161"/>
      <c r="R44" s="158"/>
      <c r="S44" s="160"/>
      <c r="T44" s="162"/>
      <c r="U44" s="527">
        <v>0</v>
      </c>
      <c r="V44" s="163"/>
      <c r="W44" s="22"/>
      <c r="X44" s="18"/>
      <c r="Y44" s="407"/>
      <c r="Z44" s="152" t="s">
        <v>85</v>
      </c>
      <c r="AA44" s="513"/>
      <c r="AB44" s="505"/>
      <c r="AC44" s="506"/>
      <c r="AD44" s="506">
        <f>$D53*$P53</f>
        <v>0</v>
      </c>
      <c r="AE44" s="507">
        <f>AD44</f>
        <v>0</v>
      </c>
      <c r="AF44" s="508"/>
      <c r="AG44" s="509"/>
      <c r="AH44" s="510"/>
      <c r="AI44" s="511"/>
      <c r="AJ44" s="528">
        <f>(E51/10000)*U53*D53</f>
        <v>0</v>
      </c>
      <c r="AK44" s="512">
        <f>AJ44</f>
        <v>0</v>
      </c>
      <c r="AL44" s="442">
        <f>AE44+AK44</f>
        <v>0</v>
      </c>
      <c r="AM44" s="408"/>
      <c r="AN44" s="27"/>
    </row>
    <row r="45" spans="2:40" ht="10" customHeight="1" thickBot="1" x14ac:dyDescent="0.5">
      <c r="B45" s="18"/>
      <c r="C45" s="164"/>
      <c r="D45" s="241"/>
      <c r="E45" s="242"/>
      <c r="F45" s="242"/>
      <c r="G45" s="242"/>
      <c r="H45" s="241"/>
      <c r="I45" s="241"/>
      <c r="J45" s="241"/>
      <c r="K45" s="241"/>
      <c r="L45" s="241"/>
      <c r="M45" s="393"/>
      <c r="N45" s="242"/>
      <c r="O45" s="130"/>
      <c r="P45" s="251"/>
      <c r="Q45" s="134"/>
      <c r="R45" s="242"/>
      <c r="S45" s="130"/>
      <c r="T45" s="251"/>
      <c r="U45" s="251"/>
      <c r="V45" s="132"/>
      <c r="W45" s="22"/>
      <c r="X45" s="18"/>
      <c r="Y45" s="407"/>
      <c r="Z45" s="242"/>
      <c r="AA45" s="514"/>
      <c r="AB45" s="515"/>
      <c r="AC45" s="515"/>
      <c r="AD45" s="516"/>
      <c r="AE45" s="517"/>
      <c r="AF45" s="499"/>
      <c r="AG45" s="518"/>
      <c r="AH45" s="516"/>
      <c r="AI45" s="516"/>
      <c r="AJ45" s="516"/>
      <c r="AK45" s="516"/>
      <c r="AL45" s="442"/>
      <c r="AM45" s="408"/>
      <c r="AN45" s="27"/>
    </row>
    <row r="46" spans="2:40" ht="35.5" customHeight="1" x14ac:dyDescent="0.45">
      <c r="B46" s="18"/>
      <c r="C46" s="142" t="s">
        <v>45</v>
      </c>
      <c r="D46" s="217" t="s">
        <v>19</v>
      </c>
      <c r="E46" s="217" t="s">
        <v>83</v>
      </c>
      <c r="F46" s="217"/>
      <c r="G46" s="217"/>
      <c r="H46" s="217"/>
      <c r="I46" s="217"/>
      <c r="J46" s="217"/>
      <c r="K46" s="217"/>
      <c r="L46" s="217"/>
      <c r="M46" s="217"/>
      <c r="N46" s="217"/>
      <c r="O46" s="782" t="s">
        <v>129</v>
      </c>
      <c r="P46" s="782"/>
      <c r="Q46" s="783"/>
      <c r="R46" s="217"/>
      <c r="S46" s="218"/>
      <c r="T46" s="217"/>
      <c r="U46" s="219" t="s">
        <v>46</v>
      </c>
      <c r="V46" s="220"/>
      <c r="W46" s="22"/>
      <c r="X46" s="18"/>
      <c r="Y46" s="407"/>
      <c r="Z46" s="142" t="s">
        <v>86</v>
      </c>
      <c r="AA46" s="529"/>
      <c r="AB46" s="505"/>
      <c r="AC46" s="506"/>
      <c r="AD46" s="506"/>
      <c r="AE46" s="507"/>
      <c r="AF46" s="508"/>
      <c r="AG46" s="509"/>
      <c r="AH46" s="510"/>
      <c r="AI46" s="511"/>
      <c r="AJ46" s="528"/>
      <c r="AK46" s="512"/>
      <c r="AL46" s="442"/>
      <c r="AM46" s="408"/>
      <c r="AN46" s="27"/>
    </row>
    <row r="47" spans="2:40" ht="18" customHeight="1" thickBot="1" x14ac:dyDescent="0.5">
      <c r="B47" s="240"/>
      <c r="C47" s="235" t="s">
        <v>80</v>
      </c>
      <c r="D47" s="166">
        <v>45</v>
      </c>
      <c r="E47" s="243">
        <f>D8</f>
        <v>103400</v>
      </c>
      <c r="F47" s="530" t="s">
        <v>214</v>
      </c>
      <c r="G47" s="242"/>
      <c r="H47" s="241"/>
      <c r="I47" s="241"/>
      <c r="J47" s="241"/>
      <c r="K47" s="241"/>
      <c r="L47" s="241"/>
      <c r="M47" s="393"/>
      <c r="N47" s="241"/>
      <c r="O47" s="130"/>
      <c r="P47" s="531"/>
      <c r="Q47" s="134"/>
      <c r="R47" s="251"/>
      <c r="S47" s="130"/>
      <c r="T47" s="251"/>
      <c r="U47" s="531"/>
      <c r="V47" s="167"/>
      <c r="W47" s="22"/>
      <c r="X47" s="18"/>
      <c r="Y47" s="408"/>
      <c r="Z47" s="233" t="str">
        <f>C55</f>
        <v>Transportkosten (1 adres in Nederland)</v>
      </c>
      <c r="AA47" s="532"/>
      <c r="AB47" s="533"/>
      <c r="AC47" s="534"/>
      <c r="AD47" s="534">
        <f>$D55*$P55</f>
        <v>0</v>
      </c>
      <c r="AE47" s="535">
        <f>AD47</f>
        <v>0</v>
      </c>
      <c r="AF47" s="536"/>
      <c r="AG47" s="537"/>
      <c r="AH47" s="538"/>
      <c r="AI47" s="539"/>
      <c r="AJ47" s="540">
        <f>(E55/10000)*U55</f>
        <v>0</v>
      </c>
      <c r="AK47" s="541">
        <f>AJ47</f>
        <v>0</v>
      </c>
      <c r="AL47" s="542">
        <f>AE47+AK47</f>
        <v>0</v>
      </c>
      <c r="AM47" s="408"/>
      <c r="AN47" s="27"/>
    </row>
    <row r="48" spans="2:40" ht="16.5" customHeight="1" thickBot="1" x14ac:dyDescent="0.55000000000000004">
      <c r="B48" s="18"/>
      <c r="C48" s="235" t="s">
        <v>47</v>
      </c>
      <c r="D48" s="166">
        <v>13</v>
      </c>
      <c r="E48" s="243">
        <f>D8</f>
        <v>103400</v>
      </c>
      <c r="F48" s="242"/>
      <c r="G48" s="242"/>
      <c r="H48" s="241"/>
      <c r="I48" s="241"/>
      <c r="J48" s="241"/>
      <c r="K48" s="241"/>
      <c r="L48" s="241"/>
      <c r="M48" s="393"/>
      <c r="N48" s="241"/>
      <c r="O48" s="130"/>
      <c r="P48" s="543">
        <v>0</v>
      </c>
      <c r="Q48" s="134"/>
      <c r="R48" s="251"/>
      <c r="S48" s="130"/>
      <c r="T48" s="251"/>
      <c r="U48" s="543">
        <v>0</v>
      </c>
      <c r="V48" s="167"/>
      <c r="W48" s="22"/>
      <c r="X48" s="18"/>
      <c r="Y48" s="408"/>
      <c r="Z48" s="544"/>
      <c r="AA48" s="291"/>
      <c r="AB48" s="545"/>
      <c r="AC48" s="350"/>
      <c r="AD48" s="351"/>
      <c r="AE48" s="352"/>
      <c r="AF48" s="546"/>
      <c r="AG48" s="546"/>
      <c r="AH48" s="547"/>
      <c r="AI48" s="548"/>
      <c r="AJ48" s="548"/>
      <c r="AK48" s="356"/>
      <c r="AL48" s="357"/>
      <c r="AM48" s="408"/>
      <c r="AN48" s="27"/>
    </row>
    <row r="49" spans="1:40" ht="16.5" customHeight="1" x14ac:dyDescent="0.45">
      <c r="B49" s="18"/>
      <c r="C49" s="168" t="s">
        <v>48</v>
      </c>
      <c r="D49" s="166">
        <v>0</v>
      </c>
      <c r="E49" s="243">
        <v>0</v>
      </c>
      <c r="F49" s="242"/>
      <c r="G49" s="242"/>
      <c r="H49" s="241"/>
      <c r="I49" s="241"/>
      <c r="J49" s="241"/>
      <c r="K49" s="241"/>
      <c r="L49" s="241"/>
      <c r="M49" s="393"/>
      <c r="N49" s="241"/>
      <c r="O49" s="130"/>
      <c r="P49" s="543">
        <v>0</v>
      </c>
      <c r="Q49" s="134"/>
      <c r="R49" s="251"/>
      <c r="S49" s="130"/>
      <c r="T49" s="251"/>
      <c r="U49" s="543">
        <v>0</v>
      </c>
      <c r="V49" s="167"/>
      <c r="W49" s="22"/>
      <c r="X49" s="18"/>
      <c r="Y49" s="408"/>
      <c r="Z49" s="142" t="s">
        <v>122</v>
      </c>
      <c r="AA49" s="15"/>
      <c r="AB49" s="319"/>
      <c r="AC49" s="319"/>
      <c r="AD49" s="319"/>
      <c r="AE49" s="319"/>
      <c r="AF49" s="10"/>
      <c r="AG49" s="16"/>
      <c r="AH49" s="319"/>
      <c r="AI49" s="319"/>
      <c r="AJ49" s="319"/>
      <c r="AK49" s="319"/>
      <c r="AL49" s="329"/>
      <c r="AM49" s="408"/>
      <c r="AN49" s="27"/>
    </row>
    <row r="50" spans="1:40" ht="16.5" customHeight="1" x14ac:dyDescent="0.45">
      <c r="B50" s="18"/>
      <c r="C50" s="168" t="s">
        <v>49</v>
      </c>
      <c r="D50" s="166">
        <v>2</v>
      </c>
      <c r="E50" s="243">
        <f>D8</f>
        <v>103400</v>
      </c>
      <c r="F50" s="242"/>
      <c r="G50" s="242"/>
      <c r="H50" s="241"/>
      <c r="I50" s="241"/>
      <c r="J50" s="241"/>
      <c r="K50" s="241"/>
      <c r="L50" s="241"/>
      <c r="M50" s="393"/>
      <c r="N50" s="241"/>
      <c r="O50" s="130"/>
      <c r="P50" s="543">
        <v>0</v>
      </c>
      <c r="Q50" s="134"/>
      <c r="R50" s="251"/>
      <c r="S50" s="130"/>
      <c r="T50" s="251"/>
      <c r="U50" s="543">
        <v>0</v>
      </c>
      <c r="V50" s="167"/>
      <c r="W50" s="22"/>
      <c r="X50" s="18"/>
      <c r="Y50" s="408"/>
      <c r="Z50" s="18"/>
      <c r="AA50" s="165"/>
      <c r="AB50" s="320"/>
      <c r="AC50" s="324"/>
      <c r="AD50" s="324"/>
      <c r="AE50" s="320"/>
      <c r="AF50" s="308"/>
      <c r="AG50" s="165"/>
      <c r="AH50" s="320"/>
      <c r="AI50" s="320"/>
      <c r="AJ50" s="320"/>
      <c r="AK50" s="318"/>
      <c r="AL50" s="330"/>
      <c r="AM50" s="408"/>
      <c r="AN50" s="27"/>
    </row>
    <row r="51" spans="1:40" ht="16.5" customHeight="1" thickBot="1" x14ac:dyDescent="0.5">
      <c r="B51" s="18"/>
      <c r="C51" s="168" t="s">
        <v>50</v>
      </c>
      <c r="D51" s="166">
        <v>0</v>
      </c>
      <c r="E51" s="243">
        <v>0</v>
      </c>
      <c r="F51" s="549" t="s">
        <v>147</v>
      </c>
      <c r="G51" s="242"/>
      <c r="H51" s="241"/>
      <c r="I51" s="241"/>
      <c r="J51" s="241"/>
      <c r="K51" s="241"/>
      <c r="L51" s="241"/>
      <c r="M51" s="393"/>
      <c r="N51" s="241"/>
      <c r="O51" s="130"/>
      <c r="P51" s="543">
        <v>0</v>
      </c>
      <c r="Q51" s="134"/>
      <c r="R51" s="251"/>
      <c r="S51" s="130"/>
      <c r="T51" s="251"/>
      <c r="U51" s="543">
        <v>0</v>
      </c>
      <c r="V51" s="167"/>
      <c r="W51" s="22"/>
      <c r="X51" s="18"/>
      <c r="Y51" s="408"/>
      <c r="Z51" s="309" t="s">
        <v>123</v>
      </c>
      <c r="AA51" s="310"/>
      <c r="AB51" s="321"/>
      <c r="AC51" s="325"/>
      <c r="AD51" s="325"/>
      <c r="AE51" s="321"/>
      <c r="AF51" s="311"/>
      <c r="AG51" s="310"/>
      <c r="AH51" s="321"/>
      <c r="AI51" s="321"/>
      <c r="AJ51" s="321"/>
      <c r="AK51" s="321"/>
      <c r="AL51" s="328">
        <f>$K$88</f>
        <v>0</v>
      </c>
      <c r="AM51" s="408"/>
      <c r="AN51" s="27"/>
    </row>
    <row r="52" spans="1:40" ht="16.5" customHeight="1" thickBot="1" x14ac:dyDescent="0.5">
      <c r="B52" s="18"/>
      <c r="C52" s="142" t="s">
        <v>84</v>
      </c>
      <c r="D52" s="142"/>
      <c r="E52" s="142"/>
      <c r="F52" s="338"/>
      <c r="G52" s="338"/>
      <c r="H52" s="338"/>
      <c r="I52" s="338"/>
      <c r="J52" s="338"/>
      <c r="K52" s="338"/>
      <c r="L52" s="338"/>
      <c r="M52" s="338"/>
      <c r="N52" s="338"/>
      <c r="O52" s="338"/>
      <c r="P52" s="367"/>
      <c r="Q52" s="338"/>
      <c r="R52" s="338"/>
      <c r="S52" s="338"/>
      <c r="T52" s="338"/>
      <c r="U52" s="367"/>
      <c r="V52" s="339"/>
      <c r="W52" s="22"/>
      <c r="X52" s="18"/>
      <c r="Y52" s="408"/>
      <c r="Z52" s="312" t="s">
        <v>124</v>
      </c>
      <c r="AA52" s="176"/>
      <c r="AB52" s="322"/>
      <c r="AC52" s="326"/>
      <c r="AD52" s="326"/>
      <c r="AE52" s="322"/>
      <c r="AF52" s="178"/>
      <c r="AG52" s="176"/>
      <c r="AH52" s="322"/>
      <c r="AI52" s="322"/>
      <c r="AJ52" s="322"/>
      <c r="AK52" s="322"/>
      <c r="AL52" s="328">
        <f>$K$95</f>
        <v>0</v>
      </c>
      <c r="AM52" s="408"/>
      <c r="AN52" s="27"/>
    </row>
    <row r="53" spans="1:40" ht="16.5" customHeight="1" thickBot="1" x14ac:dyDescent="0.5">
      <c r="B53" s="18"/>
      <c r="C53" s="245" t="s">
        <v>85</v>
      </c>
      <c r="D53" s="166">
        <v>45</v>
      </c>
      <c r="E53" s="243">
        <v>0</v>
      </c>
      <c r="F53" s="340"/>
      <c r="G53" s="340"/>
      <c r="H53" s="341"/>
      <c r="I53" s="341"/>
      <c r="J53" s="341"/>
      <c r="K53" s="341"/>
      <c r="L53" s="341"/>
      <c r="M53" s="342"/>
      <c r="N53" s="341"/>
      <c r="O53" s="343"/>
      <c r="P53" s="543">
        <v>0</v>
      </c>
      <c r="Q53" s="344"/>
      <c r="R53" s="345"/>
      <c r="S53" s="343"/>
      <c r="T53" s="345"/>
      <c r="U53" s="550">
        <v>0</v>
      </c>
      <c r="V53" s="344"/>
      <c r="W53" s="22"/>
      <c r="X53" s="18"/>
      <c r="Y53" s="408"/>
      <c r="Z53" s="551"/>
      <c r="AA53" s="291"/>
      <c r="AB53" s="545"/>
      <c r="AC53" s="545"/>
      <c r="AD53" s="545"/>
      <c r="AE53" s="545"/>
      <c r="AF53" s="291"/>
      <c r="AG53" s="291"/>
      <c r="AH53" s="545"/>
      <c r="AI53" s="545"/>
      <c r="AJ53" s="545"/>
      <c r="AK53" s="545"/>
      <c r="AL53" s="552"/>
      <c r="AM53" s="408"/>
      <c r="AN53" s="27"/>
    </row>
    <row r="54" spans="1:40" ht="16.5" customHeight="1" x14ac:dyDescent="0.45">
      <c r="B54" s="18"/>
      <c r="C54" s="142" t="s">
        <v>86</v>
      </c>
      <c r="D54" s="142"/>
      <c r="E54" s="142"/>
      <c r="F54" s="338"/>
      <c r="G54" s="338"/>
      <c r="H54" s="338"/>
      <c r="I54" s="338"/>
      <c r="J54" s="338"/>
      <c r="K54" s="338"/>
      <c r="L54" s="338"/>
      <c r="M54" s="338"/>
      <c r="N54" s="338"/>
      <c r="O54" s="338"/>
      <c r="P54" s="367"/>
      <c r="Q54" s="338"/>
      <c r="R54" s="338"/>
      <c r="S54" s="338"/>
      <c r="T54" s="338"/>
      <c r="U54" s="367"/>
      <c r="V54" s="339"/>
      <c r="W54" s="22"/>
      <c r="X54" s="18"/>
      <c r="Y54" s="408"/>
      <c r="Z54" s="553" t="s">
        <v>44</v>
      </c>
      <c r="AA54" s="154" t="str">
        <f>SUM(AA20:AA47)&amp;" KG"</f>
        <v>0 KG</v>
      </c>
      <c r="AB54" s="323">
        <f>SUM(AB20:AB47)</f>
        <v>0</v>
      </c>
      <c r="AC54" s="323">
        <f>SUM(AC20:AC47)</f>
        <v>0</v>
      </c>
      <c r="AD54" s="323">
        <f>SUM(AD20:AD47)</f>
        <v>0</v>
      </c>
      <c r="AE54" s="323">
        <f>SUM(AB54:AD54)</f>
        <v>0</v>
      </c>
      <c r="AF54" s="155"/>
      <c r="AG54" s="156" t="str">
        <f>SUM(AG20:AG47)&amp;" KG"</f>
        <v>0 KG</v>
      </c>
      <c r="AH54" s="323">
        <f>SUM(AH20:AH47)</f>
        <v>0</v>
      </c>
      <c r="AI54" s="323">
        <f>SUM(AI20:AI47)</f>
        <v>0</v>
      </c>
      <c r="AJ54" s="323">
        <f>SUM(AJ20:AJ47)</f>
        <v>0</v>
      </c>
      <c r="AK54" s="323">
        <f>SUM(AH54:AJ54)</f>
        <v>0</v>
      </c>
      <c r="AL54" s="323">
        <f>SUM(AL20:AL52)</f>
        <v>0</v>
      </c>
      <c r="AM54" s="695">
        <f>IF(AL54&gt;0,1,0)</f>
        <v>0</v>
      </c>
      <c r="AN54" s="27"/>
    </row>
    <row r="55" spans="1:40" ht="16.5" customHeight="1" thickBot="1" x14ac:dyDescent="0.5">
      <c r="B55" s="18"/>
      <c r="C55" s="246" t="s">
        <v>51</v>
      </c>
      <c r="D55" s="169">
        <v>45</v>
      </c>
      <c r="E55" s="244">
        <v>0</v>
      </c>
      <c r="F55" s="733" t="s">
        <v>227</v>
      </c>
      <c r="G55" s="170"/>
      <c r="H55" s="58"/>
      <c r="I55" s="58"/>
      <c r="J55" s="58"/>
      <c r="K55" s="58"/>
      <c r="L55" s="58"/>
      <c r="M55" s="171"/>
      <c r="N55" s="172"/>
      <c r="O55" s="173"/>
      <c r="P55" s="734">
        <v>0</v>
      </c>
      <c r="Q55" s="141"/>
      <c r="R55" s="394"/>
      <c r="S55" s="173"/>
      <c r="T55" s="59"/>
      <c r="U55" s="734">
        <v>0</v>
      </c>
      <c r="V55" s="141"/>
      <c r="W55" s="22"/>
      <c r="X55" s="18"/>
      <c r="Y55" s="408"/>
      <c r="Z55" s="408"/>
      <c r="AA55" s="408"/>
      <c r="AB55" s="408"/>
      <c r="AC55" s="408"/>
      <c r="AD55" s="408"/>
      <c r="AE55" s="408"/>
      <c r="AF55" s="408"/>
      <c r="AG55" s="408"/>
      <c r="AH55" s="408"/>
      <c r="AI55" s="408"/>
      <c r="AJ55" s="408"/>
      <c r="AK55" s="408"/>
      <c r="AL55" s="408"/>
      <c r="AM55" s="408"/>
      <c r="AN55" s="27"/>
    </row>
    <row r="56" spans="1:40" ht="22.5" customHeight="1" thickBot="1" x14ac:dyDescent="0.5">
      <c r="A56" s="1"/>
      <c r="B56" s="174"/>
      <c r="C56" s="239"/>
      <c r="D56" s="158" t="s">
        <v>2</v>
      </c>
      <c r="E56" s="170"/>
      <c r="F56" s="170"/>
      <c r="G56" s="170"/>
      <c r="H56" s="158" t="s">
        <v>2</v>
      </c>
      <c r="I56" s="158" t="s">
        <v>2</v>
      </c>
      <c r="J56" s="158"/>
      <c r="K56" s="158"/>
      <c r="L56" s="158"/>
      <c r="M56" s="159" t="s">
        <v>2</v>
      </c>
      <c r="N56" s="170"/>
      <c r="O56" s="162"/>
      <c r="P56" s="162"/>
      <c r="Q56" s="162"/>
      <c r="R56" s="170"/>
      <c r="S56" s="162"/>
      <c r="T56" s="162"/>
      <c r="U56" s="162"/>
      <c r="V56" s="162"/>
      <c r="W56" s="175"/>
      <c r="X56" s="174"/>
      <c r="Y56" s="170"/>
      <c r="Z56" s="170"/>
      <c r="AA56" s="176"/>
      <c r="AB56" s="176"/>
      <c r="AC56" s="177"/>
      <c r="AD56" s="177"/>
      <c r="AE56" s="176"/>
      <c r="AF56" s="178"/>
      <c r="AG56" s="176"/>
      <c r="AH56" s="176"/>
      <c r="AI56" s="176"/>
      <c r="AJ56" s="176"/>
      <c r="AK56" s="179"/>
      <c r="AL56" s="179"/>
      <c r="AM56" s="158"/>
      <c r="AN56" s="161"/>
    </row>
    <row r="57" spans="1:40" ht="18" customHeight="1" x14ac:dyDescent="0.45"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28" hidden="1" x14ac:dyDescent="0.45">
      <c r="H58" s="180" t="s">
        <v>52</v>
      </c>
      <c r="I58" s="180" t="s">
        <v>53</v>
      </c>
      <c r="J58" s="180" t="s">
        <v>54</v>
      </c>
      <c r="K58" s="180" t="s">
        <v>55</v>
      </c>
      <c r="L58" s="180" t="s">
        <v>56</v>
      </c>
      <c r="M58" s="181" t="s">
        <v>57</v>
      </c>
      <c r="P58" s="6" t="s">
        <v>58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idden="1" x14ac:dyDescent="0.45">
      <c r="C59" s="2" t="s">
        <v>47</v>
      </c>
      <c r="D59" s="182">
        <v>2</v>
      </c>
      <c r="H59" s="183">
        <v>16</v>
      </c>
      <c r="I59" s="183">
        <v>12</v>
      </c>
      <c r="J59" s="183">
        <v>4</v>
      </c>
      <c r="K59" s="183">
        <v>16</v>
      </c>
      <c r="L59" s="183">
        <v>7</v>
      </c>
      <c r="M59" s="183">
        <v>8</v>
      </c>
      <c r="P59" s="6" t="s">
        <v>59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idden="1" x14ac:dyDescent="0.45">
      <c r="C60" s="2" t="s">
        <v>50</v>
      </c>
      <c r="D60" s="182">
        <v>5</v>
      </c>
      <c r="H60" s="183">
        <v>1</v>
      </c>
      <c r="I60" s="183">
        <v>0</v>
      </c>
      <c r="J60" s="183">
        <v>21</v>
      </c>
      <c r="K60" s="183">
        <v>0</v>
      </c>
      <c r="L60" s="183">
        <v>51</v>
      </c>
      <c r="M60" s="183">
        <v>26</v>
      </c>
      <c r="P60" s="6" t="s">
        <v>60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idden="1" x14ac:dyDescent="0.45">
      <c r="C61" s="2" t="s">
        <v>48</v>
      </c>
      <c r="D61" s="182">
        <v>3</v>
      </c>
      <c r="H61" s="183">
        <v>4</v>
      </c>
      <c r="I61" s="183">
        <v>4</v>
      </c>
      <c r="J61" s="183">
        <v>0</v>
      </c>
      <c r="K61" s="183">
        <v>4</v>
      </c>
      <c r="L61" s="183">
        <v>0</v>
      </c>
      <c r="M61" s="183">
        <v>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 x14ac:dyDescent="0.45">
      <c r="C62" s="2" t="s">
        <v>49</v>
      </c>
      <c r="D62" s="182">
        <v>4</v>
      </c>
      <c r="H62" s="183">
        <v>0</v>
      </c>
      <c r="I62" s="183">
        <v>0</v>
      </c>
      <c r="J62" s="183">
        <v>0</v>
      </c>
      <c r="K62" s="183">
        <v>0</v>
      </c>
      <c r="L62" s="183">
        <v>0</v>
      </c>
      <c r="M62" s="183">
        <v>4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26.5" x14ac:dyDescent="0.45">
      <c r="A63" s="255"/>
      <c r="B63" s="256"/>
      <c r="C63" s="362" t="s">
        <v>100</v>
      </c>
      <c r="D63" s="258" t="s">
        <v>101</v>
      </c>
      <c r="E63" s="258"/>
      <c r="F63" s="256"/>
      <c r="G63" s="256"/>
      <c r="H63" s="259"/>
      <c r="I63" s="256"/>
      <c r="J63" s="257" t="s">
        <v>167</v>
      </c>
      <c r="K63" s="256"/>
      <c r="L63" s="257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7" thickBot="1" x14ac:dyDescent="0.5">
      <c r="A64" s="255"/>
      <c r="B64" s="260"/>
      <c r="C64" s="260"/>
      <c r="D64" s="260"/>
      <c r="E64" s="260"/>
      <c r="F64" s="256"/>
      <c r="G64" s="256"/>
      <c r="H64" s="260"/>
      <c r="I64" s="256"/>
      <c r="J64" s="260"/>
      <c r="K64" s="256"/>
      <c r="L64" s="260"/>
    </row>
    <row r="65" spans="1:12" ht="27.5" thickTop="1" thickBot="1" x14ac:dyDescent="0.5">
      <c r="A65" s="255"/>
      <c r="B65" s="256"/>
      <c r="C65" s="257" t="s">
        <v>1</v>
      </c>
      <c r="D65" s="554">
        <f>D4</f>
        <v>0</v>
      </c>
      <c r="E65" s="258"/>
      <c r="F65" s="256"/>
      <c r="G65" s="256"/>
      <c r="H65" s="259"/>
      <c r="I65" s="256"/>
      <c r="J65" s="260"/>
      <c r="K65" s="256"/>
      <c r="L65" s="260"/>
    </row>
    <row r="66" spans="1:12" ht="27" thickTop="1" x14ac:dyDescent="0.45">
      <c r="A66" s="255"/>
      <c r="B66" s="257"/>
      <c r="C66" s="258"/>
      <c r="D66" s="258"/>
      <c r="E66" s="258"/>
      <c r="F66" s="256"/>
      <c r="G66" s="256"/>
      <c r="H66" s="259"/>
      <c r="I66" s="256"/>
      <c r="J66" s="260"/>
      <c r="K66" s="256"/>
      <c r="L66" s="260"/>
    </row>
    <row r="67" spans="1:12" ht="17" thickBot="1" x14ac:dyDescent="0.5">
      <c r="A67" s="255"/>
      <c r="B67" s="261" t="s">
        <v>103</v>
      </c>
      <c r="C67" s="262" t="s">
        <v>168</v>
      </c>
      <c r="D67" s="260"/>
      <c r="E67" s="263"/>
      <c r="F67" s="256"/>
      <c r="G67" s="256"/>
      <c r="H67" s="264"/>
      <c r="I67" s="256"/>
      <c r="J67" s="260"/>
      <c r="K67" s="256"/>
      <c r="L67" s="260"/>
    </row>
    <row r="68" spans="1:12" ht="17.5" thickTop="1" thickBot="1" x14ac:dyDescent="0.5">
      <c r="A68" s="255"/>
      <c r="B68" s="261" t="s">
        <v>103</v>
      </c>
      <c r="C68" s="266" t="s">
        <v>104</v>
      </c>
      <c r="D68" s="556">
        <v>101000</v>
      </c>
      <c r="E68" s="263"/>
      <c r="F68" s="256"/>
      <c r="G68" s="256"/>
      <c r="H68" s="264"/>
      <c r="I68" s="256"/>
      <c r="J68" s="260"/>
      <c r="K68" s="256"/>
      <c r="L68" s="260"/>
    </row>
    <row r="69" spans="1:12" ht="17.5" hidden="1" thickTop="1" thickBot="1" x14ac:dyDescent="0.5">
      <c r="A69" s="255"/>
      <c r="B69" s="261" t="s">
        <v>103</v>
      </c>
      <c r="C69" s="265" t="s">
        <v>105</v>
      </c>
      <c r="D69" s="555">
        <v>101</v>
      </c>
      <c r="E69" s="263"/>
      <c r="F69" s="256"/>
      <c r="G69" s="256"/>
      <c r="H69" s="263"/>
      <c r="I69" s="256"/>
      <c r="J69" s="263"/>
      <c r="K69" s="256"/>
      <c r="L69" s="263"/>
    </row>
    <row r="70" spans="1:12" ht="32" hidden="1" thickTop="1" thickBot="1" x14ac:dyDescent="0.5">
      <c r="A70" s="255"/>
      <c r="B70" s="256"/>
      <c r="C70" s="266" t="s">
        <v>106</v>
      </c>
      <c r="D70" s="556">
        <v>101101</v>
      </c>
      <c r="E70" s="256"/>
      <c r="F70" s="256"/>
      <c r="G70" s="256"/>
      <c r="H70" s="263"/>
      <c r="I70" s="256"/>
      <c r="J70" s="263"/>
      <c r="K70" s="256"/>
      <c r="L70" s="263"/>
    </row>
    <row r="71" spans="1:12" ht="17.5" thickTop="1" thickBot="1" x14ac:dyDescent="0.5">
      <c r="A71" s="255"/>
      <c r="B71" s="256"/>
      <c r="C71" s="261"/>
      <c r="D71" s="557"/>
      <c r="E71" s="260"/>
      <c r="F71" s="256"/>
      <c r="G71" s="256"/>
      <c r="H71" s="264"/>
      <c r="I71" s="256"/>
      <c r="J71" s="260"/>
      <c r="K71" s="256"/>
      <c r="L71" s="260"/>
    </row>
    <row r="72" spans="1:12" ht="17.5" thickTop="1" thickBot="1" x14ac:dyDescent="0.5">
      <c r="A72" s="269"/>
      <c r="B72" s="256"/>
      <c r="C72" s="266" t="s">
        <v>107</v>
      </c>
      <c r="D72" s="556">
        <v>45</v>
      </c>
      <c r="E72" s="263"/>
      <c r="F72" s="256"/>
      <c r="G72" s="256"/>
      <c r="H72" s="263"/>
      <c r="I72" s="256"/>
      <c r="J72" s="263"/>
      <c r="K72" s="256"/>
      <c r="L72" s="263"/>
    </row>
    <row r="73" spans="1:12" ht="17" thickTop="1" x14ac:dyDescent="0.45">
      <c r="A73" s="255"/>
      <c r="B73" s="256"/>
      <c r="C73" s="261"/>
      <c r="D73" s="268"/>
      <c r="E73" s="260"/>
      <c r="F73" s="256"/>
      <c r="G73" s="256"/>
      <c r="H73" s="264"/>
      <c r="I73" s="256"/>
      <c r="J73" s="260"/>
      <c r="K73" s="256"/>
      <c r="L73" s="260"/>
    </row>
    <row r="74" spans="1:12" ht="32" hidden="1" thickTop="1" thickBot="1" x14ac:dyDescent="0.5">
      <c r="A74" s="269"/>
      <c r="B74" s="256"/>
      <c r="C74" s="270" t="s">
        <v>108</v>
      </c>
      <c r="D74" s="267">
        <v>0</v>
      </c>
      <c r="E74" s="263"/>
      <c r="F74" s="256"/>
      <c r="G74" s="256"/>
      <c r="H74" s="263"/>
      <c r="I74" s="256"/>
      <c r="J74" s="263"/>
      <c r="K74" s="256"/>
      <c r="L74" s="263"/>
    </row>
    <row r="75" spans="1:12" ht="17.5" hidden="1" thickTop="1" thickBot="1" x14ac:dyDescent="0.5">
      <c r="A75" s="269"/>
      <c r="B75" s="271"/>
      <c r="C75" s="266" t="s">
        <v>109</v>
      </c>
      <c r="D75" s="267">
        <v>1</v>
      </c>
      <c r="E75" s="263"/>
      <c r="F75" s="256"/>
      <c r="G75" s="256"/>
      <c r="H75" s="263"/>
      <c r="I75" s="256"/>
      <c r="J75" s="263"/>
      <c r="K75" s="256"/>
      <c r="L75" s="263"/>
    </row>
    <row r="76" spans="1:12" ht="32" hidden="1" thickTop="1" thickBot="1" x14ac:dyDescent="0.5">
      <c r="A76" s="269"/>
      <c r="B76" s="256"/>
      <c r="C76" s="270" t="s">
        <v>110</v>
      </c>
      <c r="D76" s="267">
        <v>0</v>
      </c>
      <c r="E76" s="263"/>
      <c r="F76" s="256"/>
      <c r="G76" s="256"/>
      <c r="H76" s="263"/>
      <c r="I76" s="256"/>
      <c r="J76" s="263"/>
      <c r="K76" s="256"/>
      <c r="L76" s="263"/>
    </row>
    <row r="77" spans="1:12" hidden="1" x14ac:dyDescent="0.45">
      <c r="A77" s="269"/>
      <c r="B77" s="271"/>
      <c r="C77" s="272"/>
      <c r="D77" s="273"/>
      <c r="E77" s="263"/>
      <c r="F77" s="256"/>
      <c r="G77" s="256"/>
      <c r="H77" s="263"/>
      <c r="I77" s="256"/>
      <c r="J77" s="263"/>
      <c r="K77" s="256"/>
      <c r="L77" s="263"/>
    </row>
    <row r="78" spans="1:12" ht="17" thickBot="1" x14ac:dyDescent="0.5">
      <c r="A78" s="269"/>
      <c r="B78" s="256"/>
      <c r="C78" s="263"/>
      <c r="D78" s="256"/>
      <c r="E78" s="256"/>
      <c r="F78" s="256"/>
      <c r="G78" s="256"/>
      <c r="H78" s="256"/>
      <c r="I78" s="256"/>
      <c r="J78" s="256"/>
      <c r="K78" s="256"/>
      <c r="L78" s="256"/>
    </row>
    <row r="79" spans="1:12" x14ac:dyDescent="0.45">
      <c r="A79" s="269"/>
      <c r="B79" s="737" t="s">
        <v>169</v>
      </c>
      <c r="C79" s="274"/>
      <c r="D79" s="769" t="s">
        <v>131</v>
      </c>
      <c r="E79" s="784" t="s">
        <v>130</v>
      </c>
      <c r="F79" s="256"/>
      <c r="G79" s="256"/>
      <c r="H79" s="753" t="s">
        <v>132</v>
      </c>
      <c r="I79" s="256"/>
      <c r="J79" s="805" t="s">
        <v>111</v>
      </c>
      <c r="K79" s="806"/>
      <c r="L79" s="256"/>
    </row>
    <row r="80" spans="1:12" ht="17" thickBot="1" x14ac:dyDescent="0.5">
      <c r="A80" s="269"/>
      <c r="B80" s="738"/>
      <c r="C80" s="275"/>
      <c r="D80" s="770"/>
      <c r="E80" s="785"/>
      <c r="F80" s="256"/>
      <c r="G80" s="256"/>
      <c r="H80" s="754"/>
      <c r="I80" s="256"/>
      <c r="J80" s="558"/>
      <c r="K80" s="559"/>
      <c r="L80" s="256"/>
    </row>
    <row r="81" spans="1:12" x14ac:dyDescent="0.45">
      <c r="A81" s="269"/>
      <c r="B81" s="738"/>
      <c r="C81" s="278" t="s">
        <v>143</v>
      </c>
      <c r="D81" s="560">
        <v>101000</v>
      </c>
      <c r="E81" s="560">
        <v>45</v>
      </c>
      <c r="F81" s="256"/>
      <c r="G81" s="256"/>
      <c r="H81" s="279">
        <v>0</v>
      </c>
      <c r="I81" s="256"/>
      <c r="J81" s="280"/>
      <c r="K81" s="561">
        <f>$H81/1000*$D81*E81</f>
        <v>0</v>
      </c>
      <c r="L81" s="256"/>
    </row>
    <row r="82" spans="1:12" x14ac:dyDescent="0.45">
      <c r="A82" s="269"/>
      <c r="B82" s="738"/>
      <c r="C82" s="281" t="s">
        <v>212</v>
      </c>
      <c r="D82" s="560">
        <f>IF(E82=0,0,D81)</f>
        <v>101000</v>
      </c>
      <c r="E82" s="560">
        <v>45</v>
      </c>
      <c r="F82" s="256"/>
      <c r="G82" s="256"/>
      <c r="H82" s="279">
        <v>0</v>
      </c>
      <c r="I82" s="256"/>
      <c r="J82" s="282"/>
      <c r="K82" s="562">
        <f>$H82/1000*$D82*E82</f>
        <v>0</v>
      </c>
      <c r="L82" s="256"/>
    </row>
    <row r="83" spans="1:12" x14ac:dyDescent="0.45">
      <c r="A83" s="269"/>
      <c r="B83" s="738"/>
      <c r="C83" s="281" t="s">
        <v>211</v>
      </c>
      <c r="D83" s="560">
        <f>IF(E83=0,0,D81)</f>
        <v>0</v>
      </c>
      <c r="E83" s="560">
        <f>IF(D20&gt;7,32,0)</f>
        <v>0</v>
      </c>
      <c r="F83" s="256"/>
      <c r="G83" s="256"/>
      <c r="H83" s="279">
        <v>0</v>
      </c>
      <c r="I83" s="256"/>
      <c r="J83" s="282"/>
      <c r="K83" s="562">
        <f>$H83/1000*$D83*E83</f>
        <v>0</v>
      </c>
      <c r="L83" s="256"/>
    </row>
    <row r="84" spans="1:12" x14ac:dyDescent="0.45">
      <c r="A84" s="269"/>
      <c r="B84" s="738"/>
      <c r="C84" s="281" t="s">
        <v>112</v>
      </c>
      <c r="D84" s="560">
        <f>D81</f>
        <v>101000</v>
      </c>
      <c r="E84" s="560">
        <v>1</v>
      </c>
      <c r="F84" s="256"/>
      <c r="G84" s="256"/>
      <c r="H84" s="279">
        <v>0</v>
      </c>
      <c r="I84" s="256"/>
      <c r="J84" s="282"/>
      <c r="K84" s="562">
        <f>$H84/1000*$D84*E84</f>
        <v>0</v>
      </c>
      <c r="L84" s="256"/>
    </row>
    <row r="85" spans="1:12" x14ac:dyDescent="0.45">
      <c r="A85" s="269"/>
      <c r="B85" s="738"/>
      <c r="C85" s="281" t="s">
        <v>113</v>
      </c>
      <c r="D85" s="560">
        <f>D81</f>
        <v>101000</v>
      </c>
      <c r="E85" s="560">
        <v>45</v>
      </c>
      <c r="F85" s="256"/>
      <c r="G85" s="256"/>
      <c r="H85" s="279">
        <v>0</v>
      </c>
      <c r="I85" s="256"/>
      <c r="J85" s="282"/>
      <c r="K85" s="562">
        <f t="shared" ref="K85:K87" si="26">$H85/1000*$D85*E85</f>
        <v>0</v>
      </c>
      <c r="L85" s="256"/>
    </row>
    <row r="86" spans="1:12" x14ac:dyDescent="0.45">
      <c r="A86" s="269"/>
      <c r="B86" s="738"/>
      <c r="C86" s="281" t="s">
        <v>114</v>
      </c>
      <c r="D86" s="560">
        <f>D81</f>
        <v>101000</v>
      </c>
      <c r="E86" s="560">
        <v>1</v>
      </c>
      <c r="F86" s="256"/>
      <c r="G86" s="256"/>
      <c r="H86" s="279">
        <v>0</v>
      </c>
      <c r="I86" s="256"/>
      <c r="J86" s="282"/>
      <c r="K86" s="562">
        <f t="shared" si="26"/>
        <v>0</v>
      </c>
      <c r="L86" s="256"/>
    </row>
    <row r="87" spans="1:12" ht="17" thickBot="1" x14ac:dyDescent="0.5">
      <c r="A87" s="269"/>
      <c r="B87" s="739"/>
      <c r="C87" s="283" t="s">
        <v>115</v>
      </c>
      <c r="D87" s="563">
        <v>101000</v>
      </c>
      <c r="E87" s="563">
        <v>1</v>
      </c>
      <c r="F87" s="256"/>
      <c r="G87" s="256"/>
      <c r="H87" s="284">
        <v>0</v>
      </c>
      <c r="I87" s="256"/>
      <c r="J87" s="285"/>
      <c r="K87" s="564">
        <f t="shared" si="26"/>
        <v>0</v>
      </c>
      <c r="L87" s="256"/>
    </row>
    <row r="88" spans="1:12" x14ac:dyDescent="0.45">
      <c r="A88" s="269"/>
      <c r="B88" s="286"/>
      <c r="C88" s="287" t="s">
        <v>116</v>
      </c>
      <c r="D88" s="288"/>
      <c r="E88" s="256"/>
      <c r="F88" s="256"/>
      <c r="G88" s="256"/>
      <c r="H88" s="289"/>
      <c r="I88" s="256"/>
      <c r="J88" s="290"/>
      <c r="K88" s="565">
        <f>SUM(K81:K87)</f>
        <v>0</v>
      </c>
      <c r="L88" s="256"/>
    </row>
    <row r="89" spans="1:12" ht="17" thickBot="1" x14ac:dyDescent="0.5">
      <c r="A89" s="269"/>
      <c r="B89" s="263"/>
      <c r="C89" s="263"/>
      <c r="D89" s="263"/>
      <c r="E89" s="263"/>
      <c r="F89" s="291"/>
      <c r="G89" s="291"/>
      <c r="H89" s="263"/>
      <c r="I89" s="256"/>
      <c r="J89" s="263"/>
      <c r="K89" s="256"/>
      <c r="L89" s="256"/>
    </row>
    <row r="90" spans="1:12" x14ac:dyDescent="0.45">
      <c r="A90" s="269"/>
      <c r="B90" s="744" t="s">
        <v>117</v>
      </c>
      <c r="C90" s="292"/>
      <c r="D90" s="747" t="s">
        <v>133</v>
      </c>
      <c r="E90" s="748"/>
      <c r="F90" s="749"/>
      <c r="G90" s="291"/>
      <c r="H90" s="753" t="s">
        <v>118</v>
      </c>
      <c r="I90" s="256"/>
      <c r="J90" s="740" t="s">
        <v>111</v>
      </c>
      <c r="K90" s="795"/>
      <c r="L90" s="256"/>
    </row>
    <row r="91" spans="1:12" ht="17" thickBot="1" x14ac:dyDescent="0.5">
      <c r="A91" s="269"/>
      <c r="B91" s="745"/>
      <c r="C91" s="293"/>
      <c r="D91" s="799"/>
      <c r="E91" s="800"/>
      <c r="F91" s="801"/>
      <c r="G91" s="291"/>
      <c r="H91" s="754"/>
      <c r="I91" s="256"/>
      <c r="J91" s="742"/>
      <c r="K91" s="743"/>
      <c r="L91" s="256"/>
    </row>
    <row r="92" spans="1:12" x14ac:dyDescent="0.45">
      <c r="A92" s="269"/>
      <c r="B92" s="745"/>
      <c r="C92" s="294" t="s">
        <v>119</v>
      </c>
      <c r="D92" s="755" t="s">
        <v>228</v>
      </c>
      <c r="E92" s="756"/>
      <c r="F92" s="757"/>
      <c r="G92" s="291"/>
      <c r="H92" s="295">
        <v>0</v>
      </c>
      <c r="I92" s="256"/>
      <c r="J92" s="296"/>
      <c r="K92" s="297">
        <f>H92*$D$72</f>
        <v>0</v>
      </c>
      <c r="L92" s="256"/>
    </row>
    <row r="93" spans="1:12" x14ac:dyDescent="0.45">
      <c r="A93" s="269"/>
      <c r="B93" s="745"/>
      <c r="C93" s="382" t="s">
        <v>148</v>
      </c>
      <c r="D93" s="802" t="s">
        <v>222</v>
      </c>
      <c r="E93" s="803"/>
      <c r="F93" s="804"/>
      <c r="G93" s="291"/>
      <c r="H93" s="295">
        <v>0</v>
      </c>
      <c r="I93" s="256"/>
      <c r="J93" s="296"/>
      <c r="K93" s="297">
        <f>H93*$D$72</f>
        <v>0</v>
      </c>
      <c r="L93" s="256"/>
    </row>
    <row r="94" spans="1:12" ht="17" thickBot="1" x14ac:dyDescent="0.5">
      <c r="A94" s="269"/>
      <c r="B94" s="746"/>
      <c r="C94" s="298" t="s">
        <v>121</v>
      </c>
      <c r="D94" s="761" t="s">
        <v>219</v>
      </c>
      <c r="E94" s="762"/>
      <c r="F94" s="763"/>
      <c r="G94" s="291"/>
      <c r="H94" s="299">
        <v>0</v>
      </c>
      <c r="I94" s="256"/>
      <c r="J94" s="296"/>
      <c r="K94" s="297">
        <f>H94*$D$72</f>
        <v>0</v>
      </c>
      <c r="L94" s="256"/>
    </row>
    <row r="95" spans="1:12" x14ac:dyDescent="0.45">
      <c r="A95" s="269"/>
      <c r="B95" s="263"/>
      <c r="C95" s="287" t="s">
        <v>116</v>
      </c>
      <c r="D95" s="300"/>
      <c r="E95" s="256"/>
      <c r="F95" s="291"/>
      <c r="G95" s="291"/>
      <c r="H95" s="301"/>
      <c r="I95" s="256"/>
      <c r="J95" s="302"/>
      <c r="K95" s="303">
        <f>SUM(K90:K94)</f>
        <v>0</v>
      </c>
      <c r="L95" s="256"/>
    </row>
    <row r="96" spans="1:12" ht="17" thickBot="1" x14ac:dyDescent="0.5">
      <c r="A96" s="269"/>
      <c r="B96" s="263"/>
      <c r="C96" s="263"/>
      <c r="D96" s="263"/>
      <c r="E96" s="263"/>
      <c r="F96" s="291"/>
      <c r="G96" s="291"/>
      <c r="H96" s="263"/>
      <c r="I96" s="256"/>
      <c r="J96" s="256"/>
      <c r="K96" s="256"/>
      <c r="L96" s="256"/>
    </row>
    <row r="97" spans="1:12" ht="17" thickBot="1" x14ac:dyDescent="0.5">
      <c r="A97" s="269"/>
      <c r="B97" s="271"/>
      <c r="C97" s="304"/>
      <c r="D97" s="305"/>
      <c r="E97" s="305"/>
      <c r="F97" s="305"/>
      <c r="G97" s="305"/>
      <c r="H97" s="305"/>
      <c r="I97" s="305"/>
      <c r="J97" s="306"/>
      <c r="K97" s="307">
        <f>SUM(J81:K87, J92:K94)</f>
        <v>0</v>
      </c>
      <c r="L97" s="256"/>
    </row>
    <row r="98" spans="1:12" x14ac:dyDescent="0.45">
      <c r="A98" s="269"/>
      <c r="B98" s="271"/>
      <c r="C98" s="263"/>
      <c r="D98" s="263"/>
      <c r="E98" s="263"/>
      <c r="F98" s="263"/>
      <c r="G98" s="263"/>
      <c r="H98" s="263"/>
      <c r="I98" s="263"/>
      <c r="J98" s="263"/>
      <c r="K98" s="263"/>
      <c r="L98" s="256"/>
    </row>
    <row r="99" spans="1:12" x14ac:dyDescent="0.45">
      <c r="A99" s="269"/>
      <c r="B99" s="263"/>
      <c r="C99" s="263"/>
      <c r="D99" s="263"/>
      <c r="E99" s="263"/>
      <c r="F99" s="263"/>
      <c r="G99" s="263"/>
      <c r="H99" s="263"/>
      <c r="I99" s="256"/>
      <c r="J99" s="256"/>
      <c r="K99" s="256"/>
      <c r="L99" s="256"/>
    </row>
  </sheetData>
  <sheetProtection algorithmName="SHA-512" hashValue="766uskzqg5gAhixZBc8mgGSqDTpdIonWVsVCnwA9lOC+mUSOE8+9P/xreIKYdmANSwN4YnrFGXX8Ic7IUexTeA==" saltValue="ukBB9VDe6RHDqrAbBY+yGQ==" spinCount="100000" sheet="1" objects="1" scenarios="1"/>
  <mergeCells count="24">
    <mergeCell ref="Z12:AK14"/>
    <mergeCell ref="E16:F16"/>
    <mergeCell ref="H16:M16"/>
    <mergeCell ref="O16:Q16"/>
    <mergeCell ref="S16:V16"/>
    <mergeCell ref="AA16:AE16"/>
    <mergeCell ref="AG16:AK16"/>
    <mergeCell ref="B79:B87"/>
    <mergeCell ref="D79:D80"/>
    <mergeCell ref="E79:E80"/>
    <mergeCell ref="H79:H80"/>
    <mergeCell ref="J79:K79"/>
    <mergeCell ref="C22:D22"/>
    <mergeCell ref="C26:D26"/>
    <mergeCell ref="C36:I36"/>
    <mergeCell ref="O37:Q37"/>
    <mergeCell ref="O46:Q46"/>
    <mergeCell ref="B90:B94"/>
    <mergeCell ref="D90:F91"/>
    <mergeCell ref="H90:H91"/>
    <mergeCell ref="J90:K91"/>
    <mergeCell ref="D92:F92"/>
    <mergeCell ref="D93:F93"/>
    <mergeCell ref="D94:F94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Selecteer een omvang." xr:uid="{39C9A6C5-ACBC-4631-98AD-5F7F48CCC1BD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F158A6FF-850E-4D49-BD9D-49CDBE55DB48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druktechniek." xr:uid="{8C008FD6-E49B-4E4C-A895-321545D061F1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afwerkings methode." xr:uid="{DB5EA7F1-A53C-40A7-98FE-C7FB8898FAF6}">
          <x14:formula1>
            <xm:f>Blad2!$B$1:$B$3</xm:f>
          </x14:formula1>
          <xm:sqref>D15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4E91F-5A44-4466-8CF4-D27F381F00D0}">
  <dimension ref="A1:AN90"/>
  <sheetViews>
    <sheetView showGridLines="0" tabSelected="1" zoomScale="90" zoomScaleNormal="90" workbookViewId="0">
      <selection activeCell="F26" sqref="F26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170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171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42"/>
      <c r="Z3" s="242"/>
      <c r="AA3" s="316"/>
      <c r="AB3" s="316"/>
      <c r="AC3" s="316"/>
      <c r="AD3" s="316"/>
      <c r="AE3" s="316"/>
      <c r="AF3" s="241"/>
      <c r="AG3" s="388"/>
      <c r="AH3" s="388"/>
      <c r="AI3" s="388"/>
      <c r="AJ3" s="388"/>
      <c r="AK3" s="241"/>
      <c r="AL3" s="241"/>
      <c r="AM3" s="241"/>
      <c r="AN3" s="27"/>
    </row>
    <row r="4" spans="2:40" ht="31.5" customHeight="1" thickBot="1" x14ac:dyDescent="0.5">
      <c r="B4" s="18"/>
      <c r="C4" s="139" t="s">
        <v>1</v>
      </c>
      <c r="D4" s="389"/>
      <c r="E4" s="390" t="str">
        <f>IF(D4="","verplicht veld","")</f>
        <v>verplicht veld</v>
      </c>
      <c r="F4" s="22"/>
      <c r="G4" s="242"/>
      <c r="H4" s="241"/>
      <c r="I4" s="241"/>
      <c r="J4" s="391"/>
      <c r="K4" s="391"/>
      <c r="L4" s="392"/>
      <c r="M4" s="393"/>
      <c r="N4" s="242"/>
      <c r="O4" s="392"/>
      <c r="P4" s="392"/>
      <c r="Q4" s="392"/>
      <c r="R4" s="242"/>
      <c r="S4" s="392"/>
      <c r="T4" s="392"/>
      <c r="U4" s="394" t="s">
        <v>2</v>
      </c>
      <c r="V4" s="32" t="s">
        <v>2</v>
      </c>
      <c r="W4" s="22"/>
      <c r="X4" s="18"/>
      <c r="Y4" s="242"/>
      <c r="Z4" s="242"/>
      <c r="AA4" s="395"/>
      <c r="AB4" s="316"/>
      <c r="AC4" s="316"/>
      <c r="AD4" s="316"/>
      <c r="AE4" s="316"/>
      <c r="AF4" s="241"/>
      <c r="AG4" s="388"/>
      <c r="AH4" s="388"/>
      <c r="AI4" s="388"/>
      <c r="AJ4" s="388"/>
      <c r="AK4" s="241"/>
      <c r="AL4" s="241"/>
      <c r="AM4" s="241"/>
      <c r="AN4" s="27"/>
    </row>
    <row r="5" spans="2:40" ht="18" customHeight="1" thickBot="1" x14ac:dyDescent="0.5">
      <c r="B5" s="18"/>
      <c r="C5" s="139" t="s">
        <v>3</v>
      </c>
      <c r="D5" s="34">
        <v>51</v>
      </c>
      <c r="E5" s="242"/>
      <c r="F5" s="22"/>
      <c r="G5" s="242"/>
      <c r="H5" s="35" t="s">
        <v>4</v>
      </c>
      <c r="I5" s="36"/>
      <c r="J5" s="37"/>
      <c r="K5" s="37"/>
      <c r="L5" s="37"/>
      <c r="M5" s="38"/>
      <c r="N5" s="242"/>
      <c r="O5" s="392"/>
      <c r="P5" s="396"/>
      <c r="Q5" s="397"/>
      <c r="R5" s="242"/>
      <c r="S5" s="394"/>
      <c r="T5" s="394"/>
      <c r="U5" s="394" t="s">
        <v>2</v>
      </c>
      <c r="V5" s="32" t="s">
        <v>2</v>
      </c>
      <c r="W5" s="22"/>
      <c r="X5" s="18"/>
      <c r="Y5" s="242"/>
      <c r="Z5" s="242"/>
      <c r="AA5" s="395"/>
      <c r="AB5" s="316"/>
      <c r="AC5" s="316"/>
      <c r="AD5" s="316"/>
      <c r="AE5" s="316"/>
      <c r="AF5" s="241"/>
      <c r="AG5" s="388"/>
      <c r="AH5" s="388"/>
      <c r="AI5" s="388"/>
      <c r="AJ5" s="388"/>
      <c r="AK5" s="241"/>
      <c r="AL5" s="241"/>
      <c r="AM5" s="241"/>
      <c r="AN5" s="27"/>
    </row>
    <row r="6" spans="2:40" ht="18" customHeight="1" x14ac:dyDescent="0.45">
      <c r="B6" s="18"/>
      <c r="C6" s="139" t="s">
        <v>67</v>
      </c>
      <c r="D6" s="34" t="s">
        <v>81</v>
      </c>
      <c r="E6" s="242"/>
      <c r="F6" s="22"/>
      <c r="G6" s="242"/>
      <c r="H6" s="398" t="s">
        <v>5</v>
      </c>
      <c r="I6" s="399"/>
      <c r="J6" s="400"/>
      <c r="K6" s="399"/>
      <c r="L6" s="399"/>
      <c r="M6" s="401"/>
      <c r="N6" s="242"/>
      <c r="O6" s="392"/>
      <c r="P6" s="396"/>
      <c r="Q6" s="397"/>
      <c r="R6" s="242"/>
      <c r="S6" s="394"/>
      <c r="T6" s="394"/>
      <c r="U6" s="394" t="s">
        <v>2</v>
      </c>
      <c r="V6" s="32" t="s">
        <v>2</v>
      </c>
      <c r="W6" s="22"/>
      <c r="X6" s="18"/>
      <c r="Y6" s="242"/>
      <c r="Z6" s="242"/>
      <c r="AA6" s="395"/>
      <c r="AB6" s="316"/>
      <c r="AC6" s="316"/>
      <c r="AD6" s="316"/>
      <c r="AE6" s="316"/>
      <c r="AF6" s="241"/>
      <c r="AG6" s="388"/>
      <c r="AH6" s="388"/>
      <c r="AI6" s="388"/>
      <c r="AJ6" s="388"/>
      <c r="AK6" s="241"/>
      <c r="AL6" s="241"/>
      <c r="AM6" s="241"/>
      <c r="AN6" s="27"/>
    </row>
    <row r="7" spans="2:40" ht="18" customHeight="1" thickBot="1" x14ac:dyDescent="0.5">
      <c r="B7" s="18"/>
      <c r="C7" s="139" t="s">
        <v>68</v>
      </c>
      <c r="D7" s="34" t="s">
        <v>172</v>
      </c>
      <c r="E7" s="242"/>
      <c r="F7" s="22"/>
      <c r="G7" s="242"/>
      <c r="H7" s="45" t="s">
        <v>6</v>
      </c>
      <c r="I7" s="46"/>
      <c r="J7" s="47"/>
      <c r="K7" s="47"/>
      <c r="L7" s="47"/>
      <c r="M7" s="48"/>
      <c r="N7" s="242"/>
      <c r="O7" s="392"/>
      <c r="P7" s="396"/>
      <c r="Q7" s="397"/>
      <c r="R7" s="242"/>
      <c r="S7" s="394"/>
      <c r="T7" s="394"/>
      <c r="U7" s="394" t="s">
        <v>2</v>
      </c>
      <c r="V7" s="32" t="s">
        <v>2</v>
      </c>
      <c r="W7" s="22"/>
      <c r="X7" s="18"/>
      <c r="Y7" s="242"/>
      <c r="Z7" s="242"/>
      <c r="AA7" s="395"/>
      <c r="AB7" s="316"/>
      <c r="AC7" s="316"/>
      <c r="AD7" s="316"/>
      <c r="AE7" s="316"/>
      <c r="AF7" s="241"/>
      <c r="AG7" s="388"/>
      <c r="AH7" s="388"/>
      <c r="AI7" s="388"/>
      <c r="AJ7" s="388"/>
      <c r="AK7" s="241"/>
      <c r="AL7" s="241"/>
      <c r="AM7" s="241"/>
      <c r="AN7" s="27"/>
    </row>
    <row r="8" spans="2:40" ht="18" customHeight="1" x14ac:dyDescent="0.45">
      <c r="B8" s="18"/>
      <c r="C8" s="139" t="s">
        <v>7</v>
      </c>
      <c r="D8" s="49">
        <v>71900</v>
      </c>
      <c r="E8" s="242"/>
      <c r="F8" s="22"/>
      <c r="G8" s="242"/>
      <c r="H8" s="392"/>
      <c r="I8" s="392"/>
      <c r="J8" s="392"/>
      <c r="K8" s="402" t="s">
        <v>2</v>
      </c>
      <c r="L8" s="403" t="s">
        <v>2</v>
      </c>
      <c r="M8" s="402"/>
      <c r="N8" s="242"/>
      <c r="O8" s="392"/>
      <c r="P8" s="403"/>
      <c r="Q8" s="392" t="s">
        <v>2</v>
      </c>
      <c r="R8" s="242"/>
      <c r="S8" s="394" t="s">
        <v>2</v>
      </c>
      <c r="T8" s="394"/>
      <c r="U8" s="394" t="s">
        <v>2</v>
      </c>
      <c r="V8" s="32" t="s">
        <v>2</v>
      </c>
      <c r="W8" s="22"/>
      <c r="X8" s="18"/>
      <c r="Y8" s="242"/>
      <c r="Z8" s="242"/>
      <c r="AA8" s="395"/>
      <c r="AB8" s="316"/>
      <c r="AC8" s="316"/>
      <c r="AD8" s="316"/>
      <c r="AE8" s="316"/>
      <c r="AF8" s="241"/>
      <c r="AG8" s="388"/>
      <c r="AH8" s="388"/>
      <c r="AI8" s="388"/>
      <c r="AJ8" s="388"/>
      <c r="AK8" s="241"/>
      <c r="AL8" s="404"/>
      <c r="AM8" s="241"/>
      <c r="AN8" s="27"/>
    </row>
    <row r="9" spans="2:40" ht="32.5" customHeight="1" x14ac:dyDescent="0.45">
      <c r="B9" s="18"/>
      <c r="C9" s="137" t="s">
        <v>96</v>
      </c>
      <c r="D9" s="601" t="s">
        <v>164</v>
      </c>
      <c r="E9" s="242"/>
      <c r="F9" s="22"/>
      <c r="G9" s="242"/>
      <c r="H9" s="392"/>
      <c r="I9" s="392"/>
      <c r="J9" s="392"/>
      <c r="K9" s="402"/>
      <c r="L9" s="403"/>
      <c r="M9" s="402"/>
      <c r="N9" s="242"/>
      <c r="O9" s="392"/>
      <c r="P9" s="403"/>
      <c r="Q9" s="392"/>
      <c r="R9" s="242"/>
      <c r="S9" s="394"/>
      <c r="T9" s="394"/>
      <c r="U9" s="394"/>
      <c r="V9" s="32"/>
      <c r="W9" s="22"/>
      <c r="X9" s="18"/>
      <c r="Y9" s="242"/>
      <c r="Z9" s="242"/>
      <c r="AA9" s="395"/>
      <c r="AB9" s="316"/>
      <c r="AC9" s="316"/>
      <c r="AD9" s="316"/>
      <c r="AE9" s="316"/>
      <c r="AF9" s="241"/>
      <c r="AG9" s="388"/>
      <c r="AH9" s="388"/>
      <c r="AI9" s="388"/>
      <c r="AJ9" s="388"/>
      <c r="AK9" s="241"/>
      <c r="AL9" s="404"/>
      <c r="AM9" s="241"/>
      <c r="AN9" s="27"/>
    </row>
    <row r="10" spans="2:40" ht="18" customHeight="1" x14ac:dyDescent="0.45">
      <c r="B10" s="18"/>
      <c r="C10" s="137" t="s">
        <v>141</v>
      </c>
      <c r="D10" s="49" t="str">
        <f>D6</f>
        <v>202 mm</v>
      </c>
      <c r="E10" s="242"/>
      <c r="F10" s="22"/>
      <c r="G10" s="242"/>
      <c r="H10" s="392"/>
      <c r="I10" s="392"/>
      <c r="J10" s="392"/>
      <c r="K10" s="402"/>
      <c r="L10" s="403"/>
      <c r="M10" s="402"/>
      <c r="N10" s="242"/>
      <c r="O10" s="392"/>
      <c r="P10" s="403"/>
      <c r="Q10" s="392"/>
      <c r="R10" s="242"/>
      <c r="S10" s="394"/>
      <c r="T10" s="394"/>
      <c r="U10" s="394"/>
      <c r="V10" s="32"/>
      <c r="W10" s="22"/>
      <c r="X10" s="18"/>
      <c r="Y10" s="242"/>
      <c r="Z10" s="242"/>
      <c r="AA10" s="395"/>
      <c r="AB10" s="316"/>
      <c r="AC10" s="316"/>
      <c r="AD10" s="316"/>
      <c r="AE10" s="316"/>
      <c r="AF10" s="241"/>
      <c r="AG10" s="388"/>
      <c r="AH10" s="388"/>
      <c r="AI10" s="388"/>
      <c r="AJ10" s="388"/>
      <c r="AK10" s="241"/>
      <c r="AL10" s="404"/>
      <c r="AM10" s="241"/>
      <c r="AN10" s="27"/>
    </row>
    <row r="11" spans="2:40" ht="18" customHeight="1" x14ac:dyDescent="0.45">
      <c r="B11" s="18"/>
      <c r="C11" s="139" t="s">
        <v>8</v>
      </c>
      <c r="D11" s="49" t="s">
        <v>88</v>
      </c>
      <c r="E11" s="242"/>
      <c r="F11" s="22"/>
      <c r="G11" s="242"/>
      <c r="H11" s="392"/>
      <c r="I11" s="392"/>
      <c r="J11" s="392"/>
      <c r="K11" s="392" t="s">
        <v>2</v>
      </c>
      <c r="L11" s="392" t="s">
        <v>2</v>
      </c>
      <c r="M11" s="402"/>
      <c r="N11" s="242"/>
      <c r="O11" s="396" t="s">
        <v>2</v>
      </c>
      <c r="P11" s="396"/>
      <c r="Q11" s="397" t="s">
        <v>2</v>
      </c>
      <c r="R11" s="242"/>
      <c r="S11" s="394"/>
      <c r="T11" s="394"/>
      <c r="U11" s="394" t="s">
        <v>2</v>
      </c>
      <c r="V11" s="32" t="s">
        <v>2</v>
      </c>
      <c r="W11" s="22"/>
      <c r="X11" s="18"/>
      <c r="Y11" s="242"/>
      <c r="Z11" s="242"/>
      <c r="AA11" s="395"/>
      <c r="AB11" s="316"/>
      <c r="AC11" s="316"/>
      <c r="AD11" s="316"/>
      <c r="AE11" s="405"/>
      <c r="AF11" s="241"/>
      <c r="AG11" s="388"/>
      <c r="AH11" s="388"/>
      <c r="AI11" s="388"/>
      <c r="AJ11" s="388"/>
      <c r="AK11" s="405"/>
      <c r="AL11" s="406"/>
      <c r="AM11" s="241"/>
      <c r="AN11" s="27"/>
    </row>
    <row r="12" spans="2:40" ht="18" customHeight="1" x14ac:dyDescent="0.45">
      <c r="B12" s="18"/>
      <c r="C12" s="139" t="s">
        <v>69</v>
      </c>
      <c r="D12" s="49" t="s">
        <v>173</v>
      </c>
      <c r="E12" s="242"/>
      <c r="F12" s="22"/>
      <c r="G12" s="242"/>
      <c r="H12" s="392"/>
      <c r="I12" s="392"/>
      <c r="J12" s="392"/>
      <c r="K12" s="392"/>
      <c r="L12" s="392"/>
      <c r="M12" s="402"/>
      <c r="N12" s="242"/>
      <c r="O12" s="396"/>
      <c r="P12" s="396"/>
      <c r="Q12" s="397"/>
      <c r="R12" s="242"/>
      <c r="S12" s="394"/>
      <c r="T12" s="394"/>
      <c r="U12" s="394"/>
      <c r="V12" s="32"/>
      <c r="W12" s="22"/>
      <c r="X12" s="18"/>
      <c r="Y12" s="407"/>
      <c r="Z12" s="798" t="str">
        <f>"RESULTAAT "&amp;$D$3</f>
        <v>RESULTAAT TELEVIZIER</v>
      </c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408"/>
      <c r="AM12" s="408"/>
      <c r="AN12" s="27"/>
    </row>
    <row r="13" spans="2:40" ht="18" customHeight="1" x14ac:dyDescent="0.45">
      <c r="B13" s="18"/>
      <c r="C13" s="139" t="s">
        <v>70</v>
      </c>
      <c r="D13" s="49" t="s">
        <v>174</v>
      </c>
      <c r="E13" s="242"/>
      <c r="F13" s="22"/>
      <c r="G13" s="242"/>
      <c r="H13" s="392"/>
      <c r="I13" s="392"/>
      <c r="J13" s="392"/>
      <c r="K13" s="392"/>
      <c r="L13" s="392"/>
      <c r="M13" s="402"/>
      <c r="N13" s="242"/>
      <c r="O13" s="396"/>
      <c r="P13" s="396"/>
      <c r="Q13" s="397"/>
      <c r="R13" s="242"/>
      <c r="S13" s="394"/>
      <c r="T13" s="394"/>
      <c r="U13" s="394"/>
      <c r="V13" s="32"/>
      <c r="W13" s="22"/>
      <c r="X13" s="18"/>
      <c r="Y13" s="407"/>
      <c r="Z13" s="798"/>
      <c r="AA13" s="798"/>
      <c r="AB13" s="798"/>
      <c r="AC13" s="798"/>
      <c r="AD13" s="798"/>
      <c r="AE13" s="798"/>
      <c r="AF13" s="798"/>
      <c r="AG13" s="798"/>
      <c r="AH13" s="798"/>
      <c r="AI13" s="798"/>
      <c r="AJ13" s="798"/>
      <c r="AK13" s="798"/>
      <c r="AL13" s="409" t="str">
        <f>C8&amp;" jaarbasis"</f>
        <v>Oplage: jaarbasis</v>
      </c>
      <c r="AM13" s="408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42"/>
      <c r="F14" s="22"/>
      <c r="G14" s="242"/>
      <c r="H14" s="392"/>
      <c r="I14" s="392"/>
      <c r="J14" s="392"/>
      <c r="K14" s="392" t="s">
        <v>2</v>
      </c>
      <c r="L14" s="392" t="s">
        <v>2</v>
      </c>
      <c r="M14" s="402"/>
      <c r="N14" s="242"/>
      <c r="O14" s="396"/>
      <c r="P14" s="396"/>
      <c r="Q14" s="397"/>
      <c r="R14" s="242"/>
      <c r="S14" s="394"/>
      <c r="T14" s="394"/>
      <c r="U14" s="394"/>
      <c r="V14" s="32"/>
      <c r="W14" s="22"/>
      <c r="X14" s="18"/>
      <c r="Y14" s="407"/>
      <c r="Z14" s="798"/>
      <c r="AA14" s="798"/>
      <c r="AB14" s="798"/>
      <c r="AC14" s="798"/>
      <c r="AD14" s="798"/>
      <c r="AE14" s="798"/>
      <c r="AF14" s="798"/>
      <c r="AG14" s="798"/>
      <c r="AH14" s="798"/>
      <c r="AI14" s="798"/>
      <c r="AJ14" s="798"/>
      <c r="AK14" s="798"/>
      <c r="AL14" s="411">
        <f>D8*D5</f>
        <v>3666900</v>
      </c>
      <c r="AM14" s="408"/>
      <c r="AN14" s="27"/>
    </row>
    <row r="15" spans="2:40" ht="18" customHeight="1" thickBot="1" x14ac:dyDescent="0.5">
      <c r="B15" s="18"/>
      <c r="C15" s="119" t="s">
        <v>89</v>
      </c>
      <c r="D15" s="410" t="s">
        <v>91</v>
      </c>
      <c r="E15" s="242"/>
      <c r="F15" s="22"/>
      <c r="G15" s="242"/>
      <c r="H15" s="392"/>
      <c r="I15" s="392"/>
      <c r="J15" s="392"/>
      <c r="K15" s="392"/>
      <c r="L15" s="392"/>
      <c r="M15" s="402"/>
      <c r="N15" s="242"/>
      <c r="O15" s="396"/>
      <c r="P15" s="396"/>
      <c r="Q15" s="397"/>
      <c r="R15" s="242"/>
      <c r="S15" s="394"/>
      <c r="T15" s="394"/>
      <c r="U15" s="394"/>
      <c r="V15" s="32"/>
      <c r="W15" s="22"/>
      <c r="X15" s="18"/>
      <c r="Y15" s="407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1"/>
      <c r="AM15" s="408"/>
      <c r="AN15" s="27"/>
    </row>
    <row r="16" spans="2:40" s="67" customFormat="1" ht="31.5" customHeight="1" thickBot="1" x14ac:dyDescent="0.5">
      <c r="B16" s="18"/>
      <c r="C16" s="237" t="s">
        <v>12</v>
      </c>
      <c r="D16" s="384"/>
      <c r="E16" s="767" t="s">
        <v>66</v>
      </c>
      <c r="F16" s="768"/>
      <c r="G16" s="242"/>
      <c r="H16" s="774" t="s">
        <v>13</v>
      </c>
      <c r="I16" s="775"/>
      <c r="J16" s="775"/>
      <c r="K16" s="775"/>
      <c r="L16" s="775"/>
      <c r="M16" s="776"/>
      <c r="N16" s="414"/>
      <c r="O16" s="774" t="s">
        <v>14</v>
      </c>
      <c r="P16" s="775"/>
      <c r="Q16" s="776"/>
      <c r="R16" s="414"/>
      <c r="S16" s="774" t="s">
        <v>15</v>
      </c>
      <c r="T16" s="775"/>
      <c r="U16" s="775"/>
      <c r="V16" s="776"/>
      <c r="W16" s="22"/>
      <c r="X16" s="18"/>
      <c r="Y16" s="415"/>
      <c r="Z16" s="63"/>
      <c r="AA16" s="777" t="s">
        <v>16</v>
      </c>
      <c r="AB16" s="778"/>
      <c r="AC16" s="778"/>
      <c r="AD16" s="778"/>
      <c r="AE16" s="779"/>
      <c r="AF16" s="242"/>
      <c r="AG16" s="780" t="s">
        <v>17</v>
      </c>
      <c r="AH16" s="781"/>
      <c r="AI16" s="781"/>
      <c r="AJ16" s="781"/>
      <c r="AK16" s="778"/>
      <c r="AL16" s="64" t="s">
        <v>18</v>
      </c>
      <c r="AM16" s="416"/>
      <c r="AN16" s="66"/>
    </row>
    <row r="17" spans="2:40" ht="189.5" thickBot="1" x14ac:dyDescent="0.5">
      <c r="B17" s="18"/>
      <c r="C17" s="238"/>
      <c r="D17" s="230"/>
      <c r="E17" s="242"/>
      <c r="F17" s="14"/>
      <c r="G17" s="242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42"/>
      <c r="O17" s="189" t="s">
        <v>25</v>
      </c>
      <c r="P17" s="190" t="s">
        <v>26</v>
      </c>
      <c r="Q17" s="70" t="s">
        <v>27</v>
      </c>
      <c r="R17" s="242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407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42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408"/>
      <c r="AN17" s="27"/>
    </row>
    <row r="18" spans="2:40" ht="17" thickBot="1" x14ac:dyDescent="0.5">
      <c r="B18" s="18"/>
      <c r="C18" s="387" t="s">
        <v>156</v>
      </c>
      <c r="D18" s="78"/>
      <c r="E18" s="417" t="s">
        <v>63</v>
      </c>
      <c r="F18" s="223" t="s">
        <v>64</v>
      </c>
      <c r="G18" s="418"/>
      <c r="H18" s="192"/>
      <c r="I18" s="419"/>
      <c r="J18" s="192"/>
      <c r="K18" s="419"/>
      <c r="L18" s="194"/>
      <c r="M18" s="195"/>
      <c r="N18" s="418"/>
      <c r="O18" s="196" t="s">
        <v>36</v>
      </c>
      <c r="P18" s="420" t="s">
        <v>37</v>
      </c>
      <c r="Q18" s="198" t="s">
        <v>37</v>
      </c>
      <c r="R18" s="418"/>
      <c r="S18" s="196" t="s">
        <v>36</v>
      </c>
      <c r="T18" s="421" t="s">
        <v>37</v>
      </c>
      <c r="U18" s="420" t="s">
        <v>37</v>
      </c>
      <c r="V18" s="200" t="s">
        <v>37</v>
      </c>
      <c r="W18" s="22"/>
      <c r="X18" s="18"/>
      <c r="Y18" s="407"/>
      <c r="Z18" s="79" t="s">
        <v>156</v>
      </c>
      <c r="AA18" s="80"/>
      <c r="AB18" s="81"/>
      <c r="AC18" s="81"/>
      <c r="AD18" s="81"/>
      <c r="AE18" s="82"/>
      <c r="AF18" s="308"/>
      <c r="AG18" s="84"/>
      <c r="AH18" s="85"/>
      <c r="AI18" s="85"/>
      <c r="AJ18" s="85"/>
      <c r="AK18" s="422"/>
      <c r="AL18" s="77"/>
      <c r="AM18" s="408"/>
      <c r="AN18" s="27"/>
    </row>
    <row r="19" spans="2:40" ht="10" customHeight="1" x14ac:dyDescent="0.45">
      <c r="B19" s="18"/>
      <c r="C19" s="87"/>
      <c r="D19" s="88"/>
      <c r="E19" s="242"/>
      <c r="F19" s="22"/>
      <c r="G19" s="242"/>
      <c r="H19" s="89"/>
      <c r="I19" s="423"/>
      <c r="J19" s="423"/>
      <c r="K19" s="423"/>
      <c r="L19" s="91"/>
      <c r="M19" s="92"/>
      <c r="N19" s="242"/>
      <c r="O19" s="93"/>
      <c r="P19" s="424"/>
      <c r="Q19" s="70"/>
      <c r="R19" s="242"/>
      <c r="S19" s="93"/>
      <c r="T19" s="424"/>
      <c r="U19" s="424"/>
      <c r="V19" s="95"/>
      <c r="W19" s="22"/>
      <c r="X19" s="18"/>
      <c r="Y19" s="407"/>
      <c r="Z19" s="96"/>
      <c r="AA19" s="97"/>
      <c r="AB19" s="425"/>
      <c r="AC19" s="425"/>
      <c r="AD19" s="425"/>
      <c r="AE19" s="99"/>
      <c r="AF19" s="242"/>
      <c r="AG19" s="97"/>
      <c r="AH19" s="426"/>
      <c r="AI19" s="425"/>
      <c r="AJ19" s="425"/>
      <c r="AK19" s="99"/>
      <c r="AL19" s="77"/>
      <c r="AM19" s="408"/>
      <c r="AN19" s="27"/>
    </row>
    <row r="20" spans="2:40" ht="17" thickBot="1" x14ac:dyDescent="0.5">
      <c r="B20" s="18"/>
      <c r="C20" s="100" t="s">
        <v>157</v>
      </c>
      <c r="D20" s="379">
        <f>IF(AND($D$15="Offline",$D$23&gt;0),$D$23,0)+D24+$D$25</f>
        <v>51</v>
      </c>
      <c r="E20" s="336" t="str">
        <f>IF(D20&gt;0,$D$10,0)</f>
        <v>202 mm</v>
      </c>
      <c r="F20" s="427" t="s">
        <v>172</v>
      </c>
      <c r="G20" s="242"/>
      <c r="H20" s="428">
        <v>0</v>
      </c>
      <c r="I20" s="429">
        <v>0</v>
      </c>
      <c r="J20" s="430">
        <v>0</v>
      </c>
      <c r="K20" s="430">
        <v>0</v>
      </c>
      <c r="L20" s="431"/>
      <c r="M20" s="101">
        <v>600</v>
      </c>
      <c r="N20" s="242"/>
      <c r="O20" s="432">
        <v>0</v>
      </c>
      <c r="P20" s="433">
        <v>0</v>
      </c>
      <c r="Q20" s="434">
        <f>O20*(M20/1000)</f>
        <v>0</v>
      </c>
      <c r="R20" s="242"/>
      <c r="S20" s="432">
        <v>0</v>
      </c>
      <c r="T20" s="435">
        <f>S20*(M20/1000)</f>
        <v>0</v>
      </c>
      <c r="U20" s="433">
        <v>0</v>
      </c>
      <c r="V20" s="436">
        <v>1</v>
      </c>
      <c r="W20" s="22"/>
      <c r="X20" s="18"/>
      <c r="Y20" s="407"/>
      <c r="Z20" s="102" t="s">
        <v>157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440"/>
      <c r="AG20" s="437">
        <f>$S20*$D20*($D$8/10000)</f>
        <v>0</v>
      </c>
      <c r="AH20" s="438">
        <f t="shared" ref="AH20" si="0">(D20*T20)*($D$8/10000)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408"/>
      <c r="AN20" s="27"/>
    </row>
    <row r="21" spans="2:40" ht="10" customHeight="1" thickBot="1" x14ac:dyDescent="0.5">
      <c r="B21" s="18"/>
      <c r="C21" s="87"/>
      <c r="D21" s="88"/>
      <c r="E21" s="242"/>
      <c r="F21" s="22"/>
      <c r="G21" s="242"/>
      <c r="H21" s="89"/>
      <c r="I21" s="423"/>
      <c r="J21" s="423"/>
      <c r="K21" s="423"/>
      <c r="L21" s="91"/>
      <c r="M21" s="92"/>
      <c r="N21" s="242"/>
      <c r="O21" s="93"/>
      <c r="P21" s="602"/>
      <c r="Q21" s="603"/>
      <c r="R21" s="242"/>
      <c r="S21" s="93"/>
      <c r="T21" s="424"/>
      <c r="U21" s="424"/>
      <c r="V21" s="95"/>
      <c r="W21" s="22"/>
      <c r="X21" s="18"/>
      <c r="Y21" s="407"/>
      <c r="Z21" s="96"/>
      <c r="AA21" s="443"/>
      <c r="AB21" s="444"/>
      <c r="AC21" s="444"/>
      <c r="AD21" s="444"/>
      <c r="AE21" s="445"/>
      <c r="AF21" s="446"/>
      <c r="AG21" s="443"/>
      <c r="AH21" s="444"/>
      <c r="AI21" s="444"/>
      <c r="AJ21" s="444"/>
      <c r="AK21" s="447"/>
      <c r="AL21" s="448"/>
      <c r="AM21" s="408"/>
      <c r="AN21" s="27"/>
    </row>
    <row r="22" spans="2:40" x14ac:dyDescent="0.45">
      <c r="B22" s="18"/>
      <c r="C22" s="807" t="s">
        <v>175</v>
      </c>
      <c r="D22" s="789"/>
      <c r="E22" s="417" t="s">
        <v>63</v>
      </c>
      <c r="F22" s="224" t="s">
        <v>64</v>
      </c>
      <c r="G22" s="418"/>
      <c r="H22" s="210" t="s">
        <v>2</v>
      </c>
      <c r="I22" s="211" t="s">
        <v>2</v>
      </c>
      <c r="J22" s="201" t="s">
        <v>2</v>
      </c>
      <c r="K22" s="449" t="s">
        <v>2</v>
      </c>
      <c r="L22" s="203" t="s">
        <v>2</v>
      </c>
      <c r="M22" s="204" t="s">
        <v>2</v>
      </c>
      <c r="N22" s="418"/>
      <c r="O22" s="212" t="s">
        <v>36</v>
      </c>
      <c r="P22" s="374" t="s">
        <v>37</v>
      </c>
      <c r="Q22" s="604" t="s">
        <v>37</v>
      </c>
      <c r="R22" s="418"/>
      <c r="S22" s="212" t="s">
        <v>36</v>
      </c>
      <c r="T22" s="215" t="s">
        <v>37</v>
      </c>
      <c r="U22" s="213"/>
      <c r="V22" s="216" t="s">
        <v>40</v>
      </c>
      <c r="W22" s="22"/>
      <c r="X22" s="18"/>
      <c r="Y22" s="407"/>
      <c r="Z22" s="136" t="s">
        <v>158</v>
      </c>
      <c r="AA22" s="467"/>
      <c r="AB22" s="468"/>
      <c r="AC22" s="468"/>
      <c r="AD22" s="468"/>
      <c r="AE22" s="469"/>
      <c r="AF22" s="440"/>
      <c r="AG22" s="470"/>
      <c r="AH22" s="468"/>
      <c r="AI22" s="468"/>
      <c r="AJ22" s="468"/>
      <c r="AK22" s="471"/>
      <c r="AL22" s="442"/>
      <c r="AM22" s="408"/>
      <c r="AN22" s="27"/>
    </row>
    <row r="23" spans="2:40" ht="15" customHeight="1" x14ac:dyDescent="0.45">
      <c r="B23" s="18"/>
      <c r="C23" s="104" t="s">
        <v>159</v>
      </c>
      <c r="D23" s="379">
        <f>IF($D$9="96 p. binnenwerk + 4 p. omslag",IF($D$15="Offline",49,0),0)</f>
        <v>49</v>
      </c>
      <c r="E23" s="336" t="str">
        <f t="shared" ref="E23:E25" si="1">IF(D23&gt;0,$D$10,0)</f>
        <v>202 mm</v>
      </c>
      <c r="F23" s="427" t="s">
        <v>172</v>
      </c>
      <c r="G23" s="242"/>
      <c r="H23" s="459">
        <v>0</v>
      </c>
      <c r="I23" s="430">
        <v>0</v>
      </c>
      <c r="J23" s="107" t="s">
        <v>38</v>
      </c>
      <c r="K23" s="107" t="s">
        <v>38</v>
      </c>
      <c r="L23" s="431"/>
      <c r="M23" s="101">
        <v>555</v>
      </c>
      <c r="N23" s="242"/>
      <c r="O23" s="432">
        <v>0</v>
      </c>
      <c r="P23" s="433">
        <v>0</v>
      </c>
      <c r="Q23" s="434">
        <f>O23*(M23/1000)</f>
        <v>0</v>
      </c>
      <c r="R23" s="242"/>
      <c r="S23" s="432">
        <v>0</v>
      </c>
      <c r="T23" s="435">
        <f>S23*(M23/1000)</f>
        <v>0</v>
      </c>
      <c r="U23" s="433">
        <v>0</v>
      </c>
      <c r="V23" s="472">
        <v>1</v>
      </c>
      <c r="W23" s="314">
        <f t="shared" ref="W23:W25" si="2">IF(D23&gt;0,1,0)+V23</f>
        <v>2</v>
      </c>
      <c r="X23" s="18"/>
      <c r="Y23" s="407"/>
      <c r="Z23" s="110" t="s">
        <v>159</v>
      </c>
      <c r="AA23" s="460">
        <f t="shared" ref="AA23:AA25" si="3">$O23*$D23</f>
        <v>0</v>
      </c>
      <c r="AB23" s="461">
        <f>$AA23*$M23/1000</f>
        <v>0</v>
      </c>
      <c r="AC23" s="461">
        <f t="shared" ref="AC23:AC25" si="4">$P23*$D23</f>
        <v>0</v>
      </c>
      <c r="AD23" s="461">
        <f>VLOOKUP($W23,$C$29:$P$35,$P$27,FALSE)*$D23</f>
        <v>0</v>
      </c>
      <c r="AE23" s="462">
        <f t="shared" ref="AE23:AE25" si="5">SUM(AB23:AD23)</f>
        <v>0</v>
      </c>
      <c r="AF23" s="440"/>
      <c r="AG23" s="460">
        <f>$S23*$D23*($D$8/10000)</f>
        <v>0</v>
      </c>
      <c r="AH23" s="461">
        <f t="shared" ref="AH23:AH25" si="6">(D23*T23)*($D$8/10000)</f>
        <v>0</v>
      </c>
      <c r="AI23" s="461">
        <f>($D23*$U23)*$D$8/10000</f>
        <v>0</v>
      </c>
      <c r="AJ23" s="461">
        <f>VLOOKUP($W23,$C$29:$U$35,$U$27,FALSE)*($D$8/10000)*$D23</f>
        <v>0</v>
      </c>
      <c r="AK23" s="463">
        <f t="shared" ref="AK23:AK25" si="7">SUM(AH23:AJ23)</f>
        <v>0</v>
      </c>
      <c r="AL23" s="442">
        <f>AE23+AK23</f>
        <v>0</v>
      </c>
      <c r="AM23" s="408"/>
      <c r="AN23" s="27"/>
    </row>
    <row r="24" spans="2:40" s="112" customFormat="1" ht="15" customHeight="1" x14ac:dyDescent="0.45">
      <c r="B24" s="18"/>
      <c r="C24" s="113" t="s">
        <v>176</v>
      </c>
      <c r="D24" s="380">
        <f>IF(D23&gt;0,1,0)</f>
        <v>1</v>
      </c>
      <c r="E24" s="336" t="str">
        <f t="shared" si="1"/>
        <v>202 mm</v>
      </c>
      <c r="F24" s="427" t="s">
        <v>172</v>
      </c>
      <c r="G24" s="242"/>
      <c r="H24" s="459">
        <v>0</v>
      </c>
      <c r="I24" s="430">
        <v>0</v>
      </c>
      <c r="J24" s="111" t="s">
        <v>38</v>
      </c>
      <c r="K24" s="111" t="s">
        <v>38</v>
      </c>
      <c r="L24" s="431"/>
      <c r="M24" s="101">
        <v>555</v>
      </c>
      <c r="N24" s="242"/>
      <c r="O24" s="432">
        <v>0</v>
      </c>
      <c r="P24" s="433">
        <v>0</v>
      </c>
      <c r="Q24" s="434">
        <f t="shared" ref="Q24:Q25" si="8">O24*M24/1000</f>
        <v>0</v>
      </c>
      <c r="R24" s="242"/>
      <c r="S24" s="432">
        <v>0</v>
      </c>
      <c r="T24" s="435">
        <f t="shared" ref="T24:T25" si="9">S24*M24/1000</f>
        <v>0</v>
      </c>
      <c r="U24" s="433">
        <v>0</v>
      </c>
      <c r="V24" s="472">
        <v>1</v>
      </c>
      <c r="W24" s="314">
        <f t="shared" si="2"/>
        <v>2</v>
      </c>
      <c r="X24" s="18"/>
      <c r="Y24" s="407"/>
      <c r="Z24" s="116" t="s">
        <v>176</v>
      </c>
      <c r="AA24" s="460">
        <f t="shared" si="3"/>
        <v>0</v>
      </c>
      <c r="AB24" s="461">
        <f t="shared" ref="AB24:AB25" si="10">$AA24*$M24/1000</f>
        <v>0</v>
      </c>
      <c r="AC24" s="461">
        <f t="shared" si="4"/>
        <v>0</v>
      </c>
      <c r="AD24" s="461">
        <f>VLOOKUP($W24,$C$29:$P$35,$P$27,FALSE)*$D24</f>
        <v>0</v>
      </c>
      <c r="AE24" s="462">
        <f t="shared" si="5"/>
        <v>0</v>
      </c>
      <c r="AF24" s="440"/>
      <c r="AG24" s="460">
        <f t="shared" ref="AG24:AG25" si="11">$S24*$D24*($D$8/10000)</f>
        <v>0</v>
      </c>
      <c r="AH24" s="461">
        <f t="shared" si="6"/>
        <v>0</v>
      </c>
      <c r="AI24" s="461">
        <f t="shared" ref="AI24:AI25" si="12">($D24*$U24)*$D$8/10000</f>
        <v>0</v>
      </c>
      <c r="AJ24" s="461">
        <f>VLOOKUP($W24,$C$29:$U$35,$U$27,FALSE)*($D$8/10000)*$D24</f>
        <v>0</v>
      </c>
      <c r="AK24" s="463">
        <f t="shared" si="7"/>
        <v>0</v>
      </c>
      <c r="AL24" s="442">
        <f>AE24+AK24</f>
        <v>0</v>
      </c>
      <c r="AM24" s="473"/>
      <c r="AN24" s="118"/>
    </row>
    <row r="25" spans="2:40" s="112" customFormat="1" ht="15" customHeight="1" thickBot="1" x14ac:dyDescent="0.5">
      <c r="B25" s="18"/>
      <c r="C25" s="119" t="s">
        <v>177</v>
      </c>
      <c r="D25" s="381">
        <f>IF(D24&gt;0,1,0)</f>
        <v>1</v>
      </c>
      <c r="E25" s="336" t="str">
        <f t="shared" si="1"/>
        <v>202 mm</v>
      </c>
      <c r="F25" s="427" t="s">
        <v>172</v>
      </c>
      <c r="G25" s="242"/>
      <c r="H25" s="474">
        <v>0</v>
      </c>
      <c r="I25" s="475">
        <v>0</v>
      </c>
      <c r="J25" s="122" t="s">
        <v>38</v>
      </c>
      <c r="K25" s="122" t="s">
        <v>38</v>
      </c>
      <c r="L25" s="476"/>
      <c r="M25" s="123">
        <v>555</v>
      </c>
      <c r="N25" s="242"/>
      <c r="O25" s="477">
        <v>0</v>
      </c>
      <c r="P25" s="478">
        <v>0</v>
      </c>
      <c r="Q25" s="479">
        <f t="shared" si="8"/>
        <v>0</v>
      </c>
      <c r="R25" s="242"/>
      <c r="S25" s="477">
        <v>0</v>
      </c>
      <c r="T25" s="480">
        <f t="shared" si="9"/>
        <v>0</v>
      </c>
      <c r="U25" s="478">
        <v>0</v>
      </c>
      <c r="V25" s="481">
        <v>1</v>
      </c>
      <c r="W25" s="314">
        <f t="shared" si="2"/>
        <v>2</v>
      </c>
      <c r="X25" s="18"/>
      <c r="Y25" s="407"/>
      <c r="Z25" s="126" t="s">
        <v>177</v>
      </c>
      <c r="AA25" s="437">
        <f t="shared" si="3"/>
        <v>0</v>
      </c>
      <c r="AB25" s="438">
        <f t="shared" si="10"/>
        <v>0</v>
      </c>
      <c r="AC25" s="438">
        <f t="shared" si="4"/>
        <v>0</v>
      </c>
      <c r="AD25" s="438">
        <f>VLOOKUP($W25,$C$29:$P$35,$P$27,FALSE)*$D25</f>
        <v>0</v>
      </c>
      <c r="AE25" s="439">
        <f t="shared" si="5"/>
        <v>0</v>
      </c>
      <c r="AF25" s="440"/>
      <c r="AG25" s="437">
        <f t="shared" si="11"/>
        <v>0</v>
      </c>
      <c r="AH25" s="438">
        <f t="shared" si="6"/>
        <v>0</v>
      </c>
      <c r="AI25" s="438">
        <f t="shared" si="12"/>
        <v>0</v>
      </c>
      <c r="AJ25" s="438">
        <f>VLOOKUP($W25,$C$29:$U$35,$U$27,FALSE)*($D$8/10000)*$D25</f>
        <v>0</v>
      </c>
      <c r="AK25" s="441">
        <f t="shared" si="7"/>
        <v>0</v>
      </c>
      <c r="AL25" s="442">
        <f t="shared" ref="AL25" si="13">AE25+AK25</f>
        <v>0</v>
      </c>
      <c r="AM25" s="473"/>
      <c r="AN25" s="118"/>
    </row>
    <row r="26" spans="2:40" ht="15.65" customHeight="1" thickBot="1" x14ac:dyDescent="0.5">
      <c r="B26" s="18"/>
      <c r="C26" s="140"/>
      <c r="D26" s="241"/>
      <c r="E26" s="242"/>
      <c r="F26" s="242"/>
      <c r="G26" s="242"/>
      <c r="H26" s="241"/>
      <c r="I26" s="241"/>
      <c r="J26" s="241"/>
      <c r="K26" s="241"/>
      <c r="L26" s="241"/>
      <c r="M26" s="393"/>
      <c r="N26" s="242"/>
      <c r="O26" s="251"/>
      <c r="P26" s="251"/>
      <c r="Q26" s="251"/>
      <c r="R26" s="242"/>
      <c r="S26" s="130"/>
      <c r="T26" s="251"/>
      <c r="U26" s="251"/>
      <c r="V26" s="141"/>
      <c r="W26" s="22"/>
      <c r="X26" s="18"/>
      <c r="Y26" s="407"/>
      <c r="Z26" s="242"/>
      <c r="AA26" s="482"/>
      <c r="AB26" s="465"/>
      <c r="AC26" s="465"/>
      <c r="AD26" s="465"/>
      <c r="AE26" s="466"/>
      <c r="AF26" s="483"/>
      <c r="AG26" s="482"/>
      <c r="AH26" s="465"/>
      <c r="AI26" s="465"/>
      <c r="AJ26" s="465"/>
      <c r="AK26" s="463"/>
      <c r="AL26" s="442"/>
      <c r="AM26" s="408"/>
      <c r="AN26" s="27"/>
    </row>
    <row r="27" spans="2:40" ht="20.5" customHeight="1" thickBot="1" x14ac:dyDescent="0.5">
      <c r="B27" s="18"/>
      <c r="C27" s="788" t="s">
        <v>178</v>
      </c>
      <c r="D27" s="790"/>
      <c r="E27" s="790"/>
      <c r="F27" s="790"/>
      <c r="G27" s="790"/>
      <c r="H27" s="790"/>
      <c r="I27" s="790"/>
      <c r="J27" s="143"/>
      <c r="K27" s="143"/>
      <c r="L27" s="143"/>
      <c r="M27" s="143"/>
      <c r="N27" s="143"/>
      <c r="O27" s="142"/>
      <c r="P27" s="144">
        <v>14</v>
      </c>
      <c r="Q27" s="145"/>
      <c r="R27" s="143"/>
      <c r="S27" s="142"/>
      <c r="T27" s="143"/>
      <c r="U27" s="144">
        <v>19</v>
      </c>
      <c r="V27" s="145"/>
      <c r="W27" s="22"/>
      <c r="X27" s="18"/>
      <c r="Y27" s="407"/>
      <c r="Z27" s="142" t="str">
        <f>C37</f>
        <v>Extra bewerkingen (Pluspropositie):</v>
      </c>
      <c r="AA27" s="484"/>
      <c r="AB27" s="485"/>
      <c r="AC27" s="485"/>
      <c r="AD27" s="485"/>
      <c r="AE27" s="486"/>
      <c r="AF27" s="487"/>
      <c r="AG27" s="488"/>
      <c r="AH27" s="485"/>
      <c r="AI27" s="485"/>
      <c r="AJ27" s="485"/>
      <c r="AK27" s="489"/>
      <c r="AL27" s="490"/>
      <c r="AM27" s="408"/>
      <c r="AN27" s="27"/>
    </row>
    <row r="28" spans="2:40" ht="32.5" customHeight="1" x14ac:dyDescent="0.45">
      <c r="B28" s="18"/>
      <c r="C28" s="254" t="s">
        <v>41</v>
      </c>
      <c r="D28" s="393"/>
      <c r="E28" s="242"/>
      <c r="F28" s="242"/>
      <c r="G28" s="242"/>
      <c r="H28" s="316"/>
      <c r="I28" s="316"/>
      <c r="J28" s="393"/>
      <c r="K28" s="393"/>
      <c r="L28" s="393"/>
      <c r="M28" s="393"/>
      <c r="N28" s="242"/>
      <c r="O28" s="791" t="s">
        <v>42</v>
      </c>
      <c r="P28" s="796"/>
      <c r="Q28" s="793"/>
      <c r="R28" s="251"/>
      <c r="S28" s="146"/>
      <c r="T28" s="13"/>
      <c r="U28" s="221" t="s">
        <v>43</v>
      </c>
      <c r="V28" s="147"/>
      <c r="W28" s="22"/>
      <c r="X28" s="18"/>
      <c r="Y28" s="407"/>
      <c r="Z28" s="234"/>
      <c r="AA28" s="491"/>
      <c r="AB28" s="492"/>
      <c r="AC28" s="492"/>
      <c r="AD28" s="492"/>
      <c r="AE28" s="493"/>
      <c r="AF28" s="494"/>
      <c r="AG28" s="495"/>
      <c r="AH28" s="492"/>
      <c r="AI28" s="492"/>
      <c r="AJ28" s="492"/>
      <c r="AK28" s="493"/>
      <c r="AL28" s="442"/>
      <c r="AM28" s="408"/>
      <c r="AN28" s="27"/>
    </row>
    <row r="29" spans="2:40" ht="18" x14ac:dyDescent="0.5">
      <c r="B29" s="18"/>
      <c r="C29" s="149">
        <v>1</v>
      </c>
      <c r="D29" s="241"/>
      <c r="E29" s="242"/>
      <c r="F29" s="242"/>
      <c r="G29" s="242"/>
      <c r="H29" s="241"/>
      <c r="I29" s="241"/>
      <c r="J29" s="241"/>
      <c r="K29" s="241"/>
      <c r="L29" s="241"/>
      <c r="M29" s="241"/>
      <c r="N29" s="241"/>
      <c r="O29" s="130"/>
      <c r="P29" s="496">
        <v>0</v>
      </c>
      <c r="Q29" s="134"/>
      <c r="R29" s="251"/>
      <c r="S29" s="130"/>
      <c r="T29" s="251"/>
      <c r="U29" s="496">
        <v>0</v>
      </c>
      <c r="V29" s="134"/>
      <c r="W29" s="22"/>
      <c r="X29" s="18"/>
      <c r="Y29" s="407"/>
      <c r="Z29" s="150" t="str">
        <f>C39</f>
        <v>Meehechten extra katern / insert / outsert</v>
      </c>
      <c r="AA29" s="491"/>
      <c r="AB29" s="492"/>
      <c r="AC29" s="497"/>
      <c r="AD29" s="696">
        <f>D39*P39</f>
        <v>0</v>
      </c>
      <c r="AE29" s="697">
        <f>AD29</f>
        <v>0</v>
      </c>
      <c r="AF29" s="698"/>
      <c r="AG29" s="699"/>
      <c r="AH29" s="700"/>
      <c r="AI29" s="701"/>
      <c r="AJ29" s="701">
        <f>(E39/10000)*U39*D39</f>
        <v>0</v>
      </c>
      <c r="AK29" s="702">
        <f>AJ29</f>
        <v>0</v>
      </c>
      <c r="AL29" s="442">
        <f>AE29+AK29</f>
        <v>0</v>
      </c>
      <c r="AM29" s="408"/>
      <c r="AN29" s="27"/>
    </row>
    <row r="30" spans="2:40" ht="18" x14ac:dyDescent="0.5">
      <c r="B30" s="18"/>
      <c r="C30" s="151">
        <v>2</v>
      </c>
      <c r="D30" s="241"/>
      <c r="E30" s="242"/>
      <c r="F30" s="242"/>
      <c r="G30" s="242"/>
      <c r="H30" s="241"/>
      <c r="I30" s="241"/>
      <c r="J30" s="241"/>
      <c r="K30" s="241"/>
      <c r="L30" s="241"/>
      <c r="M30" s="393"/>
      <c r="N30" s="242"/>
      <c r="O30" s="130"/>
      <c r="P30" s="496">
        <v>0</v>
      </c>
      <c r="Q30" s="134"/>
      <c r="R30" s="251"/>
      <c r="S30" s="130"/>
      <c r="T30" s="251"/>
      <c r="U30" s="496">
        <v>0</v>
      </c>
      <c r="V30" s="134"/>
      <c r="W30" s="22"/>
      <c r="X30" s="18"/>
      <c r="Y30" s="407"/>
      <c r="Z30" s="148" t="str">
        <f>C40</f>
        <v>Meehechten via plano oplegstation (outsert)</v>
      </c>
      <c r="AA30" s="504"/>
      <c r="AB30" s="505"/>
      <c r="AC30" s="506"/>
      <c r="AD30" s="703">
        <f>$D40*$P40</f>
        <v>0</v>
      </c>
      <c r="AE30" s="704">
        <f>AD30</f>
        <v>0</v>
      </c>
      <c r="AF30" s="705"/>
      <c r="AG30" s="706"/>
      <c r="AH30" s="707"/>
      <c r="AI30" s="708"/>
      <c r="AJ30" s="701">
        <f>(E40/10000)*U40*D40</f>
        <v>0</v>
      </c>
      <c r="AK30" s="709">
        <f>AJ30</f>
        <v>0</v>
      </c>
      <c r="AL30" s="442">
        <f>AE30+AK30</f>
        <v>0</v>
      </c>
      <c r="AM30" s="408"/>
      <c r="AN30" s="27"/>
    </row>
    <row r="31" spans="2:40" ht="18" x14ac:dyDescent="0.5">
      <c r="B31" s="18"/>
      <c r="C31" s="149">
        <v>3</v>
      </c>
      <c r="D31" s="241"/>
      <c r="E31" s="242"/>
      <c r="F31" s="242"/>
      <c r="G31" s="242"/>
      <c r="H31" s="241"/>
      <c r="I31" s="241"/>
      <c r="J31" s="241"/>
      <c r="K31" s="241"/>
      <c r="L31" s="241"/>
      <c r="M31" s="393"/>
      <c r="N31" s="242"/>
      <c r="O31" s="130"/>
      <c r="P31" s="496">
        <v>0</v>
      </c>
      <c r="Q31" s="134"/>
      <c r="R31" s="251"/>
      <c r="S31" s="130"/>
      <c r="T31" s="251"/>
      <c r="U31" s="496">
        <v>0</v>
      </c>
      <c r="V31" s="134"/>
      <c r="W31" s="22"/>
      <c r="X31" s="18"/>
      <c r="Y31" s="407"/>
      <c r="Z31" s="150" t="str">
        <f>C41</f>
        <v>Plakkaart (op katernscheiding)</v>
      </c>
      <c r="AA31" s="504"/>
      <c r="AB31" s="505"/>
      <c r="AC31" s="506"/>
      <c r="AD31" s="703">
        <f>$D41*$P41</f>
        <v>0</v>
      </c>
      <c r="AE31" s="704">
        <f>AD31</f>
        <v>0</v>
      </c>
      <c r="AF31" s="705"/>
      <c r="AG31" s="706"/>
      <c r="AH31" s="707"/>
      <c r="AI31" s="708"/>
      <c r="AJ31" s="701">
        <f>(E41/10000)*U41*D41</f>
        <v>0</v>
      </c>
      <c r="AK31" s="709">
        <f>AJ31</f>
        <v>0</v>
      </c>
      <c r="AL31" s="442">
        <f>AE31+AK31</f>
        <v>0</v>
      </c>
      <c r="AM31" s="408"/>
      <c r="AN31" s="27"/>
    </row>
    <row r="32" spans="2:40" ht="18" x14ac:dyDescent="0.5">
      <c r="B32" s="18"/>
      <c r="C32" s="151">
        <v>4</v>
      </c>
      <c r="D32" s="241"/>
      <c r="E32" s="242"/>
      <c r="F32" s="242"/>
      <c r="G32" s="242"/>
      <c r="H32" s="241"/>
      <c r="I32" s="241"/>
      <c r="J32" s="241"/>
      <c r="K32" s="241"/>
      <c r="L32" s="241"/>
      <c r="M32" s="393"/>
      <c r="N32" s="242"/>
      <c r="O32" s="130"/>
      <c r="P32" s="496">
        <v>0</v>
      </c>
      <c r="Q32" s="134"/>
      <c r="R32" s="251"/>
      <c r="S32" s="130"/>
      <c r="T32" s="251"/>
      <c r="U32" s="496">
        <v>0</v>
      </c>
      <c r="V32" s="134"/>
      <c r="W32" s="22"/>
      <c r="X32" s="18"/>
      <c r="Y32" s="407"/>
      <c r="Z32" s="148" t="str">
        <f>C42</f>
        <v xml:space="preserve">Insteekkaart, kaart los insteken tijdens hechten (willekeurig) </v>
      </c>
      <c r="AA32" s="513"/>
      <c r="AB32" s="505"/>
      <c r="AC32" s="506"/>
      <c r="AD32" s="703">
        <f>$D42*$P42</f>
        <v>0</v>
      </c>
      <c r="AE32" s="704">
        <f>AD32</f>
        <v>0</v>
      </c>
      <c r="AF32" s="705"/>
      <c r="AG32" s="706"/>
      <c r="AH32" s="707"/>
      <c r="AI32" s="708"/>
      <c r="AJ32" s="701">
        <f>(E42/10000)*U42*D42</f>
        <v>0</v>
      </c>
      <c r="AK32" s="709">
        <f>AJ32</f>
        <v>0</v>
      </c>
      <c r="AL32" s="442">
        <f>AE32+AK32</f>
        <v>0</v>
      </c>
      <c r="AM32" s="408"/>
      <c r="AN32" s="27"/>
    </row>
    <row r="33" spans="1:40" ht="17" thickBot="1" x14ac:dyDescent="0.5">
      <c r="B33" s="18"/>
      <c r="C33" s="149">
        <v>5</v>
      </c>
      <c r="D33" s="241"/>
      <c r="E33" s="242"/>
      <c r="F33" s="242"/>
      <c r="G33" s="242"/>
      <c r="H33" s="241"/>
      <c r="I33" s="241"/>
      <c r="J33" s="241"/>
      <c r="K33" s="241"/>
      <c r="L33" s="241"/>
      <c r="M33" s="393"/>
      <c r="N33" s="242"/>
      <c r="O33" s="130"/>
      <c r="P33" s="496">
        <v>0</v>
      </c>
      <c r="Q33" s="134"/>
      <c r="R33" s="251"/>
      <c r="S33" s="130"/>
      <c r="T33" s="251"/>
      <c r="U33" s="496">
        <v>0</v>
      </c>
      <c r="V33" s="134"/>
      <c r="W33" s="22"/>
      <c r="X33" s="18"/>
      <c r="Y33" s="407"/>
      <c r="Z33" s="242"/>
      <c r="AA33" s="514"/>
      <c r="AB33" s="515"/>
      <c r="AC33" s="515"/>
      <c r="AD33" s="515"/>
      <c r="AE33" s="710"/>
      <c r="AF33" s="494"/>
      <c r="AG33" s="711"/>
      <c r="AH33" s="712"/>
      <c r="AI33" s="712"/>
      <c r="AJ33" s="712"/>
      <c r="AK33" s="710"/>
      <c r="AL33" s="442"/>
      <c r="AM33" s="408"/>
      <c r="AN33" s="27"/>
    </row>
    <row r="34" spans="1:40" ht="20.5" customHeight="1" x14ac:dyDescent="0.45">
      <c r="B34" s="18"/>
      <c r="C34" s="149">
        <v>6</v>
      </c>
      <c r="D34" s="241"/>
      <c r="E34" s="242"/>
      <c r="F34" s="242"/>
      <c r="G34" s="242"/>
      <c r="H34" s="241"/>
      <c r="I34" s="241"/>
      <c r="J34" s="241"/>
      <c r="K34" s="241"/>
      <c r="L34" s="241"/>
      <c r="M34" s="393"/>
      <c r="N34" s="242"/>
      <c r="O34" s="130"/>
      <c r="P34" s="496">
        <v>0</v>
      </c>
      <c r="Q34" s="134"/>
      <c r="R34" s="251"/>
      <c r="S34" s="130"/>
      <c r="T34" s="251"/>
      <c r="U34" s="496">
        <v>0</v>
      </c>
      <c r="V34" s="134"/>
      <c r="W34" s="22"/>
      <c r="X34" s="18"/>
      <c r="Y34" s="407"/>
      <c r="Z34" s="142" t="s">
        <v>84</v>
      </c>
      <c r="AA34" s="520"/>
      <c r="AB34" s="521"/>
      <c r="AC34" s="521"/>
      <c r="AD34" s="521"/>
      <c r="AE34" s="713"/>
      <c r="AF34" s="494"/>
      <c r="AG34" s="714"/>
      <c r="AH34" s="715"/>
      <c r="AI34" s="715"/>
      <c r="AJ34" s="715"/>
      <c r="AK34" s="715"/>
      <c r="AL34" s="442"/>
      <c r="AM34" s="408"/>
      <c r="AN34" s="27"/>
    </row>
    <row r="35" spans="1:40" ht="18.5" thickBot="1" x14ac:dyDescent="0.55000000000000004">
      <c r="B35" s="18"/>
      <c r="C35" s="157">
        <v>7</v>
      </c>
      <c r="D35" s="158"/>
      <c r="E35" s="158"/>
      <c r="F35" s="158"/>
      <c r="G35" s="158"/>
      <c r="H35" s="158"/>
      <c r="I35" s="158"/>
      <c r="J35" s="158"/>
      <c r="K35" s="158"/>
      <c r="L35" s="158"/>
      <c r="M35" s="159"/>
      <c r="N35" s="158"/>
      <c r="O35" s="160"/>
      <c r="P35" s="526">
        <v>0</v>
      </c>
      <c r="Q35" s="161"/>
      <c r="R35" s="158"/>
      <c r="S35" s="160"/>
      <c r="T35" s="162"/>
      <c r="U35" s="527">
        <v>0</v>
      </c>
      <c r="V35" s="163"/>
      <c r="W35" s="22"/>
      <c r="X35" s="18"/>
      <c r="Y35" s="407"/>
      <c r="Z35" s="152" t="s">
        <v>85</v>
      </c>
      <c r="AA35" s="513"/>
      <c r="AB35" s="505"/>
      <c r="AC35" s="506"/>
      <c r="AD35" s="703">
        <f>$D44*$P44</f>
        <v>0</v>
      </c>
      <c r="AE35" s="704">
        <f>AD35</f>
        <v>0</v>
      </c>
      <c r="AF35" s="705"/>
      <c r="AG35" s="706"/>
      <c r="AH35" s="707"/>
      <c r="AI35" s="708"/>
      <c r="AJ35" s="716">
        <f>(E42/10000)*U44*D44</f>
        <v>0</v>
      </c>
      <c r="AK35" s="709">
        <f>AJ35</f>
        <v>0</v>
      </c>
      <c r="AL35" s="442">
        <f>AE35+AK35</f>
        <v>0</v>
      </c>
      <c r="AM35" s="408"/>
      <c r="AN35" s="27"/>
    </row>
    <row r="36" spans="1:40" ht="10" customHeight="1" thickBot="1" x14ac:dyDescent="0.5">
      <c r="B36" s="18"/>
      <c r="C36" s="164"/>
      <c r="D36" s="241"/>
      <c r="E36" s="242"/>
      <c r="F36" s="242"/>
      <c r="G36" s="242"/>
      <c r="H36" s="241"/>
      <c r="I36" s="241"/>
      <c r="J36" s="241"/>
      <c r="K36" s="241"/>
      <c r="L36" s="241"/>
      <c r="M36" s="393"/>
      <c r="N36" s="242"/>
      <c r="O36" s="130"/>
      <c r="P36" s="251"/>
      <c r="Q36" s="134"/>
      <c r="R36" s="242"/>
      <c r="S36" s="130"/>
      <c r="T36" s="251"/>
      <c r="U36" s="251"/>
      <c r="V36" s="132"/>
      <c r="W36" s="22"/>
      <c r="X36" s="18"/>
      <c r="Y36" s="407"/>
      <c r="Z36" s="242"/>
      <c r="AA36" s="514"/>
      <c r="AB36" s="515"/>
      <c r="AC36" s="515"/>
      <c r="AD36" s="515"/>
      <c r="AE36" s="710"/>
      <c r="AF36" s="494"/>
      <c r="AG36" s="711"/>
      <c r="AH36" s="515"/>
      <c r="AI36" s="515"/>
      <c r="AJ36" s="515"/>
      <c r="AK36" s="515"/>
      <c r="AL36" s="442"/>
      <c r="AM36" s="408"/>
      <c r="AN36" s="27"/>
    </row>
    <row r="37" spans="1:40" ht="35.5" customHeight="1" x14ac:dyDescent="0.5">
      <c r="B37" s="18"/>
      <c r="C37" s="142" t="s">
        <v>45</v>
      </c>
      <c r="D37" s="217" t="s">
        <v>19</v>
      </c>
      <c r="E37" s="217" t="s">
        <v>83</v>
      </c>
      <c r="F37" s="217"/>
      <c r="G37" s="217"/>
      <c r="H37" s="217"/>
      <c r="I37" s="217"/>
      <c r="J37" s="217"/>
      <c r="K37" s="217"/>
      <c r="L37" s="217"/>
      <c r="M37" s="217"/>
      <c r="N37" s="217"/>
      <c r="O37" s="782" t="s">
        <v>129</v>
      </c>
      <c r="P37" s="782"/>
      <c r="Q37" s="783"/>
      <c r="R37" s="217"/>
      <c r="S37" s="218"/>
      <c r="T37" s="217"/>
      <c r="U37" s="219" t="s">
        <v>46</v>
      </c>
      <c r="V37" s="220"/>
      <c r="W37" s="22"/>
      <c r="X37" s="18"/>
      <c r="Y37" s="407"/>
      <c r="Z37" s="142" t="s">
        <v>86</v>
      </c>
      <c r="AA37" s="529"/>
      <c r="AB37" s="505"/>
      <c r="AC37" s="506"/>
      <c r="AD37" s="703"/>
      <c r="AE37" s="704"/>
      <c r="AF37" s="705"/>
      <c r="AG37" s="706"/>
      <c r="AH37" s="707"/>
      <c r="AI37" s="708"/>
      <c r="AJ37" s="716"/>
      <c r="AK37" s="709"/>
      <c r="AL37" s="442"/>
      <c r="AM37" s="408"/>
      <c r="AN37" s="27"/>
    </row>
    <row r="38" spans="1:40" ht="18" customHeight="1" thickBot="1" x14ac:dyDescent="0.55000000000000004">
      <c r="B38" s="240"/>
      <c r="C38" s="235" t="s">
        <v>80</v>
      </c>
      <c r="D38" s="166">
        <f>D5</f>
        <v>51</v>
      </c>
      <c r="E38" s="243">
        <f>D59</f>
        <v>50500</v>
      </c>
      <c r="F38" s="530" t="s">
        <v>214</v>
      </c>
      <c r="G38" s="242"/>
      <c r="H38" s="241"/>
      <c r="I38" s="241"/>
      <c r="J38" s="241"/>
      <c r="K38" s="241"/>
      <c r="L38" s="241"/>
      <c r="M38" s="393"/>
      <c r="N38" s="241"/>
      <c r="O38" s="130"/>
      <c r="P38" s="531"/>
      <c r="Q38" s="134"/>
      <c r="R38" s="251"/>
      <c r="S38" s="130"/>
      <c r="T38" s="251"/>
      <c r="U38" s="531"/>
      <c r="V38" s="167"/>
      <c r="W38" s="22"/>
      <c r="X38" s="18"/>
      <c r="Y38" s="408"/>
      <c r="Z38" s="233" t="str">
        <f>C46</f>
        <v>Transportkosten (1 adres in Nederland)</v>
      </c>
      <c r="AA38" s="532"/>
      <c r="AB38" s="533"/>
      <c r="AC38" s="534"/>
      <c r="AD38" s="717">
        <f>$D46*$P46</f>
        <v>0</v>
      </c>
      <c r="AE38" s="718">
        <f>AD38</f>
        <v>0</v>
      </c>
      <c r="AF38" s="719"/>
      <c r="AG38" s="720"/>
      <c r="AH38" s="721"/>
      <c r="AI38" s="722"/>
      <c r="AJ38" s="723">
        <f>(E46/10000)*U46</f>
        <v>0</v>
      </c>
      <c r="AK38" s="724">
        <f>AJ38</f>
        <v>0</v>
      </c>
      <c r="AL38" s="542">
        <f>AE38+AK38</f>
        <v>0</v>
      </c>
      <c r="AM38" s="408"/>
      <c r="AN38" s="27"/>
    </row>
    <row r="39" spans="1:40" ht="16.5" customHeight="1" thickBot="1" x14ac:dyDescent="0.55000000000000004">
      <c r="B39" s="18"/>
      <c r="C39" s="235" t="s">
        <v>47</v>
      </c>
      <c r="D39" s="166">
        <v>11</v>
      </c>
      <c r="E39" s="243">
        <v>37000</v>
      </c>
      <c r="F39" s="242"/>
      <c r="G39" s="242"/>
      <c r="H39" s="241"/>
      <c r="I39" s="241"/>
      <c r="J39" s="241"/>
      <c r="K39" s="241"/>
      <c r="L39" s="241"/>
      <c r="M39" s="393"/>
      <c r="N39" s="241"/>
      <c r="O39" s="130"/>
      <c r="P39" s="543">
        <v>0</v>
      </c>
      <c r="Q39" s="134"/>
      <c r="R39" s="251"/>
      <c r="S39" s="130"/>
      <c r="T39" s="251"/>
      <c r="U39" s="543">
        <v>0</v>
      </c>
      <c r="V39" s="167"/>
      <c r="W39" s="22"/>
      <c r="X39" s="18"/>
      <c r="Y39" s="408"/>
      <c r="Z39" s="544"/>
      <c r="AA39" s="291"/>
      <c r="AB39" s="545"/>
      <c r="AC39" s="350"/>
      <c r="AD39" s="351"/>
      <c r="AE39" s="352"/>
      <c r="AF39" s="546"/>
      <c r="AG39" s="546"/>
      <c r="AH39" s="547"/>
      <c r="AI39" s="548"/>
      <c r="AJ39" s="548"/>
      <c r="AK39" s="356"/>
      <c r="AL39" s="357"/>
      <c r="AM39" s="408"/>
      <c r="AN39" s="27"/>
    </row>
    <row r="40" spans="1:40" ht="16.5" customHeight="1" x14ac:dyDescent="0.45">
      <c r="B40" s="18"/>
      <c r="C40" s="168" t="s">
        <v>48</v>
      </c>
      <c r="D40" s="166">
        <v>1</v>
      </c>
      <c r="E40" s="243">
        <v>55000</v>
      </c>
      <c r="F40" s="242"/>
      <c r="G40" s="242"/>
      <c r="H40" s="241"/>
      <c r="I40" s="241"/>
      <c r="J40" s="241"/>
      <c r="K40" s="241"/>
      <c r="L40" s="241"/>
      <c r="M40" s="393"/>
      <c r="N40" s="241"/>
      <c r="O40" s="130"/>
      <c r="P40" s="543">
        <v>0</v>
      </c>
      <c r="Q40" s="134"/>
      <c r="R40" s="251"/>
      <c r="S40" s="130"/>
      <c r="T40" s="251"/>
      <c r="U40" s="543">
        <v>0</v>
      </c>
      <c r="V40" s="167"/>
      <c r="W40" s="22"/>
      <c r="X40" s="18"/>
      <c r="Y40" s="408"/>
      <c r="Z40" s="142" t="s">
        <v>122</v>
      </c>
      <c r="AA40" s="15"/>
      <c r="AB40" s="319"/>
      <c r="AC40" s="319"/>
      <c r="AD40" s="319"/>
      <c r="AE40" s="319"/>
      <c r="AF40" s="10"/>
      <c r="AG40" s="16"/>
      <c r="AH40" s="319"/>
      <c r="AI40" s="319"/>
      <c r="AJ40" s="319"/>
      <c r="AK40" s="319"/>
      <c r="AL40" s="329"/>
      <c r="AM40" s="408"/>
      <c r="AN40" s="27"/>
    </row>
    <row r="41" spans="1:40" ht="16.5" customHeight="1" x14ac:dyDescent="0.45">
      <c r="B41" s="18"/>
      <c r="C41" s="168" t="s">
        <v>49</v>
      </c>
      <c r="D41" s="166">
        <v>51</v>
      </c>
      <c r="E41" s="243">
        <v>20000</v>
      </c>
      <c r="F41" s="242"/>
      <c r="G41" s="242"/>
      <c r="H41" s="241"/>
      <c r="I41" s="241"/>
      <c r="J41" s="241"/>
      <c r="K41" s="241"/>
      <c r="L41" s="241"/>
      <c r="M41" s="393"/>
      <c r="N41" s="241"/>
      <c r="O41" s="130"/>
      <c r="P41" s="543">
        <v>0</v>
      </c>
      <c r="Q41" s="134"/>
      <c r="R41" s="251"/>
      <c r="S41" s="130"/>
      <c r="T41" s="251"/>
      <c r="U41" s="543">
        <v>0</v>
      </c>
      <c r="V41" s="167"/>
      <c r="W41" s="22"/>
      <c r="X41" s="18"/>
      <c r="Y41" s="408"/>
      <c r="Z41" s="18"/>
      <c r="AA41" s="165"/>
      <c r="AB41" s="320"/>
      <c r="AC41" s="324"/>
      <c r="AD41" s="324"/>
      <c r="AE41" s="320"/>
      <c r="AF41" s="308"/>
      <c r="AG41" s="165"/>
      <c r="AH41" s="320"/>
      <c r="AI41" s="320"/>
      <c r="AJ41" s="320"/>
      <c r="AK41" s="318"/>
      <c r="AL41" s="330"/>
      <c r="AM41" s="408"/>
      <c r="AN41" s="27"/>
    </row>
    <row r="42" spans="1:40" ht="16.5" customHeight="1" thickBot="1" x14ac:dyDescent="0.5">
      <c r="B42" s="18"/>
      <c r="C42" s="168" t="s">
        <v>50</v>
      </c>
      <c r="D42" s="166">
        <v>1</v>
      </c>
      <c r="E42" s="243">
        <v>50500</v>
      </c>
      <c r="F42" s="549" t="s">
        <v>147</v>
      </c>
      <c r="G42" s="242"/>
      <c r="H42" s="241"/>
      <c r="I42" s="241"/>
      <c r="J42" s="241"/>
      <c r="K42" s="241"/>
      <c r="L42" s="241"/>
      <c r="M42" s="393"/>
      <c r="N42" s="241"/>
      <c r="O42" s="130"/>
      <c r="P42" s="543">
        <v>0</v>
      </c>
      <c r="Q42" s="134"/>
      <c r="R42" s="251"/>
      <c r="S42" s="130"/>
      <c r="T42" s="251"/>
      <c r="U42" s="543">
        <v>0</v>
      </c>
      <c r="V42" s="167"/>
      <c r="W42" s="22"/>
      <c r="X42" s="18"/>
      <c r="Y42" s="408"/>
      <c r="Z42" s="309" t="s">
        <v>123</v>
      </c>
      <c r="AA42" s="310"/>
      <c r="AB42" s="321"/>
      <c r="AC42" s="325"/>
      <c r="AD42" s="325"/>
      <c r="AE42" s="321"/>
      <c r="AF42" s="311"/>
      <c r="AG42" s="310"/>
      <c r="AH42" s="321"/>
      <c r="AI42" s="321"/>
      <c r="AJ42" s="321"/>
      <c r="AK42" s="321"/>
      <c r="AL42" s="328">
        <f>$K$78</f>
        <v>0</v>
      </c>
      <c r="AM42" s="408"/>
      <c r="AN42" s="27"/>
    </row>
    <row r="43" spans="1:40" ht="16.5" customHeight="1" thickBot="1" x14ac:dyDescent="0.5">
      <c r="B43" s="18"/>
      <c r="C43" s="142" t="s">
        <v>84</v>
      </c>
      <c r="D43" s="142"/>
      <c r="E43" s="142"/>
      <c r="F43" s="338"/>
      <c r="G43" s="338"/>
      <c r="H43" s="338"/>
      <c r="I43" s="338"/>
      <c r="J43" s="338"/>
      <c r="K43" s="338"/>
      <c r="L43" s="338"/>
      <c r="M43" s="338"/>
      <c r="N43" s="338"/>
      <c r="O43" s="338"/>
      <c r="P43" s="367"/>
      <c r="Q43" s="338"/>
      <c r="R43" s="338"/>
      <c r="S43" s="338"/>
      <c r="T43" s="338"/>
      <c r="U43" s="367"/>
      <c r="V43" s="339"/>
      <c r="W43" s="22"/>
      <c r="X43" s="18"/>
      <c r="Y43" s="408"/>
      <c r="Z43" s="312" t="s">
        <v>124</v>
      </c>
      <c r="AA43" s="176"/>
      <c r="AB43" s="322"/>
      <c r="AC43" s="326"/>
      <c r="AD43" s="326"/>
      <c r="AE43" s="322"/>
      <c r="AF43" s="178"/>
      <c r="AG43" s="176"/>
      <c r="AH43" s="322"/>
      <c r="AI43" s="322"/>
      <c r="AJ43" s="322"/>
      <c r="AK43" s="322"/>
      <c r="AL43" s="328">
        <f>$K$86</f>
        <v>0</v>
      </c>
      <c r="AM43" s="408"/>
      <c r="AN43" s="27"/>
    </row>
    <row r="44" spans="1:40" ht="16.5" customHeight="1" thickBot="1" x14ac:dyDescent="0.5">
      <c r="B44" s="18"/>
      <c r="C44" s="245" t="s">
        <v>85</v>
      </c>
      <c r="D44" s="166">
        <f>D38</f>
        <v>51</v>
      </c>
      <c r="E44" s="243">
        <v>0</v>
      </c>
      <c r="F44" s="340"/>
      <c r="G44" s="340"/>
      <c r="H44" s="341"/>
      <c r="I44" s="341"/>
      <c r="J44" s="341"/>
      <c r="K44" s="341"/>
      <c r="L44" s="341"/>
      <c r="M44" s="342"/>
      <c r="N44" s="341"/>
      <c r="O44" s="343"/>
      <c r="P44" s="543">
        <v>0</v>
      </c>
      <c r="Q44" s="344"/>
      <c r="R44" s="345"/>
      <c r="S44" s="343"/>
      <c r="T44" s="345"/>
      <c r="U44" s="550">
        <v>0</v>
      </c>
      <c r="V44" s="344"/>
      <c r="W44" s="22"/>
      <c r="X44" s="18"/>
      <c r="Y44" s="408"/>
      <c r="Z44" s="551"/>
      <c r="AA44" s="291"/>
      <c r="AB44" s="545"/>
      <c r="AC44" s="545"/>
      <c r="AD44" s="545"/>
      <c r="AE44" s="545"/>
      <c r="AF44" s="291"/>
      <c r="AG44" s="291"/>
      <c r="AH44" s="545"/>
      <c r="AI44" s="545"/>
      <c r="AJ44" s="545"/>
      <c r="AK44" s="545"/>
      <c r="AL44" s="552"/>
      <c r="AM44" s="408"/>
      <c r="AN44" s="27"/>
    </row>
    <row r="45" spans="1:40" ht="16.5" customHeight="1" x14ac:dyDescent="0.45">
      <c r="B45" s="18"/>
      <c r="C45" s="142" t="s">
        <v>86</v>
      </c>
      <c r="D45" s="142"/>
      <c r="E45" s="142"/>
      <c r="F45" s="338"/>
      <c r="G45" s="338"/>
      <c r="H45" s="338"/>
      <c r="I45" s="338"/>
      <c r="J45" s="338"/>
      <c r="K45" s="338"/>
      <c r="L45" s="338"/>
      <c r="M45" s="338"/>
      <c r="N45" s="338"/>
      <c r="O45" s="338"/>
      <c r="P45" s="367"/>
      <c r="Q45" s="338"/>
      <c r="R45" s="338"/>
      <c r="S45" s="338"/>
      <c r="T45" s="338"/>
      <c r="U45" s="367"/>
      <c r="V45" s="339"/>
      <c r="W45" s="22"/>
      <c r="X45" s="18"/>
      <c r="Y45" s="408"/>
      <c r="Z45" s="553" t="s">
        <v>44</v>
      </c>
      <c r="AA45" s="154" t="str">
        <f>SUM(AA20:AA38)&amp;" KG"</f>
        <v>0 KG</v>
      </c>
      <c r="AB45" s="323">
        <f>SUM(AB20:AB38)</f>
        <v>0</v>
      </c>
      <c r="AC45" s="323">
        <f>SUM(AC20:AC38)</f>
        <v>0</v>
      </c>
      <c r="AD45" s="323">
        <f>SUM(AD20:AD38)</f>
        <v>0</v>
      </c>
      <c r="AE45" s="323">
        <f>SUM(AB45:AD45)</f>
        <v>0</v>
      </c>
      <c r="AF45" s="155"/>
      <c r="AG45" s="156" t="str">
        <f>SUM(AG20:AG38)&amp;" KG"</f>
        <v>0 KG</v>
      </c>
      <c r="AH45" s="323">
        <f>SUM(AH20:AH38)</f>
        <v>0</v>
      </c>
      <c r="AI45" s="323">
        <f>SUM(AI20:AI38)</f>
        <v>0</v>
      </c>
      <c r="AJ45" s="323">
        <f>SUM(AJ20:AJ38)</f>
        <v>0</v>
      </c>
      <c r="AK45" s="323">
        <f>SUM(AH45:AJ45)</f>
        <v>0</v>
      </c>
      <c r="AL45" s="323">
        <f>SUM(AL20:AL44)</f>
        <v>0</v>
      </c>
      <c r="AM45" s="695">
        <f>IF(AL45&gt;0,1,0)</f>
        <v>0</v>
      </c>
      <c r="AN45" s="27"/>
    </row>
    <row r="46" spans="1:40" ht="16.5" customHeight="1" thickBot="1" x14ac:dyDescent="0.5">
      <c r="B46" s="18"/>
      <c r="C46" s="246" t="s">
        <v>51</v>
      </c>
      <c r="D46" s="169">
        <f>D44</f>
        <v>51</v>
      </c>
      <c r="E46" s="244">
        <v>0</v>
      </c>
      <c r="F46" s="733" t="s">
        <v>233</v>
      </c>
      <c r="G46" s="170"/>
      <c r="H46" s="58"/>
      <c r="I46" s="58"/>
      <c r="J46" s="58"/>
      <c r="K46" s="58"/>
      <c r="L46" s="58"/>
      <c r="M46" s="171"/>
      <c r="N46" s="172"/>
      <c r="O46" s="173"/>
      <c r="P46" s="734">
        <v>0</v>
      </c>
      <c r="Q46" s="141"/>
      <c r="R46" s="394"/>
      <c r="S46" s="173"/>
      <c r="T46" s="59"/>
      <c r="U46" s="734">
        <v>0</v>
      </c>
      <c r="V46" s="141"/>
      <c r="W46" s="22"/>
      <c r="X46" s="18"/>
      <c r="Y46" s="408"/>
      <c r="Z46" s="408"/>
      <c r="AA46" s="408"/>
      <c r="AB46" s="408"/>
      <c r="AC46" s="408"/>
      <c r="AD46" s="408"/>
      <c r="AE46" s="408"/>
      <c r="AF46" s="408"/>
      <c r="AG46" s="408"/>
      <c r="AH46" s="408"/>
      <c r="AI46" s="408"/>
      <c r="AJ46" s="408"/>
      <c r="AK46" s="408"/>
      <c r="AL46" s="408"/>
      <c r="AM46" s="408"/>
      <c r="AN46" s="27"/>
    </row>
    <row r="47" spans="1:40" ht="22.5" customHeight="1" thickBot="1" x14ac:dyDescent="0.5">
      <c r="A47" s="1"/>
      <c r="B47" s="174"/>
      <c r="C47" s="239"/>
      <c r="D47" s="158" t="s">
        <v>2</v>
      </c>
      <c r="E47" s="170"/>
      <c r="F47" s="170"/>
      <c r="G47" s="170"/>
      <c r="H47" s="158" t="s">
        <v>2</v>
      </c>
      <c r="I47" s="158" t="s">
        <v>2</v>
      </c>
      <c r="J47" s="158"/>
      <c r="K47" s="158"/>
      <c r="L47" s="158"/>
      <c r="M47" s="159" t="s">
        <v>2</v>
      </c>
      <c r="N47" s="170"/>
      <c r="O47" s="162"/>
      <c r="P47" s="162"/>
      <c r="Q47" s="162"/>
      <c r="R47" s="170"/>
      <c r="S47" s="162"/>
      <c r="T47" s="162"/>
      <c r="U47" s="162"/>
      <c r="V47" s="162"/>
      <c r="W47" s="175"/>
      <c r="X47" s="174"/>
      <c r="Y47" s="170"/>
      <c r="Z47" s="170"/>
      <c r="AA47" s="176"/>
      <c r="AB47" s="176"/>
      <c r="AC47" s="177"/>
      <c r="AD47" s="177"/>
      <c r="AE47" s="176"/>
      <c r="AF47" s="178"/>
      <c r="AG47" s="176"/>
      <c r="AH47" s="176"/>
      <c r="AI47" s="176"/>
      <c r="AJ47" s="176"/>
      <c r="AK47" s="179"/>
      <c r="AL47" s="179"/>
      <c r="AM47" s="158"/>
      <c r="AN47" s="161"/>
    </row>
    <row r="48" spans="1:40" ht="18" customHeight="1" x14ac:dyDescent="0.45"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ht="28" hidden="1" x14ac:dyDescent="0.45">
      <c r="H49" s="180" t="s">
        <v>52</v>
      </c>
      <c r="I49" s="180" t="s">
        <v>53</v>
      </c>
      <c r="J49" s="180" t="s">
        <v>54</v>
      </c>
      <c r="K49" s="180" t="s">
        <v>55</v>
      </c>
      <c r="L49" s="180" t="s">
        <v>56</v>
      </c>
      <c r="M49" s="181" t="s">
        <v>57</v>
      </c>
      <c r="P49" s="6" t="s">
        <v>58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hidden="1" x14ac:dyDescent="0.45">
      <c r="C50" s="2" t="s">
        <v>47</v>
      </c>
      <c r="D50" s="182">
        <v>2</v>
      </c>
      <c r="H50" s="183">
        <v>16</v>
      </c>
      <c r="I50" s="183">
        <v>12</v>
      </c>
      <c r="J50" s="183">
        <v>4</v>
      </c>
      <c r="K50" s="183">
        <v>16</v>
      </c>
      <c r="L50" s="183">
        <v>7</v>
      </c>
      <c r="M50" s="183">
        <v>8</v>
      </c>
      <c r="P50" s="6" t="s">
        <v>59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hidden="1" x14ac:dyDescent="0.45">
      <c r="C51" s="2" t="s">
        <v>50</v>
      </c>
      <c r="D51" s="182">
        <v>5</v>
      </c>
      <c r="H51" s="183">
        <v>1</v>
      </c>
      <c r="I51" s="183">
        <v>0</v>
      </c>
      <c r="J51" s="183">
        <v>21</v>
      </c>
      <c r="K51" s="183">
        <v>0</v>
      </c>
      <c r="L51" s="183">
        <v>51</v>
      </c>
      <c r="M51" s="183">
        <v>26</v>
      </c>
      <c r="P51" s="6" t="s">
        <v>60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hidden="1" x14ac:dyDescent="0.45">
      <c r="C52" s="2" t="s">
        <v>48</v>
      </c>
      <c r="D52" s="182">
        <v>3</v>
      </c>
      <c r="H52" s="183">
        <v>4</v>
      </c>
      <c r="I52" s="183">
        <v>4</v>
      </c>
      <c r="J52" s="183">
        <v>0</v>
      </c>
      <c r="K52" s="183">
        <v>4</v>
      </c>
      <c r="L52" s="183">
        <v>0</v>
      </c>
      <c r="M52" s="183">
        <v>0</v>
      </c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idden="1" x14ac:dyDescent="0.45">
      <c r="C53" s="2" t="s">
        <v>49</v>
      </c>
      <c r="D53" s="182">
        <v>4</v>
      </c>
      <c r="H53" s="183">
        <v>0</v>
      </c>
      <c r="I53" s="183">
        <v>0</v>
      </c>
      <c r="J53" s="183">
        <v>0</v>
      </c>
      <c r="K53" s="183">
        <v>0</v>
      </c>
      <c r="L53" s="183">
        <v>0</v>
      </c>
      <c r="M53" s="183">
        <v>4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ht="26.5" x14ac:dyDescent="0.45">
      <c r="A54" s="255"/>
      <c r="B54" s="256"/>
      <c r="C54" s="362" t="s">
        <v>100</v>
      </c>
      <c r="D54" s="258" t="s">
        <v>101</v>
      </c>
      <c r="E54" s="258"/>
      <c r="F54" s="256"/>
      <c r="G54" s="256"/>
      <c r="H54" s="259"/>
      <c r="I54" s="256"/>
      <c r="J54" s="257" t="s">
        <v>179</v>
      </c>
      <c r="K54" s="256"/>
      <c r="L54" s="257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ht="17" thickBot="1" x14ac:dyDescent="0.5">
      <c r="A55" s="255"/>
      <c r="B55" s="260"/>
      <c r="C55" s="260"/>
      <c r="D55" s="260"/>
      <c r="E55" s="260"/>
      <c r="F55" s="256"/>
      <c r="G55" s="256"/>
      <c r="H55" s="260"/>
      <c r="I55" s="256"/>
      <c r="J55" s="260"/>
      <c r="K55" s="256"/>
      <c r="L55" s="260"/>
    </row>
    <row r="56" spans="1:40" ht="27.5" thickTop="1" thickBot="1" x14ac:dyDescent="0.5">
      <c r="A56" s="255"/>
      <c r="B56" s="256"/>
      <c r="C56" s="257" t="s">
        <v>1</v>
      </c>
      <c r="D56" s="554">
        <f>D4</f>
        <v>0</v>
      </c>
      <c r="E56" s="258"/>
      <c r="F56" s="256"/>
      <c r="G56" s="256"/>
      <c r="H56" s="259"/>
      <c r="I56" s="256"/>
      <c r="J56" s="260"/>
      <c r="K56" s="256"/>
      <c r="L56" s="260"/>
    </row>
    <row r="57" spans="1:40" ht="27" thickTop="1" x14ac:dyDescent="0.45">
      <c r="A57" s="255"/>
      <c r="B57" s="257"/>
      <c r="C57" s="258"/>
      <c r="D57" s="258"/>
      <c r="E57" s="258"/>
      <c r="F57" s="256"/>
      <c r="G57" s="256"/>
      <c r="H57" s="259"/>
      <c r="I57" s="256"/>
      <c r="J57" s="260"/>
      <c r="K57" s="256"/>
      <c r="L57" s="260"/>
    </row>
    <row r="58" spans="1:40" ht="17" thickBot="1" x14ac:dyDescent="0.5">
      <c r="A58" s="255"/>
      <c r="B58" s="261" t="s">
        <v>103</v>
      </c>
      <c r="C58" s="262" t="s">
        <v>56</v>
      </c>
      <c r="D58" s="260"/>
      <c r="E58" s="263"/>
      <c r="F58" s="256"/>
      <c r="G58" s="256"/>
      <c r="H58" s="264"/>
      <c r="I58" s="256"/>
      <c r="J58" s="260"/>
      <c r="K58" s="256"/>
      <c r="L58" s="260"/>
    </row>
    <row r="59" spans="1:40" ht="17.5" thickTop="1" thickBot="1" x14ac:dyDescent="0.5">
      <c r="A59" s="255"/>
      <c r="B59" s="261" t="s">
        <v>103</v>
      </c>
      <c r="C59" s="266" t="s">
        <v>104</v>
      </c>
      <c r="D59" s="556">
        <v>50500</v>
      </c>
      <c r="E59" s="263"/>
      <c r="F59" s="256"/>
      <c r="G59" s="256"/>
      <c r="H59" s="264"/>
      <c r="I59" s="256"/>
      <c r="J59" s="260"/>
      <c r="K59" s="256"/>
      <c r="L59" s="260"/>
    </row>
    <row r="60" spans="1:40" ht="17.5" hidden="1" thickTop="1" thickBot="1" x14ac:dyDescent="0.5">
      <c r="A60" s="255"/>
      <c r="B60" s="261" t="s">
        <v>103</v>
      </c>
      <c r="C60" s="265" t="s">
        <v>105</v>
      </c>
      <c r="D60" s="555">
        <v>50.5</v>
      </c>
      <c r="E60" s="263"/>
      <c r="F60" s="256"/>
      <c r="G60" s="256"/>
      <c r="H60" s="263"/>
      <c r="I60" s="256"/>
      <c r="J60" s="263"/>
      <c r="K60" s="256"/>
      <c r="L60" s="263"/>
    </row>
    <row r="61" spans="1:40" ht="32" hidden="1" thickTop="1" thickBot="1" x14ac:dyDescent="0.5">
      <c r="A61" s="255"/>
      <c r="B61" s="256"/>
      <c r="C61" s="266" t="s">
        <v>106</v>
      </c>
      <c r="D61" s="556">
        <v>50550.5</v>
      </c>
      <c r="E61" s="256"/>
      <c r="F61" s="256"/>
      <c r="G61" s="256"/>
      <c r="H61" s="263"/>
      <c r="I61" s="256"/>
      <c r="J61" s="263"/>
      <c r="K61" s="256"/>
      <c r="L61" s="263"/>
    </row>
    <row r="62" spans="1:40" ht="17.5" thickTop="1" thickBot="1" x14ac:dyDescent="0.5">
      <c r="A62" s="255"/>
      <c r="B62" s="256"/>
      <c r="C62" s="261"/>
      <c r="D62" s="557"/>
      <c r="E62" s="260"/>
      <c r="F62" s="256"/>
      <c r="G62" s="256"/>
      <c r="H62" s="264"/>
      <c r="I62" s="256"/>
      <c r="J62" s="260"/>
      <c r="K62" s="256"/>
      <c r="L62" s="260"/>
    </row>
    <row r="63" spans="1:40" ht="17.5" thickTop="1" thickBot="1" x14ac:dyDescent="0.5">
      <c r="A63" s="269"/>
      <c r="B63" s="256"/>
      <c r="C63" s="266" t="s">
        <v>107</v>
      </c>
      <c r="D63" s="556">
        <v>51</v>
      </c>
      <c r="E63" s="263"/>
      <c r="F63" s="256"/>
      <c r="G63" s="256"/>
      <c r="H63" s="263"/>
      <c r="I63" s="256"/>
      <c r="J63" s="263"/>
      <c r="K63" s="256"/>
      <c r="L63" s="263"/>
    </row>
    <row r="64" spans="1:40" ht="17.5" thickTop="1" thickBot="1" x14ac:dyDescent="0.5">
      <c r="A64" s="255"/>
      <c r="B64" s="256"/>
      <c r="C64" s="261"/>
      <c r="D64" s="557"/>
      <c r="E64" s="260"/>
      <c r="F64" s="256"/>
      <c r="G64" s="256"/>
      <c r="H64" s="264"/>
      <c r="I64" s="256"/>
      <c r="J64" s="260"/>
      <c r="K64" s="256"/>
      <c r="L64" s="260"/>
    </row>
    <row r="65" spans="1:12" ht="32" thickTop="1" thickBot="1" x14ac:dyDescent="0.5">
      <c r="A65" s="269"/>
      <c r="B65" s="256"/>
      <c r="C65" s="270" t="s">
        <v>108</v>
      </c>
      <c r="D65" s="556">
        <v>19000</v>
      </c>
      <c r="E65" s="263"/>
      <c r="F65" s="256"/>
      <c r="G65" s="256"/>
      <c r="H65" s="263"/>
      <c r="I65" s="256"/>
      <c r="J65" s="263"/>
      <c r="K65" s="256"/>
      <c r="L65" s="263"/>
    </row>
    <row r="66" spans="1:12" ht="17.5" hidden="1" thickTop="1" thickBot="1" x14ac:dyDescent="0.5">
      <c r="A66" s="269"/>
      <c r="B66" s="271"/>
      <c r="C66" s="266" t="s">
        <v>109</v>
      </c>
      <c r="D66" s="267">
        <v>1</v>
      </c>
      <c r="E66" s="263"/>
      <c r="F66" s="256"/>
      <c r="G66" s="256"/>
      <c r="H66" s="263"/>
      <c r="I66" s="256"/>
      <c r="J66" s="263"/>
      <c r="K66" s="256"/>
      <c r="L66" s="263"/>
    </row>
    <row r="67" spans="1:12" ht="32" hidden="1" thickTop="1" thickBot="1" x14ac:dyDescent="0.5">
      <c r="A67" s="269"/>
      <c r="B67" s="256"/>
      <c r="C67" s="270" t="s">
        <v>110</v>
      </c>
      <c r="D67" s="267">
        <v>0</v>
      </c>
      <c r="E67" s="263"/>
      <c r="F67" s="256"/>
      <c r="G67" s="256"/>
      <c r="H67" s="263"/>
      <c r="I67" s="256"/>
      <c r="J67" s="263"/>
      <c r="K67" s="256"/>
      <c r="L67" s="263"/>
    </row>
    <row r="68" spans="1:12" ht="17" thickTop="1" x14ac:dyDescent="0.45">
      <c r="A68" s="269"/>
      <c r="B68" s="271"/>
      <c r="C68" s="272"/>
      <c r="D68" s="273"/>
      <c r="E68" s="263"/>
      <c r="F68" s="256"/>
      <c r="G68" s="256"/>
      <c r="H68" s="263"/>
      <c r="I68" s="256"/>
      <c r="J68" s="263"/>
      <c r="K68" s="256"/>
      <c r="L68" s="263"/>
    </row>
    <row r="69" spans="1:12" ht="17" thickBot="1" x14ac:dyDescent="0.5">
      <c r="A69" s="269"/>
      <c r="B69" s="256"/>
      <c r="C69" s="263"/>
      <c r="D69" s="256"/>
      <c r="E69" s="256"/>
      <c r="F69" s="256"/>
      <c r="G69" s="256"/>
      <c r="H69" s="256"/>
      <c r="I69" s="256"/>
      <c r="J69" s="256"/>
      <c r="K69" s="256"/>
      <c r="L69" s="256"/>
    </row>
    <row r="70" spans="1:12" x14ac:dyDescent="0.45">
      <c r="A70" s="269"/>
      <c r="B70" s="737" t="s">
        <v>152</v>
      </c>
      <c r="C70" s="274"/>
      <c r="D70" s="769" t="s">
        <v>131</v>
      </c>
      <c r="E70" s="784" t="s">
        <v>130</v>
      </c>
      <c r="F70" s="256"/>
      <c r="G70" s="256"/>
      <c r="H70" s="753" t="s">
        <v>132</v>
      </c>
      <c r="I70" s="256"/>
      <c r="J70" s="805" t="s">
        <v>111</v>
      </c>
      <c r="K70" s="806"/>
      <c r="L70" s="256"/>
    </row>
    <row r="71" spans="1:12" ht="17" thickBot="1" x14ac:dyDescent="0.5">
      <c r="A71" s="269"/>
      <c r="B71" s="738"/>
      <c r="C71" s="275"/>
      <c r="D71" s="770"/>
      <c r="E71" s="785"/>
      <c r="F71" s="256"/>
      <c r="G71" s="256"/>
      <c r="H71" s="754"/>
      <c r="I71" s="256"/>
      <c r="J71" s="558"/>
      <c r="K71" s="559"/>
      <c r="L71" s="256"/>
    </row>
    <row r="72" spans="1:12" x14ac:dyDescent="0.45">
      <c r="A72" s="269"/>
      <c r="B72" s="738"/>
      <c r="C72" s="278" t="s">
        <v>143</v>
      </c>
      <c r="D72" s="560">
        <v>50500</v>
      </c>
      <c r="E72" s="560">
        <v>51</v>
      </c>
      <c r="F72" s="256"/>
      <c r="G72" s="256"/>
      <c r="H72" s="279">
        <v>0</v>
      </c>
      <c r="I72" s="256"/>
      <c r="J72" s="280"/>
      <c r="K72" s="561">
        <f>$H72/1000*$D72*E72</f>
        <v>0</v>
      </c>
      <c r="L72" s="256"/>
    </row>
    <row r="73" spans="1:12" x14ac:dyDescent="0.45">
      <c r="A73" s="269"/>
      <c r="B73" s="738"/>
      <c r="C73" s="281" t="s">
        <v>231</v>
      </c>
      <c r="D73" s="560">
        <v>50500</v>
      </c>
      <c r="E73" s="560">
        <v>24</v>
      </c>
      <c r="F73" s="256"/>
      <c r="G73" s="256"/>
      <c r="H73" s="279">
        <v>0</v>
      </c>
      <c r="I73" s="256"/>
      <c r="J73" s="282"/>
      <c r="K73" s="562">
        <f>$H73/1000*$D73*E73</f>
        <v>0</v>
      </c>
      <c r="L73" s="256"/>
    </row>
    <row r="74" spans="1:12" x14ac:dyDescent="0.45">
      <c r="A74" s="269"/>
      <c r="B74" s="738"/>
      <c r="C74" s="281" t="s">
        <v>112</v>
      </c>
      <c r="D74" s="560">
        <v>56000</v>
      </c>
      <c r="E74" s="560">
        <v>1</v>
      </c>
      <c r="F74" s="256"/>
      <c r="G74" s="256"/>
      <c r="H74" s="279">
        <v>0</v>
      </c>
      <c r="I74" s="256"/>
      <c r="J74" s="282"/>
      <c r="K74" s="562">
        <f>$H74/1000*$D74*E74</f>
        <v>0</v>
      </c>
      <c r="L74" s="256"/>
    </row>
    <row r="75" spans="1:12" x14ac:dyDescent="0.45">
      <c r="A75" s="269"/>
      <c r="B75" s="738"/>
      <c r="C75" s="281" t="s">
        <v>113</v>
      </c>
      <c r="D75" s="560">
        <v>43750</v>
      </c>
      <c r="E75" s="560">
        <v>24</v>
      </c>
      <c r="F75" s="256"/>
      <c r="G75" s="256"/>
      <c r="H75" s="279">
        <v>0</v>
      </c>
      <c r="I75" s="256"/>
      <c r="J75" s="282"/>
      <c r="K75" s="562">
        <f t="shared" ref="K75:K77" si="14">$H75/1000*$D75*E75</f>
        <v>0</v>
      </c>
      <c r="L75" s="256"/>
    </row>
    <row r="76" spans="1:12" x14ac:dyDescent="0.45">
      <c r="A76" s="269"/>
      <c r="B76" s="738"/>
      <c r="C76" s="281" t="s">
        <v>114</v>
      </c>
      <c r="D76" s="560">
        <v>0</v>
      </c>
      <c r="E76" s="560">
        <v>0</v>
      </c>
      <c r="F76" s="256"/>
      <c r="G76" s="256"/>
      <c r="H76" s="279">
        <v>0</v>
      </c>
      <c r="I76" s="256"/>
      <c r="J76" s="282"/>
      <c r="K76" s="562">
        <f t="shared" si="14"/>
        <v>0</v>
      </c>
      <c r="L76" s="256"/>
    </row>
    <row r="77" spans="1:12" ht="17" thickBot="1" x14ac:dyDescent="0.5">
      <c r="A77" s="269"/>
      <c r="B77" s="739"/>
      <c r="C77" s="283" t="s">
        <v>115</v>
      </c>
      <c r="D77" s="563">
        <f>D72</f>
        <v>50500</v>
      </c>
      <c r="E77" s="563">
        <v>1</v>
      </c>
      <c r="F77" s="256"/>
      <c r="G77" s="256"/>
      <c r="H77" s="284">
        <v>0</v>
      </c>
      <c r="I77" s="256"/>
      <c r="J77" s="285"/>
      <c r="K77" s="564">
        <f t="shared" si="14"/>
        <v>0</v>
      </c>
      <c r="L77" s="256"/>
    </row>
    <row r="78" spans="1:12" x14ac:dyDescent="0.45">
      <c r="A78" s="269"/>
      <c r="B78" s="286"/>
      <c r="C78" s="287" t="s">
        <v>116</v>
      </c>
      <c r="D78" s="288"/>
      <c r="E78" s="256"/>
      <c r="F78" s="256"/>
      <c r="G78" s="256"/>
      <c r="H78" s="289"/>
      <c r="I78" s="256"/>
      <c r="J78" s="290"/>
      <c r="K78" s="565">
        <f>SUM(K72:K77)</f>
        <v>0</v>
      </c>
      <c r="L78" s="256"/>
    </row>
    <row r="79" spans="1:12" ht="17" thickBot="1" x14ac:dyDescent="0.5">
      <c r="A79" s="269"/>
      <c r="B79" s="263"/>
      <c r="C79" s="263"/>
      <c r="D79" s="263"/>
      <c r="E79" s="263"/>
      <c r="F79" s="291"/>
      <c r="G79" s="291"/>
      <c r="H79" s="263"/>
      <c r="I79" s="256"/>
      <c r="J79" s="263"/>
      <c r="K79" s="256"/>
      <c r="L79" s="256"/>
    </row>
    <row r="80" spans="1:12" x14ac:dyDescent="0.45">
      <c r="A80" s="269"/>
      <c r="B80" s="744" t="s">
        <v>117</v>
      </c>
      <c r="C80" s="292"/>
      <c r="D80" s="747" t="s">
        <v>133</v>
      </c>
      <c r="E80" s="748"/>
      <c r="F80" s="749"/>
      <c r="G80" s="291"/>
      <c r="H80" s="753" t="s">
        <v>118</v>
      </c>
      <c r="I80" s="256"/>
      <c r="J80" s="740" t="s">
        <v>111</v>
      </c>
      <c r="K80" s="795"/>
      <c r="L80" s="256"/>
    </row>
    <row r="81" spans="1:12" ht="17" thickBot="1" x14ac:dyDescent="0.5">
      <c r="A81" s="269"/>
      <c r="B81" s="745"/>
      <c r="C81" s="293"/>
      <c r="D81" s="750"/>
      <c r="E81" s="794"/>
      <c r="F81" s="752"/>
      <c r="G81" s="291"/>
      <c r="H81" s="754"/>
      <c r="I81" s="256"/>
      <c r="J81" s="742"/>
      <c r="K81" s="743"/>
      <c r="L81" s="256"/>
    </row>
    <row r="82" spans="1:12" x14ac:dyDescent="0.45">
      <c r="A82" s="269"/>
      <c r="B82" s="745"/>
      <c r="C82" s="294" t="s">
        <v>119</v>
      </c>
      <c r="D82" s="755" t="s">
        <v>229</v>
      </c>
      <c r="E82" s="756"/>
      <c r="F82" s="757"/>
      <c r="G82" s="291"/>
      <c r="H82" s="295">
        <v>0</v>
      </c>
      <c r="I82" s="256"/>
      <c r="J82" s="296"/>
      <c r="K82" s="297">
        <f>H82*$D$63</f>
        <v>0</v>
      </c>
      <c r="L82" s="256"/>
    </row>
    <row r="83" spans="1:12" x14ac:dyDescent="0.45">
      <c r="A83" s="269"/>
      <c r="B83" s="745"/>
      <c r="C83" s="382" t="s">
        <v>148</v>
      </c>
      <c r="D83" s="758" t="s">
        <v>222</v>
      </c>
      <c r="E83" s="759"/>
      <c r="F83" s="760"/>
      <c r="G83" s="291"/>
      <c r="H83" s="279">
        <v>0</v>
      </c>
      <c r="I83" s="256"/>
      <c r="J83" s="296"/>
      <c r="K83" s="297">
        <f>H83*$D$63</f>
        <v>0</v>
      </c>
      <c r="L83" s="256"/>
    </row>
    <row r="84" spans="1:12" x14ac:dyDescent="0.45">
      <c r="A84" s="269"/>
      <c r="B84" s="745"/>
      <c r="C84" s="294" t="s">
        <v>120</v>
      </c>
      <c r="D84" s="758" t="s">
        <v>230</v>
      </c>
      <c r="E84" s="759"/>
      <c r="F84" s="760"/>
      <c r="G84" s="291"/>
      <c r="H84" s="295">
        <v>0</v>
      </c>
      <c r="I84" s="256"/>
      <c r="J84" s="296"/>
      <c r="K84" s="297">
        <f>H84*$D$63</f>
        <v>0</v>
      </c>
      <c r="L84" s="256"/>
    </row>
    <row r="85" spans="1:12" ht="17" thickBot="1" x14ac:dyDescent="0.5">
      <c r="A85" s="269"/>
      <c r="B85" s="746"/>
      <c r="C85" s="298" t="s">
        <v>121</v>
      </c>
      <c r="D85" s="761" t="s">
        <v>219</v>
      </c>
      <c r="E85" s="762"/>
      <c r="F85" s="763"/>
      <c r="G85" s="291"/>
      <c r="H85" s="299">
        <v>0</v>
      </c>
      <c r="I85" s="256"/>
      <c r="J85" s="296"/>
      <c r="K85" s="297">
        <f>H85*$D$63</f>
        <v>0</v>
      </c>
      <c r="L85" s="256"/>
    </row>
    <row r="86" spans="1:12" x14ac:dyDescent="0.45">
      <c r="A86" s="269"/>
      <c r="B86" s="263"/>
      <c r="C86" s="287" t="s">
        <v>116</v>
      </c>
      <c r="D86" s="300"/>
      <c r="E86" s="256"/>
      <c r="F86" s="291"/>
      <c r="G86" s="291"/>
      <c r="H86" s="301"/>
      <c r="I86" s="256"/>
      <c r="J86" s="302"/>
      <c r="K86" s="303">
        <f>SUM(K80:K85)</f>
        <v>0</v>
      </c>
      <c r="L86" s="256"/>
    </row>
    <row r="87" spans="1:12" ht="17" thickBot="1" x14ac:dyDescent="0.5">
      <c r="A87" s="269"/>
      <c r="B87" s="263"/>
      <c r="C87" s="263"/>
      <c r="D87" s="263"/>
      <c r="E87" s="263"/>
      <c r="F87" s="291"/>
      <c r="G87" s="291"/>
      <c r="H87" s="263"/>
      <c r="I87" s="256"/>
      <c r="J87" s="256"/>
      <c r="K87" s="256"/>
      <c r="L87" s="256"/>
    </row>
    <row r="88" spans="1:12" ht="17" thickBot="1" x14ac:dyDescent="0.5">
      <c r="A88" s="269"/>
      <c r="B88" s="271"/>
      <c r="C88" s="304"/>
      <c r="D88" s="305"/>
      <c r="E88" s="305"/>
      <c r="F88" s="305"/>
      <c r="G88" s="305"/>
      <c r="H88" s="305"/>
      <c r="I88" s="305"/>
      <c r="J88" s="306"/>
      <c r="K88" s="307">
        <f>SUM(J72:K77, J82:K85)</f>
        <v>0</v>
      </c>
      <c r="L88" s="256"/>
    </row>
    <row r="89" spans="1:12" x14ac:dyDescent="0.45">
      <c r="A89" s="269"/>
      <c r="B89" s="271"/>
      <c r="C89" s="263"/>
      <c r="D89" s="263"/>
      <c r="E89" s="263"/>
      <c r="F89" s="263"/>
      <c r="G89" s="263"/>
      <c r="H89" s="263"/>
      <c r="I89" s="263"/>
      <c r="J89" s="263"/>
      <c r="K89" s="263"/>
      <c r="L89" s="256"/>
    </row>
    <row r="90" spans="1:12" x14ac:dyDescent="0.45">
      <c r="A90" s="269"/>
      <c r="B90" s="263"/>
      <c r="C90" s="263"/>
      <c r="D90" s="263"/>
      <c r="E90" s="263"/>
      <c r="F90" s="263"/>
      <c r="G90" s="263"/>
      <c r="H90" s="263"/>
      <c r="I90" s="256"/>
      <c r="J90" s="256"/>
      <c r="K90" s="256"/>
      <c r="L90" s="256"/>
    </row>
  </sheetData>
  <sheetProtection algorithmName="SHA-512" hashValue="2ykrG+nSIxRWIYxJp76+PmHwQRhujrZNdUMp9ABTCMsMXU8UlMamXprnl/N9AYMCz3RGCOXY1apUj0nIQQWY/w==" saltValue="EjCBZayxEmiUW2QLVwPSoA==" spinCount="100000" sheet="1" objects="1" scenarios="1"/>
  <mergeCells count="24">
    <mergeCell ref="Z12:AK14"/>
    <mergeCell ref="E16:F16"/>
    <mergeCell ref="H16:M16"/>
    <mergeCell ref="O16:Q16"/>
    <mergeCell ref="S16:V16"/>
    <mergeCell ref="AA16:AE16"/>
    <mergeCell ref="AG16:AK16"/>
    <mergeCell ref="C22:D22"/>
    <mergeCell ref="C27:I27"/>
    <mergeCell ref="O28:Q28"/>
    <mergeCell ref="O37:Q37"/>
    <mergeCell ref="B70:B77"/>
    <mergeCell ref="D70:D71"/>
    <mergeCell ref="E70:E71"/>
    <mergeCell ref="H70:H71"/>
    <mergeCell ref="J70:K70"/>
    <mergeCell ref="B80:B85"/>
    <mergeCell ref="D80:F81"/>
    <mergeCell ref="H80:H81"/>
    <mergeCell ref="J80:K81"/>
    <mergeCell ref="D82:F82"/>
    <mergeCell ref="D83:F83"/>
    <mergeCell ref="D84:F84"/>
    <mergeCell ref="D85:F85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47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teer een looprichting." xr:uid="{D074E680-7905-468B-9F28-99F25BB77E46}">
          <x14:formula1>
            <xm:f>Blad2!$F$1:$F$3</xm:f>
          </x14:formula1>
          <xm:sqref>L20 L23:L25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BD406-6D56-4E8E-A605-816A5605ED7D}">
  <dimension ref="A1:AN88"/>
  <sheetViews>
    <sheetView showGridLines="0" topLeftCell="A13" zoomScale="90" zoomScaleNormal="90" workbookViewId="0">
      <selection activeCell="I11" sqref="I11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65.5429687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180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181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42"/>
      <c r="Z3" s="242"/>
      <c r="AA3" s="316"/>
      <c r="AB3" s="316"/>
      <c r="AC3" s="316"/>
      <c r="AD3" s="316"/>
      <c r="AE3" s="316"/>
      <c r="AF3" s="241"/>
      <c r="AG3" s="388"/>
      <c r="AH3" s="388"/>
      <c r="AI3" s="388"/>
      <c r="AJ3" s="388"/>
      <c r="AK3" s="241"/>
      <c r="AL3" s="241"/>
      <c r="AM3" s="241"/>
      <c r="AN3" s="27"/>
    </row>
    <row r="4" spans="2:40" ht="31.5" customHeight="1" thickBot="1" x14ac:dyDescent="0.5">
      <c r="B4" s="18"/>
      <c r="C4" s="139" t="s">
        <v>1</v>
      </c>
      <c r="D4" s="389"/>
      <c r="E4" s="390" t="str">
        <f>IF(D4="","verplicht veld","")</f>
        <v>verplicht veld</v>
      </c>
      <c r="F4" s="22"/>
      <c r="G4" s="242"/>
      <c r="H4" s="241"/>
      <c r="I4" s="241"/>
      <c r="J4" s="391"/>
      <c r="K4" s="391"/>
      <c r="L4" s="392"/>
      <c r="M4" s="393"/>
      <c r="N4" s="242"/>
      <c r="O4" s="392"/>
      <c r="P4" s="392"/>
      <c r="Q4" s="392"/>
      <c r="R4" s="242"/>
      <c r="S4" s="392"/>
      <c r="T4" s="392"/>
      <c r="U4" s="394" t="s">
        <v>2</v>
      </c>
      <c r="V4" s="32" t="s">
        <v>2</v>
      </c>
      <c r="W4" s="22"/>
      <c r="X4" s="18"/>
      <c r="Y4" s="242"/>
      <c r="Z4" s="242"/>
      <c r="AA4" s="395"/>
      <c r="AB4" s="316"/>
      <c r="AC4" s="316"/>
      <c r="AD4" s="316"/>
      <c r="AE4" s="316"/>
      <c r="AF4" s="241"/>
      <c r="AG4" s="388"/>
      <c r="AH4" s="388"/>
      <c r="AI4" s="388"/>
      <c r="AJ4" s="388"/>
      <c r="AK4" s="241"/>
      <c r="AL4" s="241"/>
      <c r="AM4" s="241"/>
      <c r="AN4" s="27"/>
    </row>
    <row r="5" spans="2:40" ht="18" customHeight="1" thickBot="1" x14ac:dyDescent="0.5">
      <c r="B5" s="18"/>
      <c r="C5" s="139" t="s">
        <v>3</v>
      </c>
      <c r="D5" s="34">
        <v>26</v>
      </c>
      <c r="E5" s="242"/>
      <c r="F5" s="22"/>
      <c r="G5" s="242"/>
      <c r="H5" s="35" t="s">
        <v>4</v>
      </c>
      <c r="I5" s="36"/>
      <c r="J5" s="37"/>
      <c r="K5" s="37"/>
      <c r="L5" s="37"/>
      <c r="M5" s="38"/>
      <c r="N5" s="242"/>
      <c r="O5" s="392"/>
      <c r="P5" s="396"/>
      <c r="Q5" s="397"/>
      <c r="R5" s="242"/>
      <c r="S5" s="394"/>
      <c r="T5" s="394"/>
      <c r="U5" s="394" t="s">
        <v>2</v>
      </c>
      <c r="V5" s="32" t="s">
        <v>2</v>
      </c>
      <c r="W5" s="22"/>
      <c r="X5" s="18"/>
      <c r="Y5" s="242"/>
      <c r="Z5" s="242"/>
      <c r="AA5" s="395"/>
      <c r="AB5" s="316"/>
      <c r="AC5" s="316"/>
      <c r="AD5" s="316"/>
      <c r="AE5" s="316"/>
      <c r="AF5" s="241"/>
      <c r="AG5" s="388"/>
      <c r="AH5" s="388"/>
      <c r="AI5" s="388"/>
      <c r="AJ5" s="388"/>
      <c r="AK5" s="241"/>
      <c r="AL5" s="241"/>
      <c r="AM5" s="241"/>
      <c r="AN5" s="27"/>
    </row>
    <row r="6" spans="2:40" ht="18" customHeight="1" x14ac:dyDescent="0.45">
      <c r="B6" s="18"/>
      <c r="C6" s="139" t="s">
        <v>67</v>
      </c>
      <c r="D6" s="34" t="s">
        <v>210</v>
      </c>
      <c r="E6" s="242"/>
      <c r="F6" s="22"/>
      <c r="G6" s="242"/>
      <c r="H6" s="398" t="s">
        <v>5</v>
      </c>
      <c r="I6" s="399"/>
      <c r="J6" s="400"/>
      <c r="K6" s="399"/>
      <c r="L6" s="399"/>
      <c r="M6" s="401"/>
      <c r="N6" s="242"/>
      <c r="O6" s="392"/>
      <c r="P6" s="396"/>
      <c r="Q6" s="397"/>
      <c r="R6" s="242"/>
      <c r="S6" s="394"/>
      <c r="T6" s="394"/>
      <c r="U6" s="394" t="s">
        <v>2</v>
      </c>
      <c r="V6" s="32" t="s">
        <v>2</v>
      </c>
      <c r="W6" s="22"/>
      <c r="X6" s="18"/>
      <c r="Y6" s="242"/>
      <c r="Z6" s="242"/>
      <c r="AA6" s="395"/>
      <c r="AB6" s="316"/>
      <c r="AC6" s="316"/>
      <c r="AD6" s="316"/>
      <c r="AE6" s="316"/>
      <c r="AF6" s="241"/>
      <c r="AG6" s="388"/>
      <c r="AH6" s="388"/>
      <c r="AI6" s="388"/>
      <c r="AJ6" s="388"/>
      <c r="AK6" s="241"/>
      <c r="AL6" s="241"/>
      <c r="AM6" s="241"/>
      <c r="AN6" s="27"/>
    </row>
    <row r="7" spans="2:40" ht="18" customHeight="1" thickBot="1" x14ac:dyDescent="0.5">
      <c r="B7" s="18"/>
      <c r="C7" s="139" t="s">
        <v>68</v>
      </c>
      <c r="D7" s="34" t="s">
        <v>242</v>
      </c>
      <c r="E7" s="242"/>
      <c r="F7" s="22"/>
      <c r="G7" s="242"/>
      <c r="H7" s="45" t="s">
        <v>6</v>
      </c>
      <c r="I7" s="46"/>
      <c r="J7" s="47"/>
      <c r="K7" s="47"/>
      <c r="L7" s="47"/>
      <c r="M7" s="48"/>
      <c r="N7" s="242"/>
      <c r="O7" s="392"/>
      <c r="P7" s="396"/>
      <c r="Q7" s="397"/>
      <c r="R7" s="242"/>
      <c r="S7" s="394"/>
      <c r="T7" s="394"/>
      <c r="U7" s="394" t="s">
        <v>2</v>
      </c>
      <c r="V7" s="32" t="s">
        <v>2</v>
      </c>
      <c r="W7" s="22"/>
      <c r="X7" s="18"/>
      <c r="Y7" s="242"/>
      <c r="Z7" s="242"/>
      <c r="AA7" s="395"/>
      <c r="AB7" s="316"/>
      <c r="AC7" s="316"/>
      <c r="AD7" s="316"/>
      <c r="AE7" s="316"/>
      <c r="AF7" s="241"/>
      <c r="AG7" s="388"/>
      <c r="AH7" s="388"/>
      <c r="AI7" s="388"/>
      <c r="AJ7" s="388"/>
      <c r="AK7" s="241"/>
      <c r="AL7" s="241"/>
      <c r="AM7" s="241"/>
      <c r="AN7" s="27"/>
    </row>
    <row r="8" spans="2:40" ht="18" customHeight="1" x14ac:dyDescent="0.45">
      <c r="B8" s="18"/>
      <c r="C8" s="139" t="s">
        <v>7</v>
      </c>
      <c r="D8" s="49">
        <v>110300</v>
      </c>
      <c r="E8" s="242"/>
      <c r="F8" s="22"/>
      <c r="G8" s="242"/>
      <c r="H8" s="392"/>
      <c r="I8" s="392"/>
      <c r="J8" s="392"/>
      <c r="K8" s="402" t="s">
        <v>2</v>
      </c>
      <c r="L8" s="403" t="s">
        <v>2</v>
      </c>
      <c r="M8" s="402"/>
      <c r="N8" s="242"/>
      <c r="O8" s="392"/>
      <c r="P8" s="403"/>
      <c r="Q8" s="392" t="s">
        <v>2</v>
      </c>
      <c r="R8" s="242"/>
      <c r="S8" s="394" t="s">
        <v>2</v>
      </c>
      <c r="T8" s="394"/>
      <c r="U8" s="394" t="s">
        <v>2</v>
      </c>
      <c r="V8" s="32" t="s">
        <v>2</v>
      </c>
      <c r="W8" s="22"/>
      <c r="X8" s="18"/>
      <c r="Y8" s="242"/>
      <c r="Z8" s="242"/>
      <c r="AA8" s="395"/>
      <c r="AB8" s="316"/>
      <c r="AC8" s="316"/>
      <c r="AD8" s="316"/>
      <c r="AE8" s="316"/>
      <c r="AF8" s="241"/>
      <c r="AG8" s="388"/>
      <c r="AH8" s="388"/>
      <c r="AI8" s="388"/>
      <c r="AJ8" s="388"/>
      <c r="AK8" s="241"/>
      <c r="AL8" s="404"/>
      <c r="AM8" s="241"/>
      <c r="AN8" s="27"/>
    </row>
    <row r="9" spans="2:40" ht="32.5" customHeight="1" x14ac:dyDescent="0.45">
      <c r="B9" s="18"/>
      <c r="C9" s="137" t="s">
        <v>96</v>
      </c>
      <c r="D9" s="601" t="s">
        <v>182</v>
      </c>
      <c r="E9" s="242"/>
      <c r="F9" s="22"/>
      <c r="G9" s="242"/>
      <c r="H9" s="392"/>
      <c r="I9" s="392"/>
      <c r="J9" s="392"/>
      <c r="K9" s="402"/>
      <c r="L9" s="403"/>
      <c r="M9" s="402"/>
      <c r="N9" s="242"/>
      <c r="O9" s="392"/>
      <c r="P9" s="403"/>
      <c r="Q9" s="392"/>
      <c r="R9" s="242"/>
      <c r="S9" s="394"/>
      <c r="T9" s="394"/>
      <c r="U9" s="394"/>
      <c r="V9" s="32"/>
      <c r="W9" s="22"/>
      <c r="X9" s="18"/>
      <c r="Y9" s="242"/>
      <c r="Z9" s="242"/>
      <c r="AA9" s="395"/>
      <c r="AB9" s="316"/>
      <c r="AC9" s="316"/>
      <c r="AD9" s="316"/>
      <c r="AE9" s="316"/>
      <c r="AF9" s="241"/>
      <c r="AG9" s="388"/>
      <c r="AH9" s="388"/>
      <c r="AI9" s="388"/>
      <c r="AJ9" s="388"/>
      <c r="AK9" s="241"/>
      <c r="AL9" s="404"/>
      <c r="AM9" s="241"/>
      <c r="AN9" s="27"/>
    </row>
    <row r="10" spans="2:40" ht="18" customHeight="1" x14ac:dyDescent="0.45">
      <c r="B10" s="18"/>
      <c r="C10" s="137" t="s">
        <v>141</v>
      </c>
      <c r="D10" s="49" t="str">
        <f>D6</f>
        <v>210 mm</v>
      </c>
      <c r="E10" s="242"/>
      <c r="F10" s="22"/>
      <c r="G10" s="242"/>
      <c r="H10" s="392"/>
      <c r="I10" s="392"/>
      <c r="J10" s="392"/>
      <c r="K10" s="402"/>
      <c r="L10" s="403"/>
      <c r="M10" s="402"/>
      <c r="N10" s="242"/>
      <c r="O10" s="392"/>
      <c r="P10" s="403"/>
      <c r="Q10" s="392"/>
      <c r="R10" s="242"/>
      <c r="S10" s="394"/>
      <c r="T10" s="394"/>
      <c r="U10" s="394"/>
      <c r="V10" s="32"/>
      <c r="W10" s="22"/>
      <c r="X10" s="18"/>
      <c r="Y10" s="242"/>
      <c r="Z10" s="242"/>
      <c r="AA10" s="395"/>
      <c r="AB10" s="316"/>
      <c r="AC10" s="316"/>
      <c r="AD10" s="316"/>
      <c r="AE10" s="316"/>
      <c r="AF10" s="241"/>
      <c r="AG10" s="388"/>
      <c r="AH10" s="388"/>
      <c r="AI10" s="388"/>
      <c r="AJ10" s="388"/>
      <c r="AK10" s="241"/>
      <c r="AL10" s="404"/>
      <c r="AM10" s="241"/>
      <c r="AN10" s="27"/>
    </row>
    <row r="11" spans="2:40" ht="18" customHeight="1" x14ac:dyDescent="0.45">
      <c r="B11" s="18"/>
      <c r="C11" s="139" t="s">
        <v>8</v>
      </c>
      <c r="D11" s="49" t="s">
        <v>88</v>
      </c>
      <c r="E11" s="242"/>
      <c r="F11" s="22"/>
      <c r="G11" s="242"/>
      <c r="H11" s="392"/>
      <c r="I11" s="392"/>
      <c r="J11" s="392"/>
      <c r="K11" s="392" t="s">
        <v>2</v>
      </c>
      <c r="L11" s="392" t="s">
        <v>2</v>
      </c>
      <c r="M11" s="402"/>
      <c r="N11" s="242"/>
      <c r="O11" s="396" t="s">
        <v>2</v>
      </c>
      <c r="P11" s="396"/>
      <c r="Q11" s="397" t="s">
        <v>2</v>
      </c>
      <c r="R11" s="242"/>
      <c r="S11" s="394"/>
      <c r="T11" s="394"/>
      <c r="U11" s="394" t="s">
        <v>2</v>
      </c>
      <c r="V11" s="32" t="s">
        <v>2</v>
      </c>
      <c r="W11" s="22"/>
      <c r="X11" s="18"/>
      <c r="Y11" s="242"/>
      <c r="Z11" s="242"/>
      <c r="AA11" s="395"/>
      <c r="AB11" s="316"/>
      <c r="AC11" s="316"/>
      <c r="AD11" s="316"/>
      <c r="AE11" s="405"/>
      <c r="AF11" s="241"/>
      <c r="AG11" s="388"/>
      <c r="AH11" s="388"/>
      <c r="AI11" s="388"/>
      <c r="AJ11" s="388"/>
      <c r="AK11" s="405"/>
      <c r="AL11" s="406"/>
      <c r="AM11" s="241"/>
      <c r="AN11" s="27"/>
    </row>
    <row r="12" spans="2:40" ht="18" customHeight="1" x14ac:dyDescent="0.45">
      <c r="B12" s="18"/>
      <c r="C12" s="139" t="s">
        <v>69</v>
      </c>
      <c r="D12" s="49" t="s">
        <v>183</v>
      </c>
      <c r="E12" s="242"/>
      <c r="F12" s="22"/>
      <c r="G12" s="242"/>
      <c r="H12" s="392"/>
      <c r="I12" s="392"/>
      <c r="J12" s="392"/>
      <c r="K12" s="392"/>
      <c r="L12" s="392"/>
      <c r="M12" s="402"/>
      <c r="N12" s="242"/>
      <c r="O12" s="396"/>
      <c r="P12" s="396"/>
      <c r="Q12" s="397"/>
      <c r="R12" s="242"/>
      <c r="S12" s="394"/>
      <c r="T12" s="394"/>
      <c r="U12" s="394"/>
      <c r="V12" s="32"/>
      <c r="W12" s="22"/>
      <c r="X12" s="18"/>
      <c r="Y12" s="407"/>
      <c r="Z12" s="798" t="str">
        <f>"RESULTAAT "&amp;$D$3</f>
        <v>RESULTAAT TVFILM</v>
      </c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408"/>
      <c r="AM12" s="408"/>
      <c r="AN12" s="27"/>
    </row>
    <row r="13" spans="2:40" ht="18" customHeight="1" x14ac:dyDescent="0.45">
      <c r="B13" s="18"/>
      <c r="C13" s="139" t="s">
        <v>70</v>
      </c>
      <c r="D13" s="49" t="s">
        <v>174</v>
      </c>
      <c r="E13" s="242"/>
      <c r="F13" s="22"/>
      <c r="G13" s="242"/>
      <c r="H13" s="392"/>
      <c r="I13" s="392"/>
      <c r="J13" s="392"/>
      <c r="K13" s="392"/>
      <c r="L13" s="392"/>
      <c r="M13" s="402"/>
      <c r="N13" s="242"/>
      <c r="O13" s="396"/>
      <c r="P13" s="396"/>
      <c r="Q13" s="397"/>
      <c r="R13" s="242"/>
      <c r="S13" s="394"/>
      <c r="T13" s="394"/>
      <c r="U13" s="394"/>
      <c r="V13" s="32"/>
      <c r="W13" s="22"/>
      <c r="X13" s="18"/>
      <c r="Y13" s="407"/>
      <c r="Z13" s="798"/>
      <c r="AA13" s="798"/>
      <c r="AB13" s="798"/>
      <c r="AC13" s="798"/>
      <c r="AD13" s="798"/>
      <c r="AE13" s="798"/>
      <c r="AF13" s="798"/>
      <c r="AG13" s="798"/>
      <c r="AH13" s="798"/>
      <c r="AI13" s="798"/>
      <c r="AJ13" s="798"/>
      <c r="AK13" s="798"/>
      <c r="AL13" s="409" t="str">
        <f>C8&amp;" jaarbasis"</f>
        <v>Oplage: jaarbasis</v>
      </c>
      <c r="AM13" s="408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42"/>
      <c r="F14" s="22"/>
      <c r="G14" s="242"/>
      <c r="H14" s="392"/>
      <c r="I14" s="392"/>
      <c r="J14" s="392"/>
      <c r="K14" s="392" t="s">
        <v>2</v>
      </c>
      <c r="L14" s="392" t="s">
        <v>2</v>
      </c>
      <c r="M14" s="402"/>
      <c r="N14" s="242"/>
      <c r="O14" s="396"/>
      <c r="P14" s="396"/>
      <c r="Q14" s="397"/>
      <c r="R14" s="242"/>
      <c r="S14" s="394"/>
      <c r="T14" s="394"/>
      <c r="U14" s="394"/>
      <c r="V14" s="32"/>
      <c r="W14" s="22"/>
      <c r="X14" s="18"/>
      <c r="Y14" s="407"/>
      <c r="Z14" s="798"/>
      <c r="AA14" s="798"/>
      <c r="AB14" s="798"/>
      <c r="AC14" s="798"/>
      <c r="AD14" s="798"/>
      <c r="AE14" s="798"/>
      <c r="AF14" s="798"/>
      <c r="AG14" s="798"/>
      <c r="AH14" s="798"/>
      <c r="AI14" s="798"/>
      <c r="AJ14" s="798"/>
      <c r="AK14" s="798"/>
      <c r="AL14" s="411">
        <f>D8*D5</f>
        <v>2867800</v>
      </c>
      <c r="AM14" s="408"/>
      <c r="AN14" s="27"/>
    </row>
    <row r="15" spans="2:40" ht="18" customHeight="1" thickBot="1" x14ac:dyDescent="0.5">
      <c r="B15" s="18"/>
      <c r="C15" s="119" t="s">
        <v>89</v>
      </c>
      <c r="D15" s="410" t="s">
        <v>91</v>
      </c>
      <c r="E15" s="242"/>
      <c r="F15" s="22"/>
      <c r="G15" s="242"/>
      <c r="H15" s="392"/>
      <c r="I15" s="392"/>
      <c r="J15" s="392"/>
      <c r="K15" s="392"/>
      <c r="L15" s="392"/>
      <c r="M15" s="402"/>
      <c r="N15" s="242"/>
      <c r="O15" s="396"/>
      <c r="P15" s="396"/>
      <c r="Q15" s="397"/>
      <c r="R15" s="242"/>
      <c r="S15" s="394"/>
      <c r="T15" s="394"/>
      <c r="U15" s="394"/>
      <c r="V15" s="32"/>
      <c r="W15" s="22"/>
      <c r="X15" s="18"/>
      <c r="Y15" s="407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1"/>
      <c r="AM15" s="408"/>
      <c r="AN15" s="27"/>
    </row>
    <row r="16" spans="2:40" s="67" customFormat="1" ht="31.5" customHeight="1" thickBot="1" x14ac:dyDescent="0.5">
      <c r="B16" s="18"/>
      <c r="C16" s="237" t="s">
        <v>12</v>
      </c>
      <c r="D16" s="384"/>
      <c r="E16" s="767" t="s">
        <v>66</v>
      </c>
      <c r="F16" s="768"/>
      <c r="G16" s="242"/>
      <c r="H16" s="774" t="s">
        <v>13</v>
      </c>
      <c r="I16" s="775"/>
      <c r="J16" s="775"/>
      <c r="K16" s="775"/>
      <c r="L16" s="775"/>
      <c r="M16" s="776"/>
      <c r="N16" s="414"/>
      <c r="O16" s="774" t="s">
        <v>14</v>
      </c>
      <c r="P16" s="775"/>
      <c r="Q16" s="776"/>
      <c r="R16" s="414"/>
      <c r="S16" s="774" t="s">
        <v>15</v>
      </c>
      <c r="T16" s="775"/>
      <c r="U16" s="775"/>
      <c r="V16" s="776"/>
      <c r="W16" s="22"/>
      <c r="X16" s="18"/>
      <c r="Y16" s="415"/>
      <c r="Z16" s="63"/>
      <c r="AA16" s="777" t="s">
        <v>16</v>
      </c>
      <c r="AB16" s="778"/>
      <c r="AC16" s="778"/>
      <c r="AD16" s="778"/>
      <c r="AE16" s="779"/>
      <c r="AF16" s="242"/>
      <c r="AG16" s="780" t="s">
        <v>17</v>
      </c>
      <c r="AH16" s="781"/>
      <c r="AI16" s="781"/>
      <c r="AJ16" s="781"/>
      <c r="AK16" s="778"/>
      <c r="AL16" s="64" t="s">
        <v>18</v>
      </c>
      <c r="AM16" s="416"/>
      <c r="AN16" s="66"/>
    </row>
    <row r="17" spans="2:40" ht="189.5" thickBot="1" x14ac:dyDescent="0.5">
      <c r="B17" s="18"/>
      <c r="C17" s="238"/>
      <c r="D17" s="230"/>
      <c r="E17" s="242"/>
      <c r="F17" s="14"/>
      <c r="G17" s="242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42"/>
      <c r="O17" s="189" t="s">
        <v>25</v>
      </c>
      <c r="P17" s="190" t="s">
        <v>26</v>
      </c>
      <c r="Q17" s="70" t="s">
        <v>27</v>
      </c>
      <c r="R17" s="242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407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42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408"/>
      <c r="AN17" s="27"/>
    </row>
    <row r="18" spans="2:40" ht="17" thickBot="1" x14ac:dyDescent="0.5">
      <c r="B18" s="18"/>
      <c r="C18" s="387" t="s">
        <v>156</v>
      </c>
      <c r="D18" s="78"/>
      <c r="E18" s="417" t="s">
        <v>63</v>
      </c>
      <c r="F18" s="223" t="s">
        <v>64</v>
      </c>
      <c r="G18" s="418"/>
      <c r="H18" s="192"/>
      <c r="I18" s="419"/>
      <c r="J18" s="192"/>
      <c r="K18" s="419"/>
      <c r="L18" s="194"/>
      <c r="M18" s="195"/>
      <c r="N18" s="418"/>
      <c r="O18" s="196" t="s">
        <v>36</v>
      </c>
      <c r="P18" s="420" t="s">
        <v>37</v>
      </c>
      <c r="Q18" s="198" t="s">
        <v>37</v>
      </c>
      <c r="R18" s="418"/>
      <c r="S18" s="196" t="s">
        <v>36</v>
      </c>
      <c r="T18" s="421" t="s">
        <v>37</v>
      </c>
      <c r="U18" s="420" t="s">
        <v>37</v>
      </c>
      <c r="V18" s="200" t="s">
        <v>37</v>
      </c>
      <c r="W18" s="22"/>
      <c r="X18" s="18"/>
      <c r="Y18" s="407"/>
      <c r="Z18" s="79" t="s">
        <v>156</v>
      </c>
      <c r="AA18" s="80"/>
      <c r="AB18" s="81"/>
      <c r="AC18" s="81"/>
      <c r="AD18" s="81"/>
      <c r="AE18" s="82"/>
      <c r="AF18" s="308"/>
      <c r="AG18" s="84"/>
      <c r="AH18" s="85"/>
      <c r="AI18" s="85"/>
      <c r="AJ18" s="85"/>
      <c r="AK18" s="422"/>
      <c r="AL18" s="77"/>
      <c r="AM18" s="408"/>
      <c r="AN18" s="27"/>
    </row>
    <row r="19" spans="2:40" ht="10" customHeight="1" x14ac:dyDescent="0.45">
      <c r="B19" s="18"/>
      <c r="C19" s="87"/>
      <c r="D19" s="88"/>
      <c r="E19" s="242"/>
      <c r="F19" s="22"/>
      <c r="G19" s="242"/>
      <c r="H19" s="89"/>
      <c r="I19" s="423"/>
      <c r="J19" s="423"/>
      <c r="K19" s="423"/>
      <c r="L19" s="91"/>
      <c r="M19" s="92"/>
      <c r="N19" s="242"/>
      <c r="O19" s="93"/>
      <c r="P19" s="424"/>
      <c r="Q19" s="70"/>
      <c r="R19" s="242"/>
      <c r="S19" s="93"/>
      <c r="T19" s="424"/>
      <c r="U19" s="424"/>
      <c r="V19" s="95"/>
      <c r="W19" s="22"/>
      <c r="X19" s="18"/>
      <c r="Y19" s="407"/>
      <c r="Z19" s="96"/>
      <c r="AA19" s="97"/>
      <c r="AB19" s="425"/>
      <c r="AC19" s="425"/>
      <c r="AD19" s="425"/>
      <c r="AE19" s="99"/>
      <c r="AF19" s="242"/>
      <c r="AG19" s="97"/>
      <c r="AH19" s="426"/>
      <c r="AI19" s="425"/>
      <c r="AJ19" s="425"/>
      <c r="AK19" s="99"/>
      <c r="AL19" s="77"/>
      <c r="AM19" s="408"/>
      <c r="AN19" s="27"/>
    </row>
    <row r="20" spans="2:40" ht="17" thickBot="1" x14ac:dyDescent="0.5">
      <c r="B20" s="18"/>
      <c r="C20" s="100" t="s">
        <v>157</v>
      </c>
      <c r="D20" s="379">
        <f>IF(AND($D$15="Offline",$D$23&gt;0),$D$23,0)</f>
        <v>26</v>
      </c>
      <c r="E20" s="336" t="str">
        <f>IF(D20&gt;0,$D$10,0)</f>
        <v>210 mm</v>
      </c>
      <c r="F20" s="427" t="s">
        <v>242</v>
      </c>
      <c r="G20" s="242"/>
      <c r="H20" s="428">
        <v>0</v>
      </c>
      <c r="I20" s="429">
        <v>0</v>
      </c>
      <c r="J20" s="430">
        <v>0</v>
      </c>
      <c r="K20" s="430">
        <v>0</v>
      </c>
      <c r="L20" s="431"/>
      <c r="M20" s="101">
        <v>600</v>
      </c>
      <c r="N20" s="242"/>
      <c r="O20" s="432">
        <v>0</v>
      </c>
      <c r="P20" s="433">
        <v>0</v>
      </c>
      <c r="Q20" s="434">
        <f>O20*(M20/1000)</f>
        <v>0</v>
      </c>
      <c r="R20" s="242"/>
      <c r="S20" s="432">
        <v>0</v>
      </c>
      <c r="T20" s="435">
        <f>S20*(M20/1000)</f>
        <v>0</v>
      </c>
      <c r="U20" s="433">
        <v>0</v>
      </c>
      <c r="V20" s="436">
        <v>1</v>
      </c>
      <c r="W20" s="22"/>
      <c r="X20" s="18"/>
      <c r="Y20" s="407"/>
      <c r="Z20" s="102" t="s">
        <v>157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440"/>
      <c r="AG20" s="437">
        <f>$S20*$D20*($D$8/10000)</f>
        <v>0</v>
      </c>
      <c r="AH20" s="438">
        <f t="shared" ref="AH20" si="0">(D20*T20)*($D$8/10000)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408"/>
      <c r="AN20" s="27"/>
    </row>
    <row r="21" spans="2:40" ht="10" customHeight="1" thickBot="1" x14ac:dyDescent="0.5">
      <c r="B21" s="18"/>
      <c r="C21" s="87"/>
      <c r="D21" s="88"/>
      <c r="E21" s="242"/>
      <c r="F21" s="22"/>
      <c r="G21" s="242"/>
      <c r="H21" s="89"/>
      <c r="I21" s="423"/>
      <c r="J21" s="423"/>
      <c r="K21" s="423"/>
      <c r="L21" s="91"/>
      <c r="M21" s="92"/>
      <c r="N21" s="242"/>
      <c r="O21" s="93"/>
      <c r="P21" s="424"/>
      <c r="Q21" s="70"/>
      <c r="R21" s="242"/>
      <c r="S21" s="93"/>
      <c r="T21" s="424"/>
      <c r="U21" s="424"/>
      <c r="V21" s="95"/>
      <c r="W21" s="22"/>
      <c r="X21" s="18"/>
      <c r="Y21" s="407"/>
      <c r="Z21" s="96"/>
      <c r="AA21" s="443"/>
      <c r="AB21" s="444"/>
      <c r="AC21" s="444"/>
      <c r="AD21" s="444"/>
      <c r="AE21" s="445"/>
      <c r="AF21" s="446"/>
      <c r="AG21" s="443"/>
      <c r="AH21" s="444"/>
      <c r="AI21" s="444"/>
      <c r="AJ21" s="444"/>
      <c r="AK21" s="447"/>
      <c r="AL21" s="448"/>
      <c r="AM21" s="408"/>
      <c r="AN21" s="27"/>
    </row>
    <row r="22" spans="2:40" x14ac:dyDescent="0.45">
      <c r="B22" s="18"/>
      <c r="C22" s="807" t="s">
        <v>175</v>
      </c>
      <c r="D22" s="789"/>
      <c r="E22" s="417" t="s">
        <v>63</v>
      </c>
      <c r="F22" s="224" t="s">
        <v>64</v>
      </c>
      <c r="G22" s="418"/>
      <c r="H22" s="210" t="s">
        <v>2</v>
      </c>
      <c r="I22" s="211" t="s">
        <v>2</v>
      </c>
      <c r="J22" s="201" t="s">
        <v>2</v>
      </c>
      <c r="K22" s="449" t="s">
        <v>2</v>
      </c>
      <c r="L22" s="203" t="s">
        <v>2</v>
      </c>
      <c r="M22" s="204" t="s">
        <v>2</v>
      </c>
      <c r="N22" s="418"/>
      <c r="O22" s="212" t="s">
        <v>36</v>
      </c>
      <c r="P22" s="213" t="s">
        <v>37</v>
      </c>
      <c r="Q22" s="214" t="s">
        <v>37</v>
      </c>
      <c r="R22" s="418"/>
      <c r="S22" s="212" t="s">
        <v>36</v>
      </c>
      <c r="T22" s="215" t="s">
        <v>37</v>
      </c>
      <c r="U22" s="213"/>
      <c r="V22" s="216" t="s">
        <v>40</v>
      </c>
      <c r="W22" s="22"/>
      <c r="X22" s="18"/>
      <c r="Y22" s="407"/>
      <c r="Z22" s="136" t="s">
        <v>158</v>
      </c>
      <c r="AA22" s="467"/>
      <c r="AB22" s="468"/>
      <c r="AC22" s="468"/>
      <c r="AD22" s="468"/>
      <c r="AE22" s="469"/>
      <c r="AF22" s="440"/>
      <c r="AG22" s="470"/>
      <c r="AH22" s="468"/>
      <c r="AI22" s="468"/>
      <c r="AJ22" s="468"/>
      <c r="AK22" s="471"/>
      <c r="AL22" s="442"/>
      <c r="AM22" s="408"/>
      <c r="AN22" s="27"/>
    </row>
    <row r="23" spans="2:40" ht="18" customHeight="1" x14ac:dyDescent="0.45">
      <c r="B23" s="18"/>
      <c r="C23" s="104" t="s">
        <v>184</v>
      </c>
      <c r="D23" s="379">
        <f>IF($D$9="128 p. binnenwerk + 4 p. omslag",IF($D$15="Offline",26,0),0)</f>
        <v>26</v>
      </c>
      <c r="E23" s="336" t="str">
        <f t="shared" ref="E23" si="1">IF(D23&gt;0,$D$10,0)</f>
        <v>210 mm</v>
      </c>
      <c r="F23" s="427" t="s">
        <v>242</v>
      </c>
      <c r="G23" s="242"/>
      <c r="H23" s="459">
        <v>0</v>
      </c>
      <c r="I23" s="430">
        <v>0</v>
      </c>
      <c r="J23" s="107" t="s">
        <v>38</v>
      </c>
      <c r="K23" s="107" t="s">
        <v>38</v>
      </c>
      <c r="L23" s="431"/>
      <c r="M23" s="101">
        <v>555</v>
      </c>
      <c r="N23" s="242"/>
      <c r="O23" s="432">
        <v>0</v>
      </c>
      <c r="P23" s="433">
        <v>0</v>
      </c>
      <c r="Q23" s="434">
        <f>O23*(M23/1000)</f>
        <v>0</v>
      </c>
      <c r="R23" s="242"/>
      <c r="S23" s="432">
        <v>0</v>
      </c>
      <c r="T23" s="435">
        <f>S23*(M23/1000)</f>
        <v>0</v>
      </c>
      <c r="U23" s="433">
        <v>0</v>
      </c>
      <c r="V23" s="472">
        <v>1</v>
      </c>
      <c r="W23" s="314">
        <f t="shared" ref="W23" si="2">IF(D23&gt;0,1,0)+V23</f>
        <v>2</v>
      </c>
      <c r="X23" s="18"/>
      <c r="Y23" s="407"/>
      <c r="Z23" s="110" t="s">
        <v>184</v>
      </c>
      <c r="AA23" s="460">
        <f t="shared" ref="AA23" si="3">$O23*$D23</f>
        <v>0</v>
      </c>
      <c r="AB23" s="461">
        <f>$AA23*$M23/1000</f>
        <v>0</v>
      </c>
      <c r="AC23" s="461">
        <f t="shared" ref="AC23" si="4">$P23*$D23</f>
        <v>0</v>
      </c>
      <c r="AD23" s="461">
        <f>VLOOKUP($W23,$C$27:$P$33,$P$25,FALSE)*$D23</f>
        <v>0</v>
      </c>
      <c r="AE23" s="462">
        <f t="shared" ref="AE23" si="5">SUM(AB23:AD23)</f>
        <v>0</v>
      </c>
      <c r="AF23" s="440"/>
      <c r="AG23" s="460">
        <f>$S23*$D23*($D$8/10000)</f>
        <v>0</v>
      </c>
      <c r="AH23" s="461">
        <f t="shared" ref="AH23" si="6">(D23*T23)*($D$8/10000)</f>
        <v>0</v>
      </c>
      <c r="AI23" s="461">
        <f>($D23*$U23)*$D$8/10000</f>
        <v>0</v>
      </c>
      <c r="AJ23" s="461">
        <f>VLOOKUP($W23,$C$27:$U$33,$U$25,FALSE)*($D$8/10000)*$D23</f>
        <v>0</v>
      </c>
      <c r="AK23" s="463">
        <f t="shared" ref="AK23" si="7">SUM(AH23:AJ23)</f>
        <v>0</v>
      </c>
      <c r="AL23" s="442">
        <f>AE23+AK23</f>
        <v>0</v>
      </c>
      <c r="AM23" s="408"/>
      <c r="AN23" s="27"/>
    </row>
    <row r="24" spans="2:40" ht="15.65" customHeight="1" thickBot="1" x14ac:dyDescent="0.5">
      <c r="B24" s="18"/>
      <c r="C24" s="140"/>
      <c r="D24" s="241"/>
      <c r="E24" s="242"/>
      <c r="F24" s="242"/>
      <c r="G24" s="242"/>
      <c r="H24" s="241"/>
      <c r="I24" s="241"/>
      <c r="J24" s="241"/>
      <c r="K24" s="241"/>
      <c r="L24" s="241"/>
      <c r="M24" s="393"/>
      <c r="N24" s="242"/>
      <c r="O24" s="251"/>
      <c r="P24" s="251"/>
      <c r="Q24" s="251"/>
      <c r="R24" s="242"/>
      <c r="S24" s="130"/>
      <c r="T24" s="251"/>
      <c r="U24" s="251"/>
      <c r="V24" s="141"/>
      <c r="W24" s="22"/>
      <c r="X24" s="18"/>
      <c r="Y24" s="407"/>
      <c r="Z24" s="242"/>
      <c r="AA24" s="482"/>
      <c r="AB24" s="465"/>
      <c r="AC24" s="465"/>
      <c r="AD24" s="465"/>
      <c r="AE24" s="466"/>
      <c r="AF24" s="483"/>
      <c r="AG24" s="482"/>
      <c r="AH24" s="465"/>
      <c r="AI24" s="465"/>
      <c r="AJ24" s="465"/>
      <c r="AK24" s="463"/>
      <c r="AL24" s="442"/>
      <c r="AM24" s="408"/>
      <c r="AN24" s="27"/>
    </row>
    <row r="25" spans="2:40" ht="20.5" customHeight="1" thickBot="1" x14ac:dyDescent="0.5">
      <c r="B25" s="18"/>
      <c r="C25" s="788" t="s">
        <v>178</v>
      </c>
      <c r="D25" s="790"/>
      <c r="E25" s="790"/>
      <c r="F25" s="790"/>
      <c r="G25" s="790"/>
      <c r="H25" s="790"/>
      <c r="I25" s="790"/>
      <c r="J25" s="143"/>
      <c r="K25" s="143"/>
      <c r="L25" s="143"/>
      <c r="M25" s="143"/>
      <c r="N25" s="143"/>
      <c r="O25" s="142"/>
      <c r="P25" s="144">
        <v>14</v>
      </c>
      <c r="Q25" s="145"/>
      <c r="R25" s="143"/>
      <c r="S25" s="142"/>
      <c r="T25" s="143"/>
      <c r="U25" s="144">
        <v>19</v>
      </c>
      <c r="V25" s="145"/>
      <c r="W25" s="22"/>
      <c r="X25" s="18"/>
      <c r="Y25" s="407"/>
      <c r="Z25" s="142" t="str">
        <f>C35</f>
        <v>Extra bewerkingen (Pluspropositie):</v>
      </c>
      <c r="AA25" s="484"/>
      <c r="AB25" s="485"/>
      <c r="AC25" s="485"/>
      <c r="AD25" s="485"/>
      <c r="AE25" s="486"/>
      <c r="AF25" s="487"/>
      <c r="AG25" s="488"/>
      <c r="AH25" s="485"/>
      <c r="AI25" s="485"/>
      <c r="AJ25" s="485"/>
      <c r="AK25" s="489"/>
      <c r="AL25" s="490"/>
      <c r="AM25" s="408"/>
      <c r="AN25" s="27"/>
    </row>
    <row r="26" spans="2:40" ht="32.5" customHeight="1" x14ac:dyDescent="0.45">
      <c r="B26" s="18"/>
      <c r="C26" s="254" t="s">
        <v>41</v>
      </c>
      <c r="D26" s="393"/>
      <c r="E26" s="242"/>
      <c r="F26" s="242"/>
      <c r="G26" s="242"/>
      <c r="H26" s="316"/>
      <c r="I26" s="316"/>
      <c r="J26" s="393"/>
      <c r="K26" s="393"/>
      <c r="L26" s="393"/>
      <c r="M26" s="393"/>
      <c r="N26" s="242"/>
      <c r="O26" s="791" t="s">
        <v>42</v>
      </c>
      <c r="P26" s="796"/>
      <c r="Q26" s="793"/>
      <c r="R26" s="251"/>
      <c r="S26" s="146"/>
      <c r="T26" s="13"/>
      <c r="U26" s="221" t="s">
        <v>43</v>
      </c>
      <c r="V26" s="147"/>
      <c r="W26" s="22"/>
      <c r="X26" s="18"/>
      <c r="Y26" s="407"/>
      <c r="Z26" s="234"/>
      <c r="AA26" s="491"/>
      <c r="AB26" s="492"/>
      <c r="AC26" s="492"/>
      <c r="AD26" s="492"/>
      <c r="AE26" s="493"/>
      <c r="AF26" s="494"/>
      <c r="AG26" s="495"/>
      <c r="AH26" s="492"/>
      <c r="AI26" s="492"/>
      <c r="AJ26" s="492"/>
      <c r="AK26" s="493"/>
      <c r="AL26" s="442"/>
      <c r="AM26" s="408"/>
      <c r="AN26" s="27"/>
    </row>
    <row r="27" spans="2:40" x14ac:dyDescent="0.45">
      <c r="B27" s="18"/>
      <c r="C27" s="149">
        <v>1</v>
      </c>
      <c r="D27" s="241"/>
      <c r="E27" s="242"/>
      <c r="F27" s="242"/>
      <c r="G27" s="242"/>
      <c r="H27" s="241"/>
      <c r="I27" s="241"/>
      <c r="J27" s="241"/>
      <c r="K27" s="241"/>
      <c r="L27" s="241"/>
      <c r="M27" s="241"/>
      <c r="N27" s="241"/>
      <c r="O27" s="130"/>
      <c r="P27" s="496">
        <v>0</v>
      </c>
      <c r="Q27" s="134"/>
      <c r="R27" s="251"/>
      <c r="S27" s="130"/>
      <c r="T27" s="251"/>
      <c r="U27" s="496">
        <v>0</v>
      </c>
      <c r="V27" s="134"/>
      <c r="W27" s="22"/>
      <c r="X27" s="18"/>
      <c r="Y27" s="407"/>
      <c r="Z27" s="150" t="str">
        <f>C37</f>
        <v>Meehechten extra katern / insert / outsert</v>
      </c>
      <c r="AA27" s="491"/>
      <c r="AB27" s="492"/>
      <c r="AC27" s="497"/>
      <c r="AD27" s="497">
        <f>D37*P37</f>
        <v>0</v>
      </c>
      <c r="AE27" s="498">
        <f>AD27</f>
        <v>0</v>
      </c>
      <c r="AF27" s="499"/>
      <c r="AG27" s="500"/>
      <c r="AH27" s="501"/>
      <c r="AI27" s="502"/>
      <c r="AJ27" s="502">
        <f>(E37/10000)*U37*D37</f>
        <v>0</v>
      </c>
      <c r="AK27" s="503">
        <f>AJ27</f>
        <v>0</v>
      </c>
      <c r="AL27" s="442">
        <f>AE27+AK27</f>
        <v>0</v>
      </c>
      <c r="AM27" s="408"/>
      <c r="AN27" s="27"/>
    </row>
    <row r="28" spans="2:40" x14ac:dyDescent="0.45">
      <c r="B28" s="18"/>
      <c r="C28" s="151">
        <v>2</v>
      </c>
      <c r="D28" s="241"/>
      <c r="E28" s="242"/>
      <c r="F28" s="242"/>
      <c r="G28" s="242"/>
      <c r="H28" s="241"/>
      <c r="I28" s="241"/>
      <c r="J28" s="241"/>
      <c r="K28" s="241"/>
      <c r="L28" s="241"/>
      <c r="M28" s="393"/>
      <c r="N28" s="242"/>
      <c r="O28" s="130"/>
      <c r="P28" s="496">
        <v>0</v>
      </c>
      <c r="Q28" s="134"/>
      <c r="R28" s="251"/>
      <c r="S28" s="130"/>
      <c r="T28" s="251"/>
      <c r="U28" s="496">
        <v>0</v>
      </c>
      <c r="V28" s="134"/>
      <c r="W28" s="22"/>
      <c r="X28" s="18"/>
      <c r="Y28" s="407"/>
      <c r="Z28" s="148" t="str">
        <f>C38</f>
        <v>Meehechten via plano oplegstation (outsert)</v>
      </c>
      <c r="AA28" s="504"/>
      <c r="AB28" s="505"/>
      <c r="AC28" s="506"/>
      <c r="AD28" s="506">
        <f>$D38*$P38</f>
        <v>0</v>
      </c>
      <c r="AE28" s="507">
        <f>AD28</f>
        <v>0</v>
      </c>
      <c r="AF28" s="508"/>
      <c r="AG28" s="509"/>
      <c r="AH28" s="510"/>
      <c r="AI28" s="511"/>
      <c r="AJ28" s="502">
        <f>(E38/10000)*U38*D38</f>
        <v>0</v>
      </c>
      <c r="AK28" s="512">
        <f>AJ28</f>
        <v>0</v>
      </c>
      <c r="AL28" s="442">
        <f>AE28+AK28</f>
        <v>0</v>
      </c>
      <c r="AM28" s="408"/>
      <c r="AN28" s="27"/>
    </row>
    <row r="29" spans="2:40" x14ac:dyDescent="0.45">
      <c r="B29" s="18"/>
      <c r="C29" s="149">
        <v>3</v>
      </c>
      <c r="D29" s="241"/>
      <c r="E29" s="242"/>
      <c r="F29" s="242"/>
      <c r="G29" s="242"/>
      <c r="H29" s="241"/>
      <c r="I29" s="241"/>
      <c r="J29" s="241"/>
      <c r="K29" s="241"/>
      <c r="L29" s="241"/>
      <c r="M29" s="393"/>
      <c r="N29" s="242"/>
      <c r="O29" s="130"/>
      <c r="P29" s="496">
        <v>0</v>
      </c>
      <c r="Q29" s="134"/>
      <c r="R29" s="251"/>
      <c r="S29" s="130"/>
      <c r="T29" s="251"/>
      <c r="U29" s="496">
        <v>0</v>
      </c>
      <c r="V29" s="134"/>
      <c r="W29" s="22"/>
      <c r="X29" s="18"/>
      <c r="Y29" s="407"/>
      <c r="Z29" s="150" t="str">
        <f>C39</f>
        <v>Plakkaart (op katernscheiding)</v>
      </c>
      <c r="AA29" s="504"/>
      <c r="AB29" s="505"/>
      <c r="AC29" s="506"/>
      <c r="AD29" s="506">
        <f>$D39*$P39</f>
        <v>0</v>
      </c>
      <c r="AE29" s="507">
        <f>AD29</f>
        <v>0</v>
      </c>
      <c r="AF29" s="508"/>
      <c r="AG29" s="509"/>
      <c r="AH29" s="510"/>
      <c r="AI29" s="511"/>
      <c r="AJ29" s="502">
        <f>(E39/10000)*U39*D39</f>
        <v>0</v>
      </c>
      <c r="AK29" s="512">
        <f>AJ29</f>
        <v>0</v>
      </c>
      <c r="AL29" s="442">
        <f>AE29+AK29</f>
        <v>0</v>
      </c>
      <c r="AM29" s="408"/>
      <c r="AN29" s="27"/>
    </row>
    <row r="30" spans="2:40" x14ac:dyDescent="0.45">
      <c r="B30" s="18"/>
      <c r="C30" s="151">
        <v>4</v>
      </c>
      <c r="D30" s="241"/>
      <c r="E30" s="242"/>
      <c r="F30" s="242"/>
      <c r="G30" s="242"/>
      <c r="H30" s="241"/>
      <c r="I30" s="241"/>
      <c r="J30" s="241"/>
      <c r="K30" s="241"/>
      <c r="L30" s="241"/>
      <c r="M30" s="393"/>
      <c r="N30" s="242"/>
      <c r="O30" s="130"/>
      <c r="P30" s="496">
        <v>0</v>
      </c>
      <c r="Q30" s="134"/>
      <c r="R30" s="251"/>
      <c r="S30" s="130"/>
      <c r="T30" s="251"/>
      <c r="U30" s="496">
        <v>0</v>
      </c>
      <c r="V30" s="134"/>
      <c r="W30" s="22"/>
      <c r="X30" s="18"/>
      <c r="Y30" s="407"/>
      <c r="Z30" s="148" t="str">
        <f>C40</f>
        <v xml:space="preserve">Insteekkaart, kaart los insteken tijdens hechten (willekeurig) </v>
      </c>
      <c r="AA30" s="513"/>
      <c r="AB30" s="505"/>
      <c r="AC30" s="506"/>
      <c r="AD30" s="506">
        <f>$D40*$P40</f>
        <v>0</v>
      </c>
      <c r="AE30" s="507">
        <f>AD30</f>
        <v>0</v>
      </c>
      <c r="AF30" s="508"/>
      <c r="AG30" s="509"/>
      <c r="AH30" s="510"/>
      <c r="AI30" s="511"/>
      <c r="AJ30" s="502">
        <f>(E40/10000)*U40*D40</f>
        <v>0</v>
      </c>
      <c r="AK30" s="512">
        <f>AJ30</f>
        <v>0</v>
      </c>
      <c r="AL30" s="442">
        <f>AE30+AK30</f>
        <v>0</v>
      </c>
      <c r="AM30" s="408"/>
      <c r="AN30" s="27"/>
    </row>
    <row r="31" spans="2:40" ht="17" thickBot="1" x14ac:dyDescent="0.5">
      <c r="B31" s="18"/>
      <c r="C31" s="149">
        <v>5</v>
      </c>
      <c r="D31" s="241"/>
      <c r="E31" s="242"/>
      <c r="F31" s="242"/>
      <c r="G31" s="242"/>
      <c r="H31" s="241"/>
      <c r="I31" s="241"/>
      <c r="J31" s="241"/>
      <c r="K31" s="241"/>
      <c r="L31" s="241"/>
      <c r="M31" s="393"/>
      <c r="N31" s="242"/>
      <c r="O31" s="130"/>
      <c r="P31" s="496">
        <v>0</v>
      </c>
      <c r="Q31" s="134"/>
      <c r="R31" s="251"/>
      <c r="S31" s="130"/>
      <c r="T31" s="251"/>
      <c r="U31" s="496">
        <v>0</v>
      </c>
      <c r="V31" s="134"/>
      <c r="W31" s="22"/>
      <c r="X31" s="18"/>
      <c r="Y31" s="407"/>
      <c r="Z31" s="242"/>
      <c r="AA31" s="514"/>
      <c r="AB31" s="515"/>
      <c r="AC31" s="515"/>
      <c r="AD31" s="516"/>
      <c r="AE31" s="517"/>
      <c r="AF31" s="499"/>
      <c r="AG31" s="518"/>
      <c r="AH31" s="519"/>
      <c r="AI31" s="519"/>
      <c r="AJ31" s="519"/>
      <c r="AK31" s="517"/>
      <c r="AL31" s="442"/>
      <c r="AM31" s="408"/>
      <c r="AN31" s="27"/>
    </row>
    <row r="32" spans="2:40" ht="20.5" customHeight="1" x14ac:dyDescent="0.45">
      <c r="B32" s="18"/>
      <c r="C32" s="149">
        <v>6</v>
      </c>
      <c r="D32" s="241"/>
      <c r="E32" s="242"/>
      <c r="F32" s="242"/>
      <c r="G32" s="242"/>
      <c r="H32" s="241"/>
      <c r="I32" s="241"/>
      <c r="J32" s="241"/>
      <c r="K32" s="241"/>
      <c r="L32" s="241"/>
      <c r="M32" s="393"/>
      <c r="N32" s="242"/>
      <c r="O32" s="130"/>
      <c r="P32" s="496">
        <v>0</v>
      </c>
      <c r="Q32" s="134"/>
      <c r="R32" s="251"/>
      <c r="S32" s="130"/>
      <c r="T32" s="251"/>
      <c r="U32" s="496">
        <v>0</v>
      </c>
      <c r="V32" s="134"/>
      <c r="W32" s="22"/>
      <c r="X32" s="18"/>
      <c r="Y32" s="407"/>
      <c r="Z32" s="142" t="s">
        <v>84</v>
      </c>
      <c r="AA32" s="520"/>
      <c r="AB32" s="521"/>
      <c r="AC32" s="521"/>
      <c r="AD32" s="522"/>
      <c r="AE32" s="523"/>
      <c r="AF32" s="499"/>
      <c r="AG32" s="524"/>
      <c r="AH32" s="525"/>
      <c r="AI32" s="525"/>
      <c r="AJ32" s="525"/>
      <c r="AK32" s="525"/>
      <c r="AL32" s="442"/>
      <c r="AM32" s="408"/>
      <c r="AN32" s="27"/>
    </row>
    <row r="33" spans="1:40" ht="17" thickBot="1" x14ac:dyDescent="0.5">
      <c r="B33" s="18"/>
      <c r="C33" s="157">
        <v>7</v>
      </c>
      <c r="D33" s="158"/>
      <c r="E33" s="158"/>
      <c r="F33" s="158"/>
      <c r="G33" s="158"/>
      <c r="H33" s="158"/>
      <c r="I33" s="158"/>
      <c r="J33" s="158"/>
      <c r="K33" s="158"/>
      <c r="L33" s="158"/>
      <c r="M33" s="159"/>
      <c r="N33" s="158"/>
      <c r="O33" s="160"/>
      <c r="P33" s="526">
        <v>0</v>
      </c>
      <c r="Q33" s="161"/>
      <c r="R33" s="158"/>
      <c r="S33" s="160"/>
      <c r="T33" s="162"/>
      <c r="U33" s="527">
        <v>0</v>
      </c>
      <c r="V33" s="163"/>
      <c r="W33" s="22"/>
      <c r="X33" s="18"/>
      <c r="Y33" s="407"/>
      <c r="Z33" s="152" t="s">
        <v>85</v>
      </c>
      <c r="AA33" s="513"/>
      <c r="AB33" s="505"/>
      <c r="AC33" s="506"/>
      <c r="AD33" s="506">
        <f>$D42*$P42</f>
        <v>0</v>
      </c>
      <c r="AE33" s="507">
        <f>AD33</f>
        <v>0</v>
      </c>
      <c r="AF33" s="508"/>
      <c r="AG33" s="509"/>
      <c r="AH33" s="510"/>
      <c r="AI33" s="511"/>
      <c r="AJ33" s="528">
        <f>(E40/10000)*U42*D42</f>
        <v>0</v>
      </c>
      <c r="AK33" s="512">
        <f>AJ33</f>
        <v>0</v>
      </c>
      <c r="AL33" s="442">
        <f>AE33+AK33</f>
        <v>0</v>
      </c>
      <c r="AM33" s="408"/>
      <c r="AN33" s="27"/>
    </row>
    <row r="34" spans="1:40" ht="10" customHeight="1" thickBot="1" x14ac:dyDescent="0.5">
      <c r="B34" s="18"/>
      <c r="C34" s="164"/>
      <c r="D34" s="241"/>
      <c r="E34" s="242"/>
      <c r="F34" s="242"/>
      <c r="G34" s="242"/>
      <c r="H34" s="241"/>
      <c r="I34" s="241"/>
      <c r="J34" s="241"/>
      <c r="K34" s="241"/>
      <c r="L34" s="241"/>
      <c r="M34" s="393"/>
      <c r="N34" s="242"/>
      <c r="O34" s="130"/>
      <c r="P34" s="251"/>
      <c r="Q34" s="134"/>
      <c r="R34" s="242"/>
      <c r="S34" s="130"/>
      <c r="T34" s="251"/>
      <c r="U34" s="251"/>
      <c r="V34" s="132"/>
      <c r="W34" s="22"/>
      <c r="X34" s="18"/>
      <c r="Y34" s="407"/>
      <c r="Z34" s="242"/>
      <c r="AA34" s="514"/>
      <c r="AB34" s="515"/>
      <c r="AC34" s="515"/>
      <c r="AD34" s="516"/>
      <c r="AE34" s="517"/>
      <c r="AF34" s="499"/>
      <c r="AG34" s="518"/>
      <c r="AH34" s="516"/>
      <c r="AI34" s="516"/>
      <c r="AJ34" s="516"/>
      <c r="AK34" s="516"/>
      <c r="AL34" s="442"/>
      <c r="AM34" s="408"/>
      <c r="AN34" s="27"/>
    </row>
    <row r="35" spans="1:40" ht="35.5" customHeight="1" x14ac:dyDescent="0.45">
      <c r="B35" s="18"/>
      <c r="C35" s="142" t="s">
        <v>45</v>
      </c>
      <c r="D35" s="217" t="s">
        <v>19</v>
      </c>
      <c r="E35" s="217" t="s">
        <v>83</v>
      </c>
      <c r="F35" s="217"/>
      <c r="G35" s="217"/>
      <c r="H35" s="217"/>
      <c r="I35" s="217"/>
      <c r="J35" s="217"/>
      <c r="K35" s="217"/>
      <c r="L35" s="217"/>
      <c r="M35" s="217"/>
      <c r="N35" s="217"/>
      <c r="O35" s="782" t="s">
        <v>129</v>
      </c>
      <c r="P35" s="782"/>
      <c r="Q35" s="783"/>
      <c r="R35" s="217"/>
      <c r="S35" s="218"/>
      <c r="T35" s="217"/>
      <c r="U35" s="219" t="s">
        <v>46</v>
      </c>
      <c r="V35" s="220"/>
      <c r="W35" s="22"/>
      <c r="X35" s="18"/>
      <c r="Y35" s="407"/>
      <c r="Z35" s="142" t="s">
        <v>86</v>
      </c>
      <c r="AA35" s="529"/>
      <c r="AB35" s="505"/>
      <c r="AC35" s="506"/>
      <c r="AD35" s="506"/>
      <c r="AE35" s="507"/>
      <c r="AF35" s="508"/>
      <c r="AG35" s="509"/>
      <c r="AH35" s="510"/>
      <c r="AI35" s="511"/>
      <c r="AJ35" s="528"/>
      <c r="AK35" s="512"/>
      <c r="AL35" s="442"/>
      <c r="AM35" s="408"/>
      <c r="AN35" s="27"/>
    </row>
    <row r="36" spans="1:40" ht="18" customHeight="1" thickBot="1" x14ac:dyDescent="0.5">
      <c r="B36" s="240"/>
      <c r="C36" s="235" t="s">
        <v>80</v>
      </c>
      <c r="D36" s="166">
        <f>D5</f>
        <v>26</v>
      </c>
      <c r="E36" s="243">
        <f>D57</f>
        <v>40000</v>
      </c>
      <c r="F36" s="530" t="s">
        <v>214</v>
      </c>
      <c r="G36" s="242"/>
      <c r="H36" s="241"/>
      <c r="I36" s="241"/>
      <c r="J36" s="241"/>
      <c r="K36" s="241"/>
      <c r="L36" s="241"/>
      <c r="M36" s="393"/>
      <c r="N36" s="241"/>
      <c r="O36" s="130"/>
      <c r="P36" s="531"/>
      <c r="Q36" s="134"/>
      <c r="R36" s="251"/>
      <c r="S36" s="130"/>
      <c r="T36" s="251"/>
      <c r="U36" s="531"/>
      <c r="V36" s="167"/>
      <c r="W36" s="22"/>
      <c r="X36" s="18"/>
      <c r="Y36" s="408"/>
      <c r="Z36" s="233" t="str">
        <f>C44</f>
        <v>Transportkosten (1 adres in Nederland)</v>
      </c>
      <c r="AA36" s="532"/>
      <c r="AB36" s="533"/>
      <c r="AC36" s="534"/>
      <c r="AD36" s="534">
        <f>$D44*$P44</f>
        <v>0</v>
      </c>
      <c r="AE36" s="535">
        <f>AD36</f>
        <v>0</v>
      </c>
      <c r="AF36" s="536"/>
      <c r="AG36" s="537"/>
      <c r="AH36" s="538"/>
      <c r="AI36" s="539"/>
      <c r="AJ36" s="540">
        <f>(E44/10000)*U44</f>
        <v>0</v>
      </c>
      <c r="AK36" s="541">
        <f>AJ36</f>
        <v>0</v>
      </c>
      <c r="AL36" s="542">
        <f>AE36+AK36</f>
        <v>0</v>
      </c>
      <c r="AM36" s="408"/>
      <c r="AN36" s="27"/>
    </row>
    <row r="37" spans="1:40" ht="16.5" customHeight="1" thickBot="1" x14ac:dyDescent="0.55000000000000004">
      <c r="B37" s="18"/>
      <c r="C37" s="235" t="s">
        <v>47</v>
      </c>
      <c r="D37" s="166">
        <v>9</v>
      </c>
      <c r="E37" s="243">
        <v>68000</v>
      </c>
      <c r="F37" s="242"/>
      <c r="G37" s="242"/>
      <c r="H37" s="241"/>
      <c r="I37" s="241"/>
      <c r="J37" s="241"/>
      <c r="K37" s="241"/>
      <c r="L37" s="241"/>
      <c r="M37" s="393"/>
      <c r="N37" s="241"/>
      <c r="O37" s="130"/>
      <c r="P37" s="543">
        <v>0</v>
      </c>
      <c r="Q37" s="134"/>
      <c r="R37" s="251"/>
      <c r="S37" s="130"/>
      <c r="T37" s="251"/>
      <c r="U37" s="543">
        <v>0</v>
      </c>
      <c r="V37" s="167"/>
      <c r="W37" s="22"/>
      <c r="X37" s="18"/>
      <c r="Y37" s="408"/>
      <c r="Z37" s="544"/>
      <c r="AA37" s="291"/>
      <c r="AB37" s="545"/>
      <c r="AC37" s="350"/>
      <c r="AD37" s="351"/>
      <c r="AE37" s="352"/>
      <c r="AF37" s="546"/>
      <c r="AG37" s="546"/>
      <c r="AH37" s="547"/>
      <c r="AI37" s="548"/>
      <c r="AJ37" s="548"/>
      <c r="AK37" s="356"/>
      <c r="AL37" s="357"/>
      <c r="AM37" s="408"/>
      <c r="AN37" s="27"/>
    </row>
    <row r="38" spans="1:40" ht="16.5" customHeight="1" x14ac:dyDescent="0.45">
      <c r="B38" s="18"/>
      <c r="C38" s="168" t="s">
        <v>48</v>
      </c>
      <c r="D38" s="166">
        <v>0</v>
      </c>
      <c r="E38" s="243">
        <v>0</v>
      </c>
      <c r="F38" s="242"/>
      <c r="G38" s="242"/>
      <c r="H38" s="241"/>
      <c r="I38" s="241"/>
      <c r="J38" s="241"/>
      <c r="K38" s="241"/>
      <c r="L38" s="241"/>
      <c r="M38" s="393"/>
      <c r="N38" s="241"/>
      <c r="O38" s="130"/>
      <c r="P38" s="543">
        <v>0</v>
      </c>
      <c r="Q38" s="134"/>
      <c r="R38" s="251"/>
      <c r="S38" s="130"/>
      <c r="T38" s="251"/>
      <c r="U38" s="543">
        <v>0</v>
      </c>
      <c r="V38" s="167"/>
      <c r="W38" s="22"/>
      <c r="X38" s="18"/>
      <c r="Y38" s="408"/>
      <c r="Z38" s="142" t="s">
        <v>122</v>
      </c>
      <c r="AA38" s="15"/>
      <c r="AB38" s="319"/>
      <c r="AC38" s="319"/>
      <c r="AD38" s="319"/>
      <c r="AE38" s="319"/>
      <c r="AF38" s="10"/>
      <c r="AG38" s="16"/>
      <c r="AH38" s="319"/>
      <c r="AI38" s="319"/>
      <c r="AJ38" s="319"/>
      <c r="AK38" s="319"/>
      <c r="AL38" s="329"/>
      <c r="AM38" s="408"/>
      <c r="AN38" s="27"/>
    </row>
    <row r="39" spans="1:40" ht="16.5" customHeight="1" x14ac:dyDescent="0.45">
      <c r="B39" s="18"/>
      <c r="C39" s="168" t="s">
        <v>49</v>
      </c>
      <c r="D39" s="166">
        <v>26</v>
      </c>
      <c r="E39" s="243">
        <f>68000</f>
        <v>68000</v>
      </c>
      <c r="F39" s="242"/>
      <c r="G39" s="242"/>
      <c r="H39" s="241"/>
      <c r="I39" s="241"/>
      <c r="J39" s="241"/>
      <c r="K39" s="241"/>
      <c r="L39" s="241"/>
      <c r="M39" s="393"/>
      <c r="N39" s="241"/>
      <c r="O39" s="130"/>
      <c r="P39" s="543">
        <v>0</v>
      </c>
      <c r="Q39" s="134"/>
      <c r="R39" s="251"/>
      <c r="S39" s="130"/>
      <c r="T39" s="251"/>
      <c r="U39" s="543">
        <v>0</v>
      </c>
      <c r="V39" s="167"/>
      <c r="W39" s="22"/>
      <c r="X39" s="18"/>
      <c r="Y39" s="408"/>
      <c r="Z39" s="18"/>
      <c r="AA39" s="165"/>
      <c r="AB39" s="320"/>
      <c r="AC39" s="324"/>
      <c r="AD39" s="324"/>
      <c r="AE39" s="320"/>
      <c r="AF39" s="308"/>
      <c r="AG39" s="165"/>
      <c r="AH39" s="320"/>
      <c r="AI39" s="320"/>
      <c r="AJ39" s="320"/>
      <c r="AK39" s="318"/>
      <c r="AL39" s="330"/>
      <c r="AM39" s="408"/>
      <c r="AN39" s="27"/>
    </row>
    <row r="40" spans="1:40" ht="16.5" customHeight="1" thickBot="1" x14ac:dyDescent="0.5">
      <c r="B40" s="18"/>
      <c r="C40" s="168" t="s">
        <v>50</v>
      </c>
      <c r="D40" s="166">
        <v>2</v>
      </c>
      <c r="E40" s="243">
        <f>E36</f>
        <v>40000</v>
      </c>
      <c r="F40" s="549" t="s">
        <v>147</v>
      </c>
      <c r="G40" s="242"/>
      <c r="H40" s="241"/>
      <c r="I40" s="241"/>
      <c r="J40" s="241"/>
      <c r="K40" s="241"/>
      <c r="L40" s="241"/>
      <c r="M40" s="393"/>
      <c r="N40" s="241"/>
      <c r="O40" s="130"/>
      <c r="P40" s="543">
        <v>0</v>
      </c>
      <c r="Q40" s="134"/>
      <c r="R40" s="251"/>
      <c r="S40" s="130"/>
      <c r="T40" s="251"/>
      <c r="U40" s="543">
        <v>0</v>
      </c>
      <c r="V40" s="167"/>
      <c r="W40" s="22"/>
      <c r="X40" s="18"/>
      <c r="Y40" s="408"/>
      <c r="Z40" s="309" t="s">
        <v>123</v>
      </c>
      <c r="AA40" s="310"/>
      <c r="AB40" s="321"/>
      <c r="AC40" s="325"/>
      <c r="AD40" s="325"/>
      <c r="AE40" s="321"/>
      <c r="AF40" s="311"/>
      <c r="AG40" s="310"/>
      <c r="AH40" s="321"/>
      <c r="AI40" s="321"/>
      <c r="AJ40" s="321"/>
      <c r="AK40" s="321"/>
      <c r="AL40" s="328">
        <f>$K$76</f>
        <v>0</v>
      </c>
      <c r="AM40" s="408"/>
      <c r="AN40" s="27"/>
    </row>
    <row r="41" spans="1:40" ht="16.5" customHeight="1" thickBot="1" x14ac:dyDescent="0.5">
      <c r="B41" s="18"/>
      <c r="C41" s="142" t="s">
        <v>84</v>
      </c>
      <c r="D41" s="142"/>
      <c r="E41" s="142"/>
      <c r="F41" s="338"/>
      <c r="G41" s="338"/>
      <c r="H41" s="338"/>
      <c r="I41" s="338"/>
      <c r="J41" s="338"/>
      <c r="K41" s="338"/>
      <c r="L41" s="338"/>
      <c r="M41" s="338"/>
      <c r="N41" s="338"/>
      <c r="O41" s="338"/>
      <c r="P41" s="367"/>
      <c r="Q41" s="338"/>
      <c r="R41" s="338"/>
      <c r="S41" s="338"/>
      <c r="T41" s="338"/>
      <c r="U41" s="367"/>
      <c r="V41" s="339"/>
      <c r="W41" s="22"/>
      <c r="X41" s="18"/>
      <c r="Y41" s="408"/>
      <c r="Z41" s="312" t="s">
        <v>124</v>
      </c>
      <c r="AA41" s="176"/>
      <c r="AB41" s="322"/>
      <c r="AC41" s="326"/>
      <c r="AD41" s="326"/>
      <c r="AE41" s="322"/>
      <c r="AF41" s="178"/>
      <c r="AG41" s="176"/>
      <c r="AH41" s="322"/>
      <c r="AI41" s="322"/>
      <c r="AJ41" s="322"/>
      <c r="AK41" s="322"/>
      <c r="AL41" s="328">
        <f>$K$84</f>
        <v>0</v>
      </c>
      <c r="AM41" s="408"/>
      <c r="AN41" s="27"/>
    </row>
    <row r="42" spans="1:40" ht="16.5" customHeight="1" thickBot="1" x14ac:dyDescent="0.5">
      <c r="B42" s="18"/>
      <c r="C42" s="245" t="s">
        <v>85</v>
      </c>
      <c r="D42" s="166">
        <f>D36</f>
        <v>26</v>
      </c>
      <c r="E42" s="243">
        <v>0</v>
      </c>
      <c r="F42" s="340"/>
      <c r="G42" s="340"/>
      <c r="H42" s="341"/>
      <c r="I42" s="341"/>
      <c r="J42" s="341"/>
      <c r="K42" s="341"/>
      <c r="L42" s="341"/>
      <c r="M42" s="342"/>
      <c r="N42" s="341"/>
      <c r="O42" s="343"/>
      <c r="P42" s="543">
        <v>0</v>
      </c>
      <c r="Q42" s="344"/>
      <c r="R42" s="345"/>
      <c r="S42" s="343"/>
      <c r="T42" s="345"/>
      <c r="U42" s="550">
        <v>0</v>
      </c>
      <c r="V42" s="344"/>
      <c r="W42" s="22"/>
      <c r="X42" s="18"/>
      <c r="Y42" s="408"/>
      <c r="Z42" s="551"/>
      <c r="AA42" s="291"/>
      <c r="AB42" s="545"/>
      <c r="AC42" s="545"/>
      <c r="AD42" s="545"/>
      <c r="AE42" s="545"/>
      <c r="AF42" s="291"/>
      <c r="AG42" s="291"/>
      <c r="AH42" s="545"/>
      <c r="AI42" s="545"/>
      <c r="AJ42" s="545"/>
      <c r="AK42" s="545"/>
      <c r="AL42" s="552"/>
      <c r="AM42" s="408"/>
      <c r="AN42" s="27"/>
    </row>
    <row r="43" spans="1:40" ht="16.5" customHeight="1" x14ac:dyDescent="0.45">
      <c r="B43" s="18"/>
      <c r="C43" s="142" t="s">
        <v>86</v>
      </c>
      <c r="D43" s="142"/>
      <c r="E43" s="142"/>
      <c r="F43" s="338"/>
      <c r="G43" s="338"/>
      <c r="H43" s="338"/>
      <c r="I43" s="338"/>
      <c r="J43" s="338"/>
      <c r="K43" s="338"/>
      <c r="L43" s="338"/>
      <c r="M43" s="338"/>
      <c r="N43" s="338"/>
      <c r="O43" s="338"/>
      <c r="P43" s="367"/>
      <c r="Q43" s="338"/>
      <c r="R43" s="338"/>
      <c r="S43" s="338"/>
      <c r="T43" s="338"/>
      <c r="U43" s="367"/>
      <c r="V43" s="339"/>
      <c r="W43" s="22"/>
      <c r="X43" s="18"/>
      <c r="Y43" s="408"/>
      <c r="Z43" s="553" t="s">
        <v>44</v>
      </c>
      <c r="AA43" s="154" t="str">
        <f>SUM(AA20:AA36)&amp;" KG"</f>
        <v>0 KG</v>
      </c>
      <c r="AB43" s="323">
        <f>SUM(AB20:AB36)</f>
        <v>0</v>
      </c>
      <c r="AC43" s="323">
        <f>SUM(AC20:AC36)</f>
        <v>0</v>
      </c>
      <c r="AD43" s="323">
        <f>SUM(AD20:AD36)</f>
        <v>0</v>
      </c>
      <c r="AE43" s="323">
        <f>SUM(AB43:AD43)</f>
        <v>0</v>
      </c>
      <c r="AF43" s="155"/>
      <c r="AG43" s="156" t="str">
        <f>SUM(AG20:AG36)&amp;" KG"</f>
        <v>0 KG</v>
      </c>
      <c r="AH43" s="323">
        <f>SUM(AH20:AH36)</f>
        <v>0</v>
      </c>
      <c r="AI43" s="323">
        <f>SUM(AI20:AI36)</f>
        <v>0</v>
      </c>
      <c r="AJ43" s="323">
        <f>SUM(AJ20:AJ36)</f>
        <v>0</v>
      </c>
      <c r="AK43" s="323">
        <f>SUM(AH43:AJ43)</f>
        <v>0</v>
      </c>
      <c r="AL43" s="323">
        <f>SUM(AL20:AL42)</f>
        <v>0</v>
      </c>
      <c r="AM43" s="695">
        <f>IF(AL43&gt;0,1,0)</f>
        <v>0</v>
      </c>
      <c r="AN43" s="27"/>
    </row>
    <row r="44" spans="1:40" ht="16.5" customHeight="1" thickBot="1" x14ac:dyDescent="0.5">
      <c r="B44" s="18"/>
      <c r="C44" s="246" t="s">
        <v>51</v>
      </c>
      <c r="D44" s="169">
        <f>D42</f>
        <v>26</v>
      </c>
      <c r="E44" s="244">
        <v>0</v>
      </c>
      <c r="F44" s="733" t="s">
        <v>232</v>
      </c>
      <c r="G44" s="170"/>
      <c r="H44" s="58"/>
      <c r="I44" s="58"/>
      <c r="J44" s="58"/>
      <c r="K44" s="58"/>
      <c r="L44" s="58"/>
      <c r="M44" s="171"/>
      <c r="N44" s="172"/>
      <c r="O44" s="173"/>
      <c r="P44" s="734">
        <v>0</v>
      </c>
      <c r="Q44" s="141"/>
      <c r="R44" s="394"/>
      <c r="S44" s="173"/>
      <c r="T44" s="59"/>
      <c r="U44" s="734">
        <v>0</v>
      </c>
      <c r="V44" s="141"/>
      <c r="W44" s="22"/>
      <c r="X44" s="18"/>
      <c r="Y44" s="408"/>
      <c r="Z44" s="408"/>
      <c r="AA44" s="408"/>
      <c r="AB44" s="408"/>
      <c r="AC44" s="408"/>
      <c r="AD44" s="408"/>
      <c r="AE44" s="408"/>
      <c r="AF44" s="408"/>
      <c r="AG44" s="408"/>
      <c r="AH44" s="408"/>
      <c r="AI44" s="408"/>
      <c r="AJ44" s="408"/>
      <c r="AK44" s="408"/>
      <c r="AL44" s="408"/>
      <c r="AM44" s="408"/>
      <c r="AN44" s="27"/>
    </row>
    <row r="45" spans="1:40" ht="22.5" customHeight="1" thickBot="1" x14ac:dyDescent="0.5">
      <c r="A45" s="1"/>
      <c r="B45" s="174"/>
      <c r="C45" s="239"/>
      <c r="D45" s="158" t="s">
        <v>2</v>
      </c>
      <c r="E45" s="170"/>
      <c r="F45" s="170"/>
      <c r="G45" s="170"/>
      <c r="H45" s="158" t="s">
        <v>2</v>
      </c>
      <c r="I45" s="158" t="s">
        <v>2</v>
      </c>
      <c r="J45" s="158"/>
      <c r="K45" s="158"/>
      <c r="L45" s="158"/>
      <c r="M45" s="159" t="s">
        <v>2</v>
      </c>
      <c r="N45" s="170"/>
      <c r="O45" s="162"/>
      <c r="P45" s="162"/>
      <c r="Q45" s="162"/>
      <c r="R45" s="170"/>
      <c r="S45" s="162"/>
      <c r="T45" s="162"/>
      <c r="U45" s="162"/>
      <c r="V45" s="162"/>
      <c r="W45" s="175"/>
      <c r="X45" s="174"/>
      <c r="Y45" s="170"/>
      <c r="Z45" s="170"/>
      <c r="AA45" s="176"/>
      <c r="AB45" s="176"/>
      <c r="AC45" s="177"/>
      <c r="AD45" s="177"/>
      <c r="AE45" s="176"/>
      <c r="AF45" s="178"/>
      <c r="AG45" s="176"/>
      <c r="AH45" s="176"/>
      <c r="AI45" s="176"/>
      <c r="AJ45" s="176"/>
      <c r="AK45" s="179"/>
      <c r="AL45" s="179"/>
      <c r="AM45" s="158"/>
      <c r="AN45" s="161"/>
    </row>
    <row r="46" spans="1:40" ht="18" customHeight="1" x14ac:dyDescent="0.45"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</row>
    <row r="47" spans="1:40" ht="28" hidden="1" x14ac:dyDescent="0.45">
      <c r="H47" s="180" t="s">
        <v>52</v>
      </c>
      <c r="I47" s="180" t="s">
        <v>53</v>
      </c>
      <c r="J47" s="180" t="s">
        <v>54</v>
      </c>
      <c r="K47" s="180" t="s">
        <v>55</v>
      </c>
      <c r="L47" s="180" t="s">
        <v>56</v>
      </c>
      <c r="M47" s="181" t="s">
        <v>57</v>
      </c>
      <c r="P47" s="6" t="s">
        <v>58</v>
      </c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 hidden="1" x14ac:dyDescent="0.45">
      <c r="C48" s="2" t="s">
        <v>47</v>
      </c>
      <c r="D48" s="182">
        <v>2</v>
      </c>
      <c r="H48" s="183">
        <v>16</v>
      </c>
      <c r="I48" s="183">
        <v>12</v>
      </c>
      <c r="J48" s="183">
        <v>4</v>
      </c>
      <c r="K48" s="183">
        <v>16</v>
      </c>
      <c r="L48" s="183">
        <v>7</v>
      </c>
      <c r="M48" s="183">
        <v>8</v>
      </c>
      <c r="P48" s="6" t="s">
        <v>59</v>
      </c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hidden="1" x14ac:dyDescent="0.45">
      <c r="C49" s="2" t="s">
        <v>50</v>
      </c>
      <c r="D49" s="182">
        <v>5</v>
      </c>
      <c r="H49" s="183">
        <v>1</v>
      </c>
      <c r="I49" s="183">
        <v>0</v>
      </c>
      <c r="J49" s="183">
        <v>21</v>
      </c>
      <c r="K49" s="183">
        <v>0</v>
      </c>
      <c r="L49" s="183">
        <v>51</v>
      </c>
      <c r="M49" s="183">
        <v>26</v>
      </c>
      <c r="P49" s="6" t="s">
        <v>60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hidden="1" x14ac:dyDescent="0.45">
      <c r="C50" s="2" t="s">
        <v>48</v>
      </c>
      <c r="D50" s="182">
        <v>3</v>
      </c>
      <c r="H50" s="183">
        <v>4</v>
      </c>
      <c r="I50" s="183">
        <v>4</v>
      </c>
      <c r="J50" s="183">
        <v>0</v>
      </c>
      <c r="K50" s="183">
        <v>4</v>
      </c>
      <c r="L50" s="183">
        <v>0</v>
      </c>
      <c r="M50" s="183">
        <v>0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hidden="1" x14ac:dyDescent="0.45">
      <c r="C51" s="2" t="s">
        <v>49</v>
      </c>
      <c r="D51" s="182">
        <v>4</v>
      </c>
      <c r="H51" s="183">
        <v>0</v>
      </c>
      <c r="I51" s="183">
        <v>0</v>
      </c>
      <c r="J51" s="183">
        <v>0</v>
      </c>
      <c r="K51" s="183">
        <v>0</v>
      </c>
      <c r="L51" s="183">
        <v>0</v>
      </c>
      <c r="M51" s="183">
        <v>4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ht="26.5" x14ac:dyDescent="0.45">
      <c r="A52" s="255"/>
      <c r="B52" s="256"/>
      <c r="C52" s="362" t="s">
        <v>100</v>
      </c>
      <c r="D52" s="258" t="s">
        <v>101</v>
      </c>
      <c r="E52" s="258"/>
      <c r="F52" s="256"/>
      <c r="G52" s="256"/>
      <c r="H52" s="259"/>
      <c r="I52" s="256"/>
      <c r="J52" s="257" t="s">
        <v>185</v>
      </c>
      <c r="K52" s="256"/>
      <c r="L52" s="257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t="17" thickBot="1" x14ac:dyDescent="0.5">
      <c r="A53" s="255"/>
      <c r="B53" s="260"/>
      <c r="C53" s="260"/>
      <c r="D53" s="260"/>
      <c r="E53" s="260"/>
      <c r="F53" s="256"/>
      <c r="G53" s="256"/>
      <c r="H53" s="260"/>
      <c r="I53" s="256"/>
      <c r="J53" s="260"/>
      <c r="K53" s="256"/>
      <c r="L53" s="260"/>
    </row>
    <row r="54" spans="1:40" ht="27.5" thickTop="1" thickBot="1" x14ac:dyDescent="0.5">
      <c r="A54" s="255"/>
      <c r="B54" s="256"/>
      <c r="C54" s="257" t="s">
        <v>1</v>
      </c>
      <c r="D54" s="554">
        <f>D4</f>
        <v>0</v>
      </c>
      <c r="E54" s="258"/>
      <c r="F54" s="256"/>
      <c r="G54" s="256"/>
      <c r="H54" s="259"/>
      <c r="I54" s="256"/>
      <c r="J54" s="260"/>
      <c r="K54" s="256"/>
      <c r="L54" s="260"/>
    </row>
    <row r="55" spans="1:40" ht="27" thickTop="1" x14ac:dyDescent="0.45">
      <c r="A55" s="255"/>
      <c r="B55" s="257"/>
      <c r="C55" s="258"/>
      <c r="D55" s="258"/>
      <c r="E55" s="258"/>
      <c r="F55" s="256"/>
      <c r="G55" s="256"/>
      <c r="H55" s="259"/>
      <c r="I55" s="256"/>
      <c r="J55" s="260"/>
      <c r="K55" s="256"/>
      <c r="L55" s="260"/>
    </row>
    <row r="56" spans="1:40" ht="17" thickBot="1" x14ac:dyDescent="0.5">
      <c r="A56" s="255"/>
      <c r="B56" s="261" t="s">
        <v>103</v>
      </c>
      <c r="C56" s="262" t="s">
        <v>57</v>
      </c>
      <c r="D56" s="260"/>
      <c r="E56" s="263"/>
      <c r="F56" s="256"/>
      <c r="G56" s="256"/>
      <c r="H56" s="264"/>
      <c r="I56" s="256"/>
      <c r="J56" s="260"/>
      <c r="K56" s="256"/>
      <c r="L56" s="260"/>
    </row>
    <row r="57" spans="1:40" ht="17.5" thickTop="1" thickBot="1" x14ac:dyDescent="0.5">
      <c r="A57" s="255"/>
      <c r="B57" s="261" t="s">
        <v>103</v>
      </c>
      <c r="C57" s="266" t="s">
        <v>104</v>
      </c>
      <c r="D57" s="556">
        <v>40000</v>
      </c>
      <c r="E57" s="263"/>
      <c r="F57" s="256"/>
      <c r="G57" s="256"/>
      <c r="H57" s="264"/>
      <c r="I57" s="256"/>
      <c r="J57" s="260"/>
      <c r="K57" s="256"/>
      <c r="L57" s="260"/>
    </row>
    <row r="58" spans="1:40" ht="17.5" hidden="1" thickTop="1" thickBot="1" x14ac:dyDescent="0.5">
      <c r="A58" s="255"/>
      <c r="B58" s="261" t="s">
        <v>103</v>
      </c>
      <c r="C58" s="265" t="s">
        <v>105</v>
      </c>
      <c r="D58" s="555">
        <v>40</v>
      </c>
      <c r="E58" s="263"/>
      <c r="F58" s="256"/>
      <c r="G58" s="256"/>
      <c r="H58" s="263"/>
      <c r="I58" s="256"/>
      <c r="J58" s="263"/>
      <c r="K58" s="256"/>
      <c r="L58" s="263"/>
    </row>
    <row r="59" spans="1:40" ht="17.5" hidden="1" thickTop="1" thickBot="1" x14ac:dyDescent="0.5">
      <c r="A59" s="255"/>
      <c r="B59" s="256"/>
      <c r="C59" s="266" t="s">
        <v>106</v>
      </c>
      <c r="D59" s="556">
        <v>40040</v>
      </c>
      <c r="E59" s="256"/>
      <c r="F59" s="256"/>
      <c r="G59" s="256"/>
      <c r="H59" s="263"/>
      <c r="I59" s="256"/>
      <c r="J59" s="263"/>
      <c r="K59" s="256"/>
      <c r="L59" s="263"/>
    </row>
    <row r="60" spans="1:40" ht="17.5" thickTop="1" thickBot="1" x14ac:dyDescent="0.5">
      <c r="A60" s="255"/>
      <c r="B60" s="256"/>
      <c r="C60" s="261"/>
      <c r="D60" s="557"/>
      <c r="E60" s="260"/>
      <c r="F60" s="256"/>
      <c r="G60" s="256"/>
      <c r="H60" s="264"/>
      <c r="I60" s="256"/>
      <c r="J60" s="260"/>
      <c r="K60" s="256"/>
      <c r="L60" s="260"/>
    </row>
    <row r="61" spans="1:40" ht="17.5" thickTop="1" thickBot="1" x14ac:dyDescent="0.5">
      <c r="A61" s="269"/>
      <c r="B61" s="256"/>
      <c r="C61" s="266" t="s">
        <v>107</v>
      </c>
      <c r="D61" s="556">
        <v>26</v>
      </c>
      <c r="E61" s="263"/>
      <c r="F61" s="256"/>
      <c r="G61" s="256"/>
      <c r="H61" s="263"/>
      <c r="I61" s="256"/>
      <c r="J61" s="263"/>
      <c r="K61" s="256"/>
      <c r="L61" s="263"/>
    </row>
    <row r="62" spans="1:40" ht="17.5" thickTop="1" thickBot="1" x14ac:dyDescent="0.5">
      <c r="A62" s="255"/>
      <c r="B62" s="256"/>
      <c r="C62" s="261"/>
      <c r="D62" s="557"/>
      <c r="E62" s="260"/>
      <c r="F62" s="256"/>
      <c r="G62" s="256"/>
      <c r="H62" s="264"/>
      <c r="I62" s="256"/>
      <c r="J62" s="260"/>
      <c r="K62" s="256"/>
      <c r="L62" s="260"/>
    </row>
    <row r="63" spans="1:40" ht="17.5" thickTop="1" thickBot="1" x14ac:dyDescent="0.5">
      <c r="A63" s="269"/>
      <c r="B63" s="256"/>
      <c r="C63" s="270" t="s">
        <v>108</v>
      </c>
      <c r="D63" s="556">
        <v>68000</v>
      </c>
      <c r="E63" s="263"/>
      <c r="F63" s="256"/>
      <c r="G63" s="256"/>
      <c r="H63" s="263"/>
      <c r="I63" s="256"/>
      <c r="J63" s="263"/>
      <c r="K63" s="256"/>
      <c r="L63" s="263"/>
    </row>
    <row r="64" spans="1:40" ht="17.5" hidden="1" thickTop="1" thickBot="1" x14ac:dyDescent="0.5">
      <c r="A64" s="269"/>
      <c r="B64" s="271"/>
      <c r="C64" s="266" t="s">
        <v>109</v>
      </c>
      <c r="D64" s="267">
        <v>1</v>
      </c>
      <c r="E64" s="263"/>
      <c r="F64" s="256"/>
      <c r="G64" s="256"/>
      <c r="H64" s="263"/>
      <c r="I64" s="256"/>
      <c r="J64" s="263"/>
      <c r="K64" s="256"/>
      <c r="L64" s="263"/>
    </row>
    <row r="65" spans="1:12" ht="32" hidden="1" thickTop="1" thickBot="1" x14ac:dyDescent="0.5">
      <c r="A65" s="269"/>
      <c r="B65" s="256"/>
      <c r="C65" s="270" t="s">
        <v>110</v>
      </c>
      <c r="D65" s="267">
        <v>0</v>
      </c>
      <c r="E65" s="263"/>
      <c r="F65" s="256"/>
      <c r="G65" s="256"/>
      <c r="H65" s="263"/>
      <c r="I65" s="256"/>
      <c r="J65" s="263"/>
      <c r="K65" s="256"/>
      <c r="L65" s="263"/>
    </row>
    <row r="66" spans="1:12" ht="17" thickTop="1" x14ac:dyDescent="0.45">
      <c r="A66" s="269"/>
      <c r="B66" s="271"/>
      <c r="C66" s="272"/>
      <c r="D66" s="273"/>
      <c r="E66" s="263"/>
      <c r="F66" s="256"/>
      <c r="G66" s="256"/>
      <c r="H66" s="263"/>
      <c r="I66" s="256"/>
      <c r="J66" s="263"/>
      <c r="K66" s="256"/>
      <c r="L66" s="263"/>
    </row>
    <row r="67" spans="1:12" ht="17" thickBot="1" x14ac:dyDescent="0.5">
      <c r="A67" s="269"/>
      <c r="B67" s="256"/>
      <c r="C67" s="263"/>
      <c r="D67" s="256"/>
      <c r="E67" s="256"/>
      <c r="F67" s="256"/>
      <c r="G67" s="256"/>
      <c r="H67" s="256"/>
      <c r="I67" s="256"/>
      <c r="J67" s="256"/>
      <c r="K67" s="256"/>
      <c r="L67" s="256"/>
    </row>
    <row r="68" spans="1:12" x14ac:dyDescent="0.45">
      <c r="A68" s="269"/>
      <c r="B68" s="737" t="s">
        <v>152</v>
      </c>
      <c r="C68" s="274"/>
      <c r="D68" s="769" t="s">
        <v>131</v>
      </c>
      <c r="E68" s="784" t="s">
        <v>130</v>
      </c>
      <c r="F68" s="256"/>
      <c r="G68" s="256"/>
      <c r="H68" s="753" t="s">
        <v>132</v>
      </c>
      <c r="I68" s="256"/>
      <c r="J68" s="805" t="s">
        <v>111</v>
      </c>
      <c r="K68" s="806"/>
      <c r="L68" s="256"/>
    </row>
    <row r="69" spans="1:12" ht="17" thickBot="1" x14ac:dyDescent="0.5">
      <c r="A69" s="269"/>
      <c r="B69" s="738"/>
      <c r="C69" s="275"/>
      <c r="D69" s="770"/>
      <c r="E69" s="785"/>
      <c r="F69" s="256"/>
      <c r="G69" s="256"/>
      <c r="H69" s="754"/>
      <c r="I69" s="256"/>
      <c r="J69" s="558"/>
      <c r="K69" s="559"/>
      <c r="L69" s="256"/>
    </row>
    <row r="70" spans="1:12" x14ac:dyDescent="0.45">
      <c r="A70" s="269"/>
      <c r="B70" s="738"/>
      <c r="C70" s="278" t="s">
        <v>143</v>
      </c>
      <c r="D70" s="560">
        <v>40000</v>
      </c>
      <c r="E70" s="560">
        <v>26</v>
      </c>
      <c r="F70" s="256"/>
      <c r="G70" s="256"/>
      <c r="H70" s="279">
        <v>0</v>
      </c>
      <c r="I70" s="256"/>
      <c r="J70" s="280"/>
      <c r="K70" s="561">
        <f>$H70/1000*$D70*E70</f>
        <v>0</v>
      </c>
      <c r="L70" s="256"/>
    </row>
    <row r="71" spans="1:12" x14ac:dyDescent="0.45">
      <c r="A71" s="269"/>
      <c r="B71" s="738"/>
      <c r="C71" s="281" t="s">
        <v>231</v>
      </c>
      <c r="D71" s="560">
        <f>D70</f>
        <v>40000</v>
      </c>
      <c r="E71" s="560">
        <v>17</v>
      </c>
      <c r="F71" s="256"/>
      <c r="G71" s="256"/>
      <c r="H71" s="279">
        <v>0</v>
      </c>
      <c r="I71" s="256"/>
      <c r="J71" s="282"/>
      <c r="K71" s="562">
        <f>$H71/1000*$D71*E71</f>
        <v>0</v>
      </c>
      <c r="L71" s="256"/>
    </row>
    <row r="72" spans="1:12" x14ac:dyDescent="0.45">
      <c r="A72" s="269"/>
      <c r="B72" s="738"/>
      <c r="C72" s="281" t="s">
        <v>112</v>
      </c>
      <c r="D72" s="560">
        <v>42000</v>
      </c>
      <c r="E72" s="560">
        <v>1</v>
      </c>
      <c r="F72" s="256"/>
      <c r="G72" s="256"/>
      <c r="H72" s="279">
        <v>0</v>
      </c>
      <c r="I72" s="256"/>
      <c r="J72" s="282"/>
      <c r="K72" s="562">
        <f>$H72/1000*$D72*E72</f>
        <v>0</v>
      </c>
      <c r="L72" s="256"/>
    </row>
    <row r="73" spans="1:12" x14ac:dyDescent="0.45">
      <c r="A73" s="269"/>
      <c r="B73" s="738"/>
      <c r="C73" s="281" t="s">
        <v>113</v>
      </c>
      <c r="D73" s="560">
        <v>70000</v>
      </c>
      <c r="E73" s="560">
        <v>17</v>
      </c>
      <c r="F73" s="256"/>
      <c r="G73" s="256"/>
      <c r="H73" s="279">
        <v>0</v>
      </c>
      <c r="I73" s="256"/>
      <c r="J73" s="282"/>
      <c r="K73" s="562">
        <f t="shared" ref="K73:K75" si="8">$H73/1000*$D73*E73</f>
        <v>0</v>
      </c>
      <c r="L73" s="256"/>
    </row>
    <row r="74" spans="1:12" x14ac:dyDescent="0.45">
      <c r="A74" s="269"/>
      <c r="B74" s="738"/>
      <c r="C74" s="281" t="s">
        <v>114</v>
      </c>
      <c r="D74" s="560">
        <f>D70</f>
        <v>40000</v>
      </c>
      <c r="E74" s="560">
        <v>1</v>
      </c>
      <c r="F74" s="256"/>
      <c r="G74" s="256"/>
      <c r="H74" s="279">
        <v>0</v>
      </c>
      <c r="I74" s="256"/>
      <c r="J74" s="282"/>
      <c r="K74" s="562">
        <f t="shared" si="8"/>
        <v>0</v>
      </c>
      <c r="L74" s="256"/>
    </row>
    <row r="75" spans="1:12" ht="17" thickBot="1" x14ac:dyDescent="0.5">
      <c r="A75" s="269"/>
      <c r="B75" s="739"/>
      <c r="C75" s="283" t="s">
        <v>115</v>
      </c>
      <c r="D75" s="563">
        <f>D70</f>
        <v>40000</v>
      </c>
      <c r="E75" s="563">
        <v>1</v>
      </c>
      <c r="F75" s="256"/>
      <c r="G75" s="256"/>
      <c r="H75" s="284">
        <v>0</v>
      </c>
      <c r="I75" s="256"/>
      <c r="J75" s="285"/>
      <c r="K75" s="564">
        <f t="shared" si="8"/>
        <v>0</v>
      </c>
      <c r="L75" s="256"/>
    </row>
    <row r="76" spans="1:12" x14ac:dyDescent="0.45">
      <c r="A76" s="269"/>
      <c r="B76" s="286"/>
      <c r="C76" s="287" t="s">
        <v>116</v>
      </c>
      <c r="D76" s="288"/>
      <c r="E76" s="256"/>
      <c r="F76" s="256"/>
      <c r="G76" s="256"/>
      <c r="H76" s="289"/>
      <c r="I76" s="256"/>
      <c r="J76" s="290"/>
      <c r="K76" s="565">
        <f>SUM(K70:K75)</f>
        <v>0</v>
      </c>
      <c r="L76" s="256"/>
    </row>
    <row r="77" spans="1:12" ht="17" thickBot="1" x14ac:dyDescent="0.5">
      <c r="A77" s="269"/>
      <c r="B77" s="263"/>
      <c r="C77" s="263"/>
      <c r="D77" s="263"/>
      <c r="E77" s="263"/>
      <c r="F77" s="291"/>
      <c r="G77" s="291"/>
      <c r="H77" s="263"/>
      <c r="I77" s="256"/>
      <c r="J77" s="263"/>
      <c r="K77" s="256"/>
      <c r="L77" s="256"/>
    </row>
    <row r="78" spans="1:12" x14ac:dyDescent="0.45">
      <c r="A78" s="269"/>
      <c r="B78" s="744" t="s">
        <v>117</v>
      </c>
      <c r="C78" s="292"/>
      <c r="D78" s="747" t="s">
        <v>133</v>
      </c>
      <c r="E78" s="748"/>
      <c r="F78" s="749"/>
      <c r="G78" s="291"/>
      <c r="H78" s="753" t="s">
        <v>118</v>
      </c>
      <c r="I78" s="256"/>
      <c r="J78" s="808" t="s">
        <v>111</v>
      </c>
      <c r="K78" s="809"/>
      <c r="L78" s="256"/>
    </row>
    <row r="79" spans="1:12" ht="17" thickBot="1" x14ac:dyDescent="0.5">
      <c r="A79" s="269"/>
      <c r="B79" s="745"/>
      <c r="C79" s="293"/>
      <c r="D79" s="750"/>
      <c r="E79" s="794"/>
      <c r="F79" s="752"/>
      <c r="G79" s="291"/>
      <c r="H79" s="754"/>
      <c r="I79" s="256"/>
      <c r="J79" s="810"/>
      <c r="K79" s="811"/>
      <c r="L79" s="256"/>
    </row>
    <row r="80" spans="1:12" x14ac:dyDescent="0.45">
      <c r="A80" s="269"/>
      <c r="B80" s="745"/>
      <c r="C80" s="294" t="s">
        <v>119</v>
      </c>
      <c r="D80" s="755" t="s">
        <v>234</v>
      </c>
      <c r="E80" s="756"/>
      <c r="F80" s="757"/>
      <c r="G80" s="291"/>
      <c r="H80" s="295">
        <v>0</v>
      </c>
      <c r="I80" s="256"/>
      <c r="J80" s="605"/>
      <c r="K80" s="606">
        <f>H80*$D$61</f>
        <v>0</v>
      </c>
      <c r="L80" s="256"/>
    </row>
    <row r="81" spans="1:12" x14ac:dyDescent="0.45">
      <c r="A81" s="269"/>
      <c r="B81" s="745"/>
      <c r="C81" s="382" t="s">
        <v>148</v>
      </c>
      <c r="D81" s="758" t="s">
        <v>235</v>
      </c>
      <c r="E81" s="759"/>
      <c r="F81" s="760"/>
      <c r="G81" s="291"/>
      <c r="H81" s="279">
        <v>0</v>
      </c>
      <c r="I81" s="256"/>
      <c r="J81" s="296"/>
      <c r="K81" s="297">
        <f>H81*$D$61</f>
        <v>0</v>
      </c>
      <c r="L81" s="256"/>
    </row>
    <row r="82" spans="1:12" x14ac:dyDescent="0.45">
      <c r="A82" s="269"/>
      <c r="B82" s="745"/>
      <c r="C82" s="294" t="s">
        <v>120</v>
      </c>
      <c r="D82" s="758" t="s">
        <v>236</v>
      </c>
      <c r="E82" s="759"/>
      <c r="F82" s="760"/>
      <c r="G82" s="291"/>
      <c r="H82" s="295">
        <v>0</v>
      </c>
      <c r="I82" s="256"/>
      <c r="J82" s="296"/>
      <c r="K82" s="297">
        <f>H82*$D$61</f>
        <v>0</v>
      </c>
      <c r="L82" s="256"/>
    </row>
    <row r="83" spans="1:12" ht="17" thickBot="1" x14ac:dyDescent="0.5">
      <c r="A83" s="269"/>
      <c r="B83" s="746"/>
      <c r="C83" s="298" t="s">
        <v>121</v>
      </c>
      <c r="D83" s="761" t="s">
        <v>219</v>
      </c>
      <c r="E83" s="762"/>
      <c r="F83" s="763"/>
      <c r="G83" s="291"/>
      <c r="H83" s="299">
        <v>0</v>
      </c>
      <c r="I83" s="256"/>
      <c r="J83" s="296"/>
      <c r="K83" s="297">
        <f>H83*$D$61</f>
        <v>0</v>
      </c>
      <c r="L83" s="256"/>
    </row>
    <row r="84" spans="1:12" x14ac:dyDescent="0.45">
      <c r="A84" s="269"/>
      <c r="B84" s="263"/>
      <c r="C84" s="287" t="s">
        <v>116</v>
      </c>
      <c r="D84" s="300"/>
      <c r="E84" s="256"/>
      <c r="F84" s="291"/>
      <c r="G84" s="291"/>
      <c r="H84" s="301"/>
      <c r="I84" s="256"/>
      <c r="J84" s="302"/>
      <c r="K84" s="303">
        <f>SUM(K78:K83)</f>
        <v>0</v>
      </c>
      <c r="L84" s="256"/>
    </row>
    <row r="85" spans="1:12" ht="17" thickBot="1" x14ac:dyDescent="0.5">
      <c r="A85" s="269"/>
      <c r="B85" s="263"/>
      <c r="C85" s="263"/>
      <c r="D85" s="263"/>
      <c r="E85" s="263"/>
      <c r="F85" s="291"/>
      <c r="G85" s="291"/>
      <c r="H85" s="263"/>
      <c r="I85" s="256"/>
      <c r="J85" s="256"/>
      <c r="K85" s="256"/>
      <c r="L85" s="256"/>
    </row>
    <row r="86" spans="1:12" ht="17" thickBot="1" x14ac:dyDescent="0.5">
      <c r="A86" s="269"/>
      <c r="B86" s="271"/>
      <c r="C86" s="304"/>
      <c r="D86" s="305"/>
      <c r="E86" s="305"/>
      <c r="F86" s="305"/>
      <c r="G86" s="305"/>
      <c r="H86" s="305"/>
      <c r="I86" s="305"/>
      <c r="J86" s="306"/>
      <c r="K86" s="307">
        <f>SUM(J70:K75, J80:K83)</f>
        <v>0</v>
      </c>
      <c r="L86" s="256"/>
    </row>
    <row r="87" spans="1:12" x14ac:dyDescent="0.45">
      <c r="A87" s="269"/>
      <c r="B87" s="271"/>
      <c r="C87" s="263"/>
      <c r="D87" s="263"/>
      <c r="E87" s="263"/>
      <c r="F87" s="263"/>
      <c r="G87" s="263"/>
      <c r="H87" s="263"/>
      <c r="I87" s="263"/>
      <c r="J87" s="263"/>
      <c r="K87" s="263"/>
      <c r="L87" s="256"/>
    </row>
    <row r="88" spans="1:12" x14ac:dyDescent="0.45">
      <c r="A88" s="269"/>
      <c r="B88" s="263"/>
      <c r="C88" s="263"/>
      <c r="D88" s="263"/>
      <c r="E88" s="263"/>
      <c r="F88" s="263"/>
      <c r="G88" s="263"/>
      <c r="H88" s="263"/>
      <c r="I88" s="256"/>
      <c r="J88" s="256"/>
      <c r="K88" s="256"/>
      <c r="L88" s="256"/>
    </row>
  </sheetData>
  <sheetProtection algorithmName="SHA-512" hashValue="BqMed6C2aUlGWTHloW80vmIP5ZSTsEdbdQaoD+GwUdreA2mRUFWPYPFughkY9j4gAOTQRg8pUy72ykqbibEP8g==" saltValue="ot/LEC7C0tmuYzaJRbKKWQ==" spinCount="100000" sheet="1" objects="1" scenarios="1"/>
  <mergeCells count="24">
    <mergeCell ref="Z12:AK14"/>
    <mergeCell ref="E16:F16"/>
    <mergeCell ref="H16:M16"/>
    <mergeCell ref="O16:Q16"/>
    <mergeCell ref="S16:V16"/>
    <mergeCell ref="AA16:AE16"/>
    <mergeCell ref="AG16:AK16"/>
    <mergeCell ref="C22:D22"/>
    <mergeCell ref="C25:I25"/>
    <mergeCell ref="O26:Q26"/>
    <mergeCell ref="O35:Q35"/>
    <mergeCell ref="B68:B75"/>
    <mergeCell ref="D68:D69"/>
    <mergeCell ref="E68:E69"/>
    <mergeCell ref="H68:H69"/>
    <mergeCell ref="J68:K68"/>
    <mergeCell ref="B78:B83"/>
    <mergeCell ref="D78:F79"/>
    <mergeCell ref="H78:H79"/>
    <mergeCell ref="J78:K79"/>
    <mergeCell ref="D80:F80"/>
    <mergeCell ref="D81:F81"/>
    <mergeCell ref="D82:F82"/>
    <mergeCell ref="D83:F83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45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teer een looprichting." xr:uid="{59ECF155-9B45-47CC-8CAE-8B6C613F9ECB}">
          <x14:formula1>
            <xm:f>Blad2!$F$1:$F$3</xm:f>
          </x14:formula1>
          <xm:sqref>L20 L23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E9820-EB1C-42C0-904A-703B4BB17E4F}">
  <dimension ref="A1:AN99"/>
  <sheetViews>
    <sheetView showGridLines="0" topLeftCell="A4" zoomScale="85" zoomScaleNormal="85" workbookViewId="0">
      <selection activeCell="D15" sqref="D15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65.5429687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6" t="s">
        <v>186</v>
      </c>
      <c r="D2" s="22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6" t="s">
        <v>0</v>
      </c>
      <c r="D3" s="360" t="s">
        <v>187</v>
      </c>
      <c r="E3" s="19"/>
      <c r="F3" s="1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42"/>
      <c r="Z3" s="242"/>
      <c r="AA3" s="316"/>
      <c r="AB3" s="316"/>
      <c r="AC3" s="316"/>
      <c r="AD3" s="316"/>
      <c r="AE3" s="316"/>
      <c r="AF3" s="241"/>
      <c r="AG3" s="388"/>
      <c r="AH3" s="388"/>
      <c r="AI3" s="388"/>
      <c r="AJ3" s="388"/>
      <c r="AK3" s="241"/>
      <c r="AL3" s="241"/>
      <c r="AM3" s="241"/>
      <c r="AN3" s="27"/>
    </row>
    <row r="4" spans="2:40" ht="31.5" customHeight="1" thickBot="1" x14ac:dyDescent="0.5">
      <c r="B4" s="18"/>
      <c r="C4" s="139" t="s">
        <v>1</v>
      </c>
      <c r="D4" s="607"/>
      <c r="E4" s="390" t="str">
        <f>IF(D4="","verplicht veld","")</f>
        <v>verplicht veld</v>
      </c>
      <c r="F4" s="22"/>
      <c r="G4" s="242"/>
      <c r="H4" s="241"/>
      <c r="I4" s="241"/>
      <c r="J4" s="391"/>
      <c r="K4" s="391"/>
      <c r="L4" s="392"/>
      <c r="M4" s="393"/>
      <c r="N4" s="242"/>
      <c r="O4" s="392"/>
      <c r="P4" s="392"/>
      <c r="Q4" s="392"/>
      <c r="R4" s="242"/>
      <c r="S4" s="392"/>
      <c r="T4" s="392"/>
      <c r="U4" s="394" t="s">
        <v>2</v>
      </c>
      <c r="V4" s="32" t="s">
        <v>2</v>
      </c>
      <c r="W4" s="22"/>
      <c r="X4" s="18"/>
      <c r="Y4" s="242"/>
      <c r="Z4" s="242"/>
      <c r="AA4" s="395"/>
      <c r="AB4" s="316"/>
      <c r="AC4" s="316"/>
      <c r="AD4" s="316"/>
      <c r="AE4" s="316"/>
      <c r="AF4" s="241"/>
      <c r="AG4" s="388"/>
      <c r="AH4" s="388"/>
      <c r="AI4" s="388"/>
      <c r="AJ4" s="388"/>
      <c r="AK4" s="241"/>
      <c r="AL4" s="241"/>
      <c r="AM4" s="241"/>
      <c r="AN4" s="27"/>
    </row>
    <row r="5" spans="2:40" ht="18" customHeight="1" thickBot="1" x14ac:dyDescent="0.5">
      <c r="B5" s="18"/>
      <c r="C5" s="139" t="s">
        <v>3</v>
      </c>
      <c r="D5" s="34">
        <v>45</v>
      </c>
      <c r="E5" s="242"/>
      <c r="F5" s="22"/>
      <c r="G5" s="242"/>
      <c r="H5" s="35" t="s">
        <v>4</v>
      </c>
      <c r="I5" s="36"/>
      <c r="J5" s="37"/>
      <c r="K5" s="37"/>
      <c r="L5" s="37"/>
      <c r="M5" s="38"/>
      <c r="N5" s="242"/>
      <c r="O5" s="392"/>
      <c r="P5" s="396"/>
      <c r="Q5" s="397"/>
      <c r="R5" s="242"/>
      <c r="S5" s="394"/>
      <c r="T5" s="394"/>
      <c r="U5" s="394" t="s">
        <v>2</v>
      </c>
      <c r="V5" s="32" t="s">
        <v>2</v>
      </c>
      <c r="W5" s="22"/>
      <c r="X5" s="18"/>
      <c r="Y5" s="242"/>
      <c r="Z5" s="242"/>
      <c r="AA5" s="395"/>
      <c r="AB5" s="316"/>
      <c r="AC5" s="316"/>
      <c r="AD5" s="316"/>
      <c r="AE5" s="316"/>
      <c r="AF5" s="241"/>
      <c r="AG5" s="388"/>
      <c r="AH5" s="388"/>
      <c r="AI5" s="388"/>
      <c r="AJ5" s="388"/>
      <c r="AK5" s="241"/>
      <c r="AL5" s="241"/>
      <c r="AM5" s="241"/>
      <c r="AN5" s="27"/>
    </row>
    <row r="6" spans="2:40" ht="18" customHeight="1" x14ac:dyDescent="0.45">
      <c r="B6" s="18"/>
      <c r="C6" s="139" t="s">
        <v>67</v>
      </c>
      <c r="D6" s="34" t="s">
        <v>210</v>
      </c>
      <c r="E6" s="242"/>
      <c r="F6" s="22"/>
      <c r="G6" s="242"/>
      <c r="H6" s="398" t="s">
        <v>5</v>
      </c>
      <c r="I6" s="399"/>
      <c r="J6" s="400"/>
      <c r="K6" s="399"/>
      <c r="L6" s="399"/>
      <c r="M6" s="401"/>
      <c r="N6" s="242"/>
      <c r="O6" s="392"/>
      <c r="P6" s="396"/>
      <c r="Q6" s="397"/>
      <c r="R6" s="242"/>
      <c r="S6" s="394"/>
      <c r="T6" s="394"/>
      <c r="U6" s="394" t="s">
        <v>2</v>
      </c>
      <c r="V6" s="32" t="s">
        <v>2</v>
      </c>
      <c r="W6" s="22"/>
      <c r="X6" s="18"/>
      <c r="Y6" s="242"/>
      <c r="Z6" s="242"/>
      <c r="AA6" s="395"/>
      <c r="AB6" s="316"/>
      <c r="AC6" s="316"/>
      <c r="AD6" s="316"/>
      <c r="AE6" s="316"/>
      <c r="AF6" s="241"/>
      <c r="AG6" s="388"/>
      <c r="AH6" s="388"/>
      <c r="AI6" s="388"/>
      <c r="AJ6" s="388"/>
      <c r="AK6" s="241"/>
      <c r="AL6" s="241"/>
      <c r="AM6" s="241"/>
      <c r="AN6" s="27"/>
    </row>
    <row r="7" spans="2:40" ht="18" customHeight="1" thickBot="1" x14ac:dyDescent="0.5">
      <c r="B7" s="18"/>
      <c r="C7" s="139" t="s">
        <v>68</v>
      </c>
      <c r="D7" s="34" t="s">
        <v>210</v>
      </c>
      <c r="E7" s="242"/>
      <c r="F7" s="22"/>
      <c r="G7" s="242"/>
      <c r="H7" s="45" t="s">
        <v>6</v>
      </c>
      <c r="I7" s="46"/>
      <c r="J7" s="47"/>
      <c r="K7" s="47"/>
      <c r="L7" s="47"/>
      <c r="M7" s="48"/>
      <c r="N7" s="242"/>
      <c r="O7" s="392"/>
      <c r="P7" s="396"/>
      <c r="Q7" s="397"/>
      <c r="R7" s="242"/>
      <c r="S7" s="394"/>
      <c r="T7" s="394"/>
      <c r="U7" s="394" t="s">
        <v>2</v>
      </c>
      <c r="V7" s="32" t="s">
        <v>2</v>
      </c>
      <c r="W7" s="22"/>
      <c r="X7" s="18"/>
      <c r="Y7" s="242"/>
      <c r="Z7" s="242"/>
      <c r="AA7" s="395"/>
      <c r="AB7" s="316"/>
      <c r="AC7" s="316"/>
      <c r="AD7" s="316"/>
      <c r="AE7" s="316"/>
      <c r="AF7" s="241"/>
      <c r="AG7" s="388"/>
      <c r="AH7" s="388"/>
      <c r="AI7" s="388"/>
      <c r="AJ7" s="388"/>
      <c r="AK7" s="241"/>
      <c r="AL7" s="241"/>
      <c r="AM7" s="241"/>
      <c r="AN7" s="27"/>
    </row>
    <row r="8" spans="2:40" ht="18" customHeight="1" x14ac:dyDescent="0.45">
      <c r="B8" s="18"/>
      <c r="C8" s="139" t="s">
        <v>7</v>
      </c>
      <c r="D8" s="49">
        <v>171050</v>
      </c>
      <c r="E8" s="242"/>
      <c r="F8" s="22"/>
      <c r="G8" s="242"/>
      <c r="H8" s="392"/>
      <c r="I8" s="392"/>
      <c r="J8" s="392"/>
      <c r="K8" s="402" t="s">
        <v>2</v>
      </c>
      <c r="L8" s="403" t="s">
        <v>2</v>
      </c>
      <c r="M8" s="402"/>
      <c r="N8" s="242"/>
      <c r="O8" s="392"/>
      <c r="P8" s="403"/>
      <c r="Q8" s="392" t="s">
        <v>2</v>
      </c>
      <c r="R8" s="242"/>
      <c r="S8" s="394" t="s">
        <v>2</v>
      </c>
      <c r="T8" s="394"/>
      <c r="U8" s="394" t="s">
        <v>2</v>
      </c>
      <c r="V8" s="32" t="s">
        <v>2</v>
      </c>
      <c r="W8" s="22"/>
      <c r="X8" s="18"/>
      <c r="Y8" s="242"/>
      <c r="Z8" s="242"/>
      <c r="AA8" s="395"/>
      <c r="AB8" s="316"/>
      <c r="AC8" s="316"/>
      <c r="AD8" s="316"/>
      <c r="AE8" s="316"/>
      <c r="AF8" s="241"/>
      <c r="AG8" s="388"/>
      <c r="AH8" s="388"/>
      <c r="AI8" s="388"/>
      <c r="AJ8" s="388"/>
      <c r="AK8" s="241"/>
      <c r="AL8" s="404"/>
      <c r="AM8" s="241"/>
      <c r="AN8" s="27"/>
    </row>
    <row r="9" spans="2:40" ht="32.5" customHeight="1" x14ac:dyDescent="0.45">
      <c r="B9" s="18"/>
      <c r="C9" s="137" t="s">
        <v>96</v>
      </c>
      <c r="D9" s="252"/>
      <c r="E9" s="390" t="str">
        <f>IF(D9="","verplicht veld","")</f>
        <v>verplicht veld</v>
      </c>
      <c r="F9" s="22"/>
      <c r="G9" s="242"/>
      <c r="H9" s="392"/>
      <c r="I9" s="392"/>
      <c r="J9" s="392"/>
      <c r="K9" s="402"/>
      <c r="L9" s="403"/>
      <c r="M9" s="402"/>
      <c r="N9" s="242"/>
      <c r="O9" s="392"/>
      <c r="P9" s="403"/>
      <c r="Q9" s="392"/>
      <c r="R9" s="242"/>
      <c r="S9" s="394"/>
      <c r="T9" s="394"/>
      <c r="U9" s="394"/>
      <c r="V9" s="32"/>
      <c r="W9" s="22"/>
      <c r="X9" s="18"/>
      <c r="Y9" s="242"/>
      <c r="Z9" s="242"/>
      <c r="AA9" s="395"/>
      <c r="AB9" s="316"/>
      <c r="AC9" s="316"/>
      <c r="AD9" s="316"/>
      <c r="AE9" s="316"/>
      <c r="AF9" s="241"/>
      <c r="AG9" s="388"/>
      <c r="AH9" s="388"/>
      <c r="AI9" s="388"/>
      <c r="AJ9" s="388"/>
      <c r="AK9" s="241"/>
      <c r="AL9" s="404"/>
      <c r="AM9" s="241"/>
      <c r="AN9" s="27"/>
    </row>
    <row r="10" spans="2:40" ht="18" customHeight="1" x14ac:dyDescent="0.45">
      <c r="B10" s="18"/>
      <c r="C10" s="137" t="s">
        <v>141</v>
      </c>
      <c r="D10" s="252"/>
      <c r="E10" s="390" t="str">
        <f>IF(D10="","verplicht veld","")</f>
        <v>verplicht veld</v>
      </c>
      <c r="F10" s="22"/>
      <c r="G10" s="242"/>
      <c r="H10" s="392"/>
      <c r="I10" s="392"/>
      <c r="J10" s="392"/>
      <c r="K10" s="402"/>
      <c r="L10" s="403"/>
      <c r="M10" s="402"/>
      <c r="N10" s="242"/>
      <c r="O10" s="392"/>
      <c r="P10" s="403"/>
      <c r="Q10" s="392"/>
      <c r="R10" s="242"/>
      <c r="S10" s="394"/>
      <c r="T10" s="394"/>
      <c r="U10" s="394"/>
      <c r="V10" s="32"/>
      <c r="W10" s="22"/>
      <c r="X10" s="18"/>
      <c r="Y10" s="242"/>
      <c r="Z10" s="242"/>
      <c r="AA10" s="395"/>
      <c r="AB10" s="316"/>
      <c r="AC10" s="316"/>
      <c r="AD10" s="316"/>
      <c r="AE10" s="316"/>
      <c r="AF10" s="241"/>
      <c r="AG10" s="388"/>
      <c r="AH10" s="388"/>
      <c r="AI10" s="388"/>
      <c r="AJ10" s="388"/>
      <c r="AK10" s="241"/>
      <c r="AL10" s="404"/>
      <c r="AM10" s="241"/>
      <c r="AN10" s="27"/>
    </row>
    <row r="11" spans="2:40" ht="18" customHeight="1" x14ac:dyDescent="0.45">
      <c r="B11" s="18"/>
      <c r="C11" s="139" t="s">
        <v>8</v>
      </c>
      <c r="D11" s="317"/>
      <c r="E11" s="390" t="str">
        <f>IF(D11="","verplicht veld","")</f>
        <v>verplicht veld</v>
      </c>
      <c r="F11" s="22"/>
      <c r="G11" s="242"/>
      <c r="H11" s="392"/>
      <c r="I11" s="392"/>
      <c r="J11" s="392"/>
      <c r="K11" s="392" t="s">
        <v>2</v>
      </c>
      <c r="L11" s="392" t="s">
        <v>2</v>
      </c>
      <c r="M11" s="402"/>
      <c r="N11" s="242"/>
      <c r="O11" s="396" t="s">
        <v>2</v>
      </c>
      <c r="P11" s="396"/>
      <c r="Q11" s="397" t="s">
        <v>2</v>
      </c>
      <c r="R11" s="242"/>
      <c r="S11" s="394"/>
      <c r="T11" s="394"/>
      <c r="U11" s="394" t="s">
        <v>2</v>
      </c>
      <c r="V11" s="32" t="s">
        <v>2</v>
      </c>
      <c r="W11" s="22"/>
      <c r="X11" s="18"/>
      <c r="Y11" s="242"/>
      <c r="Z11" s="242"/>
      <c r="AA11" s="395"/>
      <c r="AB11" s="316"/>
      <c r="AC11" s="316"/>
      <c r="AD11" s="316"/>
      <c r="AE11" s="405"/>
      <c r="AF11" s="241"/>
      <c r="AG11" s="388"/>
      <c r="AH11" s="388"/>
      <c r="AI11" s="388"/>
      <c r="AJ11" s="388"/>
      <c r="AK11" s="405"/>
      <c r="AL11" s="406"/>
      <c r="AM11" s="241"/>
      <c r="AN11" s="27"/>
    </row>
    <row r="12" spans="2:40" ht="18" customHeight="1" x14ac:dyDescent="0.45">
      <c r="B12" s="18"/>
      <c r="C12" s="139" t="s">
        <v>69</v>
      </c>
      <c r="D12" s="49" t="s">
        <v>188</v>
      </c>
      <c r="E12" s="242"/>
      <c r="F12" s="22"/>
      <c r="G12" s="242"/>
      <c r="H12" s="392"/>
      <c r="I12" s="392"/>
      <c r="J12" s="392"/>
      <c r="K12" s="392"/>
      <c r="L12" s="392"/>
      <c r="M12" s="402"/>
      <c r="N12" s="242"/>
      <c r="O12" s="396"/>
      <c r="P12" s="396"/>
      <c r="Q12" s="397"/>
      <c r="R12" s="242"/>
      <c r="S12" s="394"/>
      <c r="T12" s="394"/>
      <c r="U12" s="394"/>
      <c r="V12" s="32"/>
      <c r="W12" s="22"/>
      <c r="X12" s="18"/>
      <c r="Y12" s="407"/>
      <c r="Z12" s="798" t="str">
        <f>"RESULTAAT "&amp;$D$3</f>
        <v>RESULTAAT MIKRO GIDS</v>
      </c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408"/>
      <c r="AM12" s="408"/>
      <c r="AN12" s="27"/>
    </row>
    <row r="13" spans="2:40" ht="18" customHeight="1" x14ac:dyDescent="0.45">
      <c r="B13" s="18"/>
      <c r="C13" s="139" t="s">
        <v>70</v>
      </c>
      <c r="D13" s="49" t="s">
        <v>82</v>
      </c>
      <c r="E13" s="242"/>
      <c r="F13" s="22"/>
      <c r="G13" s="242"/>
      <c r="H13" s="392"/>
      <c r="I13" s="392"/>
      <c r="J13" s="392"/>
      <c r="K13" s="392"/>
      <c r="L13" s="392"/>
      <c r="M13" s="402"/>
      <c r="N13" s="242"/>
      <c r="O13" s="396"/>
      <c r="P13" s="396"/>
      <c r="Q13" s="397"/>
      <c r="R13" s="242"/>
      <c r="S13" s="394"/>
      <c r="T13" s="394"/>
      <c r="U13" s="394"/>
      <c r="V13" s="32"/>
      <c r="W13" s="22"/>
      <c r="X13" s="18"/>
      <c r="Y13" s="407"/>
      <c r="Z13" s="798"/>
      <c r="AA13" s="798"/>
      <c r="AB13" s="798"/>
      <c r="AC13" s="798"/>
      <c r="AD13" s="798"/>
      <c r="AE13" s="798"/>
      <c r="AF13" s="798"/>
      <c r="AG13" s="798"/>
      <c r="AH13" s="798"/>
      <c r="AI13" s="798"/>
      <c r="AJ13" s="798"/>
      <c r="AK13" s="798"/>
      <c r="AL13" s="409" t="str">
        <f>C8&amp;" jaarbasis"</f>
        <v>Oplage: jaarbasis</v>
      </c>
      <c r="AM13" s="408"/>
      <c r="AN13" s="27"/>
    </row>
    <row r="14" spans="2:40" ht="18" customHeight="1" x14ac:dyDescent="0.45">
      <c r="B14" s="18"/>
      <c r="C14" s="139" t="s">
        <v>10</v>
      </c>
      <c r="D14" s="49" t="s">
        <v>11</v>
      </c>
      <c r="E14" s="242"/>
      <c r="F14" s="22"/>
      <c r="G14" s="242"/>
      <c r="H14" s="392"/>
      <c r="I14" s="392"/>
      <c r="J14" s="392"/>
      <c r="K14" s="392" t="s">
        <v>2</v>
      </c>
      <c r="L14" s="392" t="s">
        <v>2</v>
      </c>
      <c r="M14" s="402"/>
      <c r="N14" s="242"/>
      <c r="O14" s="396"/>
      <c r="P14" s="396"/>
      <c r="Q14" s="397"/>
      <c r="R14" s="242"/>
      <c r="S14" s="394"/>
      <c r="T14" s="394"/>
      <c r="U14" s="394"/>
      <c r="V14" s="32"/>
      <c r="W14" s="22"/>
      <c r="X14" s="18"/>
      <c r="Y14" s="407"/>
      <c r="Z14" s="798"/>
      <c r="AA14" s="798"/>
      <c r="AB14" s="798"/>
      <c r="AC14" s="798"/>
      <c r="AD14" s="798"/>
      <c r="AE14" s="798"/>
      <c r="AF14" s="798"/>
      <c r="AG14" s="798"/>
      <c r="AH14" s="798"/>
      <c r="AI14" s="798"/>
      <c r="AJ14" s="798"/>
      <c r="AK14" s="798"/>
      <c r="AL14" s="411">
        <f>D5*D8</f>
        <v>7697250</v>
      </c>
      <c r="AM14" s="408"/>
      <c r="AN14" s="27"/>
    </row>
    <row r="15" spans="2:40" ht="18" customHeight="1" thickBot="1" x14ac:dyDescent="0.5">
      <c r="B15" s="18"/>
      <c r="C15" s="119" t="s">
        <v>89</v>
      </c>
      <c r="D15" s="412"/>
      <c r="E15" s="390" t="str">
        <f>IF(D15="","verplicht veld","")</f>
        <v>verplicht veld</v>
      </c>
      <c r="F15" s="22"/>
      <c r="G15" s="242"/>
      <c r="H15" s="392"/>
      <c r="I15" s="392"/>
      <c r="J15" s="392"/>
      <c r="K15" s="392"/>
      <c r="L15" s="392"/>
      <c r="M15" s="402"/>
      <c r="N15" s="242"/>
      <c r="O15" s="396"/>
      <c r="P15" s="396"/>
      <c r="Q15" s="397"/>
      <c r="R15" s="242"/>
      <c r="S15" s="394"/>
      <c r="T15" s="394"/>
      <c r="U15" s="394"/>
      <c r="V15" s="32"/>
      <c r="W15" s="22"/>
      <c r="X15" s="18"/>
      <c r="Y15" s="407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1"/>
      <c r="AM15" s="408"/>
      <c r="AN15" s="27"/>
    </row>
    <row r="16" spans="2:40" s="67" customFormat="1" ht="31.5" customHeight="1" thickBot="1" x14ac:dyDescent="0.5">
      <c r="B16" s="18"/>
      <c r="C16" s="237" t="s">
        <v>12</v>
      </c>
      <c r="D16" s="384"/>
      <c r="E16" s="767" t="s">
        <v>66</v>
      </c>
      <c r="F16" s="768"/>
      <c r="G16" s="242"/>
      <c r="H16" s="774" t="s">
        <v>13</v>
      </c>
      <c r="I16" s="775"/>
      <c r="J16" s="775"/>
      <c r="K16" s="775"/>
      <c r="L16" s="775"/>
      <c r="M16" s="776"/>
      <c r="N16" s="414"/>
      <c r="O16" s="774" t="s">
        <v>14</v>
      </c>
      <c r="P16" s="775"/>
      <c r="Q16" s="776"/>
      <c r="R16" s="414"/>
      <c r="S16" s="774" t="s">
        <v>15</v>
      </c>
      <c r="T16" s="775"/>
      <c r="U16" s="775"/>
      <c r="V16" s="776"/>
      <c r="W16" s="22"/>
      <c r="X16" s="18"/>
      <c r="Y16" s="415"/>
      <c r="Z16" s="608"/>
      <c r="AA16" s="813" t="s">
        <v>16</v>
      </c>
      <c r="AB16" s="814"/>
      <c r="AC16" s="814"/>
      <c r="AD16" s="814"/>
      <c r="AE16" s="815"/>
      <c r="AF16" s="446"/>
      <c r="AG16" s="816" t="s">
        <v>17</v>
      </c>
      <c r="AH16" s="817"/>
      <c r="AI16" s="817"/>
      <c r="AJ16" s="817"/>
      <c r="AK16" s="814"/>
      <c r="AL16" s="609" t="s">
        <v>18</v>
      </c>
      <c r="AM16" s="416"/>
      <c r="AN16" s="66"/>
    </row>
    <row r="17" spans="2:40" ht="189.5" thickBot="1" x14ac:dyDescent="0.5">
      <c r="B17" s="18"/>
      <c r="C17" s="238"/>
      <c r="D17" s="230"/>
      <c r="E17" s="242"/>
      <c r="F17" s="14"/>
      <c r="G17" s="242"/>
      <c r="H17" s="186" t="s">
        <v>20</v>
      </c>
      <c r="I17" s="187" t="s">
        <v>21</v>
      </c>
      <c r="J17" s="187" t="s">
        <v>22</v>
      </c>
      <c r="K17" s="187" t="s">
        <v>23</v>
      </c>
      <c r="L17" s="188" t="s">
        <v>145</v>
      </c>
      <c r="M17" s="69" t="s">
        <v>24</v>
      </c>
      <c r="N17" s="242"/>
      <c r="O17" s="189" t="s">
        <v>25</v>
      </c>
      <c r="P17" s="190" t="s">
        <v>26</v>
      </c>
      <c r="Q17" s="70" t="s">
        <v>27</v>
      </c>
      <c r="R17" s="242"/>
      <c r="S17" s="189" t="s">
        <v>25</v>
      </c>
      <c r="T17" s="190" t="s">
        <v>27</v>
      </c>
      <c r="U17" s="190" t="s">
        <v>26</v>
      </c>
      <c r="V17" s="68" t="s">
        <v>28</v>
      </c>
      <c r="W17" s="22"/>
      <c r="X17" s="18"/>
      <c r="Y17" s="407"/>
      <c r="Z17" s="610"/>
      <c r="AA17" s="611" t="s">
        <v>29</v>
      </c>
      <c r="AB17" s="612" t="s">
        <v>30</v>
      </c>
      <c r="AC17" s="612" t="s">
        <v>31</v>
      </c>
      <c r="AD17" s="612" t="s">
        <v>32</v>
      </c>
      <c r="AE17" s="613" t="s">
        <v>33</v>
      </c>
      <c r="AF17" s="446"/>
      <c r="AG17" s="611" t="s">
        <v>29</v>
      </c>
      <c r="AH17" s="612" t="s">
        <v>30</v>
      </c>
      <c r="AI17" s="612" t="s">
        <v>31</v>
      </c>
      <c r="AJ17" s="614" t="s">
        <v>32</v>
      </c>
      <c r="AK17" s="615" t="s">
        <v>34</v>
      </c>
      <c r="AL17" s="616"/>
      <c r="AM17" s="408"/>
      <c r="AN17" s="27"/>
    </row>
    <row r="18" spans="2:40" ht="17" thickBot="1" x14ac:dyDescent="0.5">
      <c r="B18" s="18"/>
      <c r="C18" s="387" t="s">
        <v>61</v>
      </c>
      <c r="D18" s="78"/>
      <c r="E18" s="417" t="s">
        <v>63</v>
      </c>
      <c r="F18" s="223" t="s">
        <v>64</v>
      </c>
      <c r="G18" s="418"/>
      <c r="H18" s="192"/>
      <c r="I18" s="419"/>
      <c r="J18" s="192"/>
      <c r="K18" s="419"/>
      <c r="L18" s="194"/>
      <c r="M18" s="195"/>
      <c r="N18" s="418"/>
      <c r="O18" s="196" t="s">
        <v>36</v>
      </c>
      <c r="P18" s="420" t="s">
        <v>37</v>
      </c>
      <c r="Q18" s="198" t="s">
        <v>37</v>
      </c>
      <c r="R18" s="418"/>
      <c r="S18" s="196" t="s">
        <v>36</v>
      </c>
      <c r="T18" s="421" t="s">
        <v>37</v>
      </c>
      <c r="U18" s="420" t="s">
        <v>37</v>
      </c>
      <c r="V18" s="200" t="s">
        <v>37</v>
      </c>
      <c r="W18" s="22"/>
      <c r="X18" s="18"/>
      <c r="Y18" s="407"/>
      <c r="Z18" s="617" t="s">
        <v>61</v>
      </c>
      <c r="AA18" s="618"/>
      <c r="AB18" s="619"/>
      <c r="AC18" s="619"/>
      <c r="AD18" s="619"/>
      <c r="AE18" s="620"/>
      <c r="AF18" s="621"/>
      <c r="AG18" s="622"/>
      <c r="AH18" s="623"/>
      <c r="AI18" s="623"/>
      <c r="AJ18" s="623"/>
      <c r="AK18" s="624"/>
      <c r="AL18" s="616"/>
      <c r="AM18" s="408"/>
      <c r="AN18" s="27"/>
    </row>
    <row r="19" spans="2:40" ht="10" customHeight="1" x14ac:dyDescent="0.45">
      <c r="B19" s="18"/>
      <c r="C19" s="87"/>
      <c r="D19" s="88"/>
      <c r="E19" s="242"/>
      <c r="F19" s="22"/>
      <c r="G19" s="242"/>
      <c r="H19" s="89"/>
      <c r="I19" s="423"/>
      <c r="J19" s="423"/>
      <c r="K19" s="423"/>
      <c r="L19" s="91"/>
      <c r="M19" s="92"/>
      <c r="N19" s="242"/>
      <c r="O19" s="93"/>
      <c r="P19" s="424"/>
      <c r="Q19" s="70"/>
      <c r="R19" s="242"/>
      <c r="S19" s="93"/>
      <c r="T19" s="424"/>
      <c r="U19" s="424"/>
      <c r="V19" s="95"/>
      <c r="W19" s="22"/>
      <c r="X19" s="18"/>
      <c r="Y19" s="407"/>
      <c r="Z19" s="625"/>
      <c r="AA19" s="626"/>
      <c r="AB19" s="627"/>
      <c r="AC19" s="627"/>
      <c r="AD19" s="627"/>
      <c r="AE19" s="628"/>
      <c r="AF19" s="446"/>
      <c r="AG19" s="626"/>
      <c r="AH19" s="629"/>
      <c r="AI19" s="627"/>
      <c r="AJ19" s="627"/>
      <c r="AK19" s="628"/>
      <c r="AL19" s="616"/>
      <c r="AM19" s="408"/>
      <c r="AN19" s="27"/>
    </row>
    <row r="20" spans="2:40" ht="17" thickBot="1" x14ac:dyDescent="0.5">
      <c r="B20" s="18"/>
      <c r="C20" s="100" t="s">
        <v>79</v>
      </c>
      <c r="D20" s="379">
        <f>IF(AND($D$15="Offline",$D$27&gt;0),$D$27,IF(AND($D$15="Offline",$D$28&gt;0),$D$28,0))+$D$31+D32+$D$33</f>
        <v>0</v>
      </c>
      <c r="E20" s="336">
        <f>IF(D20&gt;0,$D$10,0)</f>
        <v>0</v>
      </c>
      <c r="F20" s="731">
        <f>$D$10</f>
        <v>0</v>
      </c>
      <c r="G20" s="242"/>
      <c r="H20" s="428">
        <v>0</v>
      </c>
      <c r="I20" s="429">
        <v>0</v>
      </c>
      <c r="J20" s="430">
        <v>0</v>
      </c>
      <c r="K20" s="430">
        <v>0</v>
      </c>
      <c r="L20" s="431"/>
      <c r="M20" s="101">
        <v>600</v>
      </c>
      <c r="N20" s="242"/>
      <c r="O20" s="432">
        <v>0</v>
      </c>
      <c r="P20" s="433">
        <v>0</v>
      </c>
      <c r="Q20" s="434">
        <f>O20*(M20/1000)</f>
        <v>0</v>
      </c>
      <c r="R20" s="242"/>
      <c r="S20" s="432">
        <v>0</v>
      </c>
      <c r="T20" s="435">
        <f>S20*(M20/1000)</f>
        <v>0</v>
      </c>
      <c r="U20" s="433">
        <v>0</v>
      </c>
      <c r="V20" s="436">
        <v>1</v>
      </c>
      <c r="W20" s="22"/>
      <c r="X20" s="18"/>
      <c r="Y20" s="407"/>
      <c r="Z20" s="630" t="s">
        <v>79</v>
      </c>
      <c r="AA20" s="437">
        <f>$O20*$D20</f>
        <v>0</v>
      </c>
      <c r="AB20" s="438">
        <f>$AA20*$M20/1000</f>
        <v>0</v>
      </c>
      <c r="AC20" s="438">
        <f>$P20*$D20</f>
        <v>0</v>
      </c>
      <c r="AD20" s="438" t="s">
        <v>38</v>
      </c>
      <c r="AE20" s="439">
        <f>SUM(AB20:AC20)</f>
        <v>0</v>
      </c>
      <c r="AF20" s="440"/>
      <c r="AG20" s="437">
        <f>$S20*$D20*($D$8/10000)</f>
        <v>0</v>
      </c>
      <c r="AH20" s="438">
        <f t="shared" ref="AH20" si="0">(D20*T20)*($D$8/10000)</f>
        <v>0</v>
      </c>
      <c r="AI20" s="438">
        <f>($D20*$U20)*$D$8/10000</f>
        <v>0</v>
      </c>
      <c r="AJ20" s="438" t="s">
        <v>38</v>
      </c>
      <c r="AK20" s="441">
        <f>SUM(AH20:AJ20)</f>
        <v>0</v>
      </c>
      <c r="AL20" s="442">
        <f>AE20+AK20</f>
        <v>0</v>
      </c>
      <c r="AM20" s="408"/>
      <c r="AN20" s="27"/>
    </row>
    <row r="21" spans="2:40" ht="10" customHeight="1" thickBot="1" x14ac:dyDescent="0.5">
      <c r="B21" s="18"/>
      <c r="C21" s="87"/>
      <c r="D21" s="88"/>
      <c r="E21" s="242"/>
      <c r="F21" s="22"/>
      <c r="G21" s="242"/>
      <c r="H21" s="89"/>
      <c r="I21" s="423"/>
      <c r="J21" s="423"/>
      <c r="K21" s="423"/>
      <c r="L21" s="91"/>
      <c r="M21" s="92"/>
      <c r="N21" s="242"/>
      <c r="O21" s="93"/>
      <c r="P21" s="424"/>
      <c r="Q21" s="70"/>
      <c r="R21" s="242"/>
      <c r="S21" s="93"/>
      <c r="T21" s="602"/>
      <c r="U21" s="424">
        <v>0</v>
      </c>
      <c r="V21" s="95"/>
      <c r="W21" s="22"/>
      <c r="X21" s="18"/>
      <c r="Y21" s="407"/>
      <c r="Z21" s="625"/>
      <c r="AA21" s="443"/>
      <c r="AB21" s="444"/>
      <c r="AC21" s="444"/>
      <c r="AD21" s="444"/>
      <c r="AE21" s="445"/>
      <c r="AF21" s="446"/>
      <c r="AG21" s="443"/>
      <c r="AH21" s="444"/>
      <c r="AI21" s="444"/>
      <c r="AJ21" s="444"/>
      <c r="AK21" s="447"/>
      <c r="AL21" s="448"/>
      <c r="AM21" s="408"/>
      <c r="AN21" s="27"/>
    </row>
    <row r="22" spans="2:40" ht="14.5" customHeight="1" x14ac:dyDescent="0.45">
      <c r="B22" s="18"/>
      <c r="C22" s="786" t="s">
        <v>97</v>
      </c>
      <c r="D22" s="787"/>
      <c r="E22" s="417" t="s">
        <v>63</v>
      </c>
      <c r="F22" s="223" t="s">
        <v>64</v>
      </c>
      <c r="G22" s="418"/>
      <c r="H22" s="201" t="s">
        <v>2</v>
      </c>
      <c r="I22" s="449" t="s">
        <v>2</v>
      </c>
      <c r="J22" s="201" t="s">
        <v>2</v>
      </c>
      <c r="K22" s="449" t="s">
        <v>2</v>
      </c>
      <c r="L22" s="203" t="s">
        <v>2</v>
      </c>
      <c r="M22" s="204" t="s">
        <v>2</v>
      </c>
      <c r="N22" s="418"/>
      <c r="O22" s="205" t="s">
        <v>36</v>
      </c>
      <c r="P22" s="450" t="s">
        <v>37</v>
      </c>
      <c r="Q22" s="207" t="s">
        <v>37</v>
      </c>
      <c r="R22" s="418"/>
      <c r="S22" s="205" t="s">
        <v>36</v>
      </c>
      <c r="T22" s="631" t="s">
        <v>37</v>
      </c>
      <c r="U22" s="450" t="s">
        <v>37</v>
      </c>
      <c r="V22" s="209" t="s">
        <v>37</v>
      </c>
      <c r="W22" s="22"/>
      <c r="X22" s="18"/>
      <c r="Y22" s="407"/>
      <c r="Z22" s="632" t="s">
        <v>35</v>
      </c>
      <c r="AA22" s="452"/>
      <c r="AB22" s="453"/>
      <c r="AC22" s="453"/>
      <c r="AD22" s="453"/>
      <c r="AE22" s="454"/>
      <c r="AF22" s="455"/>
      <c r="AG22" s="456"/>
      <c r="AH22" s="453"/>
      <c r="AI22" s="453"/>
      <c r="AJ22" s="453"/>
      <c r="AK22" s="457"/>
      <c r="AL22" s="458"/>
      <c r="AM22" s="408"/>
      <c r="AN22" s="27"/>
    </row>
    <row r="23" spans="2:40" ht="15" customHeight="1" x14ac:dyDescent="0.45">
      <c r="B23" s="18"/>
      <c r="C23" s="104" t="s">
        <v>72</v>
      </c>
      <c r="D23" s="379">
        <f>IF($D$9="84 p. selfcovered",IF($D$15="Inline",28,0),0)</f>
        <v>0</v>
      </c>
      <c r="E23" s="336">
        <f t="shared" ref="E23:E24" si="1">IF(D23&gt;0,$D$10,0)</f>
        <v>0</v>
      </c>
      <c r="F23" s="427">
        <f t="shared" ref="F23:F24" si="2">$D$10</f>
        <v>0</v>
      </c>
      <c r="G23" s="242"/>
      <c r="H23" s="459">
        <v>0</v>
      </c>
      <c r="I23" s="430">
        <v>0</v>
      </c>
      <c r="J23" s="107" t="s">
        <v>38</v>
      </c>
      <c r="K23" s="107" t="s">
        <v>38</v>
      </c>
      <c r="L23" s="431"/>
      <c r="M23" s="101">
        <v>555</v>
      </c>
      <c r="N23" s="242"/>
      <c r="O23" s="432">
        <v>0</v>
      </c>
      <c r="P23" s="433">
        <v>0</v>
      </c>
      <c r="Q23" s="434">
        <f>O23*(M23/1000)</f>
        <v>0</v>
      </c>
      <c r="R23" s="242"/>
      <c r="S23" s="432">
        <v>0</v>
      </c>
      <c r="T23" s="435">
        <f>S23*(M23/1000)</f>
        <v>0</v>
      </c>
      <c r="U23" s="433">
        <v>0</v>
      </c>
      <c r="V23" s="249" t="s">
        <v>38</v>
      </c>
      <c r="W23" s="22"/>
      <c r="X23" s="18"/>
      <c r="Y23" s="407"/>
      <c r="Z23" s="633" t="s">
        <v>72</v>
      </c>
      <c r="AA23" s="460">
        <f t="shared" ref="AA23:AA24" si="3">$O23*$D23</f>
        <v>0</v>
      </c>
      <c r="AB23" s="461">
        <f>$AA23*$M23/1000</f>
        <v>0</v>
      </c>
      <c r="AC23" s="461">
        <f t="shared" ref="AC23" si="4">$P23*$D23</f>
        <v>0</v>
      </c>
      <c r="AD23" s="461" t="s">
        <v>38</v>
      </c>
      <c r="AE23" s="462">
        <f t="shared" ref="AE23:AE24" si="5">SUM(AB23:AC23)</f>
        <v>0</v>
      </c>
      <c r="AF23" s="440"/>
      <c r="AG23" s="460">
        <f>$S23*$D23*($D$8/10000)</f>
        <v>0</v>
      </c>
      <c r="AH23" s="461">
        <f t="shared" ref="AH23:AH24" si="6">(D23*T23)*($D$8/10000)</f>
        <v>0</v>
      </c>
      <c r="AI23" s="461">
        <f>($D23*$U23)*$D$8/10000</f>
        <v>0</v>
      </c>
      <c r="AJ23" s="461" t="str">
        <f>IFERROR(VLOOKUP($V23,$C$37:$U$43,$U$35,FALSE)*($D$8/10000)*$D23,"n.v.t.")</f>
        <v>n.v.t.</v>
      </c>
      <c r="AK23" s="463">
        <f t="shared" ref="AK23" si="7">SUM(AH23:AJ23)</f>
        <v>0</v>
      </c>
      <c r="AL23" s="442">
        <f>AE23+AK23</f>
        <v>0</v>
      </c>
      <c r="AM23" s="408"/>
      <c r="AN23" s="27"/>
    </row>
    <row r="24" spans="2:40" ht="15" customHeight="1" thickBot="1" x14ac:dyDescent="0.5">
      <c r="B24" s="18"/>
      <c r="C24" s="104" t="s">
        <v>75</v>
      </c>
      <c r="D24" s="379">
        <f>IF($D$9="88 p. selfcovered",IF($D$15="Inline",28,0),0)</f>
        <v>0</v>
      </c>
      <c r="E24" s="336">
        <f t="shared" si="1"/>
        <v>0</v>
      </c>
      <c r="F24" s="427">
        <f t="shared" si="2"/>
        <v>0</v>
      </c>
      <c r="G24" s="242"/>
      <c r="H24" s="459">
        <v>0</v>
      </c>
      <c r="I24" s="430">
        <v>0</v>
      </c>
      <c r="J24" s="107" t="s">
        <v>38</v>
      </c>
      <c r="K24" s="107" t="s">
        <v>38</v>
      </c>
      <c r="L24" s="431"/>
      <c r="M24" s="101">
        <v>555</v>
      </c>
      <c r="N24" s="242"/>
      <c r="O24" s="432">
        <v>0</v>
      </c>
      <c r="P24" s="433">
        <v>0</v>
      </c>
      <c r="Q24" s="434">
        <f>O24*(M24/1000)</f>
        <v>0</v>
      </c>
      <c r="R24" s="242"/>
      <c r="S24" s="432">
        <v>0</v>
      </c>
      <c r="T24" s="435">
        <f>S24*(M24/1000)</f>
        <v>0</v>
      </c>
      <c r="U24" s="433">
        <v>0</v>
      </c>
      <c r="V24" s="249" t="s">
        <v>38</v>
      </c>
      <c r="W24" s="22"/>
      <c r="X24" s="18"/>
      <c r="Y24" s="407"/>
      <c r="Z24" s="633" t="s">
        <v>75</v>
      </c>
      <c r="AA24" s="460">
        <f t="shared" si="3"/>
        <v>0</v>
      </c>
      <c r="AB24" s="461">
        <f>$AA24*$M24/1000</f>
        <v>0</v>
      </c>
      <c r="AC24" s="461">
        <f>$P24*$D24</f>
        <v>0</v>
      </c>
      <c r="AD24" s="461" t="s">
        <v>38</v>
      </c>
      <c r="AE24" s="462">
        <f t="shared" si="5"/>
        <v>0</v>
      </c>
      <c r="AF24" s="440"/>
      <c r="AG24" s="460">
        <f>$S24*$D24*($D$8/10000)</f>
        <v>0</v>
      </c>
      <c r="AH24" s="461">
        <f t="shared" si="6"/>
        <v>0</v>
      </c>
      <c r="AI24" s="461">
        <f>($D24*$U24)*$D$8/10000</f>
        <v>0</v>
      </c>
      <c r="AJ24" s="461" t="str">
        <f>IFERROR(VLOOKUP($V24,$C$37:$U$43,$U$35,FALSE)*($D$8/10000)*$D24,"n.v.t.")</f>
        <v>n.v.t.</v>
      </c>
      <c r="AK24" s="463">
        <f>SUM(AH24:AI24)</f>
        <v>0</v>
      </c>
      <c r="AL24" s="442">
        <f>AE24+AK24</f>
        <v>0</v>
      </c>
      <c r="AM24" s="408"/>
      <c r="AN24" s="27"/>
    </row>
    <row r="25" spans="2:40" ht="10" customHeight="1" thickBot="1" x14ac:dyDescent="0.5">
      <c r="B25" s="18"/>
      <c r="C25" s="87"/>
      <c r="D25" s="127"/>
      <c r="E25" s="242"/>
      <c r="F25" s="22"/>
      <c r="G25" s="242"/>
      <c r="H25" s="128"/>
      <c r="I25" s="241"/>
      <c r="J25" s="241"/>
      <c r="K25" s="241"/>
      <c r="L25" s="241"/>
      <c r="M25" s="129"/>
      <c r="N25" s="242"/>
      <c r="O25" s="130"/>
      <c r="P25" s="251"/>
      <c r="Q25" s="132"/>
      <c r="R25" s="242"/>
      <c r="S25" s="130"/>
      <c r="T25" s="634"/>
      <c r="U25" s="251"/>
      <c r="V25" s="134"/>
      <c r="W25" s="22"/>
      <c r="X25" s="18"/>
      <c r="Y25" s="407"/>
      <c r="Z25" s="446"/>
      <c r="AA25" s="460"/>
      <c r="AB25" s="465"/>
      <c r="AC25" s="465"/>
      <c r="AD25" s="465"/>
      <c r="AE25" s="466"/>
      <c r="AF25" s="440"/>
      <c r="AG25" s="460"/>
      <c r="AH25" s="465"/>
      <c r="AI25" s="465"/>
      <c r="AJ25" s="465"/>
      <c r="AK25" s="463"/>
      <c r="AL25" s="442"/>
      <c r="AM25" s="408"/>
      <c r="AN25" s="27"/>
    </row>
    <row r="26" spans="2:40" x14ac:dyDescent="0.45">
      <c r="B26" s="18"/>
      <c r="C26" s="788" t="s">
        <v>39</v>
      </c>
      <c r="D26" s="789"/>
      <c r="E26" s="417" t="s">
        <v>63</v>
      </c>
      <c r="F26" s="224" t="s">
        <v>64</v>
      </c>
      <c r="G26" s="418"/>
      <c r="H26" s="210" t="s">
        <v>2</v>
      </c>
      <c r="I26" s="211" t="s">
        <v>2</v>
      </c>
      <c r="J26" s="201" t="s">
        <v>2</v>
      </c>
      <c r="K26" s="449" t="s">
        <v>2</v>
      </c>
      <c r="L26" s="203" t="s">
        <v>2</v>
      </c>
      <c r="M26" s="204" t="s">
        <v>2</v>
      </c>
      <c r="N26" s="418"/>
      <c r="O26" s="212" t="s">
        <v>36</v>
      </c>
      <c r="P26" s="213" t="s">
        <v>37</v>
      </c>
      <c r="Q26" s="214" t="s">
        <v>37</v>
      </c>
      <c r="R26" s="418"/>
      <c r="S26" s="212" t="s">
        <v>36</v>
      </c>
      <c r="T26" s="635" t="s">
        <v>37</v>
      </c>
      <c r="U26" s="213" t="s">
        <v>37</v>
      </c>
      <c r="V26" s="216" t="s">
        <v>40</v>
      </c>
      <c r="W26" s="22"/>
      <c r="X26" s="18"/>
      <c r="Y26" s="407"/>
      <c r="Z26" s="636" t="s">
        <v>39</v>
      </c>
      <c r="AA26" s="467"/>
      <c r="AB26" s="468"/>
      <c r="AC26" s="468"/>
      <c r="AD26" s="468"/>
      <c r="AE26" s="469"/>
      <c r="AF26" s="440"/>
      <c r="AG26" s="470"/>
      <c r="AH26" s="468"/>
      <c r="AI26" s="468"/>
      <c r="AJ26" s="468"/>
      <c r="AK26" s="471"/>
      <c r="AL26" s="442"/>
      <c r="AM26" s="408"/>
      <c r="AN26" s="27"/>
    </row>
    <row r="27" spans="2:40" ht="15" customHeight="1" x14ac:dyDescent="0.45">
      <c r="B27" s="18"/>
      <c r="C27" s="104" t="s">
        <v>127</v>
      </c>
      <c r="D27" s="379">
        <f>IF($D$9="80 p. binnenwerk + 4 p. omslag",IF($D$15="Offline",38,0),0)</f>
        <v>0</v>
      </c>
      <c r="E27" s="336">
        <f t="shared" ref="E27:E33" si="8">IF(D27&gt;0,$D$10,0)</f>
        <v>0</v>
      </c>
      <c r="F27" s="427">
        <f t="shared" ref="F27:F33" si="9">$D$10</f>
        <v>0</v>
      </c>
      <c r="G27" s="242"/>
      <c r="H27" s="459">
        <v>0</v>
      </c>
      <c r="I27" s="430">
        <v>0</v>
      </c>
      <c r="J27" s="107" t="s">
        <v>38</v>
      </c>
      <c r="K27" s="107" t="s">
        <v>38</v>
      </c>
      <c r="L27" s="431"/>
      <c r="M27" s="101">
        <v>555</v>
      </c>
      <c r="N27" s="242"/>
      <c r="O27" s="432">
        <v>0</v>
      </c>
      <c r="P27" s="433">
        <v>0</v>
      </c>
      <c r="Q27" s="434">
        <f>O27*(M27/1000)</f>
        <v>0</v>
      </c>
      <c r="R27" s="242"/>
      <c r="S27" s="432">
        <v>0</v>
      </c>
      <c r="T27" s="435">
        <f>S27*(M27/1000)</f>
        <v>0</v>
      </c>
      <c r="U27" s="433">
        <v>0</v>
      </c>
      <c r="V27" s="472">
        <v>1</v>
      </c>
      <c r="W27" s="314">
        <f>IF(D27&gt;0,1,0)+V27</f>
        <v>1</v>
      </c>
      <c r="X27" s="18"/>
      <c r="Y27" s="407"/>
      <c r="Z27" s="633" t="s">
        <v>74</v>
      </c>
      <c r="AA27" s="460">
        <f t="shared" ref="AA27:AA33" si="10">$O27*$D27</f>
        <v>0</v>
      </c>
      <c r="AB27" s="461">
        <f>$AA27*$M27/1000</f>
        <v>0</v>
      </c>
      <c r="AC27" s="461">
        <f t="shared" ref="AC27:AC33" si="11">$P27*$D27</f>
        <v>0</v>
      </c>
      <c r="AD27" s="461">
        <f t="shared" ref="AD27:AD33" si="12">VLOOKUP($W27,$C$37:$P$43,$P$35,FALSE)*$D27</f>
        <v>0</v>
      </c>
      <c r="AE27" s="462">
        <f>SUM(AB27:AD27)</f>
        <v>0</v>
      </c>
      <c r="AF27" s="440"/>
      <c r="AG27" s="460">
        <f>$S27*$D27*($D$8/10000)</f>
        <v>0</v>
      </c>
      <c r="AH27" s="461">
        <f t="shared" ref="AH27:AH33" si="13">(D27*T27)*($D$8/10000)</f>
        <v>0</v>
      </c>
      <c r="AI27" s="461">
        <f>($D27*$U27)*$D$8/10000</f>
        <v>0</v>
      </c>
      <c r="AJ27" s="461">
        <f t="shared" ref="AJ27:AJ33" si="14">VLOOKUP($W27,$C$37:$U$43,$U$35,FALSE)*($D$8/10000)*$D27</f>
        <v>0</v>
      </c>
      <c r="AK27" s="463">
        <f t="shared" ref="AK27:AK33" si="15">SUM(AH27:AJ27)</f>
        <v>0</v>
      </c>
      <c r="AL27" s="442">
        <f>AE27+AK27</f>
        <v>0</v>
      </c>
      <c r="AM27" s="408"/>
      <c r="AN27" s="27"/>
    </row>
    <row r="28" spans="2:40" ht="15" customHeight="1" x14ac:dyDescent="0.45">
      <c r="B28" s="18"/>
      <c r="C28" s="104" t="s">
        <v>126</v>
      </c>
      <c r="D28" s="379">
        <f>IF($D$9="84 p. binnenwerk + 4 p. omslag",IF($D$15="Offline",38,0),0)</f>
        <v>0</v>
      </c>
      <c r="E28" s="336">
        <f t="shared" si="8"/>
        <v>0</v>
      </c>
      <c r="F28" s="427">
        <f t="shared" si="9"/>
        <v>0</v>
      </c>
      <c r="G28" s="242"/>
      <c r="H28" s="459">
        <v>0</v>
      </c>
      <c r="I28" s="430">
        <v>0</v>
      </c>
      <c r="J28" s="107" t="s">
        <v>38</v>
      </c>
      <c r="K28" s="107" t="s">
        <v>38</v>
      </c>
      <c r="L28" s="431"/>
      <c r="M28" s="101">
        <v>555</v>
      </c>
      <c r="N28" s="242"/>
      <c r="O28" s="432">
        <v>0</v>
      </c>
      <c r="P28" s="433">
        <v>0</v>
      </c>
      <c r="Q28" s="434">
        <f>O28*(M28/1000)</f>
        <v>0</v>
      </c>
      <c r="R28" s="242"/>
      <c r="S28" s="432">
        <v>0</v>
      </c>
      <c r="T28" s="435">
        <f>S28*(M28/1000)</f>
        <v>0</v>
      </c>
      <c r="U28" s="433">
        <v>0</v>
      </c>
      <c r="V28" s="472">
        <v>1</v>
      </c>
      <c r="W28" s="314">
        <f t="shared" ref="W28" si="16">IF(D28&gt;0,1,0)+V28</f>
        <v>1</v>
      </c>
      <c r="X28" s="18"/>
      <c r="Y28" s="407"/>
      <c r="Z28" s="633" t="s">
        <v>73</v>
      </c>
      <c r="AA28" s="460">
        <f t="shared" si="10"/>
        <v>0</v>
      </c>
      <c r="AB28" s="461">
        <f>$AA28*$M28/1000</f>
        <v>0</v>
      </c>
      <c r="AC28" s="461">
        <f t="shared" si="11"/>
        <v>0</v>
      </c>
      <c r="AD28" s="461">
        <f t="shared" si="12"/>
        <v>0</v>
      </c>
      <c r="AE28" s="462">
        <f t="shared" ref="AE28:AE33" si="17">SUM(AB28:AD28)</f>
        <v>0</v>
      </c>
      <c r="AF28" s="440"/>
      <c r="AG28" s="460">
        <f>$S28*$D28*($D$8/10000)</f>
        <v>0</v>
      </c>
      <c r="AH28" s="461">
        <f t="shared" si="13"/>
        <v>0</v>
      </c>
      <c r="AI28" s="461">
        <f>($D28*$U28)*$D$8/10000</f>
        <v>0</v>
      </c>
      <c r="AJ28" s="461">
        <f t="shared" si="14"/>
        <v>0</v>
      </c>
      <c r="AK28" s="463">
        <f t="shared" si="15"/>
        <v>0</v>
      </c>
      <c r="AL28" s="442">
        <f>AE28+AK28</f>
        <v>0</v>
      </c>
      <c r="AM28" s="408"/>
      <c r="AN28" s="27"/>
    </row>
    <row r="29" spans="2:40" ht="15" customHeight="1" x14ac:dyDescent="0.45">
      <c r="B29" s="18"/>
      <c r="C29" s="104" t="s">
        <v>128</v>
      </c>
      <c r="D29" s="379">
        <f>IF($D$9="84 p. selfcovered",IF($D$15="Offline",38,10),0)</f>
        <v>0</v>
      </c>
      <c r="E29" s="336">
        <f t="shared" si="8"/>
        <v>0</v>
      </c>
      <c r="F29" s="427">
        <f t="shared" si="9"/>
        <v>0</v>
      </c>
      <c r="G29" s="242"/>
      <c r="H29" s="459">
        <v>0</v>
      </c>
      <c r="I29" s="430">
        <v>0</v>
      </c>
      <c r="J29" s="107" t="s">
        <v>38</v>
      </c>
      <c r="K29" s="107" t="s">
        <v>38</v>
      </c>
      <c r="L29" s="431"/>
      <c r="M29" s="101">
        <v>555</v>
      </c>
      <c r="N29" s="242"/>
      <c r="O29" s="432">
        <v>0</v>
      </c>
      <c r="P29" s="433">
        <v>0</v>
      </c>
      <c r="Q29" s="434">
        <f>O29*(M29/1000)</f>
        <v>0</v>
      </c>
      <c r="R29" s="242"/>
      <c r="S29" s="432">
        <v>0</v>
      </c>
      <c r="T29" s="435">
        <f>S29*(M29/1000)</f>
        <v>0</v>
      </c>
      <c r="U29" s="433">
        <v>0</v>
      </c>
      <c r="V29" s="472">
        <v>1</v>
      </c>
      <c r="W29" s="736">
        <f>IF(D29&gt;0,0,0)+V29</f>
        <v>1</v>
      </c>
      <c r="X29" s="18"/>
      <c r="Y29" s="407"/>
      <c r="Z29" s="633" t="s">
        <v>72</v>
      </c>
      <c r="AA29" s="460">
        <f t="shared" si="10"/>
        <v>0</v>
      </c>
      <c r="AB29" s="461">
        <f>$AA29*$M29/1000</f>
        <v>0</v>
      </c>
      <c r="AC29" s="461">
        <f t="shared" si="11"/>
        <v>0</v>
      </c>
      <c r="AD29" s="461">
        <f t="shared" si="12"/>
        <v>0</v>
      </c>
      <c r="AE29" s="462">
        <f t="shared" si="17"/>
        <v>0</v>
      </c>
      <c r="AF29" s="440"/>
      <c r="AG29" s="460">
        <f>$S29*$D29*($D$8/10000)</f>
        <v>0</v>
      </c>
      <c r="AH29" s="461">
        <f t="shared" si="13"/>
        <v>0</v>
      </c>
      <c r="AI29" s="461">
        <f>($D29*$U29)*$D$8/10000</f>
        <v>0</v>
      </c>
      <c r="AJ29" s="461">
        <f t="shared" si="14"/>
        <v>0</v>
      </c>
      <c r="AK29" s="463">
        <f t="shared" ref="AK29" si="18">SUM(AH29:AJ29)</f>
        <v>0</v>
      </c>
      <c r="AL29" s="442">
        <f t="shared" ref="AL29:AL33" si="19">AE29+AK29</f>
        <v>0</v>
      </c>
      <c r="AM29" s="408"/>
      <c r="AN29" s="27"/>
    </row>
    <row r="30" spans="2:40" s="112" customFormat="1" ht="15" customHeight="1" x14ac:dyDescent="0.45">
      <c r="B30" s="18"/>
      <c r="C30" s="137" t="s">
        <v>75</v>
      </c>
      <c r="D30" s="379">
        <f>IF($D$9="88 p. selfcovered",IF($D$15="Offline",38,10),0)</f>
        <v>0</v>
      </c>
      <c r="E30" s="336">
        <f t="shared" si="8"/>
        <v>0</v>
      </c>
      <c r="F30" s="427">
        <f t="shared" si="9"/>
        <v>0</v>
      </c>
      <c r="G30" s="242"/>
      <c r="H30" s="459">
        <v>0</v>
      </c>
      <c r="I30" s="430">
        <v>0</v>
      </c>
      <c r="J30" s="111" t="s">
        <v>38</v>
      </c>
      <c r="K30" s="111" t="s">
        <v>38</v>
      </c>
      <c r="L30" s="431"/>
      <c r="M30" s="101">
        <v>555</v>
      </c>
      <c r="N30" s="242"/>
      <c r="O30" s="432">
        <v>0</v>
      </c>
      <c r="P30" s="433">
        <v>0</v>
      </c>
      <c r="Q30" s="434">
        <f>O30*M30/1000</f>
        <v>0</v>
      </c>
      <c r="R30" s="242"/>
      <c r="S30" s="432">
        <v>0</v>
      </c>
      <c r="T30" s="435">
        <f t="shared" ref="T30:T33" si="20">S30*M30/1000</f>
        <v>0</v>
      </c>
      <c r="U30" s="433">
        <v>0</v>
      </c>
      <c r="V30" s="472">
        <v>1</v>
      </c>
      <c r="W30" s="314">
        <f t="shared" ref="W30:W33" si="21">IF(D30&gt;0,0,0)+V30</f>
        <v>1</v>
      </c>
      <c r="X30" s="18"/>
      <c r="Y30" s="407"/>
      <c r="Z30" s="637" t="s">
        <v>75</v>
      </c>
      <c r="AA30" s="460">
        <f t="shared" si="10"/>
        <v>0</v>
      </c>
      <c r="AB30" s="461">
        <f t="shared" ref="AB30:AB33" si="22">$AA30*$M30/1000</f>
        <v>0</v>
      </c>
      <c r="AC30" s="461">
        <f t="shared" si="11"/>
        <v>0</v>
      </c>
      <c r="AD30" s="461">
        <f t="shared" si="12"/>
        <v>0</v>
      </c>
      <c r="AE30" s="462">
        <f t="shared" si="17"/>
        <v>0</v>
      </c>
      <c r="AF30" s="440"/>
      <c r="AG30" s="460">
        <f t="shared" ref="AG30:AG33" si="23">$S30*$D30*($D$8/10000)</f>
        <v>0</v>
      </c>
      <c r="AH30" s="461">
        <f t="shared" si="13"/>
        <v>0</v>
      </c>
      <c r="AI30" s="461">
        <f t="shared" ref="AI30:AI33" si="24">($D30*$U30)*$D$8/10000</f>
        <v>0</v>
      </c>
      <c r="AJ30" s="461">
        <f t="shared" si="14"/>
        <v>0</v>
      </c>
      <c r="AK30" s="463">
        <f t="shared" si="15"/>
        <v>0</v>
      </c>
      <c r="AL30" s="442">
        <f t="shared" si="19"/>
        <v>0</v>
      </c>
      <c r="AM30" s="473"/>
      <c r="AN30" s="118"/>
    </row>
    <row r="31" spans="2:40" s="112" customFormat="1" ht="15" customHeight="1" x14ac:dyDescent="0.45">
      <c r="B31" s="18"/>
      <c r="C31" s="113" t="s">
        <v>142</v>
      </c>
      <c r="D31" s="380">
        <f>IF(D27&gt;0,7,0)</f>
        <v>0</v>
      </c>
      <c r="E31" s="336">
        <f t="shared" si="8"/>
        <v>0</v>
      </c>
      <c r="F31" s="427">
        <f t="shared" si="9"/>
        <v>0</v>
      </c>
      <c r="G31" s="242"/>
      <c r="H31" s="459">
        <v>0</v>
      </c>
      <c r="I31" s="430">
        <v>0</v>
      </c>
      <c r="J31" s="111" t="s">
        <v>38</v>
      </c>
      <c r="K31" s="111" t="s">
        <v>38</v>
      </c>
      <c r="L31" s="431"/>
      <c r="M31" s="101">
        <v>555</v>
      </c>
      <c r="N31" s="242"/>
      <c r="O31" s="432">
        <v>0</v>
      </c>
      <c r="P31" s="433">
        <v>0</v>
      </c>
      <c r="Q31" s="434">
        <f t="shared" ref="Q31:Q33" si="25">O31*M31/1000</f>
        <v>0</v>
      </c>
      <c r="R31" s="242"/>
      <c r="S31" s="432">
        <v>0</v>
      </c>
      <c r="T31" s="435">
        <f t="shared" si="20"/>
        <v>0</v>
      </c>
      <c r="U31" s="433">
        <v>0</v>
      </c>
      <c r="V31" s="472">
        <v>1</v>
      </c>
      <c r="W31" s="314">
        <f t="shared" si="21"/>
        <v>1</v>
      </c>
      <c r="X31" s="18"/>
      <c r="Y31" s="407"/>
      <c r="Z31" s="638" t="s">
        <v>142</v>
      </c>
      <c r="AA31" s="460">
        <f t="shared" si="10"/>
        <v>0</v>
      </c>
      <c r="AB31" s="461">
        <f t="shared" si="22"/>
        <v>0</v>
      </c>
      <c r="AC31" s="461">
        <f t="shared" si="11"/>
        <v>0</v>
      </c>
      <c r="AD31" s="461">
        <f t="shared" si="12"/>
        <v>0</v>
      </c>
      <c r="AE31" s="462">
        <f t="shared" ref="AE31" si="26">SUM(AB31:AD31)</f>
        <v>0</v>
      </c>
      <c r="AF31" s="440"/>
      <c r="AG31" s="460">
        <f t="shared" si="23"/>
        <v>0</v>
      </c>
      <c r="AH31" s="461">
        <f t="shared" si="13"/>
        <v>0</v>
      </c>
      <c r="AI31" s="461">
        <f t="shared" si="24"/>
        <v>0</v>
      </c>
      <c r="AJ31" s="461">
        <f t="shared" si="14"/>
        <v>0</v>
      </c>
      <c r="AK31" s="463">
        <f t="shared" ref="AK31" si="27">SUM(AH31:AJ31)</f>
        <v>0</v>
      </c>
      <c r="AL31" s="442">
        <f>AE31+AK31</f>
        <v>0</v>
      </c>
      <c r="AM31" s="473"/>
      <c r="AN31" s="118"/>
    </row>
    <row r="32" spans="2:40" s="112" customFormat="1" ht="15" customHeight="1" x14ac:dyDescent="0.45">
      <c r="B32" s="18"/>
      <c r="C32" s="113" t="s">
        <v>76</v>
      </c>
      <c r="D32" s="380">
        <f>IF(D28&gt;0,7,IF(D23&gt;0,7,IF(D29&gt;0,7,IF(D30&gt;0,7,0))))</f>
        <v>0</v>
      </c>
      <c r="E32" s="336">
        <f t="shared" si="8"/>
        <v>0</v>
      </c>
      <c r="F32" s="427">
        <f t="shared" si="9"/>
        <v>0</v>
      </c>
      <c r="G32" s="242"/>
      <c r="H32" s="459">
        <v>0</v>
      </c>
      <c r="I32" s="430">
        <v>0</v>
      </c>
      <c r="J32" s="111" t="s">
        <v>38</v>
      </c>
      <c r="K32" s="111" t="s">
        <v>38</v>
      </c>
      <c r="L32" s="431"/>
      <c r="M32" s="101">
        <v>555</v>
      </c>
      <c r="N32" s="242"/>
      <c r="O32" s="432">
        <v>0</v>
      </c>
      <c r="P32" s="433">
        <v>0</v>
      </c>
      <c r="Q32" s="434">
        <f t="shared" si="25"/>
        <v>0</v>
      </c>
      <c r="R32" s="242"/>
      <c r="S32" s="432">
        <v>0</v>
      </c>
      <c r="T32" s="435">
        <f t="shared" si="20"/>
        <v>0</v>
      </c>
      <c r="U32" s="433">
        <v>0</v>
      </c>
      <c r="V32" s="472">
        <v>1</v>
      </c>
      <c r="W32" s="314">
        <f t="shared" si="21"/>
        <v>1</v>
      </c>
      <c r="X32" s="18"/>
      <c r="Y32" s="407"/>
      <c r="Z32" s="638" t="s">
        <v>76</v>
      </c>
      <c r="AA32" s="460">
        <f t="shared" si="10"/>
        <v>0</v>
      </c>
      <c r="AB32" s="461">
        <f t="shared" si="22"/>
        <v>0</v>
      </c>
      <c r="AC32" s="461">
        <f t="shared" si="11"/>
        <v>0</v>
      </c>
      <c r="AD32" s="461">
        <f t="shared" si="12"/>
        <v>0</v>
      </c>
      <c r="AE32" s="462">
        <f t="shared" si="17"/>
        <v>0</v>
      </c>
      <c r="AF32" s="440"/>
      <c r="AG32" s="460">
        <f t="shared" si="23"/>
        <v>0</v>
      </c>
      <c r="AH32" s="461">
        <f t="shared" si="13"/>
        <v>0</v>
      </c>
      <c r="AI32" s="461">
        <f t="shared" si="24"/>
        <v>0</v>
      </c>
      <c r="AJ32" s="461">
        <f t="shared" si="14"/>
        <v>0</v>
      </c>
      <c r="AK32" s="463">
        <f t="shared" si="15"/>
        <v>0</v>
      </c>
      <c r="AL32" s="442">
        <f>AE32+AK32</f>
        <v>0</v>
      </c>
      <c r="AM32" s="473"/>
      <c r="AN32" s="118"/>
    </row>
    <row r="33" spans="2:40" s="112" customFormat="1" ht="15" customHeight="1" thickBot="1" x14ac:dyDescent="0.5">
      <c r="B33" s="18"/>
      <c r="C33" s="119" t="s">
        <v>78</v>
      </c>
      <c r="D33" s="381">
        <v>0</v>
      </c>
      <c r="E33" s="336">
        <f t="shared" si="8"/>
        <v>0</v>
      </c>
      <c r="F33" s="427">
        <f t="shared" si="9"/>
        <v>0</v>
      </c>
      <c r="G33" s="242"/>
      <c r="H33" s="474">
        <v>0</v>
      </c>
      <c r="I33" s="475">
        <v>0</v>
      </c>
      <c r="J33" s="122" t="s">
        <v>38</v>
      </c>
      <c r="K33" s="122" t="s">
        <v>38</v>
      </c>
      <c r="L33" s="476"/>
      <c r="M33" s="123">
        <v>555</v>
      </c>
      <c r="N33" s="242"/>
      <c r="O33" s="477">
        <v>0</v>
      </c>
      <c r="P33" s="478">
        <v>0</v>
      </c>
      <c r="Q33" s="479">
        <f t="shared" si="25"/>
        <v>0</v>
      </c>
      <c r="R33" s="242"/>
      <c r="S33" s="477">
        <v>0</v>
      </c>
      <c r="T33" s="480">
        <f t="shared" si="20"/>
        <v>0</v>
      </c>
      <c r="U33" s="478">
        <v>0</v>
      </c>
      <c r="V33" s="481">
        <v>1</v>
      </c>
      <c r="W33" s="314">
        <f t="shared" si="21"/>
        <v>1</v>
      </c>
      <c r="X33" s="18"/>
      <c r="Y33" s="407"/>
      <c r="Z33" s="639" t="s">
        <v>78</v>
      </c>
      <c r="AA33" s="437">
        <f t="shared" si="10"/>
        <v>0</v>
      </c>
      <c r="AB33" s="438">
        <f t="shared" si="22"/>
        <v>0</v>
      </c>
      <c r="AC33" s="438">
        <f t="shared" si="11"/>
        <v>0</v>
      </c>
      <c r="AD33" s="438">
        <f t="shared" si="12"/>
        <v>0</v>
      </c>
      <c r="AE33" s="439">
        <f t="shared" si="17"/>
        <v>0</v>
      </c>
      <c r="AF33" s="440"/>
      <c r="AG33" s="437">
        <f t="shared" si="23"/>
        <v>0</v>
      </c>
      <c r="AH33" s="438">
        <f t="shared" si="13"/>
        <v>0</v>
      </c>
      <c r="AI33" s="438">
        <f t="shared" si="24"/>
        <v>0</v>
      </c>
      <c r="AJ33" s="438">
        <f t="shared" si="14"/>
        <v>0</v>
      </c>
      <c r="AK33" s="441">
        <f t="shared" si="15"/>
        <v>0</v>
      </c>
      <c r="AL33" s="442">
        <f t="shared" si="19"/>
        <v>0</v>
      </c>
      <c r="AM33" s="473"/>
      <c r="AN33" s="118"/>
    </row>
    <row r="34" spans="2:40" ht="15.65" customHeight="1" thickBot="1" x14ac:dyDescent="0.5">
      <c r="B34" s="18"/>
      <c r="C34" s="140"/>
      <c r="D34" s="241"/>
      <c r="E34" s="242"/>
      <c r="F34" s="242"/>
      <c r="G34" s="242"/>
      <c r="H34" s="241"/>
      <c r="I34" s="241"/>
      <c r="J34" s="241"/>
      <c r="K34" s="241"/>
      <c r="L34" s="241"/>
      <c r="M34" s="393"/>
      <c r="N34" s="242"/>
      <c r="O34" s="251"/>
      <c r="P34" s="251"/>
      <c r="Q34" s="251"/>
      <c r="R34" s="242"/>
      <c r="S34" s="130"/>
      <c r="T34" s="251"/>
      <c r="U34" s="251"/>
      <c r="V34" s="141"/>
      <c r="W34" s="22"/>
      <c r="X34" s="18"/>
      <c r="Y34" s="407"/>
      <c r="Z34" s="446"/>
      <c r="AA34" s="482"/>
      <c r="AB34" s="465"/>
      <c r="AC34" s="465"/>
      <c r="AD34" s="465"/>
      <c r="AE34" s="466"/>
      <c r="AF34" s="483"/>
      <c r="AG34" s="482"/>
      <c r="AH34" s="465"/>
      <c r="AI34" s="465"/>
      <c r="AJ34" s="465"/>
      <c r="AK34" s="463"/>
      <c r="AL34" s="442"/>
      <c r="AM34" s="408"/>
      <c r="AN34" s="27"/>
    </row>
    <row r="35" spans="2:40" ht="20.5" customHeight="1" thickBot="1" x14ac:dyDescent="0.5">
      <c r="B35" s="18"/>
      <c r="C35" s="788" t="s">
        <v>62</v>
      </c>
      <c r="D35" s="790"/>
      <c r="E35" s="790"/>
      <c r="F35" s="790"/>
      <c r="G35" s="790"/>
      <c r="H35" s="790"/>
      <c r="I35" s="790"/>
      <c r="J35" s="143"/>
      <c r="K35" s="143"/>
      <c r="L35" s="143"/>
      <c r="M35" s="143"/>
      <c r="N35" s="143"/>
      <c r="O35" s="142"/>
      <c r="P35" s="144">
        <v>14</v>
      </c>
      <c r="Q35" s="145"/>
      <c r="R35" s="143"/>
      <c r="S35" s="142"/>
      <c r="T35" s="143"/>
      <c r="U35" s="144">
        <v>19</v>
      </c>
      <c r="V35" s="145"/>
      <c r="W35" s="22"/>
      <c r="X35" s="18"/>
      <c r="Y35" s="407"/>
      <c r="Z35" s="529" t="str">
        <f>C45</f>
        <v>Extra bewerkingen (Pluspropositie):</v>
      </c>
      <c r="AA35" s="484"/>
      <c r="AB35" s="485"/>
      <c r="AC35" s="485"/>
      <c r="AD35" s="485"/>
      <c r="AE35" s="486"/>
      <c r="AF35" s="487"/>
      <c r="AG35" s="488"/>
      <c r="AH35" s="485"/>
      <c r="AI35" s="485"/>
      <c r="AJ35" s="485"/>
      <c r="AK35" s="489"/>
      <c r="AL35" s="490"/>
      <c r="AM35" s="408"/>
      <c r="AN35" s="27"/>
    </row>
    <row r="36" spans="2:40" ht="32.5" customHeight="1" x14ac:dyDescent="0.45">
      <c r="B36" s="18"/>
      <c r="C36" s="254" t="s">
        <v>41</v>
      </c>
      <c r="D36" s="393"/>
      <c r="E36" s="242"/>
      <c r="F36" s="242"/>
      <c r="G36" s="242"/>
      <c r="H36" s="316"/>
      <c r="I36" s="316"/>
      <c r="J36" s="393"/>
      <c r="K36" s="393"/>
      <c r="L36" s="393"/>
      <c r="M36" s="393"/>
      <c r="N36" s="242"/>
      <c r="O36" s="791" t="s">
        <v>42</v>
      </c>
      <c r="P36" s="796"/>
      <c r="Q36" s="793"/>
      <c r="R36" s="251"/>
      <c r="S36" s="146"/>
      <c r="T36" s="13"/>
      <c r="U36" s="221" t="s">
        <v>43</v>
      </c>
      <c r="V36" s="147"/>
      <c r="W36" s="22"/>
      <c r="X36" s="18"/>
      <c r="Y36" s="407"/>
      <c r="Z36" s="640"/>
      <c r="AA36" s="491"/>
      <c r="AB36" s="492"/>
      <c r="AC36" s="492"/>
      <c r="AD36" s="492"/>
      <c r="AE36" s="493"/>
      <c r="AF36" s="494"/>
      <c r="AG36" s="495"/>
      <c r="AH36" s="492"/>
      <c r="AI36" s="492"/>
      <c r="AJ36" s="492"/>
      <c r="AK36" s="493"/>
      <c r="AL36" s="442"/>
      <c r="AM36" s="408"/>
      <c r="AN36" s="27"/>
    </row>
    <row r="37" spans="2:40" x14ac:dyDescent="0.45">
      <c r="B37" s="18"/>
      <c r="C37" s="149">
        <v>1</v>
      </c>
      <c r="D37" s="241"/>
      <c r="E37" s="242"/>
      <c r="F37" s="242"/>
      <c r="G37" s="242"/>
      <c r="H37" s="241"/>
      <c r="I37" s="241"/>
      <c r="J37" s="241"/>
      <c r="K37" s="241"/>
      <c r="L37" s="241"/>
      <c r="M37" s="241"/>
      <c r="N37" s="241"/>
      <c r="O37" s="130"/>
      <c r="P37" s="496">
        <v>0</v>
      </c>
      <c r="Q37" s="134"/>
      <c r="R37" s="251"/>
      <c r="S37" s="130"/>
      <c r="T37" s="251"/>
      <c r="U37" s="496">
        <v>0</v>
      </c>
      <c r="V37" s="134"/>
      <c r="W37" s="22"/>
      <c r="X37" s="18"/>
      <c r="Y37" s="407"/>
      <c r="Z37" s="641" t="str">
        <f>C47</f>
        <v>Meehechten extra katern / insert / outsert</v>
      </c>
      <c r="AA37" s="491"/>
      <c r="AB37" s="492"/>
      <c r="AC37" s="497"/>
      <c r="AD37" s="497">
        <f>D47*P47</f>
        <v>0</v>
      </c>
      <c r="AE37" s="498">
        <f>AD37</f>
        <v>0</v>
      </c>
      <c r="AF37" s="499"/>
      <c r="AG37" s="500"/>
      <c r="AH37" s="501"/>
      <c r="AI37" s="502"/>
      <c r="AJ37" s="502">
        <f>(E47/10000)*U47*D47</f>
        <v>0</v>
      </c>
      <c r="AK37" s="503">
        <f>AJ37</f>
        <v>0</v>
      </c>
      <c r="AL37" s="442">
        <f>AE37+AK37</f>
        <v>0</v>
      </c>
      <c r="AM37" s="408"/>
      <c r="AN37" s="27"/>
    </row>
    <row r="38" spans="2:40" x14ac:dyDescent="0.45">
      <c r="B38" s="18"/>
      <c r="C38" s="151">
        <v>2</v>
      </c>
      <c r="D38" s="241"/>
      <c r="E38" s="242"/>
      <c r="F38" s="242"/>
      <c r="G38" s="242"/>
      <c r="H38" s="241"/>
      <c r="I38" s="241"/>
      <c r="J38" s="241"/>
      <c r="K38" s="241"/>
      <c r="L38" s="241"/>
      <c r="M38" s="393"/>
      <c r="N38" s="242"/>
      <c r="O38" s="130"/>
      <c r="P38" s="496">
        <v>0</v>
      </c>
      <c r="Q38" s="134"/>
      <c r="R38" s="251"/>
      <c r="S38" s="130"/>
      <c r="T38" s="251"/>
      <c r="U38" s="496">
        <v>0</v>
      </c>
      <c r="V38" s="134"/>
      <c r="W38" s="22"/>
      <c r="X38" s="18"/>
      <c r="Y38" s="407"/>
      <c r="Z38" s="642" t="str">
        <f>C48</f>
        <v>Meehechten via plano oplegstation (outsert)</v>
      </c>
      <c r="AA38" s="504"/>
      <c r="AB38" s="505"/>
      <c r="AC38" s="506"/>
      <c r="AD38" s="506">
        <f>$D48*$P48</f>
        <v>0</v>
      </c>
      <c r="AE38" s="507">
        <f>AD38</f>
        <v>0</v>
      </c>
      <c r="AF38" s="508"/>
      <c r="AG38" s="509"/>
      <c r="AH38" s="510"/>
      <c r="AI38" s="511"/>
      <c r="AJ38" s="502">
        <f>(E48/10000)*U48*D48</f>
        <v>0</v>
      </c>
      <c r="AK38" s="512">
        <f>AJ38</f>
        <v>0</v>
      </c>
      <c r="AL38" s="442">
        <f>AE38+AK38</f>
        <v>0</v>
      </c>
      <c r="AM38" s="408"/>
      <c r="AN38" s="27"/>
    </row>
    <row r="39" spans="2:40" x14ac:dyDescent="0.45">
      <c r="B39" s="18"/>
      <c r="C39" s="149">
        <v>3</v>
      </c>
      <c r="D39" s="241"/>
      <c r="E39" s="242"/>
      <c r="F39" s="242"/>
      <c r="G39" s="242"/>
      <c r="H39" s="241"/>
      <c r="I39" s="241"/>
      <c r="J39" s="241"/>
      <c r="K39" s="241"/>
      <c r="L39" s="241"/>
      <c r="M39" s="393"/>
      <c r="N39" s="242"/>
      <c r="O39" s="130"/>
      <c r="P39" s="496">
        <v>0</v>
      </c>
      <c r="Q39" s="134"/>
      <c r="R39" s="251"/>
      <c r="S39" s="130"/>
      <c r="T39" s="251"/>
      <c r="U39" s="496">
        <v>0</v>
      </c>
      <c r="V39" s="134"/>
      <c r="W39" s="22"/>
      <c r="X39" s="18"/>
      <c r="Y39" s="407"/>
      <c r="Z39" s="641" t="str">
        <f>C49</f>
        <v>Plakkaart (op katernscheiding)</v>
      </c>
      <c r="AA39" s="504"/>
      <c r="AB39" s="505"/>
      <c r="AC39" s="506"/>
      <c r="AD39" s="506">
        <f>$D49*$P49</f>
        <v>0</v>
      </c>
      <c r="AE39" s="507">
        <f>AD39</f>
        <v>0</v>
      </c>
      <c r="AF39" s="508"/>
      <c r="AG39" s="509"/>
      <c r="AH39" s="510"/>
      <c r="AI39" s="511"/>
      <c r="AJ39" s="502">
        <f>(E49/10000)*U49*D49</f>
        <v>0</v>
      </c>
      <c r="AK39" s="512">
        <f>AJ39</f>
        <v>0</v>
      </c>
      <c r="AL39" s="442">
        <f>AE39+AK39</f>
        <v>0</v>
      </c>
      <c r="AM39" s="408"/>
      <c r="AN39" s="27"/>
    </row>
    <row r="40" spans="2:40" x14ac:dyDescent="0.45">
      <c r="B40" s="18"/>
      <c r="C40" s="151">
        <v>4</v>
      </c>
      <c r="D40" s="241"/>
      <c r="E40" s="242"/>
      <c r="F40" s="242"/>
      <c r="G40" s="242"/>
      <c r="H40" s="241"/>
      <c r="I40" s="241"/>
      <c r="J40" s="241"/>
      <c r="K40" s="241"/>
      <c r="L40" s="241"/>
      <c r="M40" s="393"/>
      <c r="N40" s="242"/>
      <c r="O40" s="130"/>
      <c r="P40" s="496">
        <v>0</v>
      </c>
      <c r="Q40" s="134"/>
      <c r="R40" s="251"/>
      <c r="S40" s="130"/>
      <c r="T40" s="251"/>
      <c r="U40" s="496">
        <v>0</v>
      </c>
      <c r="V40" s="134"/>
      <c r="W40" s="22"/>
      <c r="X40" s="18"/>
      <c r="Y40" s="407"/>
      <c r="Z40" s="642" t="str">
        <f>C50</f>
        <v xml:space="preserve">Insteekkaart, kaart los insteken tijdens hechten (willekeurig) </v>
      </c>
      <c r="AA40" s="513"/>
      <c r="AB40" s="505"/>
      <c r="AC40" s="506"/>
      <c r="AD40" s="506">
        <f>$D50*$P50</f>
        <v>0</v>
      </c>
      <c r="AE40" s="507">
        <f>AD40</f>
        <v>0</v>
      </c>
      <c r="AF40" s="508"/>
      <c r="AG40" s="509"/>
      <c r="AH40" s="510"/>
      <c r="AI40" s="511"/>
      <c r="AJ40" s="502">
        <f>(E50/10000)*U50*D50</f>
        <v>0</v>
      </c>
      <c r="AK40" s="512">
        <f>AJ40</f>
        <v>0</v>
      </c>
      <c r="AL40" s="442">
        <f>AE40+AK40</f>
        <v>0</v>
      </c>
      <c r="AM40" s="408"/>
      <c r="AN40" s="27"/>
    </row>
    <row r="41" spans="2:40" ht="17" thickBot="1" x14ac:dyDescent="0.5">
      <c r="B41" s="18"/>
      <c r="C41" s="149">
        <v>5</v>
      </c>
      <c r="D41" s="241"/>
      <c r="E41" s="242"/>
      <c r="F41" s="242"/>
      <c r="G41" s="242"/>
      <c r="H41" s="241"/>
      <c r="I41" s="241"/>
      <c r="J41" s="241"/>
      <c r="K41" s="241"/>
      <c r="L41" s="241"/>
      <c r="M41" s="393"/>
      <c r="N41" s="242"/>
      <c r="O41" s="130"/>
      <c r="P41" s="496">
        <v>0</v>
      </c>
      <c r="Q41" s="134"/>
      <c r="R41" s="251"/>
      <c r="S41" s="130"/>
      <c r="T41" s="251"/>
      <c r="U41" s="496">
        <v>0</v>
      </c>
      <c r="V41" s="134"/>
      <c r="W41" s="22"/>
      <c r="X41" s="18"/>
      <c r="Y41" s="407"/>
      <c r="Z41" s="446"/>
      <c r="AA41" s="514"/>
      <c r="AB41" s="515"/>
      <c r="AC41" s="515"/>
      <c r="AD41" s="516"/>
      <c r="AE41" s="517"/>
      <c r="AF41" s="499"/>
      <c r="AG41" s="518"/>
      <c r="AH41" s="519"/>
      <c r="AI41" s="519"/>
      <c r="AJ41" s="519"/>
      <c r="AK41" s="517"/>
      <c r="AL41" s="442"/>
      <c r="AM41" s="408"/>
      <c r="AN41" s="27"/>
    </row>
    <row r="42" spans="2:40" ht="20.5" customHeight="1" x14ac:dyDescent="0.45">
      <c r="B42" s="18"/>
      <c r="C42" s="149">
        <v>6</v>
      </c>
      <c r="D42" s="241"/>
      <c r="E42" s="242"/>
      <c r="F42" s="242"/>
      <c r="G42" s="242"/>
      <c r="H42" s="241"/>
      <c r="I42" s="241"/>
      <c r="J42" s="241"/>
      <c r="K42" s="241"/>
      <c r="L42" s="241"/>
      <c r="M42" s="393"/>
      <c r="N42" s="242"/>
      <c r="O42" s="130"/>
      <c r="P42" s="496">
        <v>0</v>
      </c>
      <c r="Q42" s="134"/>
      <c r="R42" s="251"/>
      <c r="S42" s="130"/>
      <c r="T42" s="251"/>
      <c r="U42" s="496">
        <v>0</v>
      </c>
      <c r="V42" s="134"/>
      <c r="W42" s="22"/>
      <c r="X42" s="18"/>
      <c r="Y42" s="407"/>
      <c r="Z42" s="529" t="s">
        <v>84</v>
      </c>
      <c r="AA42" s="520"/>
      <c r="AB42" s="521"/>
      <c r="AC42" s="521"/>
      <c r="AD42" s="522"/>
      <c r="AE42" s="523"/>
      <c r="AF42" s="499"/>
      <c r="AG42" s="524"/>
      <c r="AH42" s="525"/>
      <c r="AI42" s="525"/>
      <c r="AJ42" s="525"/>
      <c r="AK42" s="525"/>
      <c r="AL42" s="442"/>
      <c r="AM42" s="408"/>
      <c r="AN42" s="27"/>
    </row>
    <row r="43" spans="2:40" ht="17" thickBot="1" x14ac:dyDescent="0.5">
      <c r="B43" s="18"/>
      <c r="C43" s="157">
        <v>7</v>
      </c>
      <c r="D43" s="158"/>
      <c r="E43" s="158"/>
      <c r="F43" s="158"/>
      <c r="G43" s="158"/>
      <c r="H43" s="158"/>
      <c r="I43" s="158"/>
      <c r="J43" s="158"/>
      <c r="K43" s="158"/>
      <c r="L43" s="158"/>
      <c r="M43" s="159"/>
      <c r="N43" s="158"/>
      <c r="O43" s="160"/>
      <c r="P43" s="526">
        <v>0</v>
      </c>
      <c r="Q43" s="161"/>
      <c r="R43" s="158"/>
      <c r="S43" s="160"/>
      <c r="T43" s="162"/>
      <c r="U43" s="527">
        <v>0</v>
      </c>
      <c r="V43" s="163"/>
      <c r="W43" s="22"/>
      <c r="X43" s="18"/>
      <c r="Y43" s="407"/>
      <c r="Z43" s="643" t="s">
        <v>85</v>
      </c>
      <c r="AA43" s="513"/>
      <c r="AB43" s="505"/>
      <c r="AC43" s="506"/>
      <c r="AD43" s="506">
        <f>$D52*$P52</f>
        <v>0</v>
      </c>
      <c r="AE43" s="507">
        <f>AD43</f>
        <v>0</v>
      </c>
      <c r="AF43" s="508"/>
      <c r="AG43" s="509"/>
      <c r="AH43" s="510"/>
      <c r="AI43" s="511"/>
      <c r="AJ43" s="528">
        <f>(E50/10000)*U52*D52</f>
        <v>0</v>
      </c>
      <c r="AK43" s="512">
        <f>AJ43</f>
        <v>0</v>
      </c>
      <c r="AL43" s="442">
        <f>AE43+AK43</f>
        <v>0</v>
      </c>
      <c r="AM43" s="408"/>
      <c r="AN43" s="27"/>
    </row>
    <row r="44" spans="2:40" ht="10" customHeight="1" thickBot="1" x14ac:dyDescent="0.5">
      <c r="B44" s="18"/>
      <c r="C44" s="164"/>
      <c r="D44" s="241"/>
      <c r="E44" s="242"/>
      <c r="F44" s="242"/>
      <c r="G44" s="242"/>
      <c r="H44" s="241"/>
      <c r="I44" s="241"/>
      <c r="J44" s="241"/>
      <c r="K44" s="241"/>
      <c r="L44" s="241"/>
      <c r="M44" s="393"/>
      <c r="N44" s="242"/>
      <c r="O44" s="130"/>
      <c r="P44" s="251"/>
      <c r="Q44" s="134"/>
      <c r="R44" s="242"/>
      <c r="S44" s="130"/>
      <c r="T44" s="251"/>
      <c r="U44" s="251"/>
      <c r="V44" s="132"/>
      <c r="W44" s="22"/>
      <c r="X44" s="18"/>
      <c r="Y44" s="407"/>
      <c r="Z44" s="446"/>
      <c r="AA44" s="514"/>
      <c r="AB44" s="515"/>
      <c r="AC44" s="515"/>
      <c r="AD44" s="516"/>
      <c r="AE44" s="517"/>
      <c r="AF44" s="499"/>
      <c r="AG44" s="518"/>
      <c r="AH44" s="516"/>
      <c r="AI44" s="516"/>
      <c r="AJ44" s="516"/>
      <c r="AK44" s="516"/>
      <c r="AL44" s="442"/>
      <c r="AM44" s="408"/>
      <c r="AN44" s="27"/>
    </row>
    <row r="45" spans="2:40" ht="35.5" customHeight="1" x14ac:dyDescent="0.45">
      <c r="B45" s="18"/>
      <c r="C45" s="142" t="s">
        <v>45</v>
      </c>
      <c r="D45" s="217" t="s">
        <v>19</v>
      </c>
      <c r="E45" s="217" t="s">
        <v>189</v>
      </c>
      <c r="F45" s="217"/>
      <c r="G45" s="217"/>
      <c r="H45" s="217"/>
      <c r="I45" s="217"/>
      <c r="J45" s="217"/>
      <c r="K45" s="217"/>
      <c r="L45" s="217"/>
      <c r="M45" s="217"/>
      <c r="N45" s="217"/>
      <c r="O45" s="782" t="s">
        <v>129</v>
      </c>
      <c r="P45" s="782"/>
      <c r="Q45" s="783"/>
      <c r="R45" s="217"/>
      <c r="S45" s="218"/>
      <c r="T45" s="217"/>
      <c r="U45" s="219" t="s">
        <v>46</v>
      </c>
      <c r="V45" s="220"/>
      <c r="W45" s="22"/>
      <c r="X45" s="18"/>
      <c r="Y45" s="407"/>
      <c r="Z45" s="529" t="s">
        <v>86</v>
      </c>
      <c r="AA45" s="529"/>
      <c r="AB45" s="505"/>
      <c r="AC45" s="506"/>
      <c r="AD45" s="506"/>
      <c r="AE45" s="507"/>
      <c r="AF45" s="508"/>
      <c r="AG45" s="509"/>
      <c r="AH45" s="510"/>
      <c r="AI45" s="511"/>
      <c r="AJ45" s="528"/>
      <c r="AK45" s="512"/>
      <c r="AL45" s="442"/>
      <c r="AM45" s="408"/>
      <c r="AN45" s="27"/>
    </row>
    <row r="46" spans="2:40" ht="18" customHeight="1" thickBot="1" x14ac:dyDescent="0.5">
      <c r="B46" s="240"/>
      <c r="C46" s="235" t="s">
        <v>80</v>
      </c>
      <c r="D46" s="166">
        <f>D5</f>
        <v>45</v>
      </c>
      <c r="E46" s="243">
        <f>D67</f>
        <v>138000</v>
      </c>
      <c r="F46" s="530" t="s">
        <v>214</v>
      </c>
      <c r="G46" s="242"/>
      <c r="H46" s="241"/>
      <c r="I46" s="241"/>
      <c r="J46" s="241"/>
      <c r="K46" s="241"/>
      <c r="L46" s="241"/>
      <c r="M46" s="393"/>
      <c r="N46" s="241"/>
      <c r="O46" s="130"/>
      <c r="P46" s="531"/>
      <c r="Q46" s="134"/>
      <c r="R46" s="251"/>
      <c r="S46" s="130"/>
      <c r="T46" s="251"/>
      <c r="U46" s="531"/>
      <c r="V46" s="167"/>
      <c r="W46" s="22"/>
      <c r="X46" s="18"/>
      <c r="Y46" s="408"/>
      <c r="Z46" s="644" t="str">
        <f>C54</f>
        <v>Transportkosten (1 adres in Nederland)</v>
      </c>
      <c r="AA46" s="532"/>
      <c r="AB46" s="533"/>
      <c r="AC46" s="534"/>
      <c r="AD46" s="534">
        <f>$D54*$P54</f>
        <v>0</v>
      </c>
      <c r="AE46" s="535">
        <f>AD46</f>
        <v>0</v>
      </c>
      <c r="AF46" s="536"/>
      <c r="AG46" s="537"/>
      <c r="AH46" s="538"/>
      <c r="AI46" s="539"/>
      <c r="AJ46" s="540">
        <f>(E54/10000)*U54</f>
        <v>0</v>
      </c>
      <c r="AK46" s="541">
        <f>AJ46</f>
        <v>0</v>
      </c>
      <c r="AL46" s="542">
        <f>AE46+AK46</f>
        <v>0</v>
      </c>
      <c r="AM46" s="408"/>
      <c r="AN46" s="27"/>
    </row>
    <row r="47" spans="2:40" ht="16.5" customHeight="1" thickBot="1" x14ac:dyDescent="0.55000000000000004">
      <c r="B47" s="18"/>
      <c r="C47" s="235" t="s">
        <v>47</v>
      </c>
      <c r="D47" s="166">
        <v>13</v>
      </c>
      <c r="E47" s="243">
        <v>110000</v>
      </c>
      <c r="F47" s="242"/>
      <c r="G47" s="242"/>
      <c r="H47" s="241"/>
      <c r="I47" s="241"/>
      <c r="J47" s="241"/>
      <c r="K47" s="241"/>
      <c r="L47" s="241"/>
      <c r="M47" s="393"/>
      <c r="N47" s="241"/>
      <c r="O47" s="130"/>
      <c r="P47" s="543">
        <v>0</v>
      </c>
      <c r="Q47" s="134"/>
      <c r="R47" s="251"/>
      <c r="S47" s="130"/>
      <c r="T47" s="251"/>
      <c r="U47" s="543">
        <v>0</v>
      </c>
      <c r="V47" s="167"/>
      <c r="W47" s="22"/>
      <c r="X47" s="18"/>
      <c r="Y47" s="408"/>
      <c r="Z47" s="645"/>
      <c r="AA47" s="646"/>
      <c r="AB47" s="647"/>
      <c r="AC47" s="648"/>
      <c r="AD47" s="649"/>
      <c r="AE47" s="650"/>
      <c r="AF47" s="651"/>
      <c r="AG47" s="651"/>
      <c r="AH47" s="652"/>
      <c r="AI47" s="653"/>
      <c r="AJ47" s="653"/>
      <c r="AK47" s="654"/>
      <c r="AL47" s="655"/>
      <c r="AM47" s="408"/>
      <c r="AN47" s="27"/>
    </row>
    <row r="48" spans="2:40" ht="16.5" customHeight="1" x14ac:dyDescent="0.45">
      <c r="B48" s="18"/>
      <c r="C48" s="168" t="s">
        <v>48</v>
      </c>
      <c r="D48" s="166">
        <v>0</v>
      </c>
      <c r="E48" s="243">
        <v>0</v>
      </c>
      <c r="F48" s="242"/>
      <c r="G48" s="242"/>
      <c r="H48" s="241"/>
      <c r="I48" s="241"/>
      <c r="J48" s="241"/>
      <c r="K48" s="241"/>
      <c r="L48" s="241"/>
      <c r="M48" s="393"/>
      <c r="N48" s="241"/>
      <c r="O48" s="130"/>
      <c r="P48" s="543">
        <v>0</v>
      </c>
      <c r="Q48" s="134"/>
      <c r="R48" s="251"/>
      <c r="S48" s="130"/>
      <c r="T48" s="251"/>
      <c r="U48" s="543">
        <v>0</v>
      </c>
      <c r="V48" s="167"/>
      <c r="W48" s="22"/>
      <c r="X48" s="18"/>
      <c r="Y48" s="408"/>
      <c r="Z48" s="529" t="s">
        <v>122</v>
      </c>
      <c r="AA48" s="656"/>
      <c r="AB48" s="657"/>
      <c r="AC48" s="657"/>
      <c r="AD48" s="657"/>
      <c r="AE48" s="657"/>
      <c r="AF48" s="487"/>
      <c r="AG48" s="658"/>
      <c r="AH48" s="657"/>
      <c r="AI48" s="657"/>
      <c r="AJ48" s="657"/>
      <c r="AK48" s="657"/>
      <c r="AL48" s="659"/>
      <c r="AM48" s="408"/>
      <c r="AN48" s="27"/>
    </row>
    <row r="49" spans="1:40" ht="16.5" customHeight="1" x14ac:dyDescent="0.45">
      <c r="B49" s="18"/>
      <c r="C49" s="168" t="s">
        <v>49</v>
      </c>
      <c r="D49" s="166">
        <v>1</v>
      </c>
      <c r="E49" s="243">
        <f>E46</f>
        <v>138000</v>
      </c>
      <c r="F49" s="242"/>
      <c r="G49" s="242"/>
      <c r="H49" s="241"/>
      <c r="I49" s="241"/>
      <c r="J49" s="241"/>
      <c r="K49" s="241"/>
      <c r="L49" s="241"/>
      <c r="M49" s="393"/>
      <c r="N49" s="241"/>
      <c r="O49" s="130"/>
      <c r="P49" s="543">
        <v>0</v>
      </c>
      <c r="Q49" s="134"/>
      <c r="R49" s="251"/>
      <c r="S49" s="130"/>
      <c r="T49" s="251"/>
      <c r="U49" s="543">
        <v>0</v>
      </c>
      <c r="V49" s="167"/>
      <c r="W49" s="22"/>
      <c r="X49" s="18"/>
      <c r="Y49" s="408"/>
      <c r="Z49" s="660"/>
      <c r="AA49" s="661"/>
      <c r="AB49" s="662"/>
      <c r="AC49" s="663"/>
      <c r="AD49" s="663"/>
      <c r="AE49" s="662"/>
      <c r="AF49" s="621"/>
      <c r="AG49" s="661"/>
      <c r="AH49" s="662"/>
      <c r="AI49" s="662"/>
      <c r="AJ49" s="662"/>
      <c r="AK49" s="515"/>
      <c r="AL49" s="664"/>
      <c r="AM49" s="408"/>
      <c r="AN49" s="27"/>
    </row>
    <row r="50" spans="1:40" ht="16.5" customHeight="1" thickBot="1" x14ac:dyDescent="0.5">
      <c r="B50" s="18"/>
      <c r="C50" s="168" t="s">
        <v>50</v>
      </c>
      <c r="D50" s="166">
        <v>45</v>
      </c>
      <c r="E50" s="243">
        <f>D73</f>
        <v>30500</v>
      </c>
      <c r="F50" s="549" t="s">
        <v>147</v>
      </c>
      <c r="G50" s="242"/>
      <c r="H50" s="241"/>
      <c r="I50" s="241"/>
      <c r="J50" s="241"/>
      <c r="K50" s="241"/>
      <c r="L50" s="241"/>
      <c r="M50" s="393"/>
      <c r="N50" s="241"/>
      <c r="O50" s="130"/>
      <c r="P50" s="543">
        <v>0</v>
      </c>
      <c r="Q50" s="134"/>
      <c r="R50" s="251"/>
      <c r="S50" s="130"/>
      <c r="T50" s="251"/>
      <c r="U50" s="543">
        <v>0</v>
      </c>
      <c r="V50" s="167"/>
      <c r="W50" s="22"/>
      <c r="X50" s="18"/>
      <c r="Y50" s="408"/>
      <c r="Z50" s="665" t="s">
        <v>123</v>
      </c>
      <c r="AA50" s="513"/>
      <c r="AB50" s="666"/>
      <c r="AC50" s="667"/>
      <c r="AD50" s="667"/>
      <c r="AE50" s="666"/>
      <c r="AF50" s="668"/>
      <c r="AG50" s="513"/>
      <c r="AH50" s="666"/>
      <c r="AI50" s="666"/>
      <c r="AJ50" s="666"/>
      <c r="AK50" s="666"/>
      <c r="AL50" s="442">
        <f>$K$87</f>
        <v>0</v>
      </c>
      <c r="AM50" s="408"/>
      <c r="AN50" s="27"/>
    </row>
    <row r="51" spans="1:40" ht="16.5" customHeight="1" thickBot="1" x14ac:dyDescent="0.5">
      <c r="B51" s="18"/>
      <c r="C51" s="142" t="s">
        <v>84</v>
      </c>
      <c r="D51" s="142"/>
      <c r="E51" s="142"/>
      <c r="F51" s="338"/>
      <c r="G51" s="338"/>
      <c r="H51" s="338"/>
      <c r="I51" s="338"/>
      <c r="J51" s="338"/>
      <c r="K51" s="338"/>
      <c r="L51" s="338"/>
      <c r="M51" s="338"/>
      <c r="N51" s="338"/>
      <c r="O51" s="338"/>
      <c r="P51" s="367"/>
      <c r="Q51" s="338"/>
      <c r="R51" s="338"/>
      <c r="S51" s="338"/>
      <c r="T51" s="338"/>
      <c r="U51" s="367"/>
      <c r="V51" s="339"/>
      <c r="W51" s="22"/>
      <c r="X51" s="18"/>
      <c r="Y51" s="408"/>
      <c r="Z51" s="669" t="s">
        <v>124</v>
      </c>
      <c r="AA51" s="670"/>
      <c r="AB51" s="671"/>
      <c r="AC51" s="672"/>
      <c r="AD51" s="672"/>
      <c r="AE51" s="671"/>
      <c r="AF51" s="673"/>
      <c r="AG51" s="670"/>
      <c r="AH51" s="671"/>
      <c r="AI51" s="671"/>
      <c r="AJ51" s="671"/>
      <c r="AK51" s="671"/>
      <c r="AL51" s="442">
        <f>$K$95</f>
        <v>0</v>
      </c>
      <c r="AM51" s="408"/>
      <c r="AN51" s="27"/>
    </row>
    <row r="52" spans="1:40" ht="16.5" customHeight="1" thickBot="1" x14ac:dyDescent="0.5">
      <c r="B52" s="18"/>
      <c r="C52" s="245" t="s">
        <v>85</v>
      </c>
      <c r="D52" s="166">
        <v>45</v>
      </c>
      <c r="E52" s="243">
        <v>0</v>
      </c>
      <c r="F52" s="340"/>
      <c r="G52" s="340"/>
      <c r="H52" s="341"/>
      <c r="I52" s="341"/>
      <c r="J52" s="341"/>
      <c r="K52" s="341"/>
      <c r="L52" s="341"/>
      <c r="M52" s="342"/>
      <c r="N52" s="341"/>
      <c r="O52" s="343"/>
      <c r="P52" s="543">
        <v>0</v>
      </c>
      <c r="Q52" s="344"/>
      <c r="R52" s="345"/>
      <c r="S52" s="343"/>
      <c r="T52" s="345"/>
      <c r="U52" s="550">
        <v>0</v>
      </c>
      <c r="V52" s="344"/>
      <c r="W52" s="22"/>
      <c r="X52" s="18"/>
      <c r="Y52" s="408"/>
      <c r="Z52" s="674"/>
      <c r="AA52" s="646"/>
      <c r="AB52" s="647"/>
      <c r="AC52" s="647"/>
      <c r="AD52" s="647"/>
      <c r="AE52" s="647"/>
      <c r="AF52" s="646"/>
      <c r="AG52" s="646"/>
      <c r="AH52" s="647"/>
      <c r="AI52" s="647"/>
      <c r="AJ52" s="647"/>
      <c r="AK52" s="647"/>
      <c r="AL52" s="675"/>
      <c r="AM52" s="408"/>
      <c r="AN52" s="27"/>
    </row>
    <row r="53" spans="1:40" ht="16.5" customHeight="1" x14ac:dyDescent="0.45">
      <c r="B53" s="18"/>
      <c r="C53" s="142" t="s">
        <v>86</v>
      </c>
      <c r="D53" s="142"/>
      <c r="E53" s="142"/>
      <c r="F53" s="338"/>
      <c r="G53" s="338"/>
      <c r="H53" s="338"/>
      <c r="I53" s="338"/>
      <c r="J53" s="338"/>
      <c r="K53" s="338"/>
      <c r="L53" s="338"/>
      <c r="M53" s="338"/>
      <c r="N53" s="338"/>
      <c r="O53" s="338"/>
      <c r="P53" s="367"/>
      <c r="Q53" s="338"/>
      <c r="R53" s="338"/>
      <c r="S53" s="338"/>
      <c r="T53" s="338"/>
      <c r="U53" s="367"/>
      <c r="V53" s="339"/>
      <c r="W53" s="22"/>
      <c r="X53" s="18"/>
      <c r="Y53" s="408"/>
      <c r="Z53" s="676" t="s">
        <v>44</v>
      </c>
      <c r="AA53" s="677" t="str">
        <f>SUM(AA20:AA46)&amp;" KG"</f>
        <v>0 KG</v>
      </c>
      <c r="AB53" s="678">
        <f>SUM(AB20:AB46)</f>
        <v>0</v>
      </c>
      <c r="AC53" s="678">
        <f>SUM(AC20:AC46)</f>
        <v>0</v>
      </c>
      <c r="AD53" s="678">
        <f>SUM(AD20:AD46)</f>
        <v>0</v>
      </c>
      <c r="AE53" s="678">
        <f>SUM(AB53:AD53)</f>
        <v>0</v>
      </c>
      <c r="AF53" s="679"/>
      <c r="AG53" s="680" t="str">
        <f>SUM(AG20:AG46)&amp;" KG"</f>
        <v>0 KG</v>
      </c>
      <c r="AH53" s="678">
        <f>SUM(AH20:AH46)</f>
        <v>0</v>
      </c>
      <c r="AI53" s="678">
        <f>SUM(AI20:AI46)</f>
        <v>0</v>
      </c>
      <c r="AJ53" s="678">
        <f>SUM(AJ20:AJ46)</f>
        <v>0</v>
      </c>
      <c r="AK53" s="678">
        <f>SUM(AH53:AJ53)</f>
        <v>0</v>
      </c>
      <c r="AL53" s="678">
        <f>SUM(AL20:AL51)</f>
        <v>0</v>
      </c>
      <c r="AM53" s="695">
        <f>IF(AL53&gt;0,1,0)</f>
        <v>0</v>
      </c>
      <c r="AN53" s="27"/>
    </row>
    <row r="54" spans="1:40" ht="16.5" customHeight="1" thickBot="1" x14ac:dyDescent="0.5">
      <c r="B54" s="18"/>
      <c r="C54" s="246" t="s">
        <v>51</v>
      </c>
      <c r="D54" s="169">
        <v>45</v>
      </c>
      <c r="E54" s="244">
        <v>0</v>
      </c>
      <c r="F54" s="733" t="s">
        <v>237</v>
      </c>
      <c r="G54" s="170"/>
      <c r="H54" s="58"/>
      <c r="I54" s="58"/>
      <c r="J54" s="58"/>
      <c r="K54" s="58"/>
      <c r="L54" s="58"/>
      <c r="M54" s="171"/>
      <c r="N54" s="172"/>
      <c r="O54" s="173"/>
      <c r="P54" s="734">
        <v>0</v>
      </c>
      <c r="Q54" s="141"/>
      <c r="R54" s="394"/>
      <c r="S54" s="173"/>
      <c r="T54" s="59"/>
      <c r="U54" s="734">
        <v>0</v>
      </c>
      <c r="V54" s="141"/>
      <c r="W54" s="22"/>
      <c r="X54" s="18"/>
      <c r="Y54" s="408"/>
      <c r="Z54" s="408"/>
      <c r="AA54" s="408"/>
      <c r="AB54" s="408"/>
      <c r="AC54" s="408"/>
      <c r="AD54" s="408"/>
      <c r="AE54" s="408"/>
      <c r="AF54" s="408"/>
      <c r="AG54" s="408"/>
      <c r="AH54" s="408"/>
      <c r="AI54" s="408"/>
      <c r="AJ54" s="408"/>
      <c r="AK54" s="408"/>
      <c r="AL54" s="408"/>
      <c r="AM54" s="408"/>
      <c r="AN54" s="27"/>
    </row>
    <row r="55" spans="1:40" ht="22.5" customHeight="1" thickBot="1" x14ac:dyDescent="0.5">
      <c r="A55" s="1"/>
      <c r="B55" s="174"/>
      <c r="C55" s="239"/>
      <c r="D55" s="158" t="s">
        <v>2</v>
      </c>
      <c r="E55" s="170"/>
      <c r="F55" s="170"/>
      <c r="G55" s="170"/>
      <c r="H55" s="158" t="s">
        <v>2</v>
      </c>
      <c r="I55" s="158" t="s">
        <v>2</v>
      </c>
      <c r="J55" s="158"/>
      <c r="K55" s="158"/>
      <c r="L55" s="158"/>
      <c r="M55" s="159" t="s">
        <v>2</v>
      </c>
      <c r="N55" s="170"/>
      <c r="O55" s="162"/>
      <c r="P55" s="162"/>
      <c r="Q55" s="162"/>
      <c r="R55" s="170"/>
      <c r="S55" s="162"/>
      <c r="T55" s="162"/>
      <c r="U55" s="162"/>
      <c r="V55" s="162"/>
      <c r="W55" s="175"/>
      <c r="X55" s="174"/>
      <c r="Y55" s="170"/>
      <c r="Z55" s="170"/>
      <c r="AA55" s="176"/>
      <c r="AB55" s="176"/>
      <c r="AC55" s="177"/>
      <c r="AD55" s="177"/>
      <c r="AE55" s="176"/>
      <c r="AF55" s="178"/>
      <c r="AG55" s="176"/>
      <c r="AH55" s="176"/>
      <c r="AI55" s="176"/>
      <c r="AJ55" s="176"/>
      <c r="AK55" s="179"/>
      <c r="AL55" s="179"/>
      <c r="AM55" s="158"/>
      <c r="AN55" s="161"/>
    </row>
    <row r="56" spans="1:40" ht="18" customHeight="1" x14ac:dyDescent="0.45"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</row>
    <row r="57" spans="1:40" ht="28" hidden="1" x14ac:dyDescent="0.45">
      <c r="H57" s="180" t="s">
        <v>52</v>
      </c>
      <c r="I57" s="180" t="s">
        <v>53</v>
      </c>
      <c r="J57" s="180" t="s">
        <v>54</v>
      </c>
      <c r="K57" s="180" t="s">
        <v>55</v>
      </c>
      <c r="L57" s="180" t="s">
        <v>56</v>
      </c>
      <c r="M57" s="181" t="s">
        <v>57</v>
      </c>
      <c r="P57" s="6" t="s">
        <v>58</v>
      </c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idden="1" x14ac:dyDescent="0.45">
      <c r="C58" s="2" t="s">
        <v>47</v>
      </c>
      <c r="D58" s="182">
        <v>2</v>
      </c>
      <c r="H58" s="183">
        <v>16</v>
      </c>
      <c r="I58" s="183">
        <v>12</v>
      </c>
      <c r="J58" s="183">
        <v>4</v>
      </c>
      <c r="K58" s="183">
        <v>16</v>
      </c>
      <c r="L58" s="183">
        <v>7</v>
      </c>
      <c r="M58" s="183">
        <v>8</v>
      </c>
      <c r="P58" s="6" t="s">
        <v>59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idden="1" x14ac:dyDescent="0.45">
      <c r="C59" s="2" t="s">
        <v>50</v>
      </c>
      <c r="D59" s="182">
        <v>5</v>
      </c>
      <c r="H59" s="183">
        <v>1</v>
      </c>
      <c r="I59" s="183">
        <v>0</v>
      </c>
      <c r="J59" s="183">
        <v>21</v>
      </c>
      <c r="K59" s="183">
        <v>0</v>
      </c>
      <c r="L59" s="183">
        <v>51</v>
      </c>
      <c r="M59" s="183">
        <v>26</v>
      </c>
      <c r="P59" s="6" t="s">
        <v>60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idden="1" x14ac:dyDescent="0.45">
      <c r="C60" s="2" t="s">
        <v>48</v>
      </c>
      <c r="D60" s="182">
        <v>3</v>
      </c>
      <c r="H60" s="183">
        <v>4</v>
      </c>
      <c r="I60" s="183">
        <v>4</v>
      </c>
      <c r="J60" s="183">
        <v>0</v>
      </c>
      <c r="K60" s="183">
        <v>4</v>
      </c>
      <c r="L60" s="183">
        <v>0</v>
      </c>
      <c r="M60" s="183">
        <v>0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idden="1" x14ac:dyDescent="0.45">
      <c r="C61" s="2" t="s">
        <v>49</v>
      </c>
      <c r="D61" s="182">
        <v>4</v>
      </c>
      <c r="H61" s="183">
        <v>0</v>
      </c>
      <c r="I61" s="183">
        <v>0</v>
      </c>
      <c r="J61" s="183">
        <v>0</v>
      </c>
      <c r="K61" s="183">
        <v>0</v>
      </c>
      <c r="L61" s="183">
        <v>0</v>
      </c>
      <c r="M61" s="183">
        <v>4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t="26.5" x14ac:dyDescent="0.45">
      <c r="A62" s="255"/>
      <c r="B62" s="256"/>
      <c r="C62" s="362" t="s">
        <v>100</v>
      </c>
      <c r="D62" s="258" t="s">
        <v>101</v>
      </c>
      <c r="E62" s="258"/>
      <c r="F62" s="256"/>
      <c r="G62" s="256"/>
      <c r="H62" s="259"/>
      <c r="I62" s="256"/>
      <c r="J62" s="257" t="s">
        <v>190</v>
      </c>
      <c r="K62" s="256"/>
      <c r="L62" s="257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17" thickBot="1" x14ac:dyDescent="0.5">
      <c r="A63" s="255"/>
      <c r="B63" s="260"/>
      <c r="C63" s="260"/>
      <c r="D63" s="260"/>
      <c r="E63" s="260"/>
      <c r="F63" s="256"/>
      <c r="G63" s="256"/>
      <c r="H63" s="260"/>
      <c r="I63" s="256"/>
      <c r="J63" s="260"/>
      <c r="K63" s="256"/>
      <c r="L63" s="260"/>
    </row>
    <row r="64" spans="1:40" ht="27.5" thickTop="1" thickBot="1" x14ac:dyDescent="0.5">
      <c r="A64" s="255"/>
      <c r="B64" s="256"/>
      <c r="C64" s="257" t="s">
        <v>1</v>
      </c>
      <c r="D64" s="554">
        <f>D4</f>
        <v>0</v>
      </c>
      <c r="E64" s="258"/>
      <c r="F64" s="256"/>
      <c r="G64" s="256"/>
      <c r="H64" s="259"/>
      <c r="I64" s="256"/>
      <c r="J64" s="260"/>
      <c r="K64" s="256"/>
      <c r="L64" s="260"/>
    </row>
    <row r="65" spans="1:12" ht="27" thickTop="1" x14ac:dyDescent="0.45">
      <c r="A65" s="255"/>
      <c r="B65" s="257"/>
      <c r="C65" s="258"/>
      <c r="D65" s="258"/>
      <c r="E65" s="258"/>
      <c r="F65" s="256"/>
      <c r="G65" s="256"/>
      <c r="H65" s="259"/>
      <c r="I65" s="256"/>
      <c r="J65" s="260"/>
      <c r="K65" s="256"/>
      <c r="L65" s="260"/>
    </row>
    <row r="66" spans="1:12" ht="17" thickBot="1" x14ac:dyDescent="0.5">
      <c r="A66" s="255"/>
      <c r="B66" s="261" t="s">
        <v>103</v>
      </c>
      <c r="C66" s="262" t="s">
        <v>191</v>
      </c>
      <c r="D66" s="260"/>
      <c r="E66" s="263"/>
      <c r="F66" s="256"/>
      <c r="G66" s="256"/>
      <c r="H66" s="264"/>
      <c r="I66" s="256"/>
      <c r="J66" s="260"/>
      <c r="K66" s="256"/>
      <c r="L66" s="260"/>
    </row>
    <row r="67" spans="1:12" ht="17.5" thickTop="1" thickBot="1" x14ac:dyDescent="0.5">
      <c r="A67" s="255"/>
      <c r="B67" s="261" t="s">
        <v>103</v>
      </c>
      <c r="C67" s="266" t="s">
        <v>104</v>
      </c>
      <c r="D67" s="556">
        <v>138000</v>
      </c>
      <c r="E67" s="263"/>
      <c r="F67" s="256"/>
      <c r="G67" s="256"/>
      <c r="H67" s="264"/>
      <c r="I67" s="256"/>
      <c r="J67" s="260"/>
      <c r="K67" s="256"/>
      <c r="L67" s="260"/>
    </row>
    <row r="68" spans="1:12" ht="17.5" hidden="1" thickTop="1" thickBot="1" x14ac:dyDescent="0.5">
      <c r="A68" s="255"/>
      <c r="B68" s="261" t="s">
        <v>103</v>
      </c>
      <c r="C68" s="265" t="s">
        <v>105</v>
      </c>
      <c r="D68" s="555">
        <v>138</v>
      </c>
      <c r="E68" s="263"/>
      <c r="F68" s="256"/>
      <c r="G68" s="256"/>
      <c r="H68" s="263"/>
      <c r="I68" s="256"/>
      <c r="J68" s="263"/>
      <c r="K68" s="256"/>
      <c r="L68" s="263"/>
    </row>
    <row r="69" spans="1:12" ht="17.5" hidden="1" thickTop="1" thickBot="1" x14ac:dyDescent="0.5">
      <c r="A69" s="255"/>
      <c r="B69" s="256"/>
      <c r="C69" s="266" t="s">
        <v>106</v>
      </c>
      <c r="D69" s="556">
        <v>138138</v>
      </c>
      <c r="E69" s="256"/>
      <c r="F69" s="256"/>
      <c r="G69" s="256"/>
      <c r="H69" s="263"/>
      <c r="I69" s="256"/>
      <c r="J69" s="263"/>
      <c r="K69" s="256"/>
      <c r="L69" s="263"/>
    </row>
    <row r="70" spans="1:12" ht="17.5" thickTop="1" thickBot="1" x14ac:dyDescent="0.5">
      <c r="A70" s="255"/>
      <c r="B70" s="256"/>
      <c r="C70" s="261"/>
      <c r="D70" s="597"/>
      <c r="E70" s="260"/>
      <c r="F70" s="256"/>
      <c r="G70" s="256"/>
      <c r="H70" s="264"/>
      <c r="I70" s="256"/>
      <c r="J70" s="260"/>
      <c r="K70" s="256"/>
      <c r="L70" s="260"/>
    </row>
    <row r="71" spans="1:12" ht="17.5" thickTop="1" thickBot="1" x14ac:dyDescent="0.5">
      <c r="A71" s="269"/>
      <c r="B71" s="256"/>
      <c r="C71" s="266" t="s">
        <v>107</v>
      </c>
      <c r="D71" s="556">
        <v>45</v>
      </c>
      <c r="E71" s="263"/>
      <c r="F71" s="256"/>
      <c r="G71" s="256"/>
      <c r="H71" s="263"/>
      <c r="I71" s="256"/>
      <c r="J71" s="263"/>
      <c r="K71" s="256"/>
      <c r="L71" s="263"/>
    </row>
    <row r="72" spans="1:12" ht="17.5" thickTop="1" thickBot="1" x14ac:dyDescent="0.5">
      <c r="A72" s="255"/>
      <c r="B72" s="256"/>
      <c r="C72" s="261"/>
      <c r="D72" s="597"/>
      <c r="E72" s="260"/>
      <c r="F72" s="256"/>
      <c r="G72" s="256"/>
      <c r="H72" s="264"/>
      <c r="I72" s="256"/>
      <c r="J72" s="260"/>
      <c r="K72" s="256"/>
      <c r="L72" s="260"/>
    </row>
    <row r="73" spans="1:12" ht="17.5" thickTop="1" thickBot="1" x14ac:dyDescent="0.5">
      <c r="A73" s="269"/>
      <c r="B73" s="256"/>
      <c r="C73" s="270" t="s">
        <v>108</v>
      </c>
      <c r="D73" s="556">
        <v>30500</v>
      </c>
      <c r="E73" s="263"/>
      <c r="F73" s="256"/>
      <c r="G73" s="256"/>
      <c r="H73" s="263"/>
      <c r="I73" s="256"/>
      <c r="J73" s="263"/>
      <c r="K73" s="256"/>
      <c r="L73" s="263"/>
    </row>
    <row r="74" spans="1:12" ht="17.5" hidden="1" thickTop="1" thickBot="1" x14ac:dyDescent="0.5">
      <c r="A74" s="269"/>
      <c r="B74" s="271"/>
      <c r="C74" s="266" t="s">
        <v>109</v>
      </c>
      <c r="D74" s="267">
        <v>1</v>
      </c>
      <c r="E74" s="263"/>
      <c r="F74" s="256"/>
      <c r="G74" s="256"/>
      <c r="H74" s="263"/>
      <c r="I74" s="256"/>
      <c r="J74" s="263"/>
      <c r="K74" s="256"/>
      <c r="L74" s="263"/>
    </row>
    <row r="75" spans="1:12" ht="32" hidden="1" thickTop="1" thickBot="1" x14ac:dyDescent="0.5">
      <c r="A75" s="269"/>
      <c r="B75" s="256"/>
      <c r="C75" s="270" t="s">
        <v>110</v>
      </c>
      <c r="D75" s="267">
        <v>0</v>
      </c>
      <c r="E75" s="263"/>
      <c r="F75" s="256"/>
      <c r="G75" s="256"/>
      <c r="H75" s="263"/>
      <c r="I75" s="256"/>
      <c r="J75" s="263"/>
      <c r="K75" s="256"/>
      <c r="L75" s="263"/>
    </row>
    <row r="76" spans="1:12" ht="17" thickTop="1" x14ac:dyDescent="0.45">
      <c r="A76" s="269"/>
      <c r="B76" s="271"/>
      <c r="C76" s="272"/>
      <c r="D76" s="273"/>
      <c r="E76" s="263"/>
      <c r="F76" s="256"/>
      <c r="G76" s="256"/>
      <c r="H76" s="263"/>
      <c r="I76" s="256"/>
      <c r="J76" s="263"/>
      <c r="K76" s="256"/>
      <c r="L76" s="263"/>
    </row>
    <row r="77" spans="1:12" ht="17" thickBot="1" x14ac:dyDescent="0.5">
      <c r="A77" s="269"/>
      <c r="B77" s="256"/>
      <c r="C77" s="263"/>
      <c r="D77" s="681"/>
      <c r="E77" s="256"/>
      <c r="F77" s="256"/>
      <c r="G77" s="256"/>
      <c r="H77" s="256"/>
      <c r="I77" s="256"/>
      <c r="J77" s="256"/>
      <c r="K77" s="256"/>
      <c r="L77" s="256"/>
    </row>
    <row r="78" spans="1:12" x14ac:dyDescent="0.45">
      <c r="A78" s="269"/>
      <c r="B78" s="737" t="s">
        <v>146</v>
      </c>
      <c r="C78" s="274"/>
      <c r="D78" s="812" t="s">
        <v>131</v>
      </c>
      <c r="E78" s="784" t="s">
        <v>130</v>
      </c>
      <c r="F78" s="256"/>
      <c r="G78" s="256"/>
      <c r="H78" s="753" t="s">
        <v>132</v>
      </c>
      <c r="I78" s="256"/>
      <c r="J78" s="805" t="s">
        <v>111</v>
      </c>
      <c r="K78" s="806"/>
      <c r="L78" s="256"/>
    </row>
    <row r="79" spans="1:12" ht="17" thickBot="1" x14ac:dyDescent="0.5">
      <c r="A79" s="269"/>
      <c r="B79" s="738"/>
      <c r="C79" s="275"/>
      <c r="D79" s="770"/>
      <c r="E79" s="785"/>
      <c r="F79" s="256"/>
      <c r="G79" s="256"/>
      <c r="H79" s="754"/>
      <c r="I79" s="256"/>
      <c r="J79" s="558"/>
      <c r="K79" s="559"/>
      <c r="L79" s="256"/>
    </row>
    <row r="80" spans="1:12" x14ac:dyDescent="0.45">
      <c r="A80" s="269"/>
      <c r="B80" s="738"/>
      <c r="C80" s="278" t="s">
        <v>143</v>
      </c>
      <c r="D80" s="560">
        <v>138000</v>
      </c>
      <c r="E80" s="560">
        <v>45</v>
      </c>
      <c r="F80" s="256"/>
      <c r="G80" s="256"/>
      <c r="H80" s="279">
        <v>0</v>
      </c>
      <c r="I80" s="256"/>
      <c r="J80" s="280"/>
      <c r="K80" s="561">
        <f>$H80/1000*$D80*E80</f>
        <v>0</v>
      </c>
      <c r="L80" s="256"/>
    </row>
    <row r="81" spans="1:12" x14ac:dyDescent="0.45">
      <c r="A81" s="269"/>
      <c r="B81" s="738"/>
      <c r="C81" s="281" t="s">
        <v>212</v>
      </c>
      <c r="D81" s="560">
        <f>IF(E81=0,0,D80)</f>
        <v>138000</v>
      </c>
      <c r="E81" s="560">
        <f>IF(D20&gt;7,0,E80)</f>
        <v>45</v>
      </c>
      <c r="F81" s="256"/>
      <c r="G81" s="256"/>
      <c r="H81" s="279">
        <v>0</v>
      </c>
      <c r="I81" s="256"/>
      <c r="J81" s="282"/>
      <c r="K81" s="562">
        <f>$H81/1000*$D81*E81</f>
        <v>0</v>
      </c>
      <c r="L81" s="256"/>
    </row>
    <row r="82" spans="1:12" x14ac:dyDescent="0.45">
      <c r="A82" s="269"/>
      <c r="B82" s="738"/>
      <c r="C82" s="281" t="s">
        <v>211</v>
      </c>
      <c r="D82" s="560">
        <f>IF(E82=0,0,D80)</f>
        <v>0</v>
      </c>
      <c r="E82" s="560">
        <f>IF(D20&gt;7,E84,0)</f>
        <v>0</v>
      </c>
      <c r="F82" s="256"/>
      <c r="G82" s="256"/>
      <c r="H82" s="279">
        <v>0</v>
      </c>
      <c r="I82" s="256"/>
      <c r="J82" s="282"/>
      <c r="K82" s="562">
        <f>$H82/1000*$D82*E82</f>
        <v>0</v>
      </c>
      <c r="L82" s="256"/>
    </row>
    <row r="83" spans="1:12" x14ac:dyDescent="0.45">
      <c r="A83" s="269"/>
      <c r="B83" s="738"/>
      <c r="C83" s="281" t="s">
        <v>112</v>
      </c>
      <c r="D83" s="560">
        <v>0</v>
      </c>
      <c r="E83" s="560">
        <v>0</v>
      </c>
      <c r="F83" s="256"/>
      <c r="G83" s="256"/>
      <c r="H83" s="279">
        <v>0</v>
      </c>
      <c r="I83" s="256"/>
      <c r="J83" s="282"/>
      <c r="K83" s="562">
        <f>$H83/1000*$D83*E83</f>
        <v>0</v>
      </c>
      <c r="L83" s="256"/>
    </row>
    <row r="84" spans="1:12" x14ac:dyDescent="0.45">
      <c r="A84" s="269"/>
      <c r="B84" s="738"/>
      <c r="C84" s="281" t="s">
        <v>113</v>
      </c>
      <c r="D84" s="560">
        <v>80000</v>
      </c>
      <c r="E84" s="560">
        <v>26</v>
      </c>
      <c r="F84" s="256"/>
      <c r="G84" s="256"/>
      <c r="H84" s="279">
        <v>0</v>
      </c>
      <c r="I84" s="256"/>
      <c r="J84" s="282"/>
      <c r="K84" s="562">
        <f t="shared" ref="K84:K86" si="28">$H84/1000*$D84*E84</f>
        <v>0</v>
      </c>
      <c r="L84" s="256"/>
    </row>
    <row r="85" spans="1:12" x14ac:dyDescent="0.45">
      <c r="A85" s="269"/>
      <c r="B85" s="738"/>
      <c r="C85" s="281" t="s">
        <v>114</v>
      </c>
      <c r="D85" s="560">
        <v>0</v>
      </c>
      <c r="E85" s="560">
        <v>0</v>
      </c>
      <c r="F85" s="256"/>
      <c r="G85" s="256"/>
      <c r="H85" s="279">
        <v>0</v>
      </c>
      <c r="I85" s="256"/>
      <c r="J85" s="282"/>
      <c r="K85" s="562">
        <f t="shared" si="28"/>
        <v>0</v>
      </c>
      <c r="L85" s="256"/>
    </row>
    <row r="86" spans="1:12" ht="17" thickBot="1" x14ac:dyDescent="0.5">
      <c r="A86" s="269"/>
      <c r="B86" s="739"/>
      <c r="C86" s="283" t="s">
        <v>115</v>
      </c>
      <c r="D86" s="563">
        <v>138000</v>
      </c>
      <c r="E86" s="563">
        <v>1</v>
      </c>
      <c r="F86" s="256"/>
      <c r="G86" s="256"/>
      <c r="H86" s="284">
        <v>0</v>
      </c>
      <c r="I86" s="256"/>
      <c r="J86" s="285"/>
      <c r="K86" s="564">
        <f t="shared" si="28"/>
        <v>0</v>
      </c>
      <c r="L86" s="256"/>
    </row>
    <row r="87" spans="1:12" x14ac:dyDescent="0.45">
      <c r="A87" s="269"/>
      <c r="B87" s="286"/>
      <c r="C87" s="287" t="s">
        <v>116</v>
      </c>
      <c r="D87" s="288"/>
      <c r="E87" s="256"/>
      <c r="F87" s="256"/>
      <c r="G87" s="256"/>
      <c r="H87" s="289"/>
      <c r="I87" s="256"/>
      <c r="J87" s="290"/>
      <c r="K87" s="565">
        <f>SUM(K80:K86)</f>
        <v>0</v>
      </c>
      <c r="L87" s="256"/>
    </row>
    <row r="88" spans="1:12" ht="17" thickBot="1" x14ac:dyDescent="0.5">
      <c r="A88" s="269"/>
      <c r="B88" s="263"/>
      <c r="C88" s="263"/>
      <c r="D88" s="263"/>
      <c r="E88" s="263"/>
      <c r="F88" s="291"/>
      <c r="G88" s="291"/>
      <c r="H88" s="263"/>
      <c r="I88" s="256"/>
      <c r="J88" s="263"/>
      <c r="K88" s="256"/>
      <c r="L88" s="256"/>
    </row>
    <row r="89" spans="1:12" x14ac:dyDescent="0.45">
      <c r="A89" s="269"/>
      <c r="B89" s="744" t="s">
        <v>117</v>
      </c>
      <c r="C89" s="292"/>
      <c r="D89" s="747" t="s">
        <v>133</v>
      </c>
      <c r="E89" s="748"/>
      <c r="F89" s="749"/>
      <c r="G89" s="291"/>
      <c r="H89" s="753" t="s">
        <v>118</v>
      </c>
      <c r="I89" s="256"/>
      <c r="J89" s="808" t="s">
        <v>111</v>
      </c>
      <c r="K89" s="809"/>
      <c r="L89" s="256"/>
    </row>
    <row r="90" spans="1:12" ht="17" thickBot="1" x14ac:dyDescent="0.5">
      <c r="A90" s="269"/>
      <c r="B90" s="745"/>
      <c r="C90" s="293"/>
      <c r="D90" s="750"/>
      <c r="E90" s="794"/>
      <c r="F90" s="752"/>
      <c r="G90" s="291"/>
      <c r="H90" s="754"/>
      <c r="I90" s="256"/>
      <c r="J90" s="810"/>
      <c r="K90" s="811"/>
      <c r="L90" s="256"/>
    </row>
    <row r="91" spans="1:12" x14ac:dyDescent="0.45">
      <c r="A91" s="269"/>
      <c r="B91" s="745"/>
      <c r="C91" s="294" t="s">
        <v>119</v>
      </c>
      <c r="D91" s="755" t="s">
        <v>238</v>
      </c>
      <c r="E91" s="756"/>
      <c r="F91" s="757"/>
      <c r="G91" s="291"/>
      <c r="H91" s="295">
        <v>0</v>
      </c>
      <c r="I91" s="256"/>
      <c r="J91" s="605"/>
      <c r="K91" s="606">
        <f>H91*$D$71</f>
        <v>0</v>
      </c>
      <c r="L91" s="256"/>
    </row>
    <row r="92" spans="1:12" x14ac:dyDescent="0.45">
      <c r="A92" s="269"/>
      <c r="B92" s="745"/>
      <c r="C92" s="382" t="s">
        <v>148</v>
      </c>
      <c r="D92" s="758" t="s">
        <v>239</v>
      </c>
      <c r="E92" s="759"/>
      <c r="F92" s="760"/>
      <c r="G92" s="291"/>
      <c r="H92" s="279">
        <v>0</v>
      </c>
      <c r="I92" s="256"/>
      <c r="J92" s="296"/>
      <c r="K92" s="297">
        <f>H92*$D$71</f>
        <v>0</v>
      </c>
      <c r="L92" s="256"/>
    </row>
    <row r="93" spans="1:12" x14ac:dyDescent="0.45">
      <c r="A93" s="269"/>
      <c r="B93" s="745"/>
      <c r="C93" s="294" t="s">
        <v>120</v>
      </c>
      <c r="D93" s="758" t="s">
        <v>240</v>
      </c>
      <c r="E93" s="759"/>
      <c r="F93" s="760"/>
      <c r="G93" s="291"/>
      <c r="H93" s="295">
        <v>0</v>
      </c>
      <c r="I93" s="256"/>
      <c r="J93" s="296"/>
      <c r="K93" s="297">
        <f>H93*$D$71</f>
        <v>0</v>
      </c>
      <c r="L93" s="256"/>
    </row>
    <row r="94" spans="1:12" ht="17" thickBot="1" x14ac:dyDescent="0.5">
      <c r="A94" s="269"/>
      <c r="B94" s="746"/>
      <c r="C94" s="298" t="s">
        <v>121</v>
      </c>
      <c r="D94" s="761" t="s">
        <v>219</v>
      </c>
      <c r="E94" s="762"/>
      <c r="F94" s="763"/>
      <c r="G94" s="291"/>
      <c r="H94" s="299">
        <v>0</v>
      </c>
      <c r="I94" s="256"/>
      <c r="J94" s="296"/>
      <c r="K94" s="297">
        <f>H94*$D$71</f>
        <v>0</v>
      </c>
      <c r="L94" s="256"/>
    </row>
    <row r="95" spans="1:12" x14ac:dyDescent="0.45">
      <c r="A95" s="269"/>
      <c r="B95" s="263"/>
      <c r="C95" s="287" t="s">
        <v>116</v>
      </c>
      <c r="D95" s="300"/>
      <c r="E95" s="256"/>
      <c r="F95" s="291"/>
      <c r="G95" s="291"/>
      <c r="H95" s="301"/>
      <c r="I95" s="256"/>
      <c r="J95" s="302"/>
      <c r="K95" s="303">
        <f>SUM(K89:K94)</f>
        <v>0</v>
      </c>
      <c r="L95" s="256"/>
    </row>
    <row r="96" spans="1:12" ht="17" thickBot="1" x14ac:dyDescent="0.5">
      <c r="A96" s="269"/>
      <c r="B96" s="263"/>
      <c r="C96" s="263"/>
      <c r="D96" s="263"/>
      <c r="E96" s="263"/>
      <c r="F96" s="291"/>
      <c r="G96" s="291"/>
      <c r="H96" s="263"/>
      <c r="I96" s="256"/>
      <c r="J96" s="256"/>
      <c r="K96" s="256"/>
      <c r="L96" s="256"/>
    </row>
    <row r="97" spans="1:12" ht="17" thickBot="1" x14ac:dyDescent="0.5">
      <c r="A97" s="269"/>
      <c r="B97" s="271"/>
      <c r="C97" s="304"/>
      <c r="D97" s="305"/>
      <c r="E97" s="305"/>
      <c r="F97" s="305"/>
      <c r="G97" s="305"/>
      <c r="H97" s="305"/>
      <c r="I97" s="305"/>
      <c r="J97" s="306"/>
      <c r="K97" s="307">
        <f>SUM(J80:K86, J91:K94)</f>
        <v>0</v>
      </c>
      <c r="L97" s="256"/>
    </row>
    <row r="98" spans="1:12" x14ac:dyDescent="0.45">
      <c r="A98" s="269"/>
      <c r="B98" s="271"/>
      <c r="C98" s="263"/>
      <c r="D98" s="263"/>
      <c r="E98" s="263"/>
      <c r="F98" s="263"/>
      <c r="G98" s="263"/>
      <c r="H98" s="263"/>
      <c r="I98" s="263"/>
      <c r="J98" s="263"/>
      <c r="K98" s="263"/>
      <c r="L98" s="256"/>
    </row>
    <row r="99" spans="1:12" x14ac:dyDescent="0.45">
      <c r="A99" s="269"/>
      <c r="B99" s="263"/>
      <c r="C99" s="263"/>
      <c r="D99" s="263"/>
      <c r="E99" s="263"/>
      <c r="F99" s="263"/>
      <c r="G99" s="263"/>
      <c r="H99" s="263"/>
      <c r="I99" s="256"/>
      <c r="J99" s="256"/>
      <c r="K99" s="256"/>
      <c r="L99" s="256"/>
    </row>
  </sheetData>
  <sheetProtection algorithmName="SHA-512" hashValue="EFoZmMbVjjEq5Wbxko/p4+bkXibWh05GstFS5bg1uwaxs5q56b3qKQt7fHt+hMNxwD37baculpdMMM145j00ag==" saltValue="jO6XcrRlpiLi8zxsvqqc+w==" spinCount="100000" sheet="1" objects="1" scenarios="1"/>
  <mergeCells count="25">
    <mergeCell ref="Z12:AK14"/>
    <mergeCell ref="E16:F16"/>
    <mergeCell ref="H16:M16"/>
    <mergeCell ref="O16:Q16"/>
    <mergeCell ref="S16:V16"/>
    <mergeCell ref="AA16:AE16"/>
    <mergeCell ref="AG16:AK16"/>
    <mergeCell ref="B78:B86"/>
    <mergeCell ref="D78:D79"/>
    <mergeCell ref="E78:E79"/>
    <mergeCell ref="H78:H79"/>
    <mergeCell ref="J78:K78"/>
    <mergeCell ref="C22:D22"/>
    <mergeCell ref="C26:D26"/>
    <mergeCell ref="C35:I35"/>
    <mergeCell ref="O36:Q36"/>
    <mergeCell ref="O45:Q45"/>
    <mergeCell ref="B89:B94"/>
    <mergeCell ref="D89:F90"/>
    <mergeCell ref="H89:H90"/>
    <mergeCell ref="J89:K90"/>
    <mergeCell ref="D91:F91"/>
    <mergeCell ref="D92:F92"/>
    <mergeCell ref="D93:F93"/>
    <mergeCell ref="D94:F94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5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omvang." xr:uid="{FADAE12D-8F39-4EBC-B8FE-C3653EFD7A18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051AE664-AF02-4602-94B0-05903C646FEC}">
          <x14:formula1>
            <xm:f>Blad2!$G$2:$G$11</xm:f>
          </x14:formula1>
          <xm:sqref>D10</xm:sqref>
        </x14:dataValidation>
        <x14:dataValidation type="list" allowBlank="1" showInputMessage="1" showErrorMessage="1" prompt="Selecteer een druktechniek." xr:uid="{377A5255-AA67-480A-A02D-FE23302E12BB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afwerkings methode." xr:uid="{DAA36790-2FB4-4D49-9F2E-FF2AA13D3521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looprichting." xr:uid="{72D220EB-D2D8-4B41-8335-83F6C52CB309}">
          <x14:formula1>
            <xm:f>Blad2!$F$1:$F$3</xm:f>
          </x14:formula1>
          <xm:sqref>L20 L23:L24 L27:L33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99A5-F719-4A99-84F3-BE59CCFC5031}">
  <dimension ref="A1:G11"/>
  <sheetViews>
    <sheetView workbookViewId="0">
      <selection activeCell="I12" sqref="I12"/>
    </sheetView>
  </sheetViews>
  <sheetFormatPr defaultRowHeight="14.5" x14ac:dyDescent="0.35"/>
  <cols>
    <col min="6" max="6" width="10.1796875" bestFit="1" customWidth="1"/>
  </cols>
  <sheetData>
    <row r="1" spans="1:7" x14ac:dyDescent="0.35">
      <c r="A1" t="s">
        <v>87</v>
      </c>
      <c r="B1" t="s">
        <v>90</v>
      </c>
      <c r="C1" t="s">
        <v>93</v>
      </c>
      <c r="E1" s="335" t="s">
        <v>134</v>
      </c>
      <c r="F1" t="s">
        <v>135</v>
      </c>
      <c r="G1" t="s">
        <v>202</v>
      </c>
    </row>
    <row r="2" spans="1:7" x14ac:dyDescent="0.35">
      <c r="A2" t="s">
        <v>88</v>
      </c>
      <c r="B2" t="s">
        <v>91</v>
      </c>
      <c r="C2" t="s">
        <v>94</v>
      </c>
      <c r="E2" s="335" t="s">
        <v>136</v>
      </c>
      <c r="F2" t="s">
        <v>137</v>
      </c>
      <c r="G2" t="s">
        <v>81</v>
      </c>
    </row>
    <row r="3" spans="1:7" x14ac:dyDescent="0.35">
      <c r="C3" t="s">
        <v>98</v>
      </c>
      <c r="E3" s="335" t="s">
        <v>138</v>
      </c>
      <c r="G3" t="s">
        <v>203</v>
      </c>
    </row>
    <row r="4" spans="1:7" x14ac:dyDescent="0.35">
      <c r="C4" t="s">
        <v>92</v>
      </c>
      <c r="E4" s="335" t="s">
        <v>139</v>
      </c>
      <c r="G4" t="s">
        <v>204</v>
      </c>
    </row>
    <row r="5" spans="1:7" x14ac:dyDescent="0.35">
      <c r="E5" s="335" t="s">
        <v>140</v>
      </c>
      <c r="G5" t="s">
        <v>205</v>
      </c>
    </row>
    <row r="6" spans="1:7" x14ac:dyDescent="0.35">
      <c r="E6" s="335" t="s">
        <v>81</v>
      </c>
      <c r="G6" t="s">
        <v>206</v>
      </c>
    </row>
    <row r="7" spans="1:7" x14ac:dyDescent="0.35">
      <c r="C7" t="s">
        <v>99</v>
      </c>
      <c r="D7" s="250" t="s">
        <v>95</v>
      </c>
      <c r="G7" t="s">
        <v>207</v>
      </c>
    </row>
    <row r="8" spans="1:7" x14ac:dyDescent="0.35">
      <c r="G8" t="s">
        <v>208</v>
      </c>
    </row>
    <row r="9" spans="1:7" x14ac:dyDescent="0.35">
      <c r="C9" t="s">
        <v>92</v>
      </c>
      <c r="G9" t="s">
        <v>209</v>
      </c>
    </row>
    <row r="10" spans="1:7" x14ac:dyDescent="0.35">
      <c r="C10" t="s">
        <v>95</v>
      </c>
      <c r="G10" t="s">
        <v>210</v>
      </c>
    </row>
    <row r="11" spans="1:7" x14ac:dyDescent="0.35">
      <c r="C11" t="s">
        <v>164</v>
      </c>
    </row>
  </sheetData>
  <phoneticPr fontId="5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0E083C-C411-4E83-A344-72141D3393E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422EA0F-1A39-4542-BF5E-A3A858C91C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F11C7-AA68-4FD8-BD8B-DA87809A39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7</vt:i4>
      </vt:variant>
    </vt:vector>
  </HeadingPairs>
  <TitlesOfParts>
    <vt:vector size="16" baseType="lpstr">
      <vt:lpstr>Perceel 24</vt:lpstr>
      <vt:lpstr>Perceel 3</vt:lpstr>
      <vt:lpstr>Perceel 6</vt:lpstr>
      <vt:lpstr>Perceel 9</vt:lpstr>
      <vt:lpstr>Perceel 12</vt:lpstr>
      <vt:lpstr>Perceel 15</vt:lpstr>
      <vt:lpstr>Perceel 18</vt:lpstr>
      <vt:lpstr>Perceel 21</vt:lpstr>
      <vt:lpstr>Blad2</vt:lpstr>
      <vt:lpstr>'Perceel 12'!Afdrukbereik</vt:lpstr>
      <vt:lpstr>'Perceel 15'!Afdrukbereik</vt:lpstr>
      <vt:lpstr>'Perceel 18'!Afdrukbereik</vt:lpstr>
      <vt:lpstr>'Perceel 21'!Afdrukbereik</vt:lpstr>
      <vt:lpstr>'Perceel 3'!Afdrukbereik</vt:lpstr>
      <vt:lpstr>'Perceel 6'!Afdrukbereik</vt:lpstr>
      <vt:lpstr>'Perceel 9'!Afdrukbereik</vt:lpstr>
    </vt:vector>
  </TitlesOfParts>
  <Company>KRO-NCRV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Kromopawiro, Fanny</dc:creator>
  <cp:lastModifiedBy>Kromopawiro, Fanny</cp:lastModifiedBy>
  <cp:lastPrinted>2021-04-30T19:21:21Z</cp:lastPrinted>
  <dcterms:created xsi:type="dcterms:W3CDTF">2021-02-15T12:12:53Z</dcterms:created>
  <dcterms:modified xsi:type="dcterms:W3CDTF">2021-05-25T18:07:41Z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