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2021 DEF\"/>
    </mc:Choice>
  </mc:AlternateContent>
  <xr:revisionPtr revIDLastSave="0" documentId="8_{174C31CD-0B61-4888-A930-E0B32A898C87}" xr6:coauthVersionLast="46" xr6:coauthVersionMax="46" xr10:uidLastSave="{00000000-0000-0000-0000-000000000000}"/>
  <workbookProtection workbookAlgorithmName="SHA-512" workbookHashValue="QQCzpd63Qcq/OphsHGxVpWz5QM8XOn9x6lwbp9SPglO1jtuZq2nOMZm1rf2IYLfcx8c1Vt1uYx1WgLDAevlCAA==" workbookSaltValue="+ul+T8v2aAsKcadk88Sk7w==" workbookSpinCount="100000" lockStructure="1"/>
  <bookViews>
    <workbookView xWindow="28680" yWindow="195" windowWidth="25440" windowHeight="15390" tabRatio="959" xr2:uid="{00000000-000D-0000-FFFF-FFFF00000000}"/>
  </bookViews>
  <sheets>
    <sheet name="Perceel 26" sheetId="11" r:id="rId1"/>
    <sheet name="Perceel 2 Inschrijfsom 1" sheetId="14" r:id="rId2"/>
    <sheet name="Perceel 2 Inschrijfsom 2" sheetId="15" r:id="rId3"/>
    <sheet name="Perceel 2" sheetId="1" state="hidden" r:id="rId4"/>
    <sheet name="Perceel 5 Inschrijfsom 1" sheetId="16" r:id="rId5"/>
    <sheet name="Perceel 5 Inschrijfsom 2" sheetId="17" r:id="rId6"/>
    <sheet name="Perceel 5" sheetId="7" state="hidden" r:id="rId7"/>
    <sheet name="Perceel 8" sheetId="10" r:id="rId8"/>
    <sheet name="Perceel 11 Inschrijfsom 1" sheetId="20" r:id="rId9"/>
    <sheet name="Perceel 11 Inschrijfsom 2" sheetId="21" r:id="rId10"/>
    <sheet name="Perceel 11" sheetId="12" state="hidden" r:id="rId11"/>
    <sheet name="Perceel 14" sheetId="8" r:id="rId12"/>
    <sheet name="Perceel 17" sheetId="13" r:id="rId13"/>
    <sheet name="Perceel 20 Inschrijsom 1" sheetId="18" r:id="rId14"/>
    <sheet name="Perceel 20 Inschrijfsom 2" sheetId="19" r:id="rId15"/>
    <sheet name="Perceel 20" sheetId="9" state="hidden" r:id="rId16"/>
    <sheet name="lijstjes" sheetId="3" state="hidden" r:id="rId17"/>
    <sheet name="oplage" sheetId="4" state="hidden" r:id="rId18"/>
    <sheet name="drukkers NIET GEBRUIKEN " sheetId="6" state="hidden" r:id="rId19"/>
  </sheets>
  <definedNames>
    <definedName name="_xlnm.Print_Area" localSheetId="18">'drukkers NIET GEBRUIKEN '!$A$1:$K$95</definedName>
    <definedName name="_xlnm.Print_Area" localSheetId="10">'Perceel 11'!$A$1:$M$37</definedName>
    <definedName name="_xlnm.Print_Area" localSheetId="8">'Perceel 11 Inschrijfsom 1'!$A$1:$M$35</definedName>
    <definedName name="_xlnm.Print_Area" localSheetId="9">'Perceel 11 Inschrijfsom 2'!$A$1:$M$35</definedName>
    <definedName name="_xlnm.Print_Area" localSheetId="11">'Perceel 14'!$A$1:$M$35</definedName>
    <definedName name="_xlnm.Print_Area" localSheetId="12">'Perceel 17'!$A$1:$M$35</definedName>
    <definedName name="_xlnm.Print_Area" localSheetId="3">'Perceel 2'!$A$1:$M$39</definedName>
    <definedName name="_xlnm.Print_Area" localSheetId="1">'Perceel 2 Inschrijfsom 1'!$A$1:$M$35</definedName>
    <definedName name="_xlnm.Print_Area" localSheetId="2">'Perceel 2 Inschrijfsom 2'!$A$1:$M$35</definedName>
    <definedName name="_xlnm.Print_Area" localSheetId="15">'Perceel 20'!$A$1:$M$37</definedName>
    <definedName name="_xlnm.Print_Area" localSheetId="14">'Perceel 20 Inschrijfsom 2'!$A$1:$M$35</definedName>
    <definedName name="_xlnm.Print_Area" localSheetId="13">'Perceel 20 Inschrijsom 1'!$A$1:$M$35</definedName>
    <definedName name="_xlnm.Print_Area" localSheetId="6">'Perceel 5'!$A$1:$M$37</definedName>
    <definedName name="_xlnm.Print_Area" localSheetId="4">'Perceel 5 Inschrijfsom 1'!$A$1:$M$35</definedName>
    <definedName name="_xlnm.Print_Area" localSheetId="5">'Perceel 5 Inschrijfsom 2'!$A$1:$M$35</definedName>
    <definedName name="_xlnm.Print_Area" localSheetId="7">'Perceel 8'!$A$1:$M$35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1" l="1"/>
  <c r="K33" i="21"/>
  <c r="I30" i="21"/>
  <c r="K30" i="21" s="1"/>
  <c r="D23" i="21"/>
  <c r="I23" i="21" s="1"/>
  <c r="K23" i="21" s="1"/>
  <c r="K33" i="20"/>
  <c r="I30" i="20"/>
  <c r="K30" i="20" s="1"/>
  <c r="D18" i="20"/>
  <c r="K33" i="19"/>
  <c r="I22" i="19"/>
  <c r="K22" i="19" s="1"/>
  <c r="I21" i="19"/>
  <c r="K21" i="19" s="1"/>
  <c r="I20" i="19"/>
  <c r="K20" i="19" s="1"/>
  <c r="E18" i="19"/>
  <c r="D18" i="19"/>
  <c r="K33" i="18"/>
  <c r="I22" i="18"/>
  <c r="K22" i="18" s="1"/>
  <c r="I21" i="18"/>
  <c r="K21" i="18" s="1"/>
  <c r="I20" i="18"/>
  <c r="K20" i="18" s="1"/>
  <c r="I30" i="18"/>
  <c r="K30" i="18" s="1"/>
  <c r="D23" i="18"/>
  <c r="I23" i="18" s="1"/>
  <c r="K23" i="18" s="1"/>
  <c r="K33" i="17"/>
  <c r="I20" i="17"/>
  <c r="K20" i="17" s="1"/>
  <c r="I30" i="17"/>
  <c r="K30" i="17" s="1"/>
  <c r="K33" i="16"/>
  <c r="I20" i="16"/>
  <c r="K20" i="16" s="1"/>
  <c r="I30" i="16"/>
  <c r="K30" i="16" s="1"/>
  <c r="K33" i="15"/>
  <c r="K20" i="15"/>
  <c r="I20" i="15"/>
  <c r="I30" i="15"/>
  <c r="K30" i="15" s="1"/>
  <c r="D23" i="15"/>
  <c r="I23" i="15" s="1"/>
  <c r="K23" i="15" s="1"/>
  <c r="K33" i="14"/>
  <c r="I20" i="14"/>
  <c r="K20" i="14" s="1"/>
  <c r="I30" i="14"/>
  <c r="K30" i="14" s="1"/>
  <c r="D18" i="14"/>
  <c r="D21" i="14" s="1"/>
  <c r="I21" i="14" s="1"/>
  <c r="K21" i="14" s="1"/>
  <c r="D31" i="9"/>
  <c r="D13" i="9"/>
  <c r="D11" i="9"/>
  <c r="D8" i="9"/>
  <c r="D7" i="9"/>
  <c r="D31" i="12"/>
  <c r="D11" i="12"/>
  <c r="D8" i="12"/>
  <c r="D7" i="12"/>
  <c r="D9" i="12" s="1"/>
  <c r="D15" i="10"/>
  <c r="D31" i="7"/>
  <c r="D15" i="7"/>
  <c r="D13" i="7"/>
  <c r="D11" i="7"/>
  <c r="D8" i="7"/>
  <c r="D7" i="7"/>
  <c r="C39" i="3"/>
  <c r="I28" i="18" l="1"/>
  <c r="K28" i="18" s="1"/>
  <c r="D18" i="16"/>
  <c r="D21" i="16" s="1"/>
  <c r="I21" i="16" s="1"/>
  <c r="K21" i="16" s="1"/>
  <c r="I29" i="15"/>
  <c r="K29" i="15" s="1"/>
  <c r="D23" i="19"/>
  <c r="I23" i="19" s="1"/>
  <c r="K23" i="19" s="1"/>
  <c r="D23" i="14"/>
  <c r="I23" i="14" s="1"/>
  <c r="K23" i="14" s="1"/>
  <c r="I29" i="18"/>
  <c r="K29" i="18" s="1"/>
  <c r="K31" i="18" s="1"/>
  <c r="D18" i="21"/>
  <c r="D19" i="21" s="1"/>
  <c r="D22" i="21" s="1"/>
  <c r="I22" i="21" s="1"/>
  <c r="K22" i="21" s="1"/>
  <c r="D18" i="15"/>
  <c r="D22" i="15" s="1"/>
  <c r="I22" i="15" s="1"/>
  <c r="K22" i="15" s="1"/>
  <c r="D23" i="16"/>
  <c r="I23" i="16" s="1"/>
  <c r="K23" i="16" s="1"/>
  <c r="D20" i="20"/>
  <c r="I20" i="20" s="1"/>
  <c r="K20" i="20" s="1"/>
  <c r="D19" i="20"/>
  <c r="D21" i="20"/>
  <c r="I21" i="20" s="1"/>
  <c r="K21" i="20" s="1"/>
  <c r="E18" i="20"/>
  <c r="E19" i="20" s="1"/>
  <c r="D23" i="20"/>
  <c r="I23" i="20" s="1"/>
  <c r="K23" i="20" s="1"/>
  <c r="E18" i="21"/>
  <c r="I29" i="21"/>
  <c r="K29" i="21" s="1"/>
  <c r="I29" i="20"/>
  <c r="K29" i="20" s="1"/>
  <c r="I28" i="21"/>
  <c r="I28" i="20"/>
  <c r="D19" i="19"/>
  <c r="I19" i="19" s="1"/>
  <c r="K19" i="19" s="1"/>
  <c r="I18" i="19"/>
  <c r="I29" i="19"/>
  <c r="K29" i="19" s="1"/>
  <c r="D18" i="18"/>
  <c r="I28" i="19"/>
  <c r="E18" i="18"/>
  <c r="E19" i="18" s="1"/>
  <c r="I30" i="19"/>
  <c r="K30" i="19" s="1"/>
  <c r="D23" i="17"/>
  <c r="I23" i="17" s="1"/>
  <c r="K23" i="17" s="1"/>
  <c r="D18" i="17"/>
  <c r="I29" i="17"/>
  <c r="K29" i="17" s="1"/>
  <c r="E18" i="17"/>
  <c r="I28" i="17"/>
  <c r="E18" i="16"/>
  <c r="E19" i="16" s="1"/>
  <c r="I29" i="16"/>
  <c r="K29" i="16" s="1"/>
  <c r="D19" i="16"/>
  <c r="I18" i="16"/>
  <c r="I28" i="16"/>
  <c r="E18" i="15"/>
  <c r="I28" i="15"/>
  <c r="D19" i="14"/>
  <c r="E18" i="14"/>
  <c r="E19" i="14" s="1"/>
  <c r="D22" i="14"/>
  <c r="I22" i="14" s="1"/>
  <c r="K22" i="14" s="1"/>
  <c r="I28" i="14"/>
  <c r="I29" i="14"/>
  <c r="K29" i="14" s="1"/>
  <c r="D9" i="7"/>
  <c r="D9" i="9"/>
  <c r="K33" i="13"/>
  <c r="D23" i="13"/>
  <c r="I23" i="13" s="1"/>
  <c r="K23" i="13" s="1"/>
  <c r="I22" i="13"/>
  <c r="K22" i="13" s="1"/>
  <c r="I21" i="13"/>
  <c r="K21" i="13" s="1"/>
  <c r="I20" i="13"/>
  <c r="K20" i="13" s="1"/>
  <c r="D18" i="13"/>
  <c r="D19" i="13" s="1"/>
  <c r="I30" i="13"/>
  <c r="K30" i="13" s="1"/>
  <c r="D22" i="16" l="1"/>
  <c r="I22" i="16" s="1"/>
  <c r="K22" i="16" s="1"/>
  <c r="D21" i="21"/>
  <c r="I21" i="21" s="1"/>
  <c r="K21" i="21" s="1"/>
  <c r="D19" i="15"/>
  <c r="I19" i="15" s="1"/>
  <c r="K19" i="15" s="1"/>
  <c r="I19" i="21"/>
  <c r="K19" i="21" s="1"/>
  <c r="I31" i="18"/>
  <c r="D20" i="21"/>
  <c r="I20" i="21" s="1"/>
  <c r="K20" i="21" s="1"/>
  <c r="I18" i="21"/>
  <c r="I19" i="14"/>
  <c r="K19" i="14" s="1"/>
  <c r="D21" i="15"/>
  <c r="I21" i="15" s="1"/>
  <c r="K21" i="15" s="1"/>
  <c r="I19" i="16"/>
  <c r="K19" i="16" s="1"/>
  <c r="I18" i="14"/>
  <c r="K18" i="14" s="1"/>
  <c r="I18" i="15"/>
  <c r="K18" i="15" s="1"/>
  <c r="K28" i="21"/>
  <c r="K31" i="21" s="1"/>
  <c r="I31" i="21"/>
  <c r="D22" i="20"/>
  <c r="I22" i="20" s="1"/>
  <c r="K22" i="20" s="1"/>
  <c r="I19" i="20"/>
  <c r="K19" i="20" s="1"/>
  <c r="I18" i="20"/>
  <c r="K28" i="20"/>
  <c r="K31" i="20" s="1"/>
  <c r="I31" i="20"/>
  <c r="K28" i="19"/>
  <c r="K31" i="19" s="1"/>
  <c r="I31" i="19"/>
  <c r="I18" i="18"/>
  <c r="D19" i="18"/>
  <c r="I19" i="18" s="1"/>
  <c r="K19" i="18" s="1"/>
  <c r="I33" i="19"/>
  <c r="C19" i="11" s="1"/>
  <c r="I24" i="19"/>
  <c r="K18" i="19"/>
  <c r="K24" i="19" s="1"/>
  <c r="I18" i="17"/>
  <c r="D21" i="17"/>
  <c r="I21" i="17" s="1"/>
  <c r="K21" i="17" s="1"/>
  <c r="D22" i="17"/>
  <c r="I22" i="17" s="1"/>
  <c r="K22" i="17" s="1"/>
  <c r="D19" i="17"/>
  <c r="I19" i="17" s="1"/>
  <c r="K19" i="17" s="1"/>
  <c r="K28" i="17"/>
  <c r="K31" i="17" s="1"/>
  <c r="I31" i="17"/>
  <c r="K28" i="16"/>
  <c r="K31" i="16" s="1"/>
  <c r="I31" i="16"/>
  <c r="I33" i="16"/>
  <c r="K18" i="16"/>
  <c r="K28" i="15"/>
  <c r="K31" i="15" s="1"/>
  <c r="I31" i="15"/>
  <c r="K28" i="14"/>
  <c r="K31" i="14" s="1"/>
  <c r="I31" i="14"/>
  <c r="E18" i="13"/>
  <c r="I19" i="13" s="1"/>
  <c r="K19" i="13" s="1"/>
  <c r="I29" i="13"/>
  <c r="K29" i="13" s="1"/>
  <c r="I28" i="13"/>
  <c r="I24" i="21" l="1"/>
  <c r="K24" i="15"/>
  <c r="I24" i="16"/>
  <c r="I33" i="15"/>
  <c r="C10" i="11" s="1"/>
  <c r="K24" i="14"/>
  <c r="I24" i="15"/>
  <c r="K18" i="21"/>
  <c r="K24" i="21" s="1"/>
  <c r="I33" i="21"/>
  <c r="C15" i="11" s="1"/>
  <c r="I24" i="14"/>
  <c r="I33" i="14"/>
  <c r="C9" i="11" s="1"/>
  <c r="K24" i="16"/>
  <c r="I33" i="20"/>
  <c r="C14" i="11" s="1"/>
  <c r="I24" i="20"/>
  <c r="K18" i="20"/>
  <c r="K24" i="20" s="1"/>
  <c r="I33" i="18"/>
  <c r="C18" i="11" s="1"/>
  <c r="I24" i="18"/>
  <c r="K18" i="18"/>
  <c r="K24" i="18" s="1"/>
  <c r="I33" i="17"/>
  <c r="C12" i="11" s="1"/>
  <c r="I24" i="17"/>
  <c r="K18" i="17"/>
  <c r="K24" i="17" s="1"/>
  <c r="K28" i="13"/>
  <c r="K31" i="13" s="1"/>
  <c r="I31" i="13"/>
  <c r="I18" i="13"/>
  <c r="I24" i="13" l="1"/>
  <c r="K18" i="13"/>
  <c r="K24" i="13" s="1"/>
  <c r="I33" i="13"/>
  <c r="C17" i="11" s="1"/>
  <c r="J31" i="13" l="1"/>
  <c r="K35" i="12"/>
  <c r="D30" i="12"/>
  <c r="I25" i="12"/>
  <c r="K25" i="12" s="1"/>
  <c r="I24" i="12"/>
  <c r="K24" i="12" s="1"/>
  <c r="I23" i="12"/>
  <c r="K23" i="12" s="1"/>
  <c r="I22" i="12"/>
  <c r="K22" i="12" s="1"/>
  <c r="I32" i="12"/>
  <c r="K32" i="12" s="1"/>
  <c r="I31" i="12" l="1"/>
  <c r="K31" i="12" s="1"/>
  <c r="I30" i="12"/>
  <c r="I21" i="12"/>
  <c r="K21" i="12" s="1"/>
  <c r="K30" i="12" l="1"/>
  <c r="K33" i="12" s="1"/>
  <c r="I33" i="12"/>
  <c r="I20" i="12"/>
  <c r="I35" i="12" l="1"/>
  <c r="I26" i="12"/>
  <c r="K20" i="12"/>
  <c r="K26" i="12" s="1"/>
  <c r="J35" i="12" l="1"/>
  <c r="K33" i="10" l="1"/>
  <c r="I23" i="10"/>
  <c r="K23" i="10" s="1"/>
  <c r="I22" i="10"/>
  <c r="K22" i="10" s="1"/>
  <c r="I21" i="10"/>
  <c r="K21" i="10" s="1"/>
  <c r="I20" i="10"/>
  <c r="K20" i="10" s="1"/>
  <c r="I29" i="10"/>
  <c r="K29" i="10" s="1"/>
  <c r="D18" i="10"/>
  <c r="E18" i="10" l="1"/>
  <c r="I28" i="10"/>
  <c r="I30" i="10"/>
  <c r="K30" i="10" s="1"/>
  <c r="I19" i="10" l="1"/>
  <c r="K19" i="10" s="1"/>
  <c r="I18" i="10"/>
  <c r="I33" i="10" s="1"/>
  <c r="C13" i="11" s="1"/>
  <c r="K28" i="10"/>
  <c r="K31" i="10" s="1"/>
  <c r="I31" i="10"/>
  <c r="K18" i="10" l="1"/>
  <c r="K24" i="10" s="1"/>
  <c r="I24" i="10"/>
  <c r="J33" i="10"/>
  <c r="K35" i="9"/>
  <c r="I24" i="9"/>
  <c r="K24" i="9" s="1"/>
  <c r="I23" i="9"/>
  <c r="K23" i="9" s="1"/>
  <c r="I22" i="9"/>
  <c r="K22" i="9" s="1"/>
  <c r="I32" i="9"/>
  <c r="K32" i="9" s="1"/>
  <c r="D30" i="9"/>
  <c r="D20" i="9" l="1"/>
  <c r="D25" i="9"/>
  <c r="I25" i="9" s="1"/>
  <c r="K25" i="9" s="1"/>
  <c r="E20" i="9"/>
  <c r="E21" i="9" s="1"/>
  <c r="I31" i="9"/>
  <c r="K31" i="9" s="1"/>
  <c r="D21" i="9"/>
  <c r="I30" i="9"/>
  <c r="I21" i="9" l="1"/>
  <c r="K21" i="9" s="1"/>
  <c r="K30" i="9"/>
  <c r="K33" i="9" s="1"/>
  <c r="I33" i="9"/>
  <c r="I20" i="9"/>
  <c r="I26" i="9" l="1"/>
  <c r="K20" i="9"/>
  <c r="K26" i="9" s="1"/>
  <c r="I35" i="9"/>
  <c r="J35" i="9" l="1"/>
  <c r="K33" i="8" l="1"/>
  <c r="I22" i="8"/>
  <c r="K22" i="8" s="1"/>
  <c r="I21" i="8"/>
  <c r="K21" i="8" s="1"/>
  <c r="I20" i="8"/>
  <c r="K20" i="8" s="1"/>
  <c r="I30" i="8"/>
  <c r="K30" i="8" s="1"/>
  <c r="D18" i="8"/>
  <c r="D23" i="8" l="1"/>
  <c r="I23" i="8" s="1"/>
  <c r="K23" i="8" s="1"/>
  <c r="E18" i="8"/>
  <c r="I29" i="8"/>
  <c r="K29" i="8" s="1"/>
  <c r="I28" i="8"/>
  <c r="I19" i="8" l="1"/>
  <c r="K19" i="8" s="1"/>
  <c r="K28" i="8"/>
  <c r="K31" i="8" s="1"/>
  <c r="I31" i="8"/>
  <c r="I18" i="8"/>
  <c r="I24" i="8" l="1"/>
  <c r="K18" i="8"/>
  <c r="K24" i="8" s="1"/>
  <c r="I33" i="8"/>
  <c r="C16" i="11" s="1"/>
  <c r="J33" i="8" l="1"/>
  <c r="I30" i="7"/>
  <c r="D30" i="7"/>
  <c r="I31" i="7"/>
  <c r="K31" i="7" s="1"/>
  <c r="I32" i="7"/>
  <c r="K32" i="7" s="1"/>
  <c r="K35" i="7"/>
  <c r="E20" i="7" l="1"/>
  <c r="E21" i="7" s="1"/>
  <c r="K30" i="7"/>
  <c r="D25" i="7"/>
  <c r="I25" i="7" s="1"/>
  <c r="K25" i="7" s="1"/>
  <c r="D20" i="7"/>
  <c r="D24" i="7" l="1"/>
  <c r="I24" i="7" s="1"/>
  <c r="K24" i="7" s="1"/>
  <c r="D23" i="7"/>
  <c r="I23" i="7" s="1"/>
  <c r="K23" i="7" s="1"/>
  <c r="I22" i="7"/>
  <c r="K22" i="7" s="1"/>
  <c r="I33" i="7"/>
  <c r="I20" i="7"/>
  <c r="D21" i="7"/>
  <c r="I21" i="7" s="1"/>
  <c r="K21" i="7" s="1"/>
  <c r="K33" i="7"/>
  <c r="I35" i="7" l="1"/>
  <c r="K20" i="7"/>
  <c r="K26" i="7" s="1"/>
  <c r="I26" i="7"/>
  <c r="D11" i="1"/>
  <c r="E20" i="1" l="1"/>
  <c r="E21" i="1" s="1"/>
  <c r="I31" i="1"/>
  <c r="J35" i="7"/>
  <c r="I32" i="1"/>
  <c r="D13" i="1"/>
  <c r="D33" i="1" s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2" i="1" s="1"/>
  <c r="D39" i="3"/>
  <c r="D15" i="1" s="1"/>
  <c r="D31" i="1" s="1"/>
  <c r="C45" i="3"/>
  <c r="C43" i="3"/>
  <c r="C41" i="3"/>
  <c r="C40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D30" i="1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4" i="1"/>
  <c r="K34" i="1" s="1"/>
  <c r="I30" i="1"/>
  <c r="K30" i="1" s="1"/>
  <c r="I33" i="1"/>
  <c r="K33" i="1" s="1"/>
  <c r="K32" i="1"/>
  <c r="I22" i="1" l="1"/>
  <c r="D24" i="1"/>
  <c r="I24" i="1" s="1"/>
  <c r="D23" i="1"/>
  <c r="I23" i="1" s="1"/>
  <c r="I20" i="1"/>
  <c r="D21" i="1"/>
  <c r="I21" i="1" s="1"/>
  <c r="F51" i="3"/>
  <c r="F58" i="3" s="1"/>
  <c r="E58" i="3"/>
  <c r="K35" i="1"/>
  <c r="I35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I37" i="1"/>
  <c r="J37" i="1" s="1"/>
  <c r="K26" i="1"/>
  <c r="K37" i="1"/>
  <c r="I26" i="1"/>
  <c r="I64" i="6"/>
  <c r="I93" i="6" s="1"/>
  <c r="I94" i="6" s="1"/>
  <c r="C20" i="11" l="1"/>
</calcChain>
</file>

<file path=xl/sharedStrings.xml><?xml version="1.0" encoding="utf-8"?>
<sst xmlns="http://schemas.openxmlformats.org/spreadsheetml/2006/main" count="1036" uniqueCount="203">
  <si>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</si>
  <si>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</si>
  <si>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</si>
  <si>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</si>
  <si>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</si>
  <si>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</si>
  <si>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</si>
  <si>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1. Postaal verwerken           kosten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</si>
  <si>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</si>
  <si>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</si>
  <si>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</si>
  <si>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</si>
  <si>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</si>
  <si>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</si>
  <si>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</si>
  <si>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</si>
  <si>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</si>
  <si>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</si>
  <si>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</si>
  <si>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</si>
  <si>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</si>
  <si>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</si>
  <si>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</si>
  <si>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</si>
  <si>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</si>
  <si>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</si>
  <si>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</si>
  <si>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</si>
  <si>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</si>
  <si>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</si>
  <si>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</si>
  <si>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</si>
  <si>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</si>
  <si>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</si>
  <si>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</si>
  <si>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</si>
  <si>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</si>
  <si>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</si>
  <si>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</si>
  <si>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</si>
  <si>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</si>
  <si>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</si>
  <si>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</si>
  <si>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</si>
  <si>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</si>
  <si>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</si>
  <si>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</si>
  <si>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</si>
  <si>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</si>
  <si>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</si>
  <si>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</si>
  <si>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</si>
  <si>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</si>
  <si>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</si>
  <si>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</si>
  <si>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</si>
  <si>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</si>
  <si>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</si>
  <si>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</si>
  <si>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</si>
  <si>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</si>
  <si>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</si>
  <si>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</si>
  <si>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</si>
  <si>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</si>
  <si>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</si>
  <si>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</si>
  <si>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</si>
  <si>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</si>
  <si>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</si>
  <si>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</si>
  <si>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</si>
  <si>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</si>
  <si>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</si>
  <si>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</si>
  <si>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</si>
  <si>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</si>
  <si>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</si>
  <si>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</si>
  <si>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</si>
  <si>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</si>
  <si>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</si>
  <si>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</si>
  <si>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</si>
  <si>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</si>
  <si>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</si>
  <si>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</si>
  <si>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</si>
  <si>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</si>
  <si>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</si>
  <si>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</si>
  <si>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</si>
  <si>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</si>
  <si>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</si>
  <si>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</si>
  <si>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</si>
  <si>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</si>
  <si>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</si>
  <si>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</si>
  <si>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</si>
  <si>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</si>
  <si>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</si>
  <si>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</si>
  <si>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</si>
  <si>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</si>
  <si>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</si>
  <si>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</si>
  <si>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</si>
  <si>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</si>
  <si>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</si>
  <si>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</si>
  <si>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</si>
  <si>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</si>
  <si>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</si>
  <si>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</si>
  <si>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</si>
  <si>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</si>
  <si>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</si>
  <si>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</si>
  <si>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</si>
  <si>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</si>
  <si>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</si>
  <si>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</si>
  <si>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</si>
  <si>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</si>
  <si>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</si>
  <si>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Transportkosten wekelijks aanleveren losse verkoop exemplaren (Gilze NL)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</si>
  <si>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</si>
  <si>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</si>
  <si>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</si>
  <si>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</si>
  <si>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</si>
  <si>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</si>
  <si>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</si>
  <si>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</si>
  <si>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</si>
  <si>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</si>
  <si>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</si>
  <si>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</si>
  <si>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</si>
  <si>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</si>
  <si>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</si>
  <si>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</si>
  <si>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</si>
  <si>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</si>
  <si>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</si>
  <si>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</si>
  <si>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</si>
  <si>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</si>
  <si>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</si>
  <si>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</si>
  <si>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</si>
  <si>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Toeslag sealen bij niet-selfcover en/of bijlage(s)</t>
  </si>
  <si>
    <t>Transportkosten hoofdzending (abonnementen oplage) Nieuwegein</t>
  </si>
  <si>
    <t>Totale leesportefeuillehouders aantallen welke wordt afgeleverd bij verzendhuis</t>
  </si>
  <si>
    <t>Adresseren tijdens sealen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</si>
  <si>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</si>
  <si>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</si>
  <si>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</si>
  <si>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</si>
  <si>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</si>
  <si>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Perceel 14</t>
  </si>
  <si>
    <t>Perceel 20</t>
  </si>
  <si>
    <t>Perceel 11</t>
  </si>
  <si>
    <t>Perceel 17</t>
  </si>
  <si>
    <t xml:space="preserve">Totaal </t>
  </si>
  <si>
    <t>Transportkosten leesportefeuillehouders Hilversum</t>
  </si>
  <si>
    <t>POSTAAL VERWERKEN</t>
  </si>
  <si>
    <t>Transportkosten exemplaren wekelijks één adres Hilversum</t>
  </si>
  <si>
    <t>Toeslag sealen</t>
  </si>
  <si>
    <t>1. Postaal verwerken            kosten</t>
  </si>
  <si>
    <t>Toeslag sealen bij selfcover</t>
  </si>
  <si>
    <t>Toeslag sealen bij niet-selfcover en/of bijlages</t>
  </si>
  <si>
    <t>Toeslag sealen t.b.v. bijlages</t>
  </si>
  <si>
    <t>50500 exemplaren in 1 transport per week</t>
  </si>
  <si>
    <t>1400 exemplaren in 1 transport per week</t>
  </si>
  <si>
    <t>101000 exemplaren in 1 transport per week</t>
  </si>
  <si>
    <t>122000 exemplaren in 1 transport per week</t>
  </si>
  <si>
    <t>1000 exemplaren in 1 transport per week</t>
  </si>
  <si>
    <t>52000 exemplaren in 1 transport per week</t>
  </si>
  <si>
    <t>71000 exemplaren in 1 transport per week</t>
  </si>
  <si>
    <t>700 exemplaren in 1 transport per week</t>
  </si>
  <si>
    <t>138000 exemplaren in 1 transport per week</t>
  </si>
  <si>
    <t>1550 exemplaren in 1 transport per week</t>
  </si>
  <si>
    <t>40000 exemplaren in 1 transport per week</t>
  </si>
  <si>
    <t>1300 exemplaren in 1 transport per week</t>
  </si>
  <si>
    <t>Perceel 2, Inschrijfsom 1 bij selfcover</t>
  </si>
  <si>
    <t>Perceel 11, Inschrijfsom 1 bij selfcover</t>
  </si>
  <si>
    <t>Perceel 11, Inschrijfsom 2 bij niet selfcover</t>
  </si>
  <si>
    <t>Perceel 20, Inschrijfsom 1 bij selfcover</t>
  </si>
  <si>
    <t>Perceel 2 Inschrijfsom 1, bij SC</t>
  </si>
  <si>
    <t>Perceel 2 Inschrijfsom 2, bij niet SC</t>
  </si>
  <si>
    <t>Perceel 5 Inschrijfsom 1, bij SC</t>
  </si>
  <si>
    <t>Perceel 5 Inschrijfsom 2, bij niet SC</t>
  </si>
  <si>
    <t>Perceel 11 Inschrijfsom 1, bij SC</t>
  </si>
  <si>
    <t>Perceel 11 Inschrijfsom 2, bij niet SC</t>
  </si>
  <si>
    <t>Perceel 20 Inschrijfsom 1, bij SC</t>
  </si>
  <si>
    <t>Perceel 20 Inschrijfsom 2, bij niet SC</t>
  </si>
  <si>
    <t>Perceel 20; Inschrijfsom 2 bij niet selfcover</t>
  </si>
  <si>
    <t>Perceel 5, Inschrijfsom 1 bij selfcover</t>
  </si>
  <si>
    <t>Perceel 5, Inschrijfsom 2 bij niet selfcover</t>
  </si>
  <si>
    <t>Perceel 2, Inschrijfsom 2 bij niet selfcover</t>
  </si>
  <si>
    <t>PERCEEL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</si>
</sst>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  <font>
      <b/>
      <sz val="11"/>
      <color theme="1"/>
      <name val="Muli"/>
    </font>
    <font>
      <sz val="11"/>
      <name val="Muli"/>
    </font>
    <font>
      <b/>
      <sz val="11"/>
      <color rgb="FFFF0000"/>
      <name val="Muli"/>
    </font>
    <font>
      <b/>
      <i/>
      <sz val="10"/>
      <color theme="1"/>
      <name val="Muli"/>
    </font>
    <font>
      <b/>
      <sz val="14"/>
      <color theme="0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4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4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2" xfId="0" applyFont="1" applyFill="1" applyBorder="1" applyAlignment="1" applyProtection="1">
      <alignment horizontal="left" wrapText="1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3" fontId="37" fillId="2" borderId="16" xfId="0" applyNumberFormat="1" applyFont="1" applyFill="1" applyBorder="1" applyAlignment="1" applyProtection="1">
      <alignment horizontal="left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0" fontId="31" fillId="0" borderId="0" xfId="0" applyFont="1"/>
    <xf numFmtId="44" fontId="31" fillId="0" borderId="0" xfId="0" applyNumberFormat="1" applyFont="1"/>
    <xf numFmtId="0" fontId="37" fillId="2" borderId="0" xfId="0" applyFont="1" applyFill="1"/>
    <xf numFmtId="0" fontId="31" fillId="2" borderId="0" xfId="0" applyFont="1" applyFill="1"/>
    <xf numFmtId="0" fontId="30" fillId="2" borderId="0" xfId="0" applyFont="1" applyFill="1" applyAlignment="1">
      <alignment horizontal="right"/>
    </xf>
    <xf numFmtId="165" fontId="30" fillId="9" borderId="69" xfId="0" applyNumberFormat="1" applyFont="1" applyFill="1" applyBorder="1"/>
    <xf numFmtId="165" fontId="30" fillId="9" borderId="36" xfId="0" applyNumberFormat="1" applyFont="1" applyFill="1" applyBorder="1"/>
    <xf numFmtId="0" fontId="37" fillId="9" borderId="35" xfId="0" applyFont="1" applyFill="1" applyBorder="1"/>
    <xf numFmtId="0" fontId="37" fillId="9" borderId="34" xfId="0" applyFont="1" applyFill="1" applyBorder="1"/>
    <xf numFmtId="0" fontId="31" fillId="2" borderId="67" xfId="0" applyFont="1" applyFill="1" applyBorder="1"/>
    <xf numFmtId="9" fontId="38" fillId="2" borderId="0" xfId="0" applyNumberFormat="1" applyFont="1" applyFill="1" applyAlignment="1">
      <alignment horizontal="center"/>
    </xf>
    <xf numFmtId="0" fontId="41" fillId="2" borderId="0" xfId="0" applyFont="1" applyFill="1"/>
    <xf numFmtId="0" fontId="37" fillId="2" borderId="28" xfId="0" applyFont="1" applyFill="1" applyBorder="1"/>
    <xf numFmtId="0" fontId="37" fillId="2" borderId="30" xfId="0" applyFont="1" applyFill="1" applyBorder="1"/>
    <xf numFmtId="0" fontId="37" fillId="2" borderId="27" xfId="0" applyFont="1" applyFill="1" applyBorder="1" applyAlignment="1">
      <alignment horizontal="left"/>
    </xf>
    <xf numFmtId="0" fontId="38" fillId="6" borderId="67" xfId="0" applyFont="1" applyFill="1" applyBorder="1"/>
    <xf numFmtId="0" fontId="38" fillId="6" borderId="12" xfId="0" applyFont="1" applyFill="1" applyBorder="1"/>
    <xf numFmtId="0" fontId="37" fillId="6" borderId="50" xfId="0" applyFont="1" applyFill="1" applyBorder="1" applyAlignment="1">
      <alignment horizontal="left"/>
    </xf>
    <xf numFmtId="0" fontId="38" fillId="6" borderId="67" xfId="0" applyFont="1" applyFill="1" applyBorder="1" applyAlignment="1">
      <alignment horizontal="center"/>
    </xf>
    <xf numFmtId="0" fontId="38" fillId="6" borderId="3" xfId="0" applyFont="1" applyFill="1" applyBorder="1"/>
    <xf numFmtId="0" fontId="37" fillId="6" borderId="26" xfId="0" applyFont="1" applyFill="1" applyBorder="1" applyAlignment="1">
      <alignment horizontal="left"/>
    </xf>
    <xf numFmtId="0" fontId="37" fillId="2" borderId="67" xfId="0" applyFont="1" applyFill="1" applyBorder="1"/>
    <xf numFmtId="0" fontId="42" fillId="2" borderId="0" xfId="0" applyFont="1" applyFill="1" applyAlignment="1">
      <alignment vertical="top"/>
    </xf>
    <xf numFmtId="0" fontId="37" fillId="2" borderId="0" xfId="0" applyFont="1" applyFill="1" applyAlignment="1">
      <alignment horizontal="left" vertical="top" wrapText="1"/>
    </xf>
    <xf numFmtId="9" fontId="38" fillId="2" borderId="8" xfId="0" applyNumberFormat="1" applyFont="1" applyFill="1" applyBorder="1" applyAlignment="1">
      <alignment horizontal="center"/>
    </xf>
    <xf numFmtId="0" fontId="31" fillId="2" borderId="0" xfId="0" applyFont="1" applyFill="1" applyAlignment="1">
      <alignment textRotation="90"/>
    </xf>
    <xf numFmtId="0" fontId="40" fillId="2" borderId="0" xfId="0" applyFont="1" applyFill="1"/>
    <xf numFmtId="3" fontId="37" fillId="2" borderId="22" xfId="0" applyNumberFormat="1" applyFont="1" applyFill="1" applyBorder="1"/>
    <xf numFmtId="3" fontId="37" fillId="2" borderId="16" xfId="0" applyNumberFormat="1" applyFont="1" applyFill="1" applyBorder="1"/>
    <xf numFmtId="3" fontId="37" fillId="2" borderId="16" xfId="0" applyNumberFormat="1" applyFont="1" applyFill="1" applyBorder="1" applyAlignment="1">
      <alignment horizontal="left"/>
    </xf>
    <xf numFmtId="0" fontId="38" fillId="6" borderId="63" xfId="0" applyFont="1" applyFill="1" applyBorder="1" applyAlignment="1">
      <alignment horizontal="center"/>
    </xf>
    <xf numFmtId="0" fontId="38" fillId="6" borderId="13" xfId="0" applyFont="1" applyFill="1" applyBorder="1" applyAlignment="1">
      <alignment horizontal="center"/>
    </xf>
    <xf numFmtId="3" fontId="38" fillId="6" borderId="0" xfId="0" applyNumberFormat="1" applyFont="1" applyFill="1"/>
    <xf numFmtId="0" fontId="39" fillId="6" borderId="92" xfId="0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3" fontId="38" fillId="6" borderId="8" xfId="0" applyNumberFormat="1" applyFont="1" applyFill="1" applyBorder="1" applyAlignment="1">
      <alignment horizontal="center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left" wrapText="1"/>
    </xf>
    <xf numFmtId="0" fontId="30" fillId="2" borderId="6" xfId="0" applyFont="1" applyFill="1" applyBorder="1" applyAlignment="1">
      <alignment horizontal="left" vertical="top" wrapText="1"/>
    </xf>
    <xf numFmtId="0" fontId="30" fillId="2" borderId="6" xfId="0" applyFont="1" applyFill="1" applyBorder="1" applyAlignment="1">
      <alignment horizontal="left" wrapText="1"/>
    </xf>
    <xf numFmtId="0" fontId="30" fillId="2" borderId="0" xfId="0" applyFont="1" applyFill="1"/>
    <xf numFmtId="0" fontId="37" fillId="2" borderId="0" xfId="0" applyFont="1" applyFill="1" applyAlignment="1">
      <alignment horizontal="right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/>
    </xf>
    <xf numFmtId="3" fontId="37" fillId="2" borderId="0" xfId="0" applyNumberFormat="1" applyFont="1" applyFill="1" applyAlignment="1">
      <alignment horizontal="right"/>
    </xf>
    <xf numFmtId="0" fontId="30" fillId="2" borderId="4" xfId="0" applyFont="1" applyFill="1" applyBorder="1" applyAlignment="1">
      <alignment horizontal="left" wrapText="1"/>
    </xf>
    <xf numFmtId="0" fontId="30" fillId="2" borderId="2" xfId="0" applyFont="1" applyFill="1" applyBorder="1" applyAlignment="1">
      <alignment horizontal="left" wrapText="1"/>
    </xf>
    <xf numFmtId="0" fontId="36" fillId="2" borderId="0" xfId="0" applyFont="1" applyFill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32" fillId="12" borderId="36" xfId="0" applyFont="1" applyFill="1" applyBorder="1" applyAlignment="1">
      <alignment vertical="center"/>
    </xf>
    <xf numFmtId="0" fontId="32" fillId="12" borderId="34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horizontal="right"/>
    </xf>
    <xf numFmtId="0" fontId="44" fillId="16" borderId="2" xfId="0" applyFont="1" applyFill="1" applyBorder="1" applyAlignment="1">
      <alignment horizontal="left" vertical="center"/>
    </xf>
    <xf numFmtId="44" fontId="44" fillId="16" borderId="38" xfId="0" applyNumberFormat="1" applyFont="1" applyFill="1" applyBorder="1" applyAlignment="1">
      <alignment horizontal="left" vertical="center"/>
    </xf>
    <xf numFmtId="0" fontId="47" fillId="2" borderId="0" xfId="0" applyFont="1" applyFill="1"/>
    <xf numFmtId="0" fontId="46" fillId="2" borderId="0" xfId="0" applyFont="1" applyFill="1" applyAlignment="1" applyProtection="1">
      <alignment horizontal="left"/>
      <protection hidden="1"/>
    </xf>
    <xf numFmtId="0" fontId="44" fillId="2" borderId="4" xfId="0" applyFont="1" applyFill="1" applyBorder="1" applyAlignment="1">
      <alignment horizontal="left" vertical="center"/>
    </xf>
    <xf numFmtId="44" fontId="44" fillId="2" borderId="101" xfId="2" applyFont="1" applyFill="1" applyBorder="1" applyAlignment="1">
      <alignment horizontal="left" vertical="center"/>
    </xf>
    <xf numFmtId="0" fontId="44" fillId="2" borderId="78" xfId="0" applyFont="1" applyFill="1" applyBorder="1" applyAlignment="1">
      <alignment horizontal="left" vertical="center"/>
    </xf>
    <xf numFmtId="44" fontId="44" fillId="2" borderId="102" xfId="2" applyFont="1" applyFill="1" applyBorder="1" applyAlignment="1">
      <alignment horizontal="left" vertical="center"/>
    </xf>
    <xf numFmtId="0" fontId="10" fillId="6" borderId="34" xfId="0" applyFont="1" applyFill="1" applyBorder="1" applyAlignment="1" applyProtection="1">
      <alignment horizontal="left"/>
    </xf>
    <xf numFmtId="0" fontId="48" fillId="12" borderId="34" xfId="0" applyFont="1" applyFill="1" applyBorder="1" applyAlignment="1">
      <alignment vertical="center"/>
    </xf>
    <xf numFmtId="0" fontId="48" fillId="12" borderId="35" xfId="0" applyFont="1" applyFill="1" applyBorder="1" applyAlignment="1">
      <alignment vertical="center"/>
    </xf>
    <xf numFmtId="0" fontId="2" fillId="6" borderId="103" xfId="0" applyFont="1" applyFill="1" applyBorder="1"/>
    <xf numFmtId="0" fontId="0" fillId="9" borderId="29" xfId="0" applyFill="1" applyBorder="1"/>
    <xf numFmtId="0" fontId="0" fillId="9" borderId="50" xfId="0" applyFill="1" applyBorder="1"/>
    <xf numFmtId="3" fontId="37" fillId="2" borderId="3" xfId="0" applyNumberFormat="1" applyFont="1" applyFill="1" applyBorder="1" applyProtection="1"/>
    <xf numFmtId="168" fontId="0" fillId="10" borderId="12" xfId="1" applyNumberFormat="1" applyFont="1" applyFill="1" applyBorder="1"/>
    <xf numFmtId="168" fontId="0" fillId="10" borderId="21" xfId="1" applyNumberFormat="1" applyFont="1" applyFill="1" applyBorder="1"/>
    <xf numFmtId="3" fontId="37" fillId="2" borderId="33" xfId="0" applyNumberFormat="1" applyFont="1" applyFill="1" applyBorder="1" applyProtection="1"/>
    <xf numFmtId="9" fontId="38" fillId="2" borderId="0" xfId="0" applyNumberFormat="1" applyFont="1" applyFill="1" applyAlignment="1" applyProtection="1">
      <alignment horizontal="center"/>
      <protection hidden="1"/>
    </xf>
    <xf numFmtId="0" fontId="37" fillId="2" borderId="0" xfId="0" applyFont="1" applyFill="1" applyProtection="1"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37" xfId="0" applyNumberFormat="1" applyFont="1" applyFill="1" applyBorder="1" applyAlignment="1" applyProtection="1">
      <alignment horizontal="right"/>
      <protection hidden="1"/>
    </xf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3" fontId="30" fillId="2" borderId="1" xfId="0" applyNumberFormat="1" applyFont="1" applyFill="1" applyBorder="1" applyAlignment="1">
      <alignment horizontal="right"/>
    </xf>
    <xf numFmtId="3" fontId="38" fillId="6" borderId="26" xfId="0" applyNumberFormat="1" applyFont="1" applyFill="1" applyBorder="1" applyAlignment="1">
      <alignment horizontal="center"/>
    </xf>
    <xf numFmtId="3" fontId="38" fillId="6" borderId="29" xfId="0" applyNumberFormat="1" applyFont="1" applyFill="1" applyBorder="1"/>
    <xf numFmtId="3" fontId="37" fillId="2" borderId="30" xfId="0" applyNumberFormat="1" applyFont="1" applyFill="1" applyBorder="1" applyAlignment="1">
      <alignment horizontal="left"/>
    </xf>
    <xf numFmtId="3" fontId="37" fillId="2" borderId="30" xfId="0" applyNumberFormat="1" applyFont="1" applyFill="1" applyBorder="1"/>
    <xf numFmtId="3" fontId="37" fillId="2" borderId="28" xfId="0" applyNumberFormat="1" applyFont="1" applyFill="1" applyBorder="1"/>
    <xf numFmtId="0" fontId="48" fillId="12" borderId="35" xfId="0" applyFont="1" applyFill="1" applyBorder="1" applyAlignment="1">
      <alignment horizontal="center" vertical="center"/>
    </xf>
    <xf numFmtId="0" fontId="48" fillId="12" borderId="36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textRotation="90" wrapText="1"/>
    </xf>
    <xf numFmtId="0" fontId="30" fillId="5" borderId="12" xfId="0" applyFont="1" applyFill="1" applyBorder="1" applyAlignment="1">
      <alignment horizontal="center" vertical="center" textRotation="90" wrapText="1"/>
    </xf>
    <xf numFmtId="0" fontId="30" fillId="5" borderId="21" xfId="0" applyFont="1" applyFill="1" applyBorder="1" applyAlignment="1">
      <alignment horizontal="center" vertical="center" textRotation="90" wrapText="1"/>
    </xf>
    <xf numFmtId="0" fontId="38" fillId="6" borderId="7" xfId="0" applyFont="1" applyFill="1" applyBorder="1" applyAlignment="1">
      <alignment horizontal="center" vertical="center" wrapText="1"/>
    </xf>
    <xf numFmtId="0" fontId="38" fillId="6" borderId="1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0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 textRotation="90"/>
    </xf>
    <xf numFmtId="0" fontId="30" fillId="8" borderId="12" xfId="0" applyFont="1" applyFill="1" applyBorder="1" applyAlignment="1">
      <alignment horizontal="center" vertical="center" textRotation="90"/>
    </xf>
    <xf numFmtId="0" fontId="30" fillId="8" borderId="21" xfId="0" applyFont="1" applyFill="1" applyBorder="1" applyAlignment="1">
      <alignment horizontal="center" vertical="center" textRotation="90"/>
    </xf>
    <xf numFmtId="0" fontId="38" fillId="6" borderId="26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9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6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6" y="196850"/>
          <a:ext cx="1854200" cy="47144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1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1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1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03154" y="191910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416279</xdr:colOff>
      <xdr:row>0</xdr:row>
      <xdr:rowOff>191910</xdr:rowOff>
    </xdr:from>
    <xdr:ext cx="3168704" cy="802924"/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7154" y="182385"/>
          <a:ext cx="3168704" cy="802924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92076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7404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1CEB-0FCB-4563-B424-1A0A8F300AE7}">
  <sheetPr>
    <pageSetUpPr fitToPage="1"/>
  </sheetPr>
  <dimension ref="B1:M39"/>
  <sheetViews>
    <sheetView showGridLines="0" tabSelected="1" zoomScaleNormal="100" workbookViewId="0">
      <selection activeCell="C15" sqref="C15"/>
    </sheetView>
  </sheetViews>
  <sheetFormatPr defaultRowHeight="16.5" x14ac:dyDescent="0.45"/>
  <cols>
    <col min="1" max="1" width="1.7265625" style="376" customWidth="1"/>
    <col min="2" max="2" width="39.81640625" style="376" customWidth="1"/>
    <col min="3" max="3" width="26.6328125" style="376" customWidth="1"/>
    <col min="4" max="4" width="14.54296875" style="376" customWidth="1"/>
    <col min="5" max="5" width="8.6328125" style="376" hidden="1" customWidth="1"/>
    <col min="6" max="6" width="14" style="376" customWidth="1"/>
    <col min="7" max="7" width="13.26953125" style="376" customWidth="1"/>
    <col min="8" max="8" width="13.81640625" style="376" customWidth="1"/>
    <col min="9" max="13" width="8.6328125" style="376" customWidth="1"/>
    <col min="14" max="16384" width="8.7265625" style="376"/>
  </cols>
  <sheetData>
    <row r="1" spans="2:13" x14ac:dyDescent="0.45"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2:13" x14ac:dyDescent="0.45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2:13" x14ac:dyDescent="0.45"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</row>
    <row r="4" spans="2:13" x14ac:dyDescent="0.45"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</row>
    <row r="5" spans="2:13" ht="17" thickBot="1" x14ac:dyDescent="0.5"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</row>
    <row r="6" spans="2:13" ht="28" customHeight="1" thickBot="1" x14ac:dyDescent="0.5">
      <c r="B6" s="439" t="s">
        <v>202</v>
      </c>
      <c r="C6" s="440"/>
      <c r="D6" s="440"/>
      <c r="E6" s="440"/>
      <c r="F6" s="440"/>
      <c r="G6" s="463" t="s">
        <v>167</v>
      </c>
      <c r="H6" s="463"/>
      <c r="I6" s="463"/>
      <c r="J6" s="463"/>
      <c r="K6" s="464"/>
      <c r="L6" s="379"/>
      <c r="M6" s="379"/>
    </row>
    <row r="7" spans="2:13" x14ac:dyDescent="0.45">
      <c r="B7" s="432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</row>
    <row r="8" spans="2:13" x14ac:dyDescent="0.45"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</row>
    <row r="9" spans="2:13" x14ac:dyDescent="0.45">
      <c r="B9" s="434" t="s">
        <v>190</v>
      </c>
      <c r="C9" s="435">
        <f>'Perceel 2 Inschrijfsom 1'!$I$33</f>
        <v>0</v>
      </c>
      <c r="D9" s="379"/>
      <c r="E9" s="379"/>
      <c r="F9" s="379"/>
      <c r="G9" s="379"/>
      <c r="H9" s="379"/>
      <c r="I9" s="379"/>
      <c r="J9" s="379"/>
      <c r="K9" s="379"/>
      <c r="L9" s="379"/>
      <c r="M9" s="379"/>
    </row>
    <row r="10" spans="2:13" x14ac:dyDescent="0.45">
      <c r="B10" s="436" t="s">
        <v>191</v>
      </c>
      <c r="C10" s="437">
        <f>'Perceel 2 Inschrijfsom 2'!$I$33</f>
        <v>0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79"/>
    </row>
    <row r="11" spans="2:13" x14ac:dyDescent="0.45">
      <c r="B11" s="436" t="s">
        <v>192</v>
      </c>
      <c r="C11" s="437">
        <f>'Perceel 5 Inschrijfsom 1'!I33</f>
        <v>0</v>
      </c>
      <c r="D11" s="379"/>
      <c r="E11" s="379"/>
      <c r="F11" s="379"/>
      <c r="G11" s="379"/>
      <c r="H11" s="379"/>
      <c r="I11" s="379"/>
      <c r="J11" s="379"/>
      <c r="K11" s="379"/>
      <c r="L11" s="379"/>
      <c r="M11" s="379"/>
    </row>
    <row r="12" spans="2:13" x14ac:dyDescent="0.45">
      <c r="B12" s="436" t="s">
        <v>193</v>
      </c>
      <c r="C12" s="437">
        <f>'Perceel 5 Inschrijfsom 2'!$I$33</f>
        <v>0</v>
      </c>
      <c r="D12" s="379"/>
      <c r="E12" s="379"/>
      <c r="F12" s="379"/>
      <c r="G12" s="379"/>
      <c r="H12" s="379"/>
      <c r="I12" s="379"/>
      <c r="J12" s="379"/>
      <c r="K12" s="379"/>
      <c r="L12" s="379"/>
      <c r="M12" s="379"/>
    </row>
    <row r="13" spans="2:13" x14ac:dyDescent="0.45">
      <c r="B13" s="436" t="s">
        <v>73</v>
      </c>
      <c r="C13" s="437">
        <f>'Perceel 8'!$I$33</f>
        <v>0</v>
      </c>
      <c r="D13" s="379"/>
      <c r="E13" s="379"/>
      <c r="F13" s="379"/>
      <c r="G13" s="379"/>
      <c r="H13" s="379"/>
      <c r="I13" s="379"/>
      <c r="J13" s="379"/>
      <c r="K13" s="379"/>
      <c r="L13" s="379"/>
      <c r="M13" s="379"/>
    </row>
    <row r="14" spans="2:13" x14ac:dyDescent="0.45">
      <c r="B14" s="436" t="s">
        <v>194</v>
      </c>
      <c r="C14" s="437">
        <f>'Perceel 11 Inschrijfsom 1'!$I$33</f>
        <v>0</v>
      </c>
      <c r="D14" s="379"/>
      <c r="E14" s="379"/>
      <c r="F14" s="379"/>
      <c r="G14" s="379"/>
      <c r="H14" s="379"/>
      <c r="I14" s="379"/>
      <c r="J14" s="379"/>
      <c r="K14" s="379"/>
      <c r="L14" s="379"/>
      <c r="M14" s="379"/>
    </row>
    <row r="15" spans="2:13" x14ac:dyDescent="0.45">
      <c r="B15" s="436" t="s">
        <v>195</v>
      </c>
      <c r="C15" s="437">
        <f>'Perceel 11 Inschrijfsom 2'!$I$33</f>
        <v>0</v>
      </c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2:13" x14ac:dyDescent="0.45">
      <c r="B16" s="436" t="s">
        <v>161</v>
      </c>
      <c r="C16" s="437">
        <f>'Perceel 14'!$I$33</f>
        <v>0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79"/>
    </row>
    <row r="17" spans="2:13" x14ac:dyDescent="0.45">
      <c r="B17" s="436" t="s">
        <v>164</v>
      </c>
      <c r="C17" s="437">
        <f>'Perceel 17'!$I$33</f>
        <v>0</v>
      </c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2:13" x14ac:dyDescent="0.45">
      <c r="B18" s="436" t="s">
        <v>196</v>
      </c>
      <c r="C18" s="437">
        <f>'Perceel 20 Inschrijsom 1'!$I$33</f>
        <v>0</v>
      </c>
      <c r="D18" s="379"/>
      <c r="E18" s="379"/>
      <c r="F18" s="379"/>
      <c r="G18" s="379"/>
      <c r="H18" s="379"/>
      <c r="I18" s="379"/>
      <c r="J18" s="379"/>
      <c r="K18" s="379"/>
      <c r="L18" s="379"/>
      <c r="M18" s="379"/>
    </row>
    <row r="19" spans="2:13" x14ac:dyDescent="0.45">
      <c r="B19" s="436" t="s">
        <v>197</v>
      </c>
      <c r="C19" s="437">
        <f>'Perceel 20 Inschrijfsom 2'!$I$33</f>
        <v>0</v>
      </c>
      <c r="D19" s="379"/>
      <c r="E19" s="379"/>
      <c r="F19" s="379"/>
      <c r="G19" s="379"/>
      <c r="H19" s="379"/>
      <c r="I19" s="379"/>
      <c r="J19" s="379"/>
      <c r="K19" s="379"/>
      <c r="L19" s="379"/>
      <c r="M19" s="379"/>
    </row>
    <row r="20" spans="2:13" x14ac:dyDescent="0.45">
      <c r="B20" s="430" t="s">
        <v>165</v>
      </c>
      <c r="C20" s="431">
        <f>SUM(C9:C19)</f>
        <v>0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</row>
    <row r="21" spans="2:13" x14ac:dyDescent="0.45"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</row>
    <row r="22" spans="2:13" x14ac:dyDescent="0.45">
      <c r="B22" s="433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</row>
    <row r="23" spans="2:13" x14ac:dyDescent="0.45"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</row>
    <row r="24" spans="2:13" x14ac:dyDescent="0.45"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</row>
    <row r="25" spans="2:13" x14ac:dyDescent="0.45"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</row>
    <row r="26" spans="2:13" x14ac:dyDescent="0.45"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</row>
    <row r="27" spans="2:13" x14ac:dyDescent="0.45"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</row>
    <row r="28" spans="2:13" x14ac:dyDescent="0.45"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</row>
    <row r="29" spans="2:13" x14ac:dyDescent="0.45"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</row>
    <row r="30" spans="2:13" x14ac:dyDescent="0.45"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</row>
    <row r="31" spans="2:13" x14ac:dyDescent="0.45"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</row>
    <row r="32" spans="2:13" x14ac:dyDescent="0.45"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</row>
    <row r="33" spans="2:13" x14ac:dyDescent="0.45">
      <c r="B33" s="379"/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</row>
    <row r="34" spans="2:13" x14ac:dyDescent="0.45"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</row>
    <row r="35" spans="2:13" x14ac:dyDescent="0.45"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</row>
    <row r="36" spans="2:13" x14ac:dyDescent="0.45"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</row>
    <row r="37" spans="2:13" x14ac:dyDescent="0.45">
      <c r="B37" s="379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</row>
    <row r="38" spans="2:13" x14ac:dyDescent="0.45">
      <c r="B38" s="379"/>
      <c r="C38" s="379"/>
      <c r="D38" s="379"/>
      <c r="E38" s="379"/>
      <c r="F38" s="379"/>
      <c r="G38" s="379"/>
      <c r="H38" s="379"/>
      <c r="I38" s="379"/>
      <c r="J38" s="379"/>
      <c r="K38" s="379"/>
      <c r="L38" s="379"/>
      <c r="M38" s="379"/>
    </row>
    <row r="39" spans="2:13" x14ac:dyDescent="0.45"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</row>
  </sheetData>
  <sheetProtection algorithmName="SHA-512" hashValue="zSbc3tzQ5zSj6NLJyRXEZjQqhDgqKe8F7idAXwa7TYuVtCRfZ1aOnFcCXN88880ARjn6lyjgo7HvSfIBflpjvQ==" saltValue="KitYIsWiMc5u8Zg0gN81hg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BA70-2A7C-4065-A343-3BB9A73836BD}">
  <sheetPr>
    <pageSetUpPr fitToPage="1"/>
  </sheetPr>
  <dimension ref="A1:M36"/>
  <sheetViews>
    <sheetView showGridLines="0" zoomScale="90" zoomScaleNormal="90" workbookViewId="0">
      <selection activeCell="G23" sqref="G23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101000</v>
      </c>
      <c r="E19" s="450">
        <v>32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QyKmFqV7fNWbFsZMUGJ4K88Us9+ch29T7HdLdZlFehWjn4K2nH8R1fpAs0JyL3NH7PWRXMzh9unDMFYFwMIe2g==" saltValue="td0CPuF0X0zW34Ao4qDi8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E97-5DD5-42EA-BF51-A5C25FE3BD3C}">
  <sheetPr>
    <tabColor rgb="FFFF0000"/>
    <pageSetUpPr fitToPage="1"/>
  </sheetPr>
  <dimension ref="A1:M38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101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101101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hidden="1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v>101000</v>
      </c>
      <c r="E20" s="450"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v>101000</v>
      </c>
      <c r="E21" s="450"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101000</v>
      </c>
      <c r="E23" s="450">
        <v>45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101000</v>
      </c>
      <c r="E24" s="450">
        <v>1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v>101000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101000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034-0405-479D-85C6-BA2EA29E768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61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50500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51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19000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50500</v>
      </c>
      <c r="E18" s="450">
        <f>D9</f>
        <v>51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v>50500</v>
      </c>
      <c r="E19" s="450">
        <v>24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56000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43750</v>
      </c>
      <c r="E21" s="450">
        <v>24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50500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0bqdIItIo0K3VHDbgbXuWkytjC1vibPYvirUNlvVWgnMEzxXUoj7SPUGPhTzvEu0mpP56BnX7sCQ9AdsZrwrUQ==" saltValue="JJy02mHZvKCB2F4fsYKBN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AE2A-E486-46F8-AE55-CEE0E22634B8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164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40000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26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68000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40000</v>
      </c>
      <c r="E18" s="450">
        <f>D9</f>
        <v>26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173</v>
      </c>
      <c r="D19" s="450">
        <f>D18</f>
        <v>40000</v>
      </c>
      <c r="E19" s="450">
        <v>17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42000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70000</v>
      </c>
      <c r="E21" s="450">
        <v>17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40000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40000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184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>
        <f>IF($I$33=0,0,1)</f>
        <v>0</v>
      </c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j8Bi5p9/lUzDZu1EbhhQBZQF87kVwyHOS5RjXT2A46qVXYa/JqFqTdJSBV+GXjfXBszqbTosUW3sYDDLNsF/LA==" saltValue="6/LHTLMjxX2k5upjXVpPw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2E56-6F1F-411B-9522-514B3C15366B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138000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PBDasVKGXyOAGOJstbSmtdIt5Z6UsuFnBinZdgMV+cF1Iy4npCcYtnzvm1WYc9Yica5T7vcPdRME6DTMQPBIdA==" saltValue="DZ2avZrSUOInb7wx/F3EG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3E51-B880-4C59-B073-DE264E567C77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198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30500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138000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138000</v>
      </c>
      <c r="E19" s="450">
        <v>26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v>80000</v>
      </c>
      <c r="E21" s="450">
        <v>26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138000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182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183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HeJr3P5DYqFzoeHdtHLRXHieBBNY7CAo/RRLVKyp2pPUIc5npk4/rCOSJyvAYSFz8i3B+ty9lu6IQ/Ccx/VkpA==" saltValue="w3v+jtEGwKUmS6LMSI1B4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5AF1-C333-40E1-83AA-2ECAE93578C2}">
  <sheetPr>
    <tabColor rgb="FFFF0000"/>
    <pageSetUpPr fitToPage="1"/>
  </sheetPr>
  <dimension ref="A1:M38"/>
  <sheetViews>
    <sheetView showGridLines="0" topLeftCell="A1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162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64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138000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138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138138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45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thickTop="1" thickBot="1" x14ac:dyDescent="0.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thickTop="1" thickBot="1" x14ac:dyDescent="0.5">
      <c r="A13" s="378"/>
      <c r="B13" s="379"/>
      <c r="C13" s="414" t="s">
        <v>6</v>
      </c>
      <c r="D13" s="454">
        <f>ROUND(VLOOKUP(C6,oplage!$A$3:$F$13,6,FALSE),-2)</f>
        <v>30500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t="17" thickTop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7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8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138000</v>
      </c>
      <c r="E20" s="450">
        <f>D11</f>
        <v>45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138000</v>
      </c>
      <c r="E21" s="450">
        <f>E20</f>
        <v>45</v>
      </c>
      <c r="F21" s="402"/>
      <c r="G21" s="333">
        <v>0</v>
      </c>
      <c r="H21" s="379"/>
      <c r="I21" s="334">
        <f t="shared" ref="I21:I25" si="0">G21/1000*D21*E21</f>
        <v>0</v>
      </c>
      <c r="J21" s="379"/>
      <c r="K21" s="335">
        <f t="shared" ref="K21:K25" si="1">I21*$D$14</f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v>80000</v>
      </c>
      <c r="E23" s="450">
        <v>26</v>
      </c>
      <c r="F23" s="402"/>
      <c r="G23" s="333">
        <v>0</v>
      </c>
      <c r="H23" s="379"/>
      <c r="I23" s="334">
        <f t="shared" si="0"/>
        <v>0</v>
      </c>
      <c r="J23" s="379"/>
      <c r="K23" s="335">
        <f t="shared" si="1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v>0</v>
      </c>
      <c r="E24" s="450">
        <v>0</v>
      </c>
      <c r="F24" s="402"/>
      <c r="G24" s="333">
        <v>0</v>
      </c>
      <c r="H24" s="379"/>
      <c r="I24" s="334">
        <f t="shared" si="0"/>
        <v>0</v>
      </c>
      <c r="J24" s="379"/>
      <c r="K24" s="335">
        <f t="shared" si="1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138000</v>
      </c>
      <c r="E25" s="451">
        <v>1</v>
      </c>
      <c r="F25" s="402"/>
      <c r="G25" s="338">
        <v>0</v>
      </c>
      <c r="H25" s="379"/>
      <c r="I25" s="339">
        <f t="shared" si="0"/>
        <v>0</v>
      </c>
      <c r="J25" s="379"/>
      <c r="K25" s="340">
        <f t="shared" si="1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138000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1550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 t="shared" ref="K31:K32" si="2"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 t="shared" ref="I32" si="3">G32*$D$11</f>
        <v>0</v>
      </c>
      <c r="J32" s="379"/>
      <c r="K32" s="351">
        <f t="shared" si="2"/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378"/>
      <c r="E34" s="378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22" zoomScale="80" zoomScaleNormal="80" workbookViewId="0">
      <selection activeCell="D26" sqref="D26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5" max="15" width="19.0898437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500" t="s">
        <v>80</v>
      </c>
      <c r="J1" s="501"/>
      <c r="K1" s="501"/>
      <c r="L1" s="501"/>
      <c r="M1" s="501"/>
      <c r="N1" s="501"/>
      <c r="O1" s="502"/>
      <c r="Q1" s="500" t="s">
        <v>87</v>
      </c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2"/>
      <c r="AE1" s="516" t="s">
        <v>104</v>
      </c>
      <c r="AF1" s="517"/>
      <c r="AG1" s="517"/>
      <c r="AH1" s="517"/>
      <c r="AI1" s="517"/>
      <c r="AJ1" s="517"/>
    </row>
    <row r="2" spans="1:37" ht="42" customHeight="1" thickBot="1" x14ac:dyDescent="0.4">
      <c r="A2" s="506" t="s">
        <v>22</v>
      </c>
      <c r="B2" s="507"/>
      <c r="C2" s="508"/>
      <c r="E2" s="509" t="s">
        <v>79</v>
      </c>
      <c r="F2" s="510"/>
      <c r="I2" s="46"/>
      <c r="J2" s="47" t="s">
        <v>76</v>
      </c>
      <c r="K2" s="47"/>
      <c r="L2" s="47" t="s">
        <v>26</v>
      </c>
      <c r="M2" s="50" t="s">
        <v>75</v>
      </c>
      <c r="N2" s="49" t="s">
        <v>16</v>
      </c>
      <c r="O2" s="49"/>
      <c r="Q2" s="53"/>
      <c r="R2" s="51" t="s">
        <v>76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76</v>
      </c>
      <c r="AG2" s="110" t="s">
        <v>103</v>
      </c>
      <c r="AH2" s="111" t="s">
        <v>32</v>
      </c>
      <c r="AI2" s="112" t="s">
        <v>33</v>
      </c>
      <c r="AJ2" s="116" t="s">
        <v>15</v>
      </c>
    </row>
    <row r="3" spans="1:37" x14ac:dyDescent="0.35">
      <c r="A3" s="38">
        <v>1</v>
      </c>
      <c r="B3" s="34" t="s">
        <v>48</v>
      </c>
      <c r="C3" s="35">
        <v>2</v>
      </c>
      <c r="E3" s="69" t="s">
        <v>0</v>
      </c>
      <c r="F3" s="65" t="s">
        <v>1</v>
      </c>
      <c r="I3" s="69">
        <v>1</v>
      </c>
      <c r="J3" s="69" t="s">
        <v>52</v>
      </c>
      <c r="K3" s="14"/>
      <c r="L3" s="14" t="s">
        <v>83</v>
      </c>
      <c r="M3" s="57">
        <v>51</v>
      </c>
      <c r="N3" s="289">
        <v>500</v>
      </c>
      <c r="O3" s="66"/>
      <c r="Q3" s="38">
        <v>1</v>
      </c>
      <c r="R3" s="45" t="s">
        <v>52</v>
      </c>
      <c r="S3" s="136" t="s">
        <v>77</v>
      </c>
      <c r="T3" s="136" t="s">
        <v>78</v>
      </c>
      <c r="U3" s="136" t="s">
        <v>78</v>
      </c>
      <c r="V3" s="136" t="s">
        <v>77</v>
      </c>
      <c r="W3" s="136" t="s">
        <v>77</v>
      </c>
      <c r="X3" s="136" t="s">
        <v>78</v>
      </c>
      <c r="Y3" s="136" t="s">
        <v>78</v>
      </c>
      <c r="Z3" s="136" t="s">
        <v>77</v>
      </c>
      <c r="AA3" s="136" t="s">
        <v>77</v>
      </c>
      <c r="AB3" s="124" t="s">
        <v>77</v>
      </c>
      <c r="AE3" s="38">
        <v>1</v>
      </c>
      <c r="AF3" s="108" t="s">
        <v>52</v>
      </c>
      <c r="AG3" s="113" t="s">
        <v>78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49</v>
      </c>
      <c r="C4" s="36"/>
      <c r="E4" s="57" t="s">
        <v>67</v>
      </c>
      <c r="F4" s="57" t="s">
        <v>52</v>
      </c>
      <c r="I4" s="59">
        <v>2</v>
      </c>
      <c r="J4" s="57" t="s">
        <v>61</v>
      </c>
      <c r="K4" s="14"/>
      <c r="L4" s="14" t="s">
        <v>136</v>
      </c>
      <c r="M4" s="57">
        <v>52</v>
      </c>
      <c r="N4" s="289">
        <v>500</v>
      </c>
      <c r="O4" s="65"/>
      <c r="Q4" s="48">
        <v>2</v>
      </c>
      <c r="R4" s="45" t="s">
        <v>61</v>
      </c>
      <c r="S4" s="136" t="s">
        <v>77</v>
      </c>
      <c r="T4" s="136" t="s">
        <v>78</v>
      </c>
      <c r="U4" s="136" t="s">
        <v>78</v>
      </c>
      <c r="V4" s="136" t="s">
        <v>78</v>
      </c>
      <c r="W4" s="136" t="s">
        <v>77</v>
      </c>
      <c r="X4" s="136" t="s">
        <v>77</v>
      </c>
      <c r="Y4" s="136" t="s">
        <v>77</v>
      </c>
      <c r="Z4" s="136" t="s">
        <v>78</v>
      </c>
      <c r="AA4" s="136" t="s">
        <v>77</v>
      </c>
      <c r="AB4" s="124" t="s">
        <v>77</v>
      </c>
      <c r="AE4" s="48">
        <v>2</v>
      </c>
      <c r="AF4" s="45" t="s">
        <v>61</v>
      </c>
      <c r="AG4" s="114" t="s">
        <v>78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68</v>
      </c>
      <c r="F5" s="57" t="s">
        <v>61</v>
      </c>
      <c r="I5" s="59">
        <v>3</v>
      </c>
      <c r="J5" s="57" t="s">
        <v>62</v>
      </c>
      <c r="K5" s="14"/>
      <c r="L5" s="14" t="s">
        <v>137</v>
      </c>
      <c r="M5" s="57">
        <v>52</v>
      </c>
      <c r="N5" s="289">
        <v>500</v>
      </c>
      <c r="O5" s="65"/>
      <c r="Q5" s="48">
        <v>3</v>
      </c>
      <c r="R5" s="45" t="s">
        <v>62</v>
      </c>
      <c r="S5" s="136" t="s">
        <v>77</v>
      </c>
      <c r="T5" s="136" t="s">
        <v>77</v>
      </c>
      <c r="U5" s="136" t="s">
        <v>77</v>
      </c>
      <c r="V5" s="136" t="s">
        <v>77</v>
      </c>
      <c r="W5" s="136" t="s">
        <v>78</v>
      </c>
      <c r="X5" s="136" t="s">
        <v>77</v>
      </c>
      <c r="Y5" s="136" t="s">
        <v>77</v>
      </c>
      <c r="Z5" s="136" t="s">
        <v>77</v>
      </c>
      <c r="AA5" s="136" t="s">
        <v>77</v>
      </c>
      <c r="AB5" s="124" t="s">
        <v>77</v>
      </c>
      <c r="AE5" s="48">
        <v>3</v>
      </c>
      <c r="AF5" s="45" t="s">
        <v>62</v>
      </c>
      <c r="AG5" s="114" t="s">
        <v>78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69</v>
      </c>
      <c r="F6" s="57" t="s">
        <v>62</v>
      </c>
      <c r="I6" s="59">
        <v>4</v>
      </c>
      <c r="J6" s="57" t="s">
        <v>63</v>
      </c>
      <c r="K6" s="14"/>
      <c r="L6" s="14" t="s">
        <v>83</v>
      </c>
      <c r="M6" s="57">
        <v>51</v>
      </c>
      <c r="N6" s="289">
        <v>500</v>
      </c>
      <c r="O6" s="65"/>
      <c r="Q6" s="48">
        <v>4</v>
      </c>
      <c r="R6" s="45" t="s">
        <v>63</v>
      </c>
      <c r="S6" s="136" t="s">
        <v>77</v>
      </c>
      <c r="T6" s="136" t="s">
        <v>78</v>
      </c>
      <c r="U6" s="136" t="s">
        <v>78</v>
      </c>
      <c r="V6" s="136" t="s">
        <v>77</v>
      </c>
      <c r="W6" s="136" t="s">
        <v>77</v>
      </c>
      <c r="X6" s="136" t="s">
        <v>78</v>
      </c>
      <c r="Y6" s="136" t="s">
        <v>78</v>
      </c>
      <c r="Z6" s="136" t="s">
        <v>77</v>
      </c>
      <c r="AA6" s="136" t="s">
        <v>77</v>
      </c>
      <c r="AB6" s="124" t="s">
        <v>77</v>
      </c>
      <c r="AE6" s="48">
        <v>4</v>
      </c>
      <c r="AF6" s="123" t="s">
        <v>63</v>
      </c>
      <c r="AG6" s="124" t="s">
        <v>77</v>
      </c>
      <c r="AH6" s="123"/>
      <c r="AI6" s="123"/>
      <c r="AJ6" s="125">
        <f t="shared" si="0"/>
        <v>0</v>
      </c>
    </row>
    <row r="7" spans="1:37" ht="15" thickBot="1" x14ac:dyDescent="0.4">
      <c r="A7" s="506" t="s">
        <v>23</v>
      </c>
      <c r="B7" s="507"/>
      <c r="C7" s="508"/>
      <c r="E7" s="57" t="s">
        <v>70</v>
      </c>
      <c r="F7" s="57" t="s">
        <v>63</v>
      </c>
      <c r="I7" s="59">
        <v>5</v>
      </c>
      <c r="J7" s="57" t="s">
        <v>64</v>
      </c>
      <c r="K7" s="14"/>
      <c r="L7" s="14" t="s">
        <v>83</v>
      </c>
      <c r="M7" s="57">
        <v>56</v>
      </c>
      <c r="N7" s="289">
        <v>500</v>
      </c>
      <c r="O7" s="65"/>
      <c r="Q7" s="48">
        <v>5</v>
      </c>
      <c r="R7" s="45" t="s">
        <v>64</v>
      </c>
      <c r="S7" s="136" t="s">
        <v>77</v>
      </c>
      <c r="T7" s="136" t="s">
        <v>78</v>
      </c>
      <c r="U7" s="136" t="s">
        <v>78</v>
      </c>
      <c r="V7" s="136" t="s">
        <v>77</v>
      </c>
      <c r="W7" s="136" t="s">
        <v>77</v>
      </c>
      <c r="X7" s="136" t="s">
        <v>78</v>
      </c>
      <c r="Y7" s="136" t="s">
        <v>78</v>
      </c>
      <c r="Z7" s="136" t="s">
        <v>77</v>
      </c>
      <c r="AA7" s="136" t="s">
        <v>77</v>
      </c>
      <c r="AB7" s="124" t="s">
        <v>77</v>
      </c>
      <c r="AE7" s="48">
        <v>5</v>
      </c>
      <c r="AF7" s="45" t="s">
        <v>64</v>
      </c>
      <c r="AG7" s="114" t="s">
        <v>78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71</v>
      </c>
      <c r="F8" s="57" t="s">
        <v>64</v>
      </c>
      <c r="I8" s="59">
        <v>6</v>
      </c>
      <c r="J8" s="57" t="s">
        <v>65</v>
      </c>
      <c r="K8" s="14"/>
      <c r="L8" s="14" t="s">
        <v>83</v>
      </c>
      <c r="M8" s="57">
        <v>51</v>
      </c>
      <c r="N8" s="289">
        <v>500</v>
      </c>
      <c r="O8" s="65"/>
      <c r="Q8" s="48">
        <v>6</v>
      </c>
      <c r="R8" s="45" t="s">
        <v>65</v>
      </c>
      <c r="S8" s="136" t="s">
        <v>77</v>
      </c>
      <c r="T8" s="136" t="s">
        <v>78</v>
      </c>
      <c r="U8" s="136" t="s">
        <v>78</v>
      </c>
      <c r="V8" s="136" t="s">
        <v>77</v>
      </c>
      <c r="W8" s="136" t="s">
        <v>77</v>
      </c>
      <c r="X8" s="136" t="s">
        <v>78</v>
      </c>
      <c r="Y8" s="136" t="s">
        <v>78</v>
      </c>
      <c r="Z8" s="136" t="s">
        <v>77</v>
      </c>
      <c r="AA8" s="136" t="s">
        <v>77</v>
      </c>
      <c r="AB8" s="124" t="s">
        <v>77</v>
      </c>
      <c r="AE8" s="48">
        <v>6</v>
      </c>
      <c r="AF8" s="123" t="s">
        <v>65</v>
      </c>
      <c r="AG8" s="124" t="s">
        <v>77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72</v>
      </c>
      <c r="F9" s="57" t="s">
        <v>65</v>
      </c>
      <c r="I9" s="60">
        <v>7</v>
      </c>
      <c r="J9" s="61" t="s">
        <v>66</v>
      </c>
      <c r="K9" s="67"/>
      <c r="L9" s="67" t="s">
        <v>85</v>
      </c>
      <c r="M9" s="61">
        <v>50</v>
      </c>
      <c r="N9" s="290">
        <v>500</v>
      </c>
      <c r="O9" s="68"/>
      <c r="Q9" s="79">
        <v>7</v>
      </c>
      <c r="R9" s="37" t="s">
        <v>66</v>
      </c>
      <c r="S9" s="137" t="s">
        <v>77</v>
      </c>
      <c r="T9" s="137" t="s">
        <v>78</v>
      </c>
      <c r="U9" s="137" t="s">
        <v>78</v>
      </c>
      <c r="V9" s="137" t="s">
        <v>77</v>
      </c>
      <c r="W9" s="137" t="s">
        <v>77</v>
      </c>
      <c r="X9" s="137" t="s">
        <v>77</v>
      </c>
      <c r="Y9" s="137" t="s">
        <v>78</v>
      </c>
      <c r="Z9" s="137" t="s">
        <v>77</v>
      </c>
      <c r="AA9" s="137" t="s">
        <v>77</v>
      </c>
      <c r="AB9" s="138" t="s">
        <v>77</v>
      </c>
      <c r="AE9" s="79">
        <v>7</v>
      </c>
      <c r="AF9" s="37" t="s">
        <v>66</v>
      </c>
      <c r="AG9" s="115" t="s">
        <v>78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73</v>
      </c>
      <c r="F10" s="57" t="s">
        <v>66</v>
      </c>
    </row>
    <row r="11" spans="1:37" ht="15" thickBot="1" x14ac:dyDescent="0.4">
      <c r="E11" s="61" t="s">
        <v>74</v>
      </c>
      <c r="F11" s="68" t="s">
        <v>84</v>
      </c>
    </row>
    <row r="12" spans="1:37" ht="26.25" customHeight="1" thickBot="1" x14ac:dyDescent="0.4">
      <c r="A12" s="506" t="s">
        <v>24</v>
      </c>
      <c r="B12" s="507"/>
      <c r="C12" s="508"/>
    </row>
    <row r="13" spans="1:37" ht="25.5" customHeight="1" thickBot="1" x14ac:dyDescent="0.4">
      <c r="A13" s="38">
        <v>1</v>
      </c>
      <c r="B13" s="34" t="s">
        <v>25</v>
      </c>
      <c r="C13" s="35">
        <v>2</v>
      </c>
      <c r="I13" s="500" t="s">
        <v>81</v>
      </c>
      <c r="J13" s="501"/>
      <c r="K13" s="501"/>
      <c r="L13" s="501"/>
      <c r="M13" s="501"/>
      <c r="N13" s="501"/>
      <c r="O13" s="502"/>
      <c r="Q13" s="514" t="s">
        <v>102</v>
      </c>
      <c r="R13" s="515"/>
      <c r="S13" s="515"/>
      <c r="T13" s="515"/>
      <c r="U13" s="515"/>
      <c r="V13" s="515"/>
      <c r="W13" s="515"/>
      <c r="X13" s="515"/>
      <c r="Y13" s="515"/>
      <c r="Z13" s="515"/>
      <c r="AA13" s="515"/>
      <c r="AB13" s="515"/>
      <c r="AC13" s="515"/>
      <c r="AE13" s="511" t="s">
        <v>127</v>
      </c>
      <c r="AF13" s="512"/>
      <c r="AG13" s="512"/>
      <c r="AH13" s="512"/>
      <c r="AI13" s="512"/>
      <c r="AJ13" s="512"/>
      <c r="AK13" s="513"/>
    </row>
    <row r="14" spans="1:37" ht="54" customHeight="1" thickBot="1" x14ac:dyDescent="0.4">
      <c r="A14" s="39">
        <v>2</v>
      </c>
      <c r="B14" s="33" t="s">
        <v>50</v>
      </c>
      <c r="C14" s="36"/>
      <c r="I14" s="46"/>
      <c r="J14" s="47" t="s">
        <v>76</v>
      </c>
      <c r="K14" s="47"/>
      <c r="L14" s="47" t="s">
        <v>26</v>
      </c>
      <c r="M14" s="50" t="s">
        <v>75</v>
      </c>
      <c r="N14" s="49" t="s">
        <v>16</v>
      </c>
      <c r="O14" s="49"/>
      <c r="Q14" s="53"/>
      <c r="R14" s="51" t="s">
        <v>76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106</v>
      </c>
      <c r="AE14" s="106"/>
      <c r="AF14" s="107" t="s">
        <v>76</v>
      </c>
      <c r="AG14" s="111" t="s">
        <v>36</v>
      </c>
      <c r="AH14" s="111" t="s">
        <v>37</v>
      </c>
      <c r="AI14" s="111" t="s">
        <v>38</v>
      </c>
      <c r="AJ14" s="112" t="s">
        <v>39</v>
      </c>
      <c r="AK14" s="116" t="s">
        <v>15</v>
      </c>
    </row>
    <row r="15" spans="1:37" ht="23.25" customHeight="1" thickBot="1" x14ac:dyDescent="0.4">
      <c r="I15" s="70">
        <v>1</v>
      </c>
      <c r="J15" s="70" t="s">
        <v>52</v>
      </c>
      <c r="K15" s="71" t="s">
        <v>77</v>
      </c>
      <c r="L15" s="72" t="s">
        <v>77</v>
      </c>
      <c r="M15" s="73" t="s">
        <v>77</v>
      </c>
      <c r="N15" s="71" t="s">
        <v>77</v>
      </c>
      <c r="O15" s="74"/>
      <c r="Q15" s="38">
        <v>1</v>
      </c>
      <c r="R15" s="45" t="s">
        <v>52</v>
      </c>
      <c r="S15" s="127" t="s">
        <v>77</v>
      </c>
      <c r="T15" s="128">
        <v>41</v>
      </c>
      <c r="U15" s="128">
        <v>1</v>
      </c>
      <c r="V15" s="128" t="s">
        <v>77</v>
      </c>
      <c r="W15" s="128" t="s">
        <v>77</v>
      </c>
      <c r="X15" s="128">
        <v>4</v>
      </c>
      <c r="Y15" s="128">
        <v>1</v>
      </c>
      <c r="Z15" s="128" t="s">
        <v>77</v>
      </c>
      <c r="AA15" s="128" t="s">
        <v>77</v>
      </c>
      <c r="AB15" s="129" t="s">
        <v>77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52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503" t="s">
        <v>51</v>
      </c>
      <c r="B16" s="504"/>
      <c r="C16" s="505"/>
      <c r="E16" s="55" t="s">
        <v>118</v>
      </c>
      <c r="F16" s="146">
        <v>1</v>
      </c>
      <c r="I16" s="73">
        <v>2</v>
      </c>
      <c r="J16" s="73" t="s">
        <v>61</v>
      </c>
      <c r="K16" s="71" t="s">
        <v>78</v>
      </c>
      <c r="L16" s="72" t="s">
        <v>138</v>
      </c>
      <c r="M16" s="73">
        <v>90</v>
      </c>
      <c r="N16" s="289">
        <v>600</v>
      </c>
      <c r="O16" s="71"/>
      <c r="Q16" s="48">
        <v>2</v>
      </c>
      <c r="R16" s="45" t="s">
        <v>61</v>
      </c>
      <c r="S16" s="130" t="s">
        <v>77</v>
      </c>
      <c r="T16" s="131" t="s">
        <v>77</v>
      </c>
      <c r="U16" s="131">
        <v>49</v>
      </c>
      <c r="V16" s="131">
        <v>1</v>
      </c>
      <c r="W16" s="131" t="s">
        <v>77</v>
      </c>
      <c r="X16" s="131" t="s">
        <v>77</v>
      </c>
      <c r="Y16" s="131" t="s">
        <v>77</v>
      </c>
      <c r="Z16" s="131">
        <v>1</v>
      </c>
      <c r="AA16" s="131" t="s">
        <v>77</v>
      </c>
      <c r="AB16" s="132" t="s">
        <v>77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61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52</v>
      </c>
      <c r="C17" s="65">
        <v>47</v>
      </c>
      <c r="E17" s="45" t="s">
        <v>52</v>
      </c>
      <c r="F17" s="145">
        <f>F16+1</f>
        <v>2</v>
      </c>
      <c r="I17" s="73">
        <v>3</v>
      </c>
      <c r="J17" s="73" t="s">
        <v>62</v>
      </c>
      <c r="K17" s="71" t="s">
        <v>78</v>
      </c>
      <c r="L17" s="72" t="s">
        <v>138</v>
      </c>
      <c r="M17" s="73">
        <v>90</v>
      </c>
      <c r="N17" s="289">
        <v>600</v>
      </c>
      <c r="O17" s="71"/>
      <c r="Q17" s="48">
        <v>3</v>
      </c>
      <c r="R17" s="45" t="s">
        <v>62</v>
      </c>
      <c r="S17" s="130" t="s">
        <v>77</v>
      </c>
      <c r="T17" s="131" t="s">
        <v>77</v>
      </c>
      <c r="U17" s="131" t="s">
        <v>77</v>
      </c>
      <c r="V17" s="131" t="s">
        <v>77</v>
      </c>
      <c r="W17" s="131">
        <v>26</v>
      </c>
      <c r="X17" s="131" t="s">
        <v>77</v>
      </c>
      <c r="Y17" s="131" t="s">
        <v>77</v>
      </c>
      <c r="Z17" s="131" t="s">
        <v>77</v>
      </c>
      <c r="AA17" s="131" t="s">
        <v>77</v>
      </c>
      <c r="AB17" s="132" t="s">
        <v>77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62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61</v>
      </c>
      <c r="C18" s="65">
        <v>51</v>
      </c>
      <c r="E18" s="45" t="s">
        <v>61</v>
      </c>
      <c r="F18" s="145">
        <f t="shared" ref="F18:F23" si="4">F17+1</f>
        <v>3</v>
      </c>
      <c r="I18" s="73">
        <v>4</v>
      </c>
      <c r="J18" s="73" t="s">
        <v>63</v>
      </c>
      <c r="K18" s="71" t="s">
        <v>77</v>
      </c>
      <c r="L18" s="72" t="s">
        <v>77</v>
      </c>
      <c r="M18" s="73" t="s">
        <v>77</v>
      </c>
      <c r="N18" s="71" t="s">
        <v>77</v>
      </c>
      <c r="O18" s="71"/>
      <c r="Q18" s="48">
        <v>4</v>
      </c>
      <c r="R18" s="45" t="s">
        <v>63</v>
      </c>
      <c r="S18" s="130" t="s">
        <v>77</v>
      </c>
      <c r="T18" s="131">
        <v>36</v>
      </c>
      <c r="U18" s="131" t="s">
        <v>77</v>
      </c>
      <c r="V18" s="131" t="s">
        <v>77</v>
      </c>
      <c r="W18" s="131" t="s">
        <v>77</v>
      </c>
      <c r="X18" s="131">
        <v>7</v>
      </c>
      <c r="Y18" s="131">
        <v>1</v>
      </c>
      <c r="Z18" s="131" t="s">
        <v>77</v>
      </c>
      <c r="AA18" s="131" t="s">
        <v>77</v>
      </c>
      <c r="AB18" s="132" t="s">
        <v>77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63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62</v>
      </c>
      <c r="C19" s="65">
        <v>26</v>
      </c>
      <c r="E19" s="45" t="s">
        <v>62</v>
      </c>
      <c r="F19" s="145">
        <f t="shared" si="4"/>
        <v>4</v>
      </c>
      <c r="I19" s="73">
        <v>5</v>
      </c>
      <c r="J19" s="73" t="s">
        <v>64</v>
      </c>
      <c r="K19" s="71" t="s">
        <v>77</v>
      </c>
      <c r="L19" s="72" t="s">
        <v>77</v>
      </c>
      <c r="M19" s="73" t="s">
        <v>77</v>
      </c>
      <c r="N19" s="71" t="s">
        <v>77</v>
      </c>
      <c r="O19" s="71"/>
      <c r="Q19" s="48">
        <v>5</v>
      </c>
      <c r="R19" s="45" t="s">
        <v>64</v>
      </c>
      <c r="S19" s="130" t="s">
        <v>77</v>
      </c>
      <c r="T19" s="131">
        <v>38</v>
      </c>
      <c r="U19" s="131" t="s">
        <v>77</v>
      </c>
      <c r="V19" s="131" t="s">
        <v>77</v>
      </c>
      <c r="W19" s="131" t="s">
        <v>77</v>
      </c>
      <c r="X19" s="131">
        <v>7</v>
      </c>
      <c r="Y19" s="131" t="s">
        <v>77</v>
      </c>
      <c r="Z19" s="131" t="s">
        <v>77</v>
      </c>
      <c r="AA19" s="131" t="s">
        <v>77</v>
      </c>
      <c r="AB19" s="132" t="s">
        <v>77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64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63</v>
      </c>
      <c r="C20" s="65">
        <v>44</v>
      </c>
      <c r="E20" s="45" t="s">
        <v>63</v>
      </c>
      <c r="F20" s="145">
        <f t="shared" si="4"/>
        <v>5</v>
      </c>
      <c r="I20" s="73">
        <v>6</v>
      </c>
      <c r="J20" s="73" t="s">
        <v>65</v>
      </c>
      <c r="K20" s="71" t="s">
        <v>77</v>
      </c>
      <c r="L20" s="72" t="s">
        <v>77</v>
      </c>
      <c r="M20" s="73" t="s">
        <v>77</v>
      </c>
      <c r="N20" s="71" t="s">
        <v>77</v>
      </c>
      <c r="O20" s="71"/>
      <c r="Q20" s="48">
        <v>6</v>
      </c>
      <c r="R20" s="45" t="s">
        <v>65</v>
      </c>
      <c r="S20" s="130" t="s">
        <v>77</v>
      </c>
      <c r="T20" s="131">
        <v>38</v>
      </c>
      <c r="U20" s="131" t="s">
        <v>77</v>
      </c>
      <c r="V20" s="131" t="s">
        <v>77</v>
      </c>
      <c r="W20" s="131" t="s">
        <v>77</v>
      </c>
      <c r="X20" s="131">
        <v>6</v>
      </c>
      <c r="Y20" s="131">
        <v>1</v>
      </c>
      <c r="Z20" s="131" t="s">
        <v>77</v>
      </c>
      <c r="AA20" s="131" t="s">
        <v>77</v>
      </c>
      <c r="AB20" s="132" t="s">
        <v>77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65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64</v>
      </c>
      <c r="C21" s="65">
        <v>45</v>
      </c>
      <c r="E21" s="45" t="s">
        <v>64</v>
      </c>
      <c r="F21" s="145">
        <f t="shared" si="4"/>
        <v>6</v>
      </c>
      <c r="I21" s="75">
        <v>7</v>
      </c>
      <c r="J21" s="75" t="s">
        <v>66</v>
      </c>
      <c r="K21" s="76" t="s">
        <v>78</v>
      </c>
      <c r="L21" s="77" t="s">
        <v>139</v>
      </c>
      <c r="M21" s="75">
        <v>90</v>
      </c>
      <c r="N21" s="290">
        <v>600</v>
      </c>
      <c r="O21" s="76"/>
      <c r="Q21" s="79">
        <v>7</v>
      </c>
      <c r="R21" s="37" t="s">
        <v>66</v>
      </c>
      <c r="S21" s="133" t="s">
        <v>77</v>
      </c>
      <c r="T21" s="134">
        <v>36</v>
      </c>
      <c r="U21" s="134">
        <v>6</v>
      </c>
      <c r="V21" s="134" t="s">
        <v>77</v>
      </c>
      <c r="W21" s="134" t="s">
        <v>77</v>
      </c>
      <c r="X21" s="134" t="s">
        <v>77</v>
      </c>
      <c r="Y21" s="134">
        <v>1</v>
      </c>
      <c r="Z21" s="134" t="s">
        <v>77</v>
      </c>
      <c r="AA21" s="134" t="s">
        <v>77</v>
      </c>
      <c r="AB21" s="135" t="s">
        <v>77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66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65</v>
      </c>
      <c r="C22" s="65">
        <v>45</v>
      </c>
      <c r="E22" s="45" t="s">
        <v>65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66</v>
      </c>
      <c r="C23" s="68">
        <v>49</v>
      </c>
      <c r="E23" s="37" t="s">
        <v>66</v>
      </c>
      <c r="F23" s="39">
        <f t="shared" si="4"/>
        <v>8</v>
      </c>
      <c r="R23" s="291" t="s">
        <v>140</v>
      </c>
      <c r="W23" s="292"/>
    </row>
    <row r="24" spans="1:37" ht="21.75" customHeight="1" thickBot="1" x14ac:dyDescent="0.4">
      <c r="AE24" s="511" t="s">
        <v>128</v>
      </c>
      <c r="AF24" s="512"/>
      <c r="AG24" s="512"/>
      <c r="AH24" s="512"/>
      <c r="AI24" s="512"/>
      <c r="AJ24" s="512"/>
      <c r="AK24" s="513"/>
    </row>
    <row r="25" spans="1:37" ht="54" customHeight="1" thickBot="1" x14ac:dyDescent="0.4">
      <c r="A25" s="295"/>
      <c r="B25" s="296"/>
      <c r="C25" s="104" t="s">
        <v>141</v>
      </c>
      <c r="D25" s="296" t="s">
        <v>88</v>
      </c>
      <c r="E25" s="296" t="s">
        <v>89</v>
      </c>
      <c r="F25" s="104" t="s">
        <v>147</v>
      </c>
      <c r="I25" s="95" t="s">
        <v>93</v>
      </c>
      <c r="J25" s="186"/>
      <c r="K25" s="181" t="s">
        <v>19</v>
      </c>
      <c r="L25" s="182" t="s">
        <v>21</v>
      </c>
      <c r="AE25" s="106"/>
      <c r="AF25" s="107" t="s">
        <v>76</v>
      </c>
      <c r="AG25" s="111" t="s">
        <v>36</v>
      </c>
      <c r="AH25" s="111" t="s">
        <v>37</v>
      </c>
      <c r="AI25" s="111" t="s">
        <v>38</v>
      </c>
      <c r="AJ25" s="112" t="s">
        <v>39</v>
      </c>
      <c r="AK25" s="116" t="s">
        <v>15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52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52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52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61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61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61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62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62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62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63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63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63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64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64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64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65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65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65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66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66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66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90</v>
      </c>
      <c r="F35" s="64">
        <f>ROUND(F34,-3)</f>
        <v>747000</v>
      </c>
      <c r="AE35" s="511" t="s">
        <v>105</v>
      </c>
      <c r="AF35" s="512"/>
      <c r="AG35" s="512"/>
      <c r="AH35" s="512"/>
      <c r="AI35" s="513"/>
    </row>
    <row r="36" spans="1:35" ht="18" customHeight="1" thickBot="1" x14ac:dyDescent="0.4">
      <c r="AE36" s="106"/>
      <c r="AF36" s="107" t="s">
        <v>76</v>
      </c>
      <c r="AG36" s="111" t="s">
        <v>42</v>
      </c>
      <c r="AH36" s="111" t="s">
        <v>43</v>
      </c>
      <c r="AI36" s="109" t="s">
        <v>44</v>
      </c>
    </row>
    <row r="37" spans="1:35" ht="30.5" thickBot="1" x14ac:dyDescent="0.5">
      <c r="A37" s="295"/>
      <c r="B37" s="296"/>
      <c r="C37" s="104" t="s">
        <v>142</v>
      </c>
      <c r="D37" s="294" t="s">
        <v>143</v>
      </c>
      <c r="E37" s="294" t="s">
        <v>145</v>
      </c>
      <c r="F37" s="104" t="s">
        <v>144</v>
      </c>
      <c r="I37" s="438"/>
      <c r="J37" s="441"/>
      <c r="K37" s="444" t="s">
        <v>152</v>
      </c>
      <c r="L37" s="444" t="s">
        <v>10</v>
      </c>
      <c r="M37" s="444" t="s">
        <v>11</v>
      </c>
      <c r="N37" s="444" t="s">
        <v>12</v>
      </c>
      <c r="O37" s="447" t="s">
        <v>13</v>
      </c>
      <c r="AE37" s="38">
        <v>1</v>
      </c>
      <c r="AF37" s="108" t="s">
        <v>52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I38" s="73">
        <v>1</v>
      </c>
      <c r="J38" s="442" t="s">
        <v>52</v>
      </c>
      <c r="K38" s="445"/>
      <c r="L38" s="445"/>
      <c r="M38" s="45"/>
      <c r="N38" s="45"/>
      <c r="O38" s="45"/>
      <c r="AE38" s="48">
        <v>2</v>
      </c>
      <c r="AF38" s="45" t="s">
        <v>61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52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I39" s="73">
        <v>2</v>
      </c>
      <c r="J39" s="442" t="s">
        <v>61</v>
      </c>
      <c r="K39" s="445"/>
      <c r="L39" s="445"/>
      <c r="M39" s="45"/>
      <c r="N39" s="45"/>
      <c r="O39" s="45"/>
      <c r="AE39" s="48">
        <v>3</v>
      </c>
      <c r="AF39" s="45" t="s">
        <v>62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61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I40" s="73">
        <v>3</v>
      </c>
      <c r="J40" s="442" t="s">
        <v>62</v>
      </c>
      <c r="K40" s="445"/>
      <c r="L40" s="445"/>
      <c r="M40" s="45"/>
      <c r="N40" s="45"/>
      <c r="O40" s="45"/>
      <c r="AE40" s="48">
        <v>4</v>
      </c>
      <c r="AF40" s="45" t="s">
        <v>63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62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I41" s="73">
        <v>4</v>
      </c>
      <c r="J41" s="442" t="s">
        <v>63</v>
      </c>
      <c r="K41" s="445"/>
      <c r="L41" s="445"/>
      <c r="M41" s="45"/>
      <c r="N41" s="45"/>
      <c r="O41" s="45"/>
      <c r="AE41" s="48">
        <v>5</v>
      </c>
      <c r="AF41" s="45" t="s">
        <v>64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63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I42" s="73">
        <v>5</v>
      </c>
      <c r="J42" s="442" t="s">
        <v>64</v>
      </c>
      <c r="K42" s="445"/>
      <c r="L42" s="445"/>
      <c r="M42" s="45"/>
      <c r="N42" s="45"/>
      <c r="O42" s="45"/>
      <c r="AE42" s="48">
        <v>6</v>
      </c>
      <c r="AF42" s="45" t="s">
        <v>65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64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I43" s="73">
        <v>6</v>
      </c>
      <c r="J43" s="442" t="s">
        <v>65</v>
      </c>
      <c r="K43" s="445"/>
      <c r="L43" s="445"/>
      <c r="M43" s="45"/>
      <c r="N43" s="45"/>
      <c r="O43" s="45"/>
      <c r="AE43" s="79">
        <v>7</v>
      </c>
      <c r="AF43" s="37" t="s">
        <v>66</v>
      </c>
      <c r="AG43" s="37">
        <f t="shared" si="10"/>
        <v>49</v>
      </c>
      <c r="AH43" s="37">
        <f t="shared" si="11"/>
        <v>49</v>
      </c>
      <c r="AI43" s="37"/>
    </row>
    <row r="44" spans="1:35" ht="15" thickBot="1" x14ac:dyDescent="0.4">
      <c r="A44" s="59">
        <v>6</v>
      </c>
      <c r="B44" s="57" t="s">
        <v>65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  <c r="I44" s="75">
        <v>7</v>
      </c>
      <c r="J44" s="443" t="s">
        <v>66</v>
      </c>
      <c r="K44" s="446"/>
      <c r="L44" s="446"/>
      <c r="M44" s="37"/>
      <c r="N44" s="37"/>
      <c r="O44" s="37"/>
    </row>
    <row r="45" spans="1:35" x14ac:dyDescent="0.35">
      <c r="A45" s="59">
        <v>7</v>
      </c>
      <c r="B45" s="57" t="s">
        <v>66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90</v>
      </c>
      <c r="F47" s="64">
        <f>ROUND(F46,-3)</f>
        <v>170000</v>
      </c>
    </row>
    <row r="49" spans="1:6" x14ac:dyDescent="0.35">
      <c r="A49" s="295"/>
      <c r="B49" s="296"/>
      <c r="C49" s="104" t="s">
        <v>9</v>
      </c>
      <c r="D49" s="294"/>
      <c r="E49" s="294"/>
      <c r="F49" s="104" t="s">
        <v>150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52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61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62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63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64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65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66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5" priority="37" stopIfTrue="1" operator="equal">
      <formula>"rotatie diepdruk"</formula>
    </cfRule>
  </conditionalFormatting>
  <conditionalFormatting sqref="B3:C3">
    <cfRule type="cellIs" dxfId="34" priority="35" stopIfTrue="1" operator="equal">
      <formula>"rotatie diepdruk"</formula>
    </cfRule>
  </conditionalFormatting>
  <conditionalFormatting sqref="B3:C3">
    <cfRule type="cellIs" dxfId="33" priority="33" stopIfTrue="1" operator="equal">
      <formula>"rotatie diepdruk"</formula>
    </cfRule>
  </conditionalFormatting>
  <conditionalFormatting sqref="B3:C3">
    <cfRule type="cellIs" dxfId="32" priority="32" stopIfTrue="1" operator="equal">
      <formula>"rotatie diepdruk"</formula>
    </cfRule>
  </conditionalFormatting>
  <conditionalFormatting sqref="B8:C8">
    <cfRule type="cellIs" dxfId="31" priority="23" stopIfTrue="1" operator="equal">
      <formula>"rotatie diepdruk"</formula>
    </cfRule>
  </conditionalFormatting>
  <conditionalFormatting sqref="B8:C8">
    <cfRule type="cellIs" dxfId="30" priority="22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13:C13">
    <cfRule type="cellIs" dxfId="27" priority="16" stopIfTrue="1" operator="equal">
      <formula>"rotatie diepdruk"</formula>
    </cfRule>
  </conditionalFormatting>
  <conditionalFormatting sqref="B13:C13">
    <cfRule type="cellIs" dxfId="26" priority="19" stopIfTrue="1" operator="equal">
      <formula>"rotatie diepdruk"</formula>
    </cfRule>
  </conditionalFormatting>
  <conditionalFormatting sqref="B13:C13">
    <cfRule type="cellIs" dxfId="25" priority="18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I15:O15">
    <cfRule type="expression" dxfId="23" priority="15">
      <formula>$K15="nee"</formula>
    </cfRule>
  </conditionalFormatting>
  <conditionalFormatting sqref="I16:O21">
    <cfRule type="expression" dxfId="22" priority="14">
      <formula>$K16="nee"</formula>
    </cfRule>
  </conditionalFormatting>
  <conditionalFormatting sqref="S3:AB9">
    <cfRule type="expression" dxfId="21" priority="13">
      <formula>S3="ja"</formula>
    </cfRule>
  </conditionalFormatting>
  <conditionalFormatting sqref="AG3:AG9">
    <cfRule type="expression" dxfId="20" priority="11">
      <formula>AG3="ja"</formula>
    </cfRule>
  </conditionalFormatting>
  <conditionalFormatting sqref="AJ3:AJ9">
    <cfRule type="expression" dxfId="19" priority="40">
      <formula>$AJ3=$C17</formula>
    </cfRule>
  </conditionalFormatting>
  <conditionalFormatting sqref="S15:AB21">
    <cfRule type="expression" dxfId="18" priority="7">
      <formula>S15="nee"</formula>
    </cfRule>
  </conditionalFormatting>
  <conditionalFormatting sqref="AC15">
    <cfRule type="expression" dxfId="17" priority="6">
      <formula>$AC15=52</formula>
    </cfRule>
  </conditionalFormatting>
  <conditionalFormatting sqref="AC16:AC21">
    <cfRule type="expression" dxfId="16" priority="5">
      <formula>$AC16=52</formula>
    </cfRule>
  </conditionalFormatting>
  <conditionalFormatting sqref="I26:J26">
    <cfRule type="expression" dxfId="15" priority="4">
      <formula>$K26="nee"</formula>
    </cfRule>
  </conditionalFormatting>
  <conditionalFormatting sqref="I27:J32">
    <cfRule type="expression" dxfId="14" priority="3">
      <formula>$K27="nee"</formula>
    </cfRule>
  </conditionalFormatting>
  <conditionalFormatting sqref="I38:J38">
    <cfRule type="expression" dxfId="13" priority="2">
      <formula>$K38="nee"</formula>
    </cfRule>
  </conditionalFormatting>
  <conditionalFormatting sqref="I39:J44">
    <cfRule type="expression" dxfId="12" priority="1">
      <formula>$K39="nee"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J4" sqref="J4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149</v>
      </c>
    </row>
    <row r="2" spans="1:15" x14ac:dyDescent="0.3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L2" s="293" t="s">
        <v>86</v>
      </c>
      <c r="N2" t="s">
        <v>59</v>
      </c>
    </row>
    <row r="3" spans="1:15" x14ac:dyDescent="0.35">
      <c r="A3" t="s">
        <v>52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60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61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61</v>
      </c>
      <c r="L4" s="293">
        <v>84000</v>
      </c>
    </row>
    <row r="5" spans="1:15" x14ac:dyDescent="0.35">
      <c r="A5" t="s">
        <v>62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62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63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63</v>
      </c>
      <c r="L7" s="293">
        <v>67000</v>
      </c>
    </row>
    <row r="8" spans="1:15" x14ac:dyDescent="0.35">
      <c r="A8" t="s">
        <v>64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64</v>
      </c>
      <c r="L8" s="293">
        <v>204000</v>
      </c>
    </row>
    <row r="9" spans="1:15" ht="15" thickBot="1" x14ac:dyDescent="0.4">
      <c r="A9" t="s">
        <v>65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65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66</v>
      </c>
      <c r="C13" s="375">
        <v>122000</v>
      </c>
      <c r="D13" s="42">
        <v>25</v>
      </c>
      <c r="E13" s="44"/>
      <c r="F13" s="375">
        <v>14000</v>
      </c>
      <c r="G13" s="42"/>
      <c r="H13" s="42">
        <v>1000</v>
      </c>
      <c r="J13" s="41">
        <f>SUM(C13:H13)</f>
        <v>137025</v>
      </c>
      <c r="K13" t="s">
        <v>66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131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68</v>
      </c>
      <c r="C3" s="536" t="str">
        <f>"Drukken en Nabewerken van Programmablad "&amp;N2</f>
        <v>Drukken en Nabewerken van Programmablad Televizier</v>
      </c>
      <c r="D3" s="537"/>
      <c r="E3" s="537"/>
      <c r="F3" s="537"/>
      <c r="G3" s="537"/>
      <c r="H3" s="537"/>
      <c r="I3" s="538"/>
      <c r="J3" s="1"/>
      <c r="K3" s="3"/>
      <c r="L3" s="3"/>
      <c r="N3" s="203" t="s">
        <v>100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539"/>
      <c r="D5" s="540"/>
      <c r="E5" s="540"/>
      <c r="F5" s="540"/>
      <c r="G5" s="540"/>
      <c r="H5" s="540"/>
      <c r="I5" s="541"/>
      <c r="J5" s="4"/>
      <c r="K5" s="3"/>
      <c r="L5" s="3"/>
      <c r="N5" s="207" t="s">
        <v>101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30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30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542" t="s">
        <v>98</v>
      </c>
      <c r="C8" s="543"/>
      <c r="D8" s="543"/>
      <c r="E8" s="543"/>
      <c r="F8" s="543"/>
      <c r="G8" s="543"/>
      <c r="H8" s="543"/>
      <c r="I8" s="544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119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92</v>
      </c>
      <c r="C10" s="96"/>
      <c r="D10" s="97"/>
      <c r="E10" s="4"/>
      <c r="F10" s="198" t="s">
        <v>96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26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122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148</v>
      </c>
      <c r="C12" s="88"/>
      <c r="D12" s="84">
        <f>VLOOKUP($N$2,lijstjes!$B$27:$F$34,5,FALSE)</f>
        <v>71450.5</v>
      </c>
      <c r="E12" s="4"/>
      <c r="F12" s="165" t="s">
        <v>27</v>
      </c>
      <c r="G12" s="166"/>
      <c r="H12" s="166" t="s">
        <v>28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17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93</v>
      </c>
      <c r="C15" s="96"/>
      <c r="D15" s="97" t="s">
        <v>18</v>
      </c>
      <c r="E15" s="4"/>
      <c r="F15" s="198" t="s">
        <v>123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19</v>
      </c>
      <c r="C16" s="99" t="s">
        <v>20</v>
      </c>
      <c r="D16" s="82">
        <f>VLOOKUP($N$2,lijstjes!$J$26:$L$32,2,FALSE)</f>
        <v>265</v>
      </c>
      <c r="E16" s="4"/>
      <c r="F16" s="164" t="s">
        <v>26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21</v>
      </c>
      <c r="C17" s="94" t="s">
        <v>20</v>
      </c>
      <c r="D17" s="87">
        <f>VLOOKUP($N$2,lijstjes!$J$26:$L$32,3,FALSE)</f>
        <v>202</v>
      </c>
      <c r="E17" s="4"/>
      <c r="F17" s="165" t="s">
        <v>27</v>
      </c>
      <c r="G17" s="166"/>
      <c r="H17" s="166" t="s">
        <v>28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94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91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545" t="s">
        <v>99</v>
      </c>
      <c r="C23" s="546"/>
      <c r="D23" s="546"/>
      <c r="E23" s="546"/>
      <c r="F23" s="546"/>
      <c r="G23" s="546"/>
      <c r="H23" s="546"/>
      <c r="I23" s="547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97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22</v>
      </c>
      <c r="C26" s="558"/>
      <c r="D26" s="559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23</v>
      </c>
      <c r="C27" s="560"/>
      <c r="D27" s="561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24</v>
      </c>
      <c r="C28" s="562"/>
      <c r="D28" s="563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95</v>
      </c>
      <c r="C30" s="54" t="s">
        <v>133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548" t="s">
        <v>120</v>
      </c>
      <c r="C33" s="549"/>
      <c r="D33" s="283"/>
      <c r="E33" s="284"/>
      <c r="F33" s="284"/>
      <c r="G33" s="283"/>
      <c r="H33" s="226"/>
      <c r="I33" s="126" t="s">
        <v>130</v>
      </c>
      <c r="J33" s="188"/>
      <c r="K33" s="10"/>
      <c r="L33" s="10"/>
    </row>
    <row r="34" spans="1:12" s="224" customFormat="1" ht="17.25" customHeight="1" x14ac:dyDescent="0.35">
      <c r="A34" s="10"/>
      <c r="B34" s="550" t="s">
        <v>29</v>
      </c>
      <c r="C34" s="551"/>
      <c r="D34" s="264" t="s">
        <v>111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524" t="s">
        <v>107</v>
      </c>
      <c r="C35" s="525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518" t="s">
        <v>112</v>
      </c>
      <c r="C36" s="519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520" t="s">
        <v>115</v>
      </c>
      <c r="C37" s="521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524" t="s">
        <v>109</v>
      </c>
      <c r="C38" s="525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526" t="s">
        <v>110</v>
      </c>
      <c r="C39" s="527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528" t="s">
        <v>114</v>
      </c>
      <c r="C40" s="529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518" t="s">
        <v>124</v>
      </c>
      <c r="C41" s="519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520" t="s">
        <v>116</v>
      </c>
      <c r="C42" s="521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526" t="s">
        <v>108</v>
      </c>
      <c r="C43" s="527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556" t="s">
        <v>117</v>
      </c>
      <c r="C44" s="557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522" t="s">
        <v>51</v>
      </c>
      <c r="C45" s="523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113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552" t="s">
        <v>121</v>
      </c>
      <c r="C51" s="553"/>
      <c r="D51" s="103"/>
      <c r="E51" s="103"/>
      <c r="F51" s="103"/>
      <c r="G51" s="97"/>
      <c r="H51" s="229"/>
      <c r="I51" s="257" t="s">
        <v>130</v>
      </c>
      <c r="J51" s="229"/>
      <c r="K51" s="10"/>
      <c r="L51" s="10"/>
    </row>
    <row r="52" spans="1:12" ht="17.25" customHeight="1" x14ac:dyDescent="0.35">
      <c r="A52" s="10"/>
      <c r="B52" s="554" t="s">
        <v>29</v>
      </c>
      <c r="C52" s="555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524" t="s">
        <v>107</v>
      </c>
      <c r="C53" s="525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518" t="s">
        <v>112</v>
      </c>
      <c r="C54" s="519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530" t="str">
        <f>"Totaal Drukkosten hele oplage "&amp;D13&amp;" stuks"</f>
        <v>Totaal Drukkosten hele oplage 71500 stuks</v>
      </c>
      <c r="C55" s="531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524" t="s">
        <v>109</v>
      </c>
      <c r="C56" s="525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526" t="s">
        <v>110</v>
      </c>
      <c r="C57" s="527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534" t="s">
        <v>114</v>
      </c>
      <c r="C58" s="535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518" t="s">
        <v>124</v>
      </c>
      <c r="C59" s="519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530" t="s">
        <v>116</v>
      </c>
      <c r="C60" s="531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526" t="s">
        <v>108</v>
      </c>
      <c r="C61" s="527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532" t="s">
        <v>117</v>
      </c>
      <c r="C62" s="533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522" t="s">
        <v>51</v>
      </c>
      <c r="C63" s="523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113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31</v>
      </c>
      <c r="C69" s="103" t="s">
        <v>133</v>
      </c>
      <c r="D69" s="103"/>
      <c r="E69" s="103"/>
      <c r="F69" s="280" t="s">
        <v>51</v>
      </c>
      <c r="G69" s="97" t="s">
        <v>132</v>
      </c>
      <c r="H69" s="229"/>
      <c r="I69" s="257" t="s">
        <v>130</v>
      </c>
      <c r="J69" s="229"/>
      <c r="K69" s="10"/>
      <c r="L69" s="10"/>
    </row>
    <row r="70" spans="1:23" ht="18.75" customHeight="1" x14ac:dyDescent="0.35">
      <c r="A70" s="10"/>
      <c r="B70" s="153" t="s">
        <v>32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33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34</v>
      </c>
      <c r="C76" s="103" t="s">
        <v>133</v>
      </c>
      <c r="D76" s="275" t="s">
        <v>129</v>
      </c>
      <c r="E76" s="276" t="s">
        <v>35</v>
      </c>
      <c r="F76" s="191" t="s">
        <v>51</v>
      </c>
      <c r="G76" s="276" t="s">
        <v>107</v>
      </c>
      <c r="H76" s="159"/>
      <c r="I76" s="257" t="s">
        <v>130</v>
      </c>
      <c r="J76" s="151"/>
      <c r="K76" s="10"/>
      <c r="L76" s="10"/>
    </row>
    <row r="77" spans="1:23" x14ac:dyDescent="0.35">
      <c r="A77" s="10"/>
      <c r="B77" s="153" t="s">
        <v>36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37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38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39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40</v>
      </c>
      <c r="C85" s="103" t="s">
        <v>133</v>
      </c>
      <c r="D85" s="281"/>
      <c r="E85" s="281"/>
      <c r="F85" s="282" t="s">
        <v>51</v>
      </c>
      <c r="G85" s="97" t="s">
        <v>41</v>
      </c>
      <c r="H85" s="159"/>
      <c r="I85" s="257" t="s">
        <v>130</v>
      </c>
      <c r="J85" s="151"/>
      <c r="K85" s="10"/>
      <c r="L85" s="10"/>
    </row>
    <row r="86" spans="1:12" x14ac:dyDescent="0.35">
      <c r="A86" s="10"/>
      <c r="B86" s="285" t="s">
        <v>42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43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44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45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134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135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7BE7-97EF-4059-9517-C9E71C3016DE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186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171</v>
      </c>
      <c r="D19" s="450">
        <f>D18</f>
        <v>71000</v>
      </c>
      <c r="E19" s="450">
        <f>E18</f>
        <v>47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wSCEWCJEOcqxS3mwwYZ/LOqaf8wCU2KeFhxhXyO9kcJ8Zr6SwWhyEeDLchr9YZfqroo26OL8o+R5N2MxCwXVXg==" saltValue="p1T3HpqiYDRUKTFbj91YF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2F0C-E320-4453-B163-72C0534AA82F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201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52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71000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47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11500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18400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7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8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71000</v>
      </c>
      <c r="E18" s="450">
        <f>D9</f>
        <v>47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172</v>
      </c>
      <c r="D19" s="450">
        <f>D18</f>
        <v>71000</v>
      </c>
      <c r="E19" s="450">
        <v>28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71000</v>
      </c>
      <c r="E21" s="450">
        <v>28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71000</v>
      </c>
      <c r="E22" s="450">
        <v>2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71000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180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181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vWZQKMQwkBqCslw/6uUjzL0oW9g9XhEJ3RV6usNTG/tLG71BFQqxxQ9WhJJ6SSC2sivNUboQJGliOGrAkfa4xw==" saltValue="YrkMfzQrz+9SCbksULRyvw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0000"/>
    <pageSetUpPr fitToPage="1"/>
  </sheetPr>
  <dimension ref="A1:M46"/>
  <sheetViews>
    <sheetView showGridLines="0" topLeftCell="A7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67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x14ac:dyDescent="0.45">
      <c r="A6" s="300"/>
      <c r="B6" s="311" t="s">
        <v>3</v>
      </c>
      <c r="C6" s="312" t="s">
        <v>52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x14ac:dyDescent="0.45">
      <c r="A7" s="300"/>
      <c r="B7" s="311" t="s">
        <v>3</v>
      </c>
      <c r="C7" s="315" t="s">
        <v>4</v>
      </c>
      <c r="D7" s="452">
        <f>VLOOKUP($C$6,lijstjes!$B$27:$F$34,2,FALSE)</f>
        <v>71000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" thickBot="1" x14ac:dyDescent="0.5">
      <c r="A8" s="300"/>
      <c r="B8" s="311" t="s">
        <v>3</v>
      </c>
      <c r="C8" s="316" t="s">
        <v>146</v>
      </c>
      <c r="D8" s="453">
        <f>VLOOKUP($C$6,lijstjes!$B$27:$F$34,4,FALSE)</f>
        <v>71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thickTop="1" thickBot="1" x14ac:dyDescent="0.5">
      <c r="A9" s="300"/>
      <c r="B9" s="301"/>
      <c r="C9" s="317" t="s">
        <v>5</v>
      </c>
      <c r="D9" s="454">
        <f>D7+D8</f>
        <v>71071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455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7" t="s">
        <v>151</v>
      </c>
      <c r="D11" s="454">
        <f>VLOOKUP($C$6,lijstjes!$B$17:$C$23,2,FALSE)</f>
        <v>47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thickTop="1" thickBot="1" x14ac:dyDescent="0.5">
      <c r="A12" s="308"/>
      <c r="B12" s="301"/>
      <c r="C12" s="311"/>
      <c r="D12" s="455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thickTop="1" thickBot="1" x14ac:dyDescent="0.5">
      <c r="A13" s="320"/>
      <c r="B13" s="301"/>
      <c r="C13" s="321" t="s">
        <v>6</v>
      </c>
      <c r="D13" s="454">
        <f>ROUND(VLOOKUP(C6,oplage!$A$3:$F$13,6,FALSE),-2)</f>
        <v>11500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7" t="s">
        <v>47</v>
      </c>
      <c r="D14" s="454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thickTop="1" thickBot="1" x14ac:dyDescent="0.5">
      <c r="A15" s="320"/>
      <c r="B15" s="301"/>
      <c r="C15" s="321" t="s">
        <v>154</v>
      </c>
      <c r="D15" s="454">
        <f>ROUND(VLOOKUP($C$6,lijstjes!$B$39:$F$46,3,FALSE),-2)</f>
        <v>18400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491" t="s">
        <v>7</v>
      </c>
      <c r="C18" s="325"/>
      <c r="D18" s="494" t="s">
        <v>159</v>
      </c>
      <c r="E18" s="496" t="s">
        <v>51</v>
      </c>
      <c r="F18" s="301"/>
      <c r="G18" s="489" t="s">
        <v>35</v>
      </c>
      <c r="H18" s="301"/>
      <c r="I18" s="326" t="s">
        <v>8</v>
      </c>
      <c r="J18" s="307"/>
      <c r="K18" s="327" t="s">
        <v>82</v>
      </c>
      <c r="L18" s="307"/>
      <c r="M18" s="307"/>
    </row>
    <row r="19" spans="1:13" x14ac:dyDescent="0.45">
      <c r="A19" s="320"/>
      <c r="B19" s="492"/>
      <c r="C19" s="328"/>
      <c r="D19" s="495"/>
      <c r="E19" s="496"/>
      <c r="F19" s="301"/>
      <c r="G19" s="490"/>
      <c r="H19" s="301"/>
      <c r="I19" s="329"/>
      <c r="J19" s="307"/>
      <c r="K19" s="330"/>
      <c r="L19" s="307"/>
      <c r="M19" s="307"/>
    </row>
    <row r="20" spans="1:13" x14ac:dyDescent="0.45">
      <c r="A20" s="320"/>
      <c r="B20" s="492"/>
      <c r="C20" s="331" t="s">
        <v>155</v>
      </c>
      <c r="D20" s="450">
        <f>D7</f>
        <v>71000</v>
      </c>
      <c r="E20" s="450">
        <f>D11</f>
        <v>47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492"/>
      <c r="C21" s="336" t="s">
        <v>169</v>
      </c>
      <c r="D21" s="450">
        <f>D20</f>
        <v>71000</v>
      </c>
      <c r="E21" s="450">
        <f>E20</f>
        <v>47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" si="1">I21*$D$14</f>
        <v>0</v>
      </c>
      <c r="L21" s="307"/>
      <c r="M21" s="307"/>
    </row>
    <row r="22" spans="1:13" x14ac:dyDescent="0.45">
      <c r="A22" s="320"/>
      <c r="B22" s="492"/>
      <c r="C22" s="336" t="s">
        <v>10</v>
      </c>
      <c r="D22" s="450">
        <v>0</v>
      </c>
      <c r="E22" s="450">
        <v>0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ref="K22:K25" si="2">I22*$D$14</f>
        <v>0</v>
      </c>
      <c r="L22" s="307"/>
      <c r="M22" s="307"/>
    </row>
    <row r="23" spans="1:13" x14ac:dyDescent="0.45">
      <c r="A23" s="320"/>
      <c r="B23" s="492"/>
      <c r="C23" s="336" t="s">
        <v>11</v>
      </c>
      <c r="D23" s="450">
        <f>D20</f>
        <v>71000</v>
      </c>
      <c r="E23" s="450">
        <v>28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2"/>
        <v>0</v>
      </c>
      <c r="L23" s="307"/>
      <c r="M23" s="307"/>
    </row>
    <row r="24" spans="1:13" x14ac:dyDescent="0.45">
      <c r="A24" s="320"/>
      <c r="B24" s="492"/>
      <c r="C24" s="336" t="s">
        <v>12</v>
      </c>
      <c r="D24" s="450">
        <f>D20</f>
        <v>71000</v>
      </c>
      <c r="E24" s="450">
        <v>2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2"/>
        <v>0</v>
      </c>
      <c r="L24" s="307"/>
      <c r="M24" s="307"/>
    </row>
    <row r="25" spans="1:13" ht="17" thickBot="1" x14ac:dyDescent="0.5">
      <c r="A25" s="320"/>
      <c r="B25" s="493"/>
      <c r="C25" s="337" t="s">
        <v>13</v>
      </c>
      <c r="D25" s="451">
        <f>D7</f>
        <v>71000</v>
      </c>
      <c r="E25" s="451">
        <v>1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2"/>
        <v>0</v>
      </c>
      <c r="L25" s="307"/>
      <c r="M25" s="307"/>
    </row>
    <row r="26" spans="1:13" x14ac:dyDescent="0.45">
      <c r="A26" s="320"/>
      <c r="B26" s="341"/>
      <c r="C26" s="342" t="s">
        <v>14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486" t="s">
        <v>158</v>
      </c>
      <c r="C28" s="352"/>
      <c r="D28" s="497" t="s">
        <v>160</v>
      </c>
      <c r="E28" s="498"/>
      <c r="F28" s="348"/>
      <c r="G28" s="489" t="s">
        <v>125</v>
      </c>
      <c r="H28" s="301"/>
      <c r="I28" s="353" t="s">
        <v>8</v>
      </c>
      <c r="J28" s="307"/>
      <c r="K28" s="354" t="s">
        <v>46</v>
      </c>
      <c r="L28" s="307"/>
      <c r="M28" s="307"/>
    </row>
    <row r="29" spans="1:13" ht="17" thickBot="1" x14ac:dyDescent="0.5">
      <c r="A29" s="320"/>
      <c r="B29" s="487"/>
      <c r="C29" s="355"/>
      <c r="D29" s="496"/>
      <c r="E29" s="499"/>
      <c r="F29" s="348"/>
      <c r="G29" s="490"/>
      <c r="H29" s="301"/>
      <c r="I29" s="356"/>
      <c r="J29" s="307"/>
      <c r="K29" s="357"/>
      <c r="L29" s="307"/>
      <c r="M29" s="307"/>
    </row>
    <row r="30" spans="1:13" x14ac:dyDescent="0.45">
      <c r="A30" s="320"/>
      <c r="B30" s="487"/>
      <c r="C30" s="359" t="s">
        <v>153</v>
      </c>
      <c r="D30" s="480" t="str">
        <f>D7&amp;(" exemplaren in 1 transport per week")</f>
        <v>71000 exemplaren in 1 transport per week</v>
      </c>
      <c r="E30" s="481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487"/>
      <c r="C31" s="358" t="s">
        <v>166</v>
      </c>
      <c r="D31" s="482" t="str">
        <f>D15&amp;(" exemplaren in 1 transport per week")</f>
        <v>18400 exemplaren in 1 transport per week</v>
      </c>
      <c r="E31" s="483"/>
      <c r="F31" s="301"/>
      <c r="G31" s="360">
        <v>0</v>
      </c>
      <c r="H31" s="301"/>
      <c r="I31" s="334">
        <f>G31*$D$11</f>
        <v>0</v>
      </c>
      <c r="J31" s="307"/>
      <c r="K31" s="335"/>
      <c r="L31" s="307"/>
      <c r="M31" s="307"/>
    </row>
    <row r="32" spans="1:13" x14ac:dyDescent="0.45">
      <c r="A32" s="320"/>
      <c r="B32" s="487"/>
      <c r="C32" s="358" t="s">
        <v>168</v>
      </c>
      <c r="D32" s="482" t="str">
        <f>VLOOKUP(C6,lijstjes!$B$39:$F$46,4,FALSE)&amp;(" exemplaren in 1 transport per week")</f>
        <v>700 exemplaren in 1 transport per week</v>
      </c>
      <c r="E32" s="483"/>
      <c r="F32" s="301"/>
      <c r="G32" s="333">
        <v>0</v>
      </c>
      <c r="H32" s="301"/>
      <c r="I32" s="334">
        <f>G32*$D$11</f>
        <v>0</v>
      </c>
      <c r="J32" s="307"/>
      <c r="K32" s="335">
        <f t="shared" ref="K32:K34" si="3">I32*$D$14</f>
        <v>0</v>
      </c>
      <c r="L32" s="307"/>
      <c r="M32" s="307"/>
    </row>
    <row r="33" spans="1:13" x14ac:dyDescent="0.45">
      <c r="A33" s="320"/>
      <c r="B33" s="487"/>
      <c r="C33" s="359" t="s">
        <v>126</v>
      </c>
      <c r="D33" s="482" t="str">
        <f>D13&amp;(" exemplaren in 1 transport per week")</f>
        <v>11500 exemplaren in 1 transport per week</v>
      </c>
      <c r="E33" s="483"/>
      <c r="F33" s="301"/>
      <c r="G33" s="360">
        <v>0</v>
      </c>
      <c r="H33" s="301"/>
      <c r="I33" s="334">
        <f t="shared" ref="I33:I34" si="4">G33*$D$11</f>
        <v>0</v>
      </c>
      <c r="J33" s="307"/>
      <c r="K33" s="335">
        <f t="shared" si="3"/>
        <v>0</v>
      </c>
      <c r="L33" s="307"/>
      <c r="M33" s="307"/>
    </row>
    <row r="34" spans="1:13" ht="17" thickBot="1" x14ac:dyDescent="0.5">
      <c r="A34" s="320"/>
      <c r="B34" s="488"/>
      <c r="C34" s="361" t="s">
        <v>156</v>
      </c>
      <c r="D34" s="484" t="s">
        <v>157</v>
      </c>
      <c r="E34" s="485"/>
      <c r="F34" s="301"/>
      <c r="G34" s="362">
        <v>0</v>
      </c>
      <c r="H34" s="301"/>
      <c r="I34" s="350">
        <f t="shared" si="4"/>
        <v>0</v>
      </c>
      <c r="J34" s="307"/>
      <c r="K34" s="351">
        <f t="shared" si="3"/>
        <v>0</v>
      </c>
      <c r="L34" s="307"/>
      <c r="M34" s="307"/>
    </row>
    <row r="35" spans="1:13" x14ac:dyDescent="0.45">
      <c r="A35" s="320"/>
      <c r="B35" s="320"/>
      <c r="C35" s="342" t="s">
        <v>14</v>
      </c>
      <c r="D35" s="374"/>
      <c r="E35" s="374"/>
      <c r="F35" s="301"/>
      <c r="G35" s="363"/>
      <c r="H35" s="301"/>
      <c r="I35" s="345">
        <f>SUM(I28:I34)</f>
        <v>0</v>
      </c>
      <c r="J35" s="307"/>
      <c r="K35" s="345">
        <f>SUM(K28:K34)</f>
        <v>0</v>
      </c>
      <c r="L35" s="307"/>
      <c r="M35" s="307"/>
    </row>
    <row r="36" spans="1:13" ht="9" customHeight="1" thickBot="1" x14ac:dyDescent="0.5">
      <c r="A36" s="320"/>
      <c r="B36" s="320"/>
      <c r="C36" s="348"/>
      <c r="D36" s="348"/>
      <c r="E36" s="348"/>
      <c r="F36" s="348"/>
      <c r="G36" s="348"/>
      <c r="H36" s="301"/>
      <c r="I36" s="301"/>
      <c r="J36" s="307"/>
      <c r="K36" s="364"/>
      <c r="L36" s="307"/>
      <c r="M36" s="307"/>
    </row>
    <row r="37" spans="1:13" ht="17" thickBot="1" x14ac:dyDescent="0.5">
      <c r="A37" s="320"/>
      <c r="B37" s="322"/>
      <c r="C37" s="365"/>
      <c r="D37" s="366"/>
      <c r="E37" s="366"/>
      <c r="F37" s="366"/>
      <c r="G37" s="366"/>
      <c r="H37" s="366"/>
      <c r="I37" s="367">
        <f>SUM(I20:I25,I30:I34)</f>
        <v>0</v>
      </c>
      <c r="J37" s="429">
        <f>IF($I$37=0,0,1)</f>
        <v>0</v>
      </c>
      <c r="K37" s="368" t="e">
        <f>SUM(K20:K25,#REF!,K32:K34)</f>
        <v>#REF!</v>
      </c>
      <c r="L37" s="307"/>
      <c r="M37" s="307"/>
    </row>
    <row r="38" spans="1:13" ht="9" customHeight="1" x14ac:dyDescent="0.45">
      <c r="A38" s="320"/>
      <c r="B38" s="322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07"/>
    </row>
    <row r="39" spans="1:13" s="369" customFormat="1" ht="9" customHeight="1" x14ac:dyDescent="0.45">
      <c r="A39" s="348"/>
      <c r="B39" s="348"/>
      <c r="C39" s="348"/>
      <c r="D39" s="348"/>
      <c r="E39" s="348"/>
      <c r="F39" s="348"/>
      <c r="G39" s="348"/>
      <c r="H39" s="307"/>
      <c r="I39" s="307"/>
      <c r="J39" s="307"/>
      <c r="K39" s="307"/>
      <c r="L39" s="307"/>
      <c r="M39" s="348"/>
    </row>
    <row r="40" spans="1:13" x14ac:dyDescent="0.45">
      <c r="K40" s="372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  <row r="45" spans="1:13" x14ac:dyDescent="0.45">
      <c r="H45" s="309"/>
    </row>
    <row r="46" spans="1:13" x14ac:dyDescent="0.45">
      <c r="H46" s="309"/>
    </row>
  </sheetData>
  <mergeCells count="12">
    <mergeCell ref="B28:B34"/>
    <mergeCell ref="G28:G29"/>
    <mergeCell ref="B18:B25"/>
    <mergeCell ref="D18:D19"/>
    <mergeCell ref="G18:G19"/>
    <mergeCell ref="E18:E19"/>
    <mergeCell ref="D28:E29"/>
    <mergeCell ref="D30:E30"/>
    <mergeCell ref="D32:E32"/>
    <mergeCell ref="D33:E33"/>
    <mergeCell ref="D34:E34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8898-9610-4A42-ADCB-F9C1E316F6C1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199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52000</v>
      </c>
      <c r="E19" s="450">
        <f>E18</f>
        <v>44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zai0FDgYhh7/vVmCMZkIPWOE4zbCxKIdBgSQam6um4tHS6Xgp/GoBjqaV6VJdmWH52vb9gbdQomnM5DRL343Lw==" saltValue="lKlJKPU3sO1z1F9eIUURUQ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57CD-4CD9-4077-A7F4-701CFC16270C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9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200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44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" thickTop="1" x14ac:dyDescent="0.4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idden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170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52000</v>
      </c>
      <c r="E18" s="450">
        <f>D9</f>
        <v>44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 t="shared" ref="K18:K23" si="0">I18*$D$12</f>
        <v>0</v>
      </c>
      <c r="L18" s="379"/>
      <c r="M18" s="379"/>
    </row>
    <row r="19" spans="1:13" x14ac:dyDescent="0.45">
      <c r="A19" s="378"/>
      <c r="B19" s="466"/>
      <c r="C19" s="404" t="s">
        <v>152</v>
      </c>
      <c r="D19" s="450">
        <f>D18</f>
        <v>52000</v>
      </c>
      <c r="E19" s="450">
        <v>6</v>
      </c>
      <c r="F19" s="402"/>
      <c r="G19" s="333">
        <v>0</v>
      </c>
      <c r="H19" s="379"/>
      <c r="I19" s="334">
        <f t="shared" ref="I19:I23" si="1">G19/1000*D19*E19</f>
        <v>0</v>
      </c>
      <c r="J19" s="379"/>
      <c r="K19" s="335">
        <f t="shared" si="0"/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1"/>
        <v>0</v>
      </c>
      <c r="J20" s="379"/>
      <c r="K20" s="335">
        <f t="shared" si="0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52000</v>
      </c>
      <c r="E21" s="450">
        <v>4</v>
      </c>
      <c r="F21" s="402"/>
      <c r="G21" s="333">
        <v>0</v>
      </c>
      <c r="H21" s="379"/>
      <c r="I21" s="334">
        <f t="shared" si="1"/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D18</f>
        <v>52000</v>
      </c>
      <c r="E22" s="450">
        <v>1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52000</v>
      </c>
      <c r="E23" s="451">
        <v>1</v>
      </c>
      <c r="F23" s="402"/>
      <c r="G23" s="338">
        <v>0</v>
      </c>
      <c r="H23" s="379"/>
      <c r="I23" s="339">
        <f t="shared" si="1"/>
        <v>0</v>
      </c>
      <c r="J23" s="379"/>
      <c r="K23" s="340">
        <f t="shared" si="0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179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>G30*$D$9</f>
        <v>0</v>
      </c>
      <c r="J30" s="379"/>
      <c r="K30" s="351">
        <f>I30*$D$12</f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RNvKwl4etP2/4EDIAh1WOnJCudko7iPLvphvYz6i3NrJS8Z40kd/yZw+rAD2axpoEHhXC6V2bCGLtg/hAjAIlw==" saltValue="AjqNau7Tz/4FlI29jIstDg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C64-1878-463C-B35E-265927A20F66}">
  <sheetPr>
    <tabColor rgb="FFFF0000"/>
    <pageSetUpPr fitToPage="1"/>
  </sheetPr>
  <dimension ref="A1:M38"/>
  <sheetViews>
    <sheetView showGridLines="0" zoomScale="90" zoomScaleNormal="90" workbookViewId="0">
      <selection activeCell="I37" sqref="I3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70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x14ac:dyDescent="0.45">
      <c r="A6" s="416"/>
      <c r="B6" s="419" t="s">
        <v>3</v>
      </c>
      <c r="C6" s="423" t="s">
        <v>63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x14ac:dyDescent="0.45">
      <c r="A7" s="416"/>
      <c r="B7" s="419" t="s">
        <v>3</v>
      </c>
      <c r="C7" s="422" t="s">
        <v>4</v>
      </c>
      <c r="D7" s="452">
        <f>VLOOKUP($C$6,lijstjes!$B$27:$F$34,2,FALSE)</f>
        <v>52000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" thickBot="1" x14ac:dyDescent="0.5">
      <c r="A8" s="416"/>
      <c r="B8" s="419" t="s">
        <v>3</v>
      </c>
      <c r="C8" s="421" t="s">
        <v>146</v>
      </c>
      <c r="D8" s="453">
        <f>VLOOKUP($C$6,lijstjes!$B$27:$F$34,4,FALSE)</f>
        <v>52</v>
      </c>
      <c r="E8" s="420"/>
      <c r="F8" s="378"/>
      <c r="G8" s="378"/>
      <c r="H8" s="379"/>
      <c r="I8" s="378"/>
      <c r="J8" s="379"/>
      <c r="K8" s="378"/>
      <c r="L8" s="379"/>
      <c r="M8" s="379"/>
    </row>
    <row r="9" spans="1:13" ht="17.5" thickTop="1" thickBot="1" x14ac:dyDescent="0.5">
      <c r="A9" s="416"/>
      <c r="B9" s="379"/>
      <c r="C9" s="415" t="s">
        <v>5</v>
      </c>
      <c r="D9" s="454">
        <f>D7+D8</f>
        <v>52052</v>
      </c>
      <c r="E9" s="412"/>
      <c r="F9" s="379"/>
      <c r="G9" s="378"/>
      <c r="H9" s="379"/>
      <c r="I9" s="378"/>
      <c r="J9" s="379"/>
      <c r="K9" s="378"/>
      <c r="L9" s="379"/>
      <c r="M9" s="379"/>
    </row>
    <row r="10" spans="1:13" ht="17.5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thickTop="1" thickBot="1" x14ac:dyDescent="0.5">
      <c r="A11" s="378"/>
      <c r="B11" s="379"/>
      <c r="C11" s="415" t="s">
        <v>151</v>
      </c>
      <c r="D11" s="454">
        <f>VLOOKUP($C$6,lijstjes!$B$17:$C$23,2,FALSE)</f>
        <v>44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" thickTop="1" x14ac:dyDescent="0.45">
      <c r="A12" s="416"/>
      <c r="B12" s="379"/>
      <c r="C12" s="419"/>
      <c r="D12" s="456"/>
      <c r="E12" s="418"/>
      <c r="F12" s="416"/>
      <c r="G12" s="417"/>
      <c r="H12" s="379"/>
      <c r="I12" s="416"/>
      <c r="J12" s="379"/>
      <c r="K12" s="416"/>
      <c r="L12" s="379"/>
      <c r="M12" s="379"/>
    </row>
    <row r="13" spans="1:13" ht="17.5" hidden="1" thickTop="1" thickBot="1" x14ac:dyDescent="0.5">
      <c r="A13" s="378"/>
      <c r="B13" s="379"/>
      <c r="C13" s="414" t="s">
        <v>6</v>
      </c>
      <c r="D13" s="454">
        <f>ROUND(VLOOKUP(C6,oplage!$A$3:$F$13,6,FALSE),-2)</f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.5" hidden="1" thickTop="1" thickBot="1" x14ac:dyDescent="0.5">
      <c r="A14" s="378"/>
      <c r="B14" s="380"/>
      <c r="C14" s="415" t="s">
        <v>47</v>
      </c>
      <c r="D14" s="454">
        <v>1</v>
      </c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32" hidden="1" thickTop="1" thickBot="1" x14ac:dyDescent="0.5">
      <c r="A15" s="378"/>
      <c r="B15" s="379"/>
      <c r="C15" s="414" t="s">
        <v>154</v>
      </c>
      <c r="D15" s="454">
        <f>ROUND(VLOOKUP($C$6,lijstjes!$B$39:$F$46,3,FALSE),-2)</f>
        <v>0</v>
      </c>
      <c r="E15" s="412"/>
      <c r="F15" s="378"/>
      <c r="G15" s="378"/>
      <c r="H15" s="379"/>
      <c r="I15" s="378"/>
      <c r="J15" s="379"/>
      <c r="K15" s="378"/>
      <c r="L15" s="379"/>
      <c r="M15" s="379"/>
    </row>
    <row r="16" spans="1:13" hidden="1" x14ac:dyDescent="0.45">
      <c r="A16" s="378"/>
      <c r="B16" s="380"/>
      <c r="C16" s="413"/>
      <c r="D16" s="412"/>
      <c r="E16" s="412"/>
      <c r="F16" s="378"/>
      <c r="G16" s="378"/>
      <c r="H16" s="379"/>
      <c r="I16" s="378"/>
      <c r="J16" s="379"/>
      <c r="K16" s="378"/>
      <c r="L16" s="379"/>
      <c r="M16" s="379"/>
    </row>
    <row r="17" spans="1:13" ht="5.25" customHeight="1" thickBot="1" x14ac:dyDescent="0.5">
      <c r="A17" s="378"/>
      <c r="B17" s="379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  <row r="18" spans="1:13" ht="17" thickTop="1" x14ac:dyDescent="0.45">
      <c r="A18" s="378"/>
      <c r="B18" s="465" t="s">
        <v>7</v>
      </c>
      <c r="C18" s="411"/>
      <c r="D18" s="468" t="s">
        <v>159</v>
      </c>
      <c r="E18" s="468" t="s">
        <v>51</v>
      </c>
      <c r="F18" s="379"/>
      <c r="G18" s="471" t="s">
        <v>35</v>
      </c>
      <c r="H18" s="379"/>
      <c r="I18" s="410" t="s">
        <v>8</v>
      </c>
      <c r="J18" s="379"/>
      <c r="K18" s="409" t="s">
        <v>82</v>
      </c>
      <c r="L18" s="379"/>
      <c r="M18" s="379"/>
    </row>
    <row r="19" spans="1:13" x14ac:dyDescent="0.45">
      <c r="A19" s="378"/>
      <c r="B19" s="466"/>
      <c r="C19" s="408"/>
      <c r="D19" s="469"/>
      <c r="E19" s="470"/>
      <c r="F19" s="379"/>
      <c r="G19" s="472"/>
      <c r="H19" s="379"/>
      <c r="I19" s="407"/>
      <c r="J19" s="379"/>
      <c r="K19" s="406"/>
      <c r="L19" s="379"/>
      <c r="M19" s="379"/>
    </row>
    <row r="20" spans="1:13" x14ac:dyDescent="0.45">
      <c r="A20" s="378"/>
      <c r="B20" s="466"/>
      <c r="C20" s="405" t="s">
        <v>155</v>
      </c>
      <c r="D20" s="450">
        <f>D7</f>
        <v>52000</v>
      </c>
      <c r="E20" s="450">
        <f>D11</f>
        <v>44</v>
      </c>
      <c r="F20" s="402">
        <v>1</v>
      </c>
      <c r="G20" s="333">
        <v>0</v>
      </c>
      <c r="H20" s="379"/>
      <c r="I20" s="334">
        <f>G20/1000*(D20*E20)</f>
        <v>0</v>
      </c>
      <c r="J20" s="379"/>
      <c r="K20" s="335">
        <f t="shared" ref="K20:K25" si="0">I20*$D$14</f>
        <v>0</v>
      </c>
      <c r="L20" s="379"/>
      <c r="M20" s="379"/>
    </row>
    <row r="21" spans="1:13" x14ac:dyDescent="0.45">
      <c r="A21" s="378"/>
      <c r="B21" s="466"/>
      <c r="C21" s="404" t="s">
        <v>169</v>
      </c>
      <c r="D21" s="450">
        <f>D20</f>
        <v>52000</v>
      </c>
      <c r="E21" s="450">
        <f>E20</f>
        <v>44</v>
      </c>
      <c r="F21" s="402"/>
      <c r="G21" s="333">
        <v>0</v>
      </c>
      <c r="H21" s="379"/>
      <c r="I21" s="334">
        <f t="shared" ref="I21:I25" si="1">G21/1000*D21*E21</f>
        <v>0</v>
      </c>
      <c r="J21" s="379"/>
      <c r="K21" s="335">
        <f t="shared" si="0"/>
        <v>0</v>
      </c>
      <c r="L21" s="379"/>
      <c r="M21" s="379"/>
    </row>
    <row r="22" spans="1:13" x14ac:dyDescent="0.45">
      <c r="A22" s="378"/>
      <c r="B22" s="466"/>
      <c r="C22" s="404" t="s">
        <v>10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1"/>
        <v>0</v>
      </c>
      <c r="J22" s="379"/>
      <c r="K22" s="335">
        <f t="shared" si="0"/>
        <v>0</v>
      </c>
      <c r="L22" s="379"/>
      <c r="M22" s="379"/>
    </row>
    <row r="23" spans="1:13" x14ac:dyDescent="0.45">
      <c r="A23" s="378"/>
      <c r="B23" s="466"/>
      <c r="C23" s="404" t="s">
        <v>11</v>
      </c>
      <c r="D23" s="450">
        <f>D20</f>
        <v>52000</v>
      </c>
      <c r="E23" s="450">
        <v>4</v>
      </c>
      <c r="F23" s="402"/>
      <c r="G23" s="333">
        <v>0</v>
      </c>
      <c r="H23" s="379"/>
      <c r="I23" s="334">
        <f t="shared" si="1"/>
        <v>0</v>
      </c>
      <c r="J23" s="379"/>
      <c r="K23" s="335">
        <f t="shared" si="0"/>
        <v>0</v>
      </c>
      <c r="L23" s="379"/>
      <c r="M23" s="379"/>
    </row>
    <row r="24" spans="1:13" x14ac:dyDescent="0.45">
      <c r="A24" s="378"/>
      <c r="B24" s="466"/>
      <c r="C24" s="404" t="s">
        <v>12</v>
      </c>
      <c r="D24" s="450">
        <f>D20</f>
        <v>52000</v>
      </c>
      <c r="E24" s="450">
        <v>1</v>
      </c>
      <c r="F24" s="402"/>
      <c r="G24" s="333">
        <v>0</v>
      </c>
      <c r="H24" s="379"/>
      <c r="I24" s="334">
        <f t="shared" si="1"/>
        <v>0</v>
      </c>
      <c r="J24" s="379"/>
      <c r="K24" s="335">
        <f t="shared" si="0"/>
        <v>0</v>
      </c>
      <c r="L24" s="379"/>
      <c r="M24" s="379"/>
    </row>
    <row r="25" spans="1:13" ht="17" thickBot="1" x14ac:dyDescent="0.5">
      <c r="A25" s="378"/>
      <c r="B25" s="467"/>
      <c r="C25" s="403" t="s">
        <v>13</v>
      </c>
      <c r="D25" s="451">
        <f>D7</f>
        <v>52000</v>
      </c>
      <c r="E25" s="451">
        <v>1</v>
      </c>
      <c r="F25" s="402"/>
      <c r="G25" s="338">
        <v>0</v>
      </c>
      <c r="H25" s="379"/>
      <c r="I25" s="339">
        <f t="shared" si="1"/>
        <v>0</v>
      </c>
      <c r="J25" s="379"/>
      <c r="K25" s="340">
        <f t="shared" si="0"/>
        <v>0</v>
      </c>
      <c r="L25" s="379"/>
      <c r="M25" s="379"/>
    </row>
    <row r="26" spans="1:13" x14ac:dyDescent="0.45">
      <c r="A26" s="378"/>
      <c r="B26" s="401"/>
      <c r="C26" s="387" t="s">
        <v>14</v>
      </c>
      <c r="D26" s="400"/>
      <c r="E26" s="386"/>
      <c r="F26" s="379"/>
      <c r="G26" s="344"/>
      <c r="H26" s="379"/>
      <c r="I26" s="345">
        <f>SUM(I20:I25)</f>
        <v>0</v>
      </c>
      <c r="J26" s="379"/>
      <c r="K26" s="345">
        <f>SUM(K20:K25)</f>
        <v>0</v>
      </c>
      <c r="L26" s="379"/>
      <c r="M26" s="379"/>
    </row>
    <row r="27" spans="1:13" ht="17" thickBot="1" x14ac:dyDescent="0.5">
      <c r="A27" s="378"/>
      <c r="B27" s="378"/>
      <c r="C27" s="378"/>
      <c r="D27" s="399"/>
      <c r="E27" s="399"/>
      <c r="F27" s="378"/>
      <c r="G27" s="398"/>
      <c r="H27" s="379"/>
      <c r="I27" s="378"/>
      <c r="J27" s="379"/>
      <c r="K27" s="397"/>
      <c r="L27" s="379"/>
      <c r="M27" s="379"/>
    </row>
    <row r="28" spans="1:13" x14ac:dyDescent="0.45">
      <c r="A28" s="378"/>
      <c r="B28" s="473" t="s">
        <v>158</v>
      </c>
      <c r="C28" s="396"/>
      <c r="D28" s="476" t="s">
        <v>160</v>
      </c>
      <c r="E28" s="477"/>
      <c r="F28" s="378"/>
      <c r="G28" s="471" t="s">
        <v>125</v>
      </c>
      <c r="H28" s="379"/>
      <c r="I28" s="395" t="s">
        <v>8</v>
      </c>
      <c r="J28" s="379"/>
      <c r="K28" s="394" t="s">
        <v>46</v>
      </c>
      <c r="L28" s="379"/>
      <c r="M28" s="379"/>
    </row>
    <row r="29" spans="1:13" ht="17" thickBot="1" x14ac:dyDescent="0.5">
      <c r="A29" s="378"/>
      <c r="B29" s="474"/>
      <c r="C29" s="393"/>
      <c r="D29" s="478"/>
      <c r="E29" s="479"/>
      <c r="F29" s="378"/>
      <c r="G29" s="472"/>
      <c r="H29" s="379"/>
      <c r="I29" s="392"/>
      <c r="J29" s="379"/>
      <c r="K29" s="391"/>
      <c r="L29" s="379"/>
      <c r="M29" s="379"/>
    </row>
    <row r="30" spans="1:13" x14ac:dyDescent="0.45">
      <c r="A30" s="378"/>
      <c r="B30" s="474"/>
      <c r="C30" s="389" t="s">
        <v>153</v>
      </c>
      <c r="D30" s="480" t="str">
        <f>D7&amp;(" exemplaren in 1 transport per week")</f>
        <v>52000 exemplaren in 1 transport per week</v>
      </c>
      <c r="E30" s="481"/>
      <c r="F30" s="379"/>
      <c r="G30" s="360">
        <v>0</v>
      </c>
      <c r="H30" s="379"/>
      <c r="I30" s="334">
        <f>G30*$D$11</f>
        <v>0</v>
      </c>
      <c r="J30" s="379"/>
      <c r="K30" s="335">
        <f>I30*$D$14</f>
        <v>0</v>
      </c>
      <c r="L30" s="379"/>
      <c r="M30" s="379"/>
    </row>
    <row r="31" spans="1:13" x14ac:dyDescent="0.45">
      <c r="A31" s="378"/>
      <c r="B31" s="474"/>
      <c r="C31" s="390" t="s">
        <v>168</v>
      </c>
      <c r="D31" s="482" t="str">
        <f>VLOOKUP(C6,lijstjes!$B$39:$F$46,4,FALSE)&amp;(" exemplaren in 1 transport per week")</f>
        <v>1400 exemplaren in 1 transport per week</v>
      </c>
      <c r="E31" s="483"/>
      <c r="F31" s="379"/>
      <c r="G31" s="360">
        <v>0</v>
      </c>
      <c r="H31" s="379"/>
      <c r="I31" s="334">
        <f>G31*$D$11</f>
        <v>0</v>
      </c>
      <c r="J31" s="379"/>
      <c r="K31" s="335">
        <f>I31*$D$14</f>
        <v>0</v>
      </c>
      <c r="L31" s="379"/>
      <c r="M31" s="379"/>
    </row>
    <row r="32" spans="1:13" ht="17" thickBot="1" x14ac:dyDescent="0.5">
      <c r="A32" s="378"/>
      <c r="B32" s="475"/>
      <c r="C32" s="388" t="s">
        <v>156</v>
      </c>
      <c r="D32" s="484" t="s">
        <v>157</v>
      </c>
      <c r="E32" s="485"/>
      <c r="F32" s="379"/>
      <c r="G32" s="362">
        <v>0</v>
      </c>
      <c r="H32" s="379"/>
      <c r="I32" s="350">
        <f>G32*$D$11</f>
        <v>0</v>
      </c>
      <c r="J32" s="379"/>
      <c r="K32" s="351">
        <f>I32*$D$14</f>
        <v>0</v>
      </c>
      <c r="L32" s="379"/>
      <c r="M32" s="379"/>
    </row>
    <row r="33" spans="1:13" x14ac:dyDescent="0.45">
      <c r="A33" s="378"/>
      <c r="B33" s="378"/>
      <c r="C33" s="387" t="s">
        <v>14</v>
      </c>
      <c r="D33" s="448"/>
      <c r="E33" s="448"/>
      <c r="F33" s="379"/>
      <c r="G33" s="363"/>
      <c r="H33" s="379"/>
      <c r="I33" s="345">
        <f>SUM(I28:I32)</f>
        <v>0</v>
      </c>
      <c r="J33" s="379"/>
      <c r="K33" s="345">
        <f>SUM(K28:K32)</f>
        <v>0</v>
      </c>
      <c r="L33" s="379"/>
      <c r="M33" s="379"/>
    </row>
    <row r="34" spans="1:13" ht="9" customHeight="1" thickBot="1" x14ac:dyDescent="0.5">
      <c r="A34" s="378"/>
      <c r="B34" s="378"/>
      <c r="C34" s="378"/>
      <c r="D34" s="449"/>
      <c r="E34" s="449"/>
      <c r="F34" s="378"/>
      <c r="G34" s="378"/>
      <c r="H34" s="379"/>
      <c r="I34" s="379"/>
      <c r="J34" s="379"/>
      <c r="K34" s="385"/>
      <c r="L34" s="379"/>
      <c r="M34" s="379"/>
    </row>
    <row r="35" spans="1:13" ht="17" thickBot="1" x14ac:dyDescent="0.5">
      <c r="A35" s="378"/>
      <c r="B35" s="380"/>
      <c r="C35" s="384"/>
      <c r="D35" s="383"/>
      <c r="E35" s="383"/>
      <c r="F35" s="383"/>
      <c r="G35" s="383"/>
      <c r="H35" s="383"/>
      <c r="I35" s="382">
        <f>SUM(I20:I25,I30:I32)</f>
        <v>0</v>
      </c>
      <c r="J35" s="379">
        <f>IF($I$35=0,0,1)</f>
        <v>0</v>
      </c>
      <c r="K35" s="381" t="e">
        <f>SUM(K20:K25,#REF!,K31:K32)</f>
        <v>#REF!</v>
      </c>
      <c r="L35" s="379"/>
      <c r="M35" s="379"/>
    </row>
    <row r="36" spans="1:13" ht="9" customHeight="1" x14ac:dyDescent="0.45">
      <c r="A36" s="378"/>
      <c r="B36" s="380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9"/>
    </row>
    <row r="37" spans="1:13" ht="9" customHeight="1" x14ac:dyDescent="0.45">
      <c r="A37" s="378"/>
      <c r="B37" s="378"/>
      <c r="C37" s="378"/>
      <c r="D37" s="378"/>
      <c r="E37" s="378"/>
      <c r="F37" s="378"/>
      <c r="G37" s="378"/>
      <c r="H37" s="379"/>
      <c r="I37" s="379"/>
      <c r="J37" s="379"/>
      <c r="K37" s="379"/>
      <c r="L37" s="379"/>
      <c r="M37" s="378"/>
    </row>
    <row r="38" spans="1:13" x14ac:dyDescent="0.45">
      <c r="K38" s="377"/>
    </row>
  </sheetData>
  <mergeCells count="10">
    <mergeCell ref="D32:E32"/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59D2-59AC-42A3-8988-25B67B288F14}">
  <sheetPr>
    <pageSetUpPr fitToPage="1"/>
  </sheetPr>
  <dimension ref="A1:M36"/>
  <sheetViews>
    <sheetView showGridLines="0" zoomScale="90" zoomScaleNormal="90" workbookViewId="0">
      <selection activeCell="G16" sqref="G16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453125" style="376" bestFit="1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73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66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122000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49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56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4">
        <v>14000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4">
        <v>122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4">
        <v>14122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>
        <f>VLOOKUP($C$6,lijstjes!$B$17:$C$23,2,FALSE)</f>
        <v>49</v>
      </c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58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59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60" t="s">
        <v>9</v>
      </c>
      <c r="D18" s="450">
        <f>D7</f>
        <v>122000</v>
      </c>
      <c r="E18" s="450">
        <f>D9</f>
        <v>49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61" t="s">
        <v>173</v>
      </c>
      <c r="D19" s="450">
        <v>122000</v>
      </c>
      <c r="E19" s="450">
        <v>6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61" t="s">
        <v>10</v>
      </c>
      <c r="D20" s="450">
        <v>0</v>
      </c>
      <c r="E20" s="450">
        <v>0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61" t="s">
        <v>11</v>
      </c>
      <c r="D21" s="450">
        <v>122000</v>
      </c>
      <c r="E21" s="450">
        <v>6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61" t="s">
        <v>12</v>
      </c>
      <c r="D22" s="450">
        <v>0</v>
      </c>
      <c r="E22" s="450">
        <v>0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62" t="s">
        <v>13</v>
      </c>
      <c r="D23" s="451">
        <v>0</v>
      </c>
      <c r="E23" s="451">
        <v>0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177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178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448"/>
      <c r="E31" s="448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>
        <f>IF($I$33=0,0,1)</f>
        <v>0</v>
      </c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/gx7+vnG+YazNGKXxIq67FMkenWR1dGj+66QoWwIn7DWN5Uk1jjcV8ahOKDvYMhyLzuH38IY5H+2Fr0/2KzaJQ==" saltValue="oHEApR+ywE/HBMbgsw8P8w==" spinCount="100000" sheet="1" objects="1" scenarios="1"/>
  <mergeCells count="10">
    <mergeCell ref="D30:E30"/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headerFooter>
    <oddFooter>&amp;L&amp;F&amp;C&amp;A&amp;R&amp;P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569C-A095-4584-915D-64BEC8CA47EE}">
  <sheetPr>
    <pageSetUpPr fitToPage="1"/>
  </sheetPr>
  <dimension ref="A1:M36"/>
  <sheetViews>
    <sheetView showGridLines="0" zoomScale="90" zoomScaleNormal="90" workbookViewId="0">
      <selection activeCell="G16" sqref="G16:G17"/>
    </sheetView>
  </sheetViews>
  <sheetFormatPr defaultColWidth="9.1796875" defaultRowHeight="16.5" x14ac:dyDescent="0.45"/>
  <cols>
    <col min="1" max="1" width="3" style="376" customWidth="1"/>
    <col min="2" max="2" width="8" style="376" customWidth="1"/>
    <col min="3" max="3" width="65.6328125" style="376" customWidth="1"/>
    <col min="4" max="4" width="38" style="376" customWidth="1"/>
    <col min="5" max="5" width="14.1796875" style="376" customWidth="1"/>
    <col min="6" max="6" width="12.453125" style="376" customWidth="1"/>
    <col min="7" max="7" width="14" style="376" customWidth="1"/>
    <col min="8" max="8" width="2.54296875" style="376" customWidth="1"/>
    <col min="9" max="9" width="23.1796875" style="376" bestFit="1" customWidth="1"/>
    <col min="10" max="10" width="1.81640625" style="376" customWidth="1"/>
    <col min="11" max="11" width="23.1796875" style="376" hidden="1" customWidth="1"/>
    <col min="12" max="12" width="1.81640625" style="376" hidden="1" customWidth="1"/>
    <col min="13" max="13" width="1.81640625" style="376" customWidth="1"/>
    <col min="14" max="16384" width="9.1796875" style="376"/>
  </cols>
  <sheetData>
    <row r="1" spans="1:13" ht="17" thickBot="1" x14ac:dyDescent="0.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 ht="27" thickBot="1" x14ac:dyDescent="0.5">
      <c r="A2" s="416"/>
      <c r="B2" s="379"/>
      <c r="C2" s="428" t="s">
        <v>187</v>
      </c>
      <c r="D2" s="427" t="s">
        <v>1</v>
      </c>
      <c r="E2" s="425"/>
      <c r="F2" s="425"/>
      <c r="G2" s="424"/>
      <c r="H2" s="379"/>
      <c r="I2" s="426"/>
      <c r="J2" s="379"/>
      <c r="K2" s="426"/>
      <c r="L2" s="379"/>
      <c r="M2" s="379"/>
    </row>
    <row r="3" spans="1:13" ht="27" thickBot="1" x14ac:dyDescent="0.5">
      <c r="A3" s="416"/>
      <c r="B3" s="416"/>
      <c r="C3" s="416"/>
      <c r="D3" s="416"/>
      <c r="E3" s="425"/>
      <c r="F3" s="416"/>
      <c r="G3" s="416"/>
      <c r="H3" s="379"/>
      <c r="I3" s="416"/>
      <c r="J3" s="379"/>
      <c r="K3" s="416"/>
      <c r="L3" s="379"/>
      <c r="M3" s="379"/>
    </row>
    <row r="4" spans="1:13" ht="27.5" thickTop="1" thickBot="1" x14ac:dyDescent="0.5">
      <c r="A4" s="416"/>
      <c r="B4" s="379"/>
      <c r="C4" s="426" t="s">
        <v>2</v>
      </c>
      <c r="D4" s="310"/>
      <c r="E4" s="425"/>
      <c r="F4" s="425"/>
      <c r="G4" s="424"/>
      <c r="H4" s="379"/>
      <c r="I4" s="416"/>
      <c r="J4" s="379"/>
      <c r="K4" s="416"/>
      <c r="L4" s="379"/>
      <c r="M4" s="379"/>
    </row>
    <row r="5" spans="1:13" ht="27" thickTop="1" x14ac:dyDescent="0.45">
      <c r="A5" s="416"/>
      <c r="B5" s="426"/>
      <c r="C5" s="425"/>
      <c r="D5" s="425"/>
      <c r="E5" s="425"/>
      <c r="F5" s="425"/>
      <c r="G5" s="424"/>
      <c r="H5" s="379"/>
      <c r="I5" s="416"/>
      <c r="J5" s="379"/>
      <c r="K5" s="416"/>
      <c r="L5" s="379"/>
      <c r="M5" s="379"/>
    </row>
    <row r="6" spans="1:13" ht="17" thickBot="1" x14ac:dyDescent="0.5">
      <c r="A6" s="416"/>
      <c r="B6" s="419" t="s">
        <v>3</v>
      </c>
      <c r="C6" s="423" t="s">
        <v>65</v>
      </c>
      <c r="D6" s="416"/>
      <c r="E6" s="416"/>
      <c r="F6" s="378"/>
      <c r="G6" s="417"/>
      <c r="H6" s="379"/>
      <c r="I6" s="416"/>
      <c r="J6" s="379"/>
      <c r="K6" s="416"/>
      <c r="L6" s="379"/>
      <c r="M6" s="379"/>
    </row>
    <row r="7" spans="1:13" ht="17.5" thickTop="1" thickBot="1" x14ac:dyDescent="0.5">
      <c r="A7" s="416"/>
      <c r="B7" s="419" t="s">
        <v>3</v>
      </c>
      <c r="C7" s="415" t="s">
        <v>4</v>
      </c>
      <c r="D7" s="454">
        <v>101000</v>
      </c>
      <c r="E7" s="420"/>
      <c r="F7" s="378"/>
      <c r="G7" s="417"/>
      <c r="H7" s="379"/>
      <c r="I7" s="416"/>
      <c r="J7" s="379"/>
      <c r="K7" s="416"/>
      <c r="L7" s="379"/>
      <c r="M7" s="379"/>
    </row>
    <row r="8" spans="1:13" ht="17.5" thickTop="1" thickBot="1" x14ac:dyDescent="0.5">
      <c r="A8" s="416"/>
      <c r="B8" s="379"/>
      <c r="C8" s="419"/>
      <c r="D8" s="456"/>
      <c r="E8" s="418"/>
      <c r="F8" s="416"/>
      <c r="G8" s="417"/>
      <c r="H8" s="379"/>
      <c r="I8" s="416"/>
      <c r="J8" s="379"/>
      <c r="K8" s="416"/>
      <c r="L8" s="379"/>
      <c r="M8" s="379"/>
    </row>
    <row r="9" spans="1:13" ht="17.5" thickTop="1" thickBot="1" x14ac:dyDescent="0.5">
      <c r="A9" s="378"/>
      <c r="B9" s="379"/>
      <c r="C9" s="415" t="s">
        <v>151</v>
      </c>
      <c r="D9" s="454">
        <v>45</v>
      </c>
      <c r="E9" s="412"/>
      <c r="F9" s="378"/>
      <c r="G9" s="378"/>
      <c r="H9" s="379"/>
      <c r="I9" s="378"/>
      <c r="J9" s="379"/>
      <c r="K9" s="378"/>
      <c r="L9" s="379"/>
      <c r="M9" s="379"/>
    </row>
    <row r="10" spans="1:13" ht="17.5" hidden="1" thickTop="1" thickBot="1" x14ac:dyDescent="0.5">
      <c r="A10" s="416"/>
      <c r="B10" s="379"/>
      <c r="C10" s="419"/>
      <c r="D10" s="418"/>
      <c r="E10" s="418"/>
      <c r="F10" s="416"/>
      <c r="G10" s="417"/>
      <c r="H10" s="379"/>
      <c r="I10" s="416"/>
      <c r="J10" s="379"/>
      <c r="K10" s="416"/>
      <c r="L10" s="379"/>
      <c r="M10" s="379"/>
    </row>
    <row r="11" spans="1:13" ht="17.5" hidden="1" thickTop="1" thickBot="1" x14ac:dyDescent="0.5">
      <c r="A11" s="378"/>
      <c r="B11" s="379"/>
      <c r="C11" s="414" t="s">
        <v>6</v>
      </c>
      <c r="D11" s="457">
        <v>0</v>
      </c>
      <c r="E11" s="412"/>
      <c r="F11" s="378"/>
      <c r="G11" s="378"/>
      <c r="H11" s="379"/>
      <c r="I11" s="378"/>
      <c r="J11" s="379"/>
      <c r="K11" s="378"/>
      <c r="L11" s="379"/>
      <c r="M11" s="379"/>
    </row>
    <row r="12" spans="1:13" ht="17.5" hidden="1" thickTop="1" thickBot="1" x14ac:dyDescent="0.5">
      <c r="A12" s="378"/>
      <c r="B12" s="380"/>
      <c r="C12" s="415" t="s">
        <v>47</v>
      </c>
      <c r="D12" s="457">
        <v>1</v>
      </c>
      <c r="E12" s="412"/>
      <c r="F12" s="378"/>
      <c r="G12" s="378"/>
      <c r="H12" s="379"/>
      <c r="I12" s="378"/>
      <c r="J12" s="379"/>
      <c r="K12" s="378"/>
      <c r="L12" s="379"/>
      <c r="M12" s="379"/>
    </row>
    <row r="13" spans="1:13" ht="32" hidden="1" thickTop="1" thickBot="1" x14ac:dyDescent="0.5">
      <c r="A13" s="378"/>
      <c r="B13" s="379"/>
      <c r="C13" s="414" t="s">
        <v>154</v>
      </c>
      <c r="D13" s="457">
        <v>0</v>
      </c>
      <c r="E13" s="412"/>
      <c r="F13" s="378"/>
      <c r="G13" s="378"/>
      <c r="H13" s="379"/>
      <c r="I13" s="378"/>
      <c r="J13" s="379"/>
      <c r="K13" s="378"/>
      <c r="L13" s="379"/>
      <c r="M13" s="379"/>
    </row>
    <row r="14" spans="1:13" ht="17" thickTop="1" x14ac:dyDescent="0.45">
      <c r="A14" s="378"/>
      <c r="B14" s="380"/>
      <c r="C14" s="413"/>
      <c r="D14" s="412"/>
      <c r="E14" s="412"/>
      <c r="F14" s="378"/>
      <c r="G14" s="378"/>
      <c r="H14" s="379"/>
      <c r="I14" s="378"/>
      <c r="J14" s="379"/>
      <c r="K14" s="378"/>
      <c r="L14" s="379"/>
      <c r="M14" s="379"/>
    </row>
    <row r="15" spans="1:13" ht="5.25" customHeight="1" thickBot="1" x14ac:dyDescent="0.5">
      <c r="A15" s="378"/>
      <c r="B15" s="379"/>
      <c r="C15" s="378"/>
      <c r="D15" s="379"/>
      <c r="E15" s="379"/>
      <c r="F15" s="379"/>
      <c r="G15" s="379"/>
      <c r="H15" s="379"/>
      <c r="I15" s="379"/>
      <c r="J15" s="379"/>
      <c r="K15" s="379"/>
      <c r="L15" s="379"/>
      <c r="M15" s="379"/>
    </row>
    <row r="16" spans="1:13" ht="17" thickTop="1" x14ac:dyDescent="0.45">
      <c r="A16" s="378"/>
      <c r="B16" s="465" t="s">
        <v>7</v>
      </c>
      <c r="C16" s="411"/>
      <c r="D16" s="468" t="s">
        <v>159</v>
      </c>
      <c r="E16" s="468" t="s">
        <v>51</v>
      </c>
      <c r="F16" s="379"/>
      <c r="G16" s="471" t="s">
        <v>35</v>
      </c>
      <c r="H16" s="379"/>
      <c r="I16" s="410" t="s">
        <v>8</v>
      </c>
      <c r="J16" s="379"/>
      <c r="K16" s="409" t="s">
        <v>82</v>
      </c>
      <c r="L16" s="379"/>
      <c r="M16" s="379"/>
    </row>
    <row r="17" spans="1:13" x14ac:dyDescent="0.45">
      <c r="A17" s="378"/>
      <c r="B17" s="466"/>
      <c r="C17" s="408"/>
      <c r="D17" s="469"/>
      <c r="E17" s="470"/>
      <c r="F17" s="379"/>
      <c r="G17" s="472"/>
      <c r="H17" s="379"/>
      <c r="I17" s="407"/>
      <c r="J17" s="379"/>
      <c r="K17" s="406"/>
      <c r="L17" s="379"/>
      <c r="M17" s="379"/>
    </row>
    <row r="18" spans="1:13" x14ac:dyDescent="0.45">
      <c r="A18" s="378"/>
      <c r="B18" s="466"/>
      <c r="C18" s="405" t="s">
        <v>9</v>
      </c>
      <c r="D18" s="450">
        <f>D7</f>
        <v>101000</v>
      </c>
      <c r="E18" s="450">
        <f>D9</f>
        <v>45</v>
      </c>
      <c r="F18" s="402">
        <v>1</v>
      </c>
      <c r="G18" s="333">
        <v>0</v>
      </c>
      <c r="H18" s="379"/>
      <c r="I18" s="334">
        <f>G18/1000*(D18*E18)</f>
        <v>0</v>
      </c>
      <c r="J18" s="379"/>
      <c r="K18" s="335">
        <f>I18*$D$12</f>
        <v>0</v>
      </c>
      <c r="L18" s="379"/>
      <c r="M18" s="379"/>
    </row>
    <row r="19" spans="1:13" x14ac:dyDescent="0.45">
      <c r="A19" s="378"/>
      <c r="B19" s="466"/>
      <c r="C19" s="404" t="s">
        <v>171</v>
      </c>
      <c r="D19" s="450">
        <f>D18</f>
        <v>101000</v>
      </c>
      <c r="E19" s="450">
        <f>E18</f>
        <v>45</v>
      </c>
      <c r="F19" s="402"/>
      <c r="G19" s="333">
        <v>0</v>
      </c>
      <c r="H19" s="379"/>
      <c r="I19" s="334">
        <f t="shared" ref="I19:I23" si="0">G19/1000*D19*E19</f>
        <v>0</v>
      </c>
      <c r="J19" s="379"/>
      <c r="K19" s="335">
        <f t="shared" ref="K19:K23" si="1">I19*$D$12</f>
        <v>0</v>
      </c>
      <c r="L19" s="379"/>
      <c r="M19" s="379"/>
    </row>
    <row r="20" spans="1:13" x14ac:dyDescent="0.45">
      <c r="A20" s="378"/>
      <c r="B20" s="466"/>
      <c r="C20" s="404" t="s">
        <v>10</v>
      </c>
      <c r="D20" s="450">
        <f>D18</f>
        <v>101000</v>
      </c>
      <c r="E20" s="450">
        <v>1</v>
      </c>
      <c r="F20" s="402"/>
      <c r="G20" s="333">
        <v>0</v>
      </c>
      <c r="H20" s="379"/>
      <c r="I20" s="334">
        <f t="shared" si="0"/>
        <v>0</v>
      </c>
      <c r="J20" s="379"/>
      <c r="K20" s="335">
        <f t="shared" si="1"/>
        <v>0</v>
      </c>
      <c r="L20" s="379"/>
      <c r="M20" s="379"/>
    </row>
    <row r="21" spans="1:13" x14ac:dyDescent="0.45">
      <c r="A21" s="378"/>
      <c r="B21" s="466"/>
      <c r="C21" s="404" t="s">
        <v>11</v>
      </c>
      <c r="D21" s="450">
        <f>D18</f>
        <v>101000</v>
      </c>
      <c r="E21" s="450">
        <v>45</v>
      </c>
      <c r="F21" s="402"/>
      <c r="G21" s="333">
        <v>0</v>
      </c>
      <c r="H21" s="379"/>
      <c r="I21" s="334">
        <f t="shared" si="0"/>
        <v>0</v>
      </c>
      <c r="J21" s="379"/>
      <c r="K21" s="335">
        <f t="shared" si="1"/>
        <v>0</v>
      </c>
      <c r="L21" s="379"/>
      <c r="M21" s="379"/>
    </row>
    <row r="22" spans="1:13" x14ac:dyDescent="0.45">
      <c r="A22" s="378"/>
      <c r="B22" s="466"/>
      <c r="C22" s="404" t="s">
        <v>12</v>
      </c>
      <c r="D22" s="450">
        <f>D19</f>
        <v>101000</v>
      </c>
      <c r="E22" s="450">
        <v>1</v>
      </c>
      <c r="F22" s="402"/>
      <c r="G22" s="333">
        <v>0</v>
      </c>
      <c r="H22" s="379"/>
      <c r="I22" s="334">
        <f t="shared" si="0"/>
        <v>0</v>
      </c>
      <c r="J22" s="379"/>
      <c r="K22" s="335">
        <f t="shared" si="1"/>
        <v>0</v>
      </c>
      <c r="L22" s="379"/>
      <c r="M22" s="379"/>
    </row>
    <row r="23" spans="1:13" ht="17" thickBot="1" x14ac:dyDescent="0.5">
      <c r="A23" s="378"/>
      <c r="B23" s="467"/>
      <c r="C23" s="403" t="s">
        <v>13</v>
      </c>
      <c r="D23" s="451">
        <f>D7</f>
        <v>101000</v>
      </c>
      <c r="E23" s="451">
        <v>1</v>
      </c>
      <c r="F23" s="402"/>
      <c r="G23" s="338">
        <v>0</v>
      </c>
      <c r="H23" s="379"/>
      <c r="I23" s="339">
        <f t="shared" si="0"/>
        <v>0</v>
      </c>
      <c r="J23" s="379"/>
      <c r="K23" s="340">
        <f t="shared" si="1"/>
        <v>0</v>
      </c>
      <c r="L23" s="379"/>
      <c r="M23" s="379"/>
    </row>
    <row r="24" spans="1:13" x14ac:dyDescent="0.45">
      <c r="A24" s="378"/>
      <c r="B24" s="401"/>
      <c r="C24" s="387" t="s">
        <v>14</v>
      </c>
      <c r="D24" s="400"/>
      <c r="E24" s="386"/>
      <c r="F24" s="379"/>
      <c r="G24" s="344"/>
      <c r="H24" s="379"/>
      <c r="I24" s="345">
        <f>SUM(I18:I23)</f>
        <v>0</v>
      </c>
      <c r="J24" s="379"/>
      <c r="K24" s="345">
        <f>SUM(K18:K23)</f>
        <v>0</v>
      </c>
      <c r="L24" s="379"/>
      <c r="M24" s="379"/>
    </row>
    <row r="25" spans="1:13" ht="17" thickBot="1" x14ac:dyDescent="0.5">
      <c r="A25" s="378"/>
      <c r="B25" s="378"/>
      <c r="C25" s="378"/>
      <c r="D25" s="399"/>
      <c r="E25" s="399"/>
      <c r="F25" s="378"/>
      <c r="G25" s="398"/>
      <c r="H25" s="379"/>
      <c r="I25" s="378"/>
      <c r="J25" s="379"/>
      <c r="K25" s="397"/>
      <c r="L25" s="379"/>
      <c r="M25" s="379"/>
    </row>
    <row r="26" spans="1:13" x14ac:dyDescent="0.45">
      <c r="A26" s="378"/>
      <c r="B26" s="473" t="s">
        <v>158</v>
      </c>
      <c r="C26" s="396"/>
      <c r="D26" s="476" t="s">
        <v>160</v>
      </c>
      <c r="E26" s="477"/>
      <c r="F26" s="378"/>
      <c r="G26" s="471" t="s">
        <v>125</v>
      </c>
      <c r="H26" s="379"/>
      <c r="I26" s="395" t="s">
        <v>8</v>
      </c>
      <c r="J26" s="379"/>
      <c r="K26" s="394" t="s">
        <v>46</v>
      </c>
      <c r="L26" s="379"/>
      <c r="M26" s="379"/>
    </row>
    <row r="27" spans="1:13" ht="17" thickBot="1" x14ac:dyDescent="0.5">
      <c r="A27" s="378"/>
      <c r="B27" s="474"/>
      <c r="C27" s="393"/>
      <c r="D27" s="478"/>
      <c r="E27" s="479"/>
      <c r="F27" s="378"/>
      <c r="G27" s="472"/>
      <c r="H27" s="379"/>
      <c r="I27" s="392"/>
      <c r="J27" s="379"/>
      <c r="K27" s="391"/>
      <c r="L27" s="379"/>
      <c r="M27" s="379"/>
    </row>
    <row r="28" spans="1:13" x14ac:dyDescent="0.45">
      <c r="A28" s="378"/>
      <c r="B28" s="474"/>
      <c r="C28" s="389" t="s">
        <v>153</v>
      </c>
      <c r="D28" s="480" t="s">
        <v>176</v>
      </c>
      <c r="E28" s="481"/>
      <c r="F28" s="379"/>
      <c r="G28" s="360">
        <v>0</v>
      </c>
      <c r="H28" s="379"/>
      <c r="I28" s="334">
        <f>G28*$D$9</f>
        <v>0</v>
      </c>
      <c r="J28" s="379"/>
      <c r="K28" s="335">
        <f>I28*$D$12</f>
        <v>0</v>
      </c>
      <c r="L28" s="379"/>
      <c r="M28" s="379"/>
    </row>
    <row r="29" spans="1:13" x14ac:dyDescent="0.45">
      <c r="A29" s="378"/>
      <c r="B29" s="474"/>
      <c r="C29" s="390" t="s">
        <v>168</v>
      </c>
      <c r="D29" s="482" t="s">
        <v>175</v>
      </c>
      <c r="E29" s="483"/>
      <c r="F29" s="379"/>
      <c r="G29" s="360">
        <v>0</v>
      </c>
      <c r="H29" s="379"/>
      <c r="I29" s="334">
        <f>G29*$D$9</f>
        <v>0</v>
      </c>
      <c r="J29" s="379"/>
      <c r="K29" s="335">
        <f t="shared" ref="K29:K30" si="2">I29*$D$12</f>
        <v>0</v>
      </c>
      <c r="L29" s="379"/>
      <c r="M29" s="379"/>
    </row>
    <row r="30" spans="1:13" ht="17" thickBot="1" x14ac:dyDescent="0.5">
      <c r="A30" s="378"/>
      <c r="B30" s="475"/>
      <c r="C30" s="388" t="s">
        <v>156</v>
      </c>
      <c r="D30" s="484" t="s">
        <v>157</v>
      </c>
      <c r="E30" s="485"/>
      <c r="F30" s="379"/>
      <c r="G30" s="362">
        <v>0</v>
      </c>
      <c r="H30" s="379"/>
      <c r="I30" s="350">
        <f t="shared" ref="I30" si="3">G30*$D$9</f>
        <v>0</v>
      </c>
      <c r="J30" s="379"/>
      <c r="K30" s="351">
        <f t="shared" si="2"/>
        <v>0</v>
      </c>
      <c r="L30" s="379"/>
      <c r="M30" s="379"/>
    </row>
    <row r="31" spans="1:13" x14ac:dyDescent="0.45">
      <c r="A31" s="378"/>
      <c r="B31" s="378"/>
      <c r="C31" s="387" t="s">
        <v>14</v>
      </c>
      <c r="D31" s="386"/>
      <c r="E31" s="386"/>
      <c r="F31" s="379"/>
      <c r="G31" s="363"/>
      <c r="H31" s="379"/>
      <c r="I31" s="345">
        <f>SUM(I26:I30)</f>
        <v>0</v>
      </c>
      <c r="J31" s="379"/>
      <c r="K31" s="345">
        <f>SUM(K26:K30)</f>
        <v>0</v>
      </c>
      <c r="L31" s="379"/>
      <c r="M31" s="379"/>
    </row>
    <row r="32" spans="1:13" ht="9" customHeight="1" thickBot="1" x14ac:dyDescent="0.5">
      <c r="A32" s="378"/>
      <c r="B32" s="378"/>
      <c r="C32" s="378"/>
      <c r="D32" s="378"/>
      <c r="E32" s="378"/>
      <c r="F32" s="378"/>
      <c r="G32" s="378"/>
      <c r="H32" s="379"/>
      <c r="I32" s="379"/>
      <c r="J32" s="379"/>
      <c r="K32" s="385"/>
      <c r="L32" s="379"/>
      <c r="M32" s="379"/>
    </row>
    <row r="33" spans="1:13" ht="17" thickBot="1" x14ac:dyDescent="0.5">
      <c r="A33" s="378"/>
      <c r="B33" s="380"/>
      <c r="C33" s="384"/>
      <c r="D33" s="383"/>
      <c r="E33" s="383"/>
      <c r="F33" s="383"/>
      <c r="G33" s="383"/>
      <c r="H33" s="383"/>
      <c r="I33" s="382">
        <f>SUM(I18:I23,I28:I30)</f>
        <v>0</v>
      </c>
      <c r="J33" s="379"/>
      <c r="K33" s="381" t="e">
        <f>SUM(K18:K23,#REF!,K29:K30)</f>
        <v>#REF!</v>
      </c>
      <c r="L33" s="379"/>
      <c r="M33" s="379"/>
    </row>
    <row r="34" spans="1:13" ht="9" customHeight="1" x14ac:dyDescent="0.45">
      <c r="A34" s="378"/>
      <c r="B34" s="380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9"/>
    </row>
    <row r="35" spans="1:13" ht="9" customHeight="1" x14ac:dyDescent="0.45">
      <c r="A35" s="378"/>
      <c r="B35" s="378"/>
      <c r="C35" s="378"/>
      <c r="D35" s="378"/>
      <c r="E35" s="378"/>
      <c r="F35" s="378"/>
      <c r="G35" s="378"/>
      <c r="H35" s="379"/>
      <c r="I35" s="379"/>
      <c r="J35" s="379"/>
      <c r="K35" s="379"/>
      <c r="L35" s="379"/>
      <c r="M35" s="378"/>
    </row>
    <row r="36" spans="1:13" x14ac:dyDescent="0.45">
      <c r="K36" s="377"/>
    </row>
  </sheetData>
  <sheetProtection algorithmName="SHA-512" hashValue="Y34RT4RHAd3gcGTWNnnuBBDPdXGmEecwN/I0CzA37qeAslkNRtZvObwO1bGbO6pdaachu3DwJXkbV+TsvoDoQw==" saltValue="AgDhlGTyklKHc8bPXTKJ7A==" spinCount="100000" sheet="1" objects="1" scenarios="1"/>
  <mergeCells count="10">
    <mergeCell ref="B16:B23"/>
    <mergeCell ref="D16:D17"/>
    <mergeCell ref="E16:E17"/>
    <mergeCell ref="G16:G17"/>
    <mergeCell ref="B26:B30"/>
    <mergeCell ref="D26:E27"/>
    <mergeCell ref="G26:G27"/>
    <mergeCell ref="D28:E28"/>
    <mergeCell ref="D29:E29"/>
    <mergeCell ref="D30:E3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19CC04-08B0-4C24-BB7D-BED0A42A8D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DCBFE9-5251-4DFB-9FAF-B876B6021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9A38A1-DD8B-4C39-B979-348845C377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16</vt:i4>
      </vt:variant>
    </vt:vector>
  </HeadingPairs>
  <TitlesOfParts>
    <vt:vector size="35" baseType="lpstr">
      <vt:lpstr>Perceel 26</vt:lpstr>
      <vt:lpstr>Perceel 2 Inschrijfsom 1</vt:lpstr>
      <vt:lpstr>Perceel 2 Inschrijfsom 2</vt:lpstr>
      <vt:lpstr>Perceel 2</vt:lpstr>
      <vt:lpstr>Perceel 5 Inschrijfsom 1</vt:lpstr>
      <vt:lpstr>Perceel 5 Inschrijfsom 2</vt:lpstr>
      <vt:lpstr>Perceel 5</vt:lpstr>
      <vt:lpstr>Perceel 8</vt:lpstr>
      <vt:lpstr>Perceel 11 Inschrijfsom 1</vt:lpstr>
      <vt:lpstr>Perceel 11 Inschrijfsom 2</vt:lpstr>
      <vt:lpstr>Perceel 11</vt:lpstr>
      <vt:lpstr>Perceel 14</vt:lpstr>
      <vt:lpstr>Perceel 17</vt:lpstr>
      <vt:lpstr>Perceel 20 Inschrijsom 1</vt:lpstr>
      <vt:lpstr>Perceel 20 Inschrijfsom 2</vt:lpstr>
      <vt:lpstr>Perceel 20</vt:lpstr>
      <vt:lpstr>lijstjes</vt:lpstr>
      <vt:lpstr>oplage</vt:lpstr>
      <vt:lpstr>drukkers NIET GEBRUIKEN </vt:lpstr>
      <vt:lpstr>'drukkers NIET GEBRUIKEN '!Afdrukbereik</vt:lpstr>
      <vt:lpstr>'Perceel 11'!Afdrukbereik</vt:lpstr>
      <vt:lpstr>'Perceel 11 Inschrijfsom 1'!Afdrukbereik</vt:lpstr>
      <vt:lpstr>'Perceel 11 Inschrijfsom 2'!Afdrukbereik</vt:lpstr>
      <vt:lpstr>'Perceel 14'!Afdrukbereik</vt:lpstr>
      <vt:lpstr>'Perceel 17'!Afdrukbereik</vt:lpstr>
      <vt:lpstr>'Perceel 2'!Afdrukbereik</vt:lpstr>
      <vt:lpstr>'Perceel 2 Inschrijfsom 1'!Afdrukbereik</vt:lpstr>
      <vt:lpstr>'Perceel 2 Inschrijfsom 2'!Afdrukbereik</vt:lpstr>
      <vt:lpstr>'Perceel 20'!Afdrukbereik</vt:lpstr>
      <vt:lpstr>'Perceel 20 Inschrijfsom 2'!Afdrukbereik</vt:lpstr>
      <vt:lpstr>'Perceel 20 Inschrijsom 1'!Afdrukbereik</vt:lpstr>
      <vt:lpstr>'Perceel 5'!Afdrukbereik</vt:lpstr>
      <vt:lpstr>'Perceel 5 Inschrijfsom 1'!Afdrukbereik</vt:lpstr>
      <vt:lpstr>'Perceel 5 Inschrijfsom 2'!Afdrukbereik</vt:lpstr>
      <vt:lpstr>'Perceel 8'!Afdrukbereik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2021-04-23T11:20:54Z</cp:lastPrinted>
  <dcterms:created xsi:type="dcterms:W3CDTF">2015-02-24T16:35:06Z</dcterms:created>
  <dcterms:modified xsi:type="dcterms:W3CDTF">2021-05-04T16:34:26Z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