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C358006A-C2CE-4BFF-9ABE-0A5CDE923BC8}" xr6:coauthVersionLast="46" xr6:coauthVersionMax="46" xr10:uidLastSave="{00000000-0000-0000-0000-000000000000}"/>
  <workbookProtection workbookAlgorithmName="SHA-512" workbookHashValue="QdFZGUaWwiHm9MJb6BxVGoKVagus+VDlvKIaF50b9bEoXI5zkTu311y8J59paNxoTivhpWf8JtznUVqmTLaJrA==" workbookSaltValue="/tbe/C0rDs5UMQXijsjq3Q==" workbookSpinCount="100000" lockStructure="1"/>
  <bookViews>
    <workbookView xWindow="-120" yWindow="-120" windowWidth="25440" windowHeight="15390" xr2:uid="{00000000-000D-0000-FFFF-FFFF00000000}"/>
  </bookViews>
  <sheets>
    <sheet name="Perceel 3" sheetId="1" r:id="rId1"/>
    <sheet name="Blad2" sheetId="3" state="hidden" r:id="rId2"/>
  </sheets>
  <definedNames>
    <definedName name="_xlnm.Print_Area" localSheetId="0">'Perceel 3'!$B$2:$W$101,'Perceel 3'!$X$2:$AN$56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" i="1" l="1"/>
  <c r="D86" i="1"/>
  <c r="D85" i="1"/>
  <c r="E81" i="1"/>
  <c r="W33" i="1" l="1"/>
  <c r="D30" i="1" l="1"/>
  <c r="W30" i="1" s="1"/>
  <c r="E11" i="1" l="1"/>
  <c r="E10" i="1"/>
  <c r="E15" i="1"/>
  <c r="E4" i="1"/>
  <c r="E9" i="1"/>
  <c r="K93" i="1" l="1"/>
  <c r="AI33" i="1" l="1"/>
  <c r="AL14" i="1"/>
  <c r="D29" i="1"/>
  <c r="D28" i="1"/>
  <c r="AA28" i="1" s="1"/>
  <c r="AB28" i="1" s="1"/>
  <c r="D27" i="1"/>
  <c r="AI29" i="1" l="1"/>
  <c r="W29" i="1"/>
  <c r="AI27" i="1"/>
  <c r="AI28" i="1"/>
  <c r="T31" i="1"/>
  <c r="Q31" i="1"/>
  <c r="D24" i="1" l="1"/>
  <c r="D65" i="1"/>
  <c r="AI24" i="1" l="1"/>
  <c r="K84" i="1"/>
  <c r="E33" i="1"/>
  <c r="K85" i="1"/>
  <c r="K96" i="1"/>
  <c r="K95" i="1"/>
  <c r="K94" i="1"/>
  <c r="K92" i="1"/>
  <c r="K86" i="1" l="1"/>
  <c r="K87" i="1"/>
  <c r="AJ44" i="1" l="1"/>
  <c r="AJ41" i="1"/>
  <c r="AJ39" i="1"/>
  <c r="E29" i="1" l="1"/>
  <c r="D23" i="1"/>
  <c r="AI23" i="1" l="1"/>
  <c r="AI30" i="1"/>
  <c r="E23" i="1"/>
  <c r="E30" i="1"/>
  <c r="E24" i="1"/>
  <c r="AC29" i="1"/>
  <c r="D32" i="1"/>
  <c r="W32" i="1" s="1"/>
  <c r="T29" i="1"/>
  <c r="AH29" i="1" s="1"/>
  <c r="Q29" i="1"/>
  <c r="AJ33" i="1"/>
  <c r="AI32" i="1" l="1"/>
  <c r="E27" i="1"/>
  <c r="D31" i="1"/>
  <c r="W31" i="1" s="1"/>
  <c r="E28" i="1"/>
  <c r="AD33" i="1"/>
  <c r="AA29" i="1"/>
  <c r="AB29" i="1" s="1"/>
  <c r="AG29" i="1"/>
  <c r="AH31" i="1" l="1"/>
  <c r="AI31" i="1"/>
  <c r="D34" i="1"/>
  <c r="W34" i="1" s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K81" i="1"/>
  <c r="D82" i="1" l="1"/>
  <c r="E83" i="1"/>
  <c r="D83" i="1" s="1"/>
  <c r="E82" i="1"/>
  <c r="K83" i="1"/>
  <c r="E20" i="1"/>
  <c r="AJ34" i="1"/>
  <c r="AD34" i="1"/>
  <c r="AL31" i="1"/>
  <c r="AJ27" i="1"/>
  <c r="AD27" i="1"/>
  <c r="AJ28" i="1"/>
  <c r="AD28" i="1"/>
  <c r="AJ30" i="1"/>
  <c r="AD30" i="1"/>
  <c r="K82" i="1" l="1"/>
  <c r="K88" i="1" l="1"/>
  <c r="AL51" i="1" s="1"/>
  <c r="K97" i="1"/>
  <c r="AL52" i="1" s="1"/>
  <c r="K99" i="1"/>
  <c r="AD44" i="1" l="1"/>
  <c r="AJ23" i="1" l="1"/>
  <c r="E47" i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</calcChain>
</file>

<file path=xl/sharedStrings.xml><?xml version="1.0" encoding="utf-8"?>
<sst xmlns="http://schemas.openxmlformats.org/spreadsheetml/2006/main" count="286" uniqueCount="158">
  <si>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</si>
  <si>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</si>
  <si>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</si>
  <si>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</si>
  <si>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</si>
  <si>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</si>
  <si>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</si>
  <si>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</si>
  <si>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</si>
  <si>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</si>
  <si>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</si>
  <si>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</si>
  <si>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</si>
  <si>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</si>
  <si>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</si>
  <si>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</si>
  <si>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</si>
  <si>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</si>
  <si>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</si>
  <si>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</si>
  <si>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</si>
  <si>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</si>
  <si>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</si>
  <si>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</si>
  <si>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</si>
  <si>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</si>
  <si>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</si>
  <si>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</si>
  <si>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</si>
  <si>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</si>
  <si>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</si>
  <si>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</si>
  <si>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</si>
  <si>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</si>
  <si>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</si>
  <si>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</si>
  <si>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</si>
  <si>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</si>
  <si>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</si>
  <si>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</si>
  <si>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</si>
  <si>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</si>
  <si>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</si>
  <si>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</si>
  <si>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</si>
  <si>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</si>
  <si>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</si>
  <si>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</si>
  <si>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</si>
  <si>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</si>
  <si>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</si>
  <si>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</si>
  <si>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</si>
  <si>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</si>
  <si>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</si>
  <si>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</si>
  <si>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</si>
  <si>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</si>
  <si>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</si>
  <si>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</si>
  <si>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</si>
  <si>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</si>
  <si>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</si>
  <si>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</si>
  <si>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</si>
  <si>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</si>
  <si>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</si>
  <si>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</si>
  <si>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</si>
  <si>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</si>
  <si>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</si>
  <si>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</si>
  <si>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</si>
  <si>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</si>
  <si>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</si>
  <si>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</si>
  <si>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</si>
  <si>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</si>
  <si>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</si>
  <si>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</si>
  <si>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</si>
  <si>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</si>
  <si>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</si>
  <si>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</si>
  <si>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</si>
  <si>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</si>
  <si>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</si>
  <si>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</si>
  <si>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</si>
  <si>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</si>
  <si>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</si>
  <si>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</si>
  <si>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</si>
  <si>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</si>
  <si>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</si>
  <si>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</si>
  <si>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</si>
  <si>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</si>
  <si>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</si>
  <si>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</si>
  <si>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</si>
  <si>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</si>
  <si>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>Vervolg Perceel 3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</si>
  <si>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</si>
  <si>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</si>
  <si>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</si>
  <si>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</si>
  <si>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</si>
  <si>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</si>
  <si>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</si>
  <si>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</si>
  <si>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</si>
  <si>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sealen bij selfcover</t>
  </si>
  <si>
    <t>Toeslag sealen bij niet-selfcover en/of bijlage(s)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</si>
  <si>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</si>
  <si>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</si>
  <si>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</si>
  <si>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</si>
  <si>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</si>
  <si>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</si>
  <si>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</si>
  <si>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</si>
  <si>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</si>
  <si>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</si>
  <si>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</si>
  <si>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</si>
  <si>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</si>
  <si>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PERCEEL 3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</si>
  <si>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</si>
  <si>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</si>
  <si>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</si>
  <si>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</si>
  <si>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</si>
  <si>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Inschatting per editie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</si>
  <si>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</si>
  <si>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</si>
  <si>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</si>
  <si>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</si>
  <si>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</si>
  <si>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</si>
  <si>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</si>
  <si>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</si>
  <si>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</si>
  <si>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</si>
  <si>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</si>
  <si>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</si>
  <si>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Transportkosten leesportefeuillehouders Hilversum</t>
  </si>
  <si>
    <t>Looprichting (LL / BL)</t>
  </si>
  <si>
    <t>1. Postaal verwerken             kosten</t>
  </si>
  <si>
    <t>t.b.v. van losse verkoop kaart, insteken tijdens hechtproces of op andere wijze</t>
  </si>
  <si>
    <t>Transportkosten exemplaren wekelijks één adres Hilversum</t>
  </si>
  <si>
    <t>zie vervolg Perceel 3 hieronder</t>
  </si>
  <si>
    <t>zie Postaal verwerken</t>
  </si>
  <si>
    <t>71000 exemplaren in 1 transport per week</t>
  </si>
  <si>
    <t>14500 exemplaren in 1 transport per week</t>
  </si>
  <si>
    <t>700 exemplaren in 1 transport per week</t>
  </si>
  <si>
    <t>11500 exemplaren in 1 transport per week</t>
  </si>
  <si>
    <t> 1000 exemplaren in 1 transport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</si>
</sst>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  <numFmt numFmtId="169" formatCode="#,##0_ ;\-#,##0\ "/>
    <numFmt numFmtId="170" formatCode="_-&quot;€&quot;\ * #,##0.00_-;_-&quot;€&quot;\ * #,##0.00\-;_-&quot;€&quot;\ * &quot;-&quot;??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2"/>
      <color theme="1"/>
      <name val="Muli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2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6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30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1" fillId="7" borderId="4" xfId="2" applyFont="1" applyFill="1" applyBorder="1" applyAlignment="1">
      <alignment horizontal="left" vertical="top"/>
    </xf>
    <xf numFmtId="0" fontId="31" fillId="7" borderId="0" xfId="2" applyFont="1" applyFill="1" applyBorder="1" applyAlignment="1">
      <alignment horizontal="left" vertical="top"/>
    </xf>
    <xf numFmtId="0" fontId="31" fillId="7" borderId="7" xfId="2" applyFont="1" applyFill="1" applyBorder="1" applyAlignment="1">
      <alignment horizontal="left" vertical="top"/>
    </xf>
    <xf numFmtId="1" fontId="31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1" fillId="7" borderId="23" xfId="2" applyFont="1" applyFill="1" applyBorder="1" applyAlignment="1">
      <alignment horizontal="left" vertical="top"/>
    </xf>
    <xf numFmtId="0" fontId="31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2" fillId="5" borderId="12" xfId="2" applyFont="1" applyFill="1" applyBorder="1" applyAlignment="1">
      <alignment vertical="top"/>
    </xf>
    <xf numFmtId="0" fontId="32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7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4" fillId="3" borderId="1" xfId="2" applyFont="1" applyFill="1" applyBorder="1" applyAlignment="1">
      <alignment horizontal="left" vertical="top" wrapText="1"/>
    </xf>
    <xf numFmtId="0" fontId="33" fillId="3" borderId="14" xfId="2" applyFont="1" applyFill="1" applyBorder="1" applyAlignment="1">
      <alignment vertical="top"/>
    </xf>
    <xf numFmtId="0" fontId="35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0" fontId="36" fillId="8" borderId="0" xfId="0" applyFont="1" applyFill="1"/>
    <xf numFmtId="0" fontId="3" fillId="8" borderId="0" xfId="0" applyFont="1" applyFill="1"/>
    <xf numFmtId="0" fontId="3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38" fillId="8" borderId="0" xfId="0" applyFont="1" applyFill="1" applyAlignment="1">
      <alignment horizontal="right" vertical="center"/>
    </xf>
    <xf numFmtId="0" fontId="15" fillId="8" borderId="0" xfId="0" applyFont="1" applyFill="1"/>
    <xf numFmtId="0" fontId="15" fillId="8" borderId="0" xfId="0" applyFont="1" applyFill="1" applyAlignment="1">
      <alignment horizontal="center"/>
    </xf>
    <xf numFmtId="0" fontId="39" fillId="8" borderId="0" xfId="0" applyFont="1" applyFill="1" applyAlignment="1">
      <alignment vertical="center"/>
    </xf>
    <xf numFmtId="0" fontId="22" fillId="8" borderId="0" xfId="0" applyFont="1" applyFill="1"/>
    <xf numFmtId="0" fontId="22" fillId="8" borderId="0" xfId="0" applyFont="1" applyFill="1" applyAlignment="1">
      <alignment horizontal="right"/>
    </xf>
    <xf numFmtId="0" fontId="15" fillId="8" borderId="37" xfId="0" applyFont="1" applyFill="1" applyBorder="1" applyAlignment="1">
      <alignment horizontal="left" wrapText="1"/>
    </xf>
    <xf numFmtId="0" fontId="15" fillId="8" borderId="38" xfId="0" applyFont="1" applyFill="1" applyBorder="1" applyAlignment="1">
      <alignment horizontal="left" wrapText="1"/>
    </xf>
    <xf numFmtId="0" fontId="40" fillId="8" borderId="0" xfId="0" applyFont="1" applyFill="1"/>
    <xf numFmtId="0" fontId="15" fillId="8" borderId="38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right"/>
    </xf>
    <xf numFmtId="0" fontId="15" fillId="8" borderId="0" xfId="0" applyFont="1" applyFill="1" applyAlignment="1">
      <alignment horizontal="left" wrapText="1"/>
    </xf>
    <xf numFmtId="3" fontId="15" fillId="8" borderId="0" xfId="0" applyNumberFormat="1" applyFont="1" applyFill="1" applyAlignment="1">
      <alignment horizontal="right"/>
    </xf>
    <xf numFmtId="3" fontId="41" fillId="7" borderId="2" xfId="0" applyNumberFormat="1" applyFont="1" applyFill="1" applyBorder="1" applyAlignment="1">
      <alignment horizontal="center"/>
    </xf>
    <xf numFmtId="3" fontId="41" fillId="7" borderId="0" xfId="0" applyNumberFormat="1" applyFont="1" applyFill="1"/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3" fontId="22" fillId="8" borderId="19" xfId="0" applyNumberFormat="1" applyFont="1" applyFill="1" applyBorder="1" applyAlignment="1">
      <alignment horizontal="left"/>
    </xf>
    <xf numFmtId="44" fontId="22" fillId="2" borderId="41" xfId="1" applyFont="1" applyFill="1" applyBorder="1" applyProtection="1">
      <protection locked="0"/>
    </xf>
    <xf numFmtId="44" fontId="22" fillId="8" borderId="5" xfId="1" applyFont="1" applyFill="1" applyBorder="1" applyAlignment="1" applyProtection="1">
      <alignment horizontal="right"/>
    </xf>
    <xf numFmtId="3" fontId="22" fillId="8" borderId="19" xfId="0" applyNumberFormat="1" applyFont="1" applyFill="1" applyBorder="1"/>
    <xf numFmtId="44" fontId="22" fillId="8" borderId="8" xfId="1" applyFont="1" applyFill="1" applyBorder="1" applyAlignment="1" applyProtection="1">
      <alignment horizontal="center"/>
    </xf>
    <xf numFmtId="3" fontId="22" fillId="8" borderId="33" xfId="0" applyNumberFormat="1" applyFont="1" applyFill="1" applyBorder="1"/>
    <xf numFmtId="44" fontId="22" fillId="2" borderId="42" xfId="1" applyFont="1" applyFill="1" applyBorder="1" applyProtection="1">
      <protection locked="0"/>
    </xf>
    <xf numFmtId="44" fontId="22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2" fillId="8" borderId="0" xfId="0" applyFont="1" applyFill="1"/>
    <xf numFmtId="9" fontId="41" fillId="8" borderId="2" xfId="0" applyNumberFormat="1" applyFont="1" applyFill="1" applyBorder="1" applyAlignment="1">
      <alignment horizontal="center"/>
    </xf>
    <xf numFmtId="44" fontId="22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2" fillId="7" borderId="1" xfId="0" applyFont="1" applyFill="1" applyBorder="1" applyAlignment="1">
      <alignment horizontal="left"/>
    </xf>
    <xf numFmtId="0" fontId="22" fillId="7" borderId="13" xfId="0" applyFont="1" applyFill="1" applyBorder="1" applyAlignment="1">
      <alignment horizontal="left"/>
    </xf>
    <xf numFmtId="0" fontId="22" fillId="8" borderId="8" xfId="0" applyFont="1" applyFill="1" applyBorder="1"/>
    <xf numFmtId="44" fontId="22" fillId="2" borderId="27" xfId="1" applyFont="1" applyFill="1" applyBorder="1" applyProtection="1">
      <protection locked="0"/>
    </xf>
    <xf numFmtId="44" fontId="22" fillId="8" borderId="36" xfId="1" applyFont="1" applyFill="1" applyBorder="1" applyAlignment="1" applyProtection="1">
      <alignment horizontal="center"/>
    </xf>
    <xf numFmtId="44" fontId="22" fillId="8" borderId="46" xfId="1" applyFont="1" applyFill="1" applyBorder="1" applyAlignment="1" applyProtection="1">
      <alignment horizontal="center"/>
    </xf>
    <xf numFmtId="0" fontId="22" fillId="8" borderId="31" xfId="0" applyFont="1" applyFill="1" applyBorder="1"/>
    <xf numFmtId="44" fontId="22" fillId="2" borderId="29" xfId="1" applyFont="1" applyFill="1" applyBorder="1" applyProtection="1">
      <protection locked="0"/>
    </xf>
    <xf numFmtId="9" fontId="41" fillId="8" borderId="0" xfId="0" applyNumberFormat="1" applyFont="1" applyFill="1" applyAlignment="1">
      <alignment horizontal="center"/>
    </xf>
    <xf numFmtId="169" fontId="22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2" fillId="14" borderId="10" xfId="0" applyFont="1" applyFill="1" applyBorder="1"/>
    <xf numFmtId="0" fontId="22" fillId="14" borderId="11" xfId="0" applyFont="1" applyFill="1" applyBorder="1"/>
    <xf numFmtId="170" fontId="15" fillId="14" borderId="11" xfId="0" applyNumberFormat="1" applyFont="1" applyFill="1" applyBorder="1"/>
    <xf numFmtId="170" fontId="15" fillId="14" borderId="12" xfId="0" applyNumberFormat="1" applyFont="1" applyFill="1" applyBorder="1"/>
    <xf numFmtId="0" fontId="24" fillId="3" borderId="8" xfId="0" applyFont="1" applyFill="1" applyBorder="1"/>
    <xf numFmtId="0" fontId="24" fillId="3" borderId="13" xfId="0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4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166" fontId="20" fillId="4" borderId="0" xfId="0" applyNumberFormat="1" applyFont="1" applyFill="1" applyBorder="1" applyAlignment="1">
      <alignment horizontal="right" textRotation="90"/>
    </xf>
    <xf numFmtId="44" fontId="22" fillId="8" borderId="6" xfId="1" applyNumberFormat="1" applyFont="1" applyFill="1" applyBorder="1" applyAlignment="1" applyProtection="1">
      <alignment horizontal="right"/>
    </xf>
    <xf numFmtId="44" fontId="22" fillId="8" borderId="9" xfId="1" applyNumberFormat="1" applyFont="1" applyFill="1" applyBorder="1" applyAlignment="1" applyProtection="1">
      <alignment horizontal="center"/>
    </xf>
    <xf numFmtId="44" fontId="22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8" fillId="8" borderId="35" xfId="0" applyFont="1" applyFill="1" applyBorder="1" applyAlignment="1" applyProtection="1">
      <alignment vertical="center"/>
    </xf>
    <xf numFmtId="0" fontId="12" fillId="8" borderId="0" xfId="2" applyFont="1" applyFill="1" applyBorder="1" applyAlignment="1">
      <alignment horizontal="left" vertical="center"/>
    </xf>
    <xf numFmtId="0" fontId="21" fillId="8" borderId="0" xfId="2" applyFont="1" applyFill="1" applyBorder="1" applyAlignment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0" fontId="37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2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35" fillId="3" borderId="0" xfId="0" applyFont="1" applyFill="1" applyBorder="1" applyProtection="1">
      <protection hidden="1"/>
    </xf>
    <xf numFmtId="0" fontId="45" fillId="0" borderId="9" xfId="2" applyFont="1" applyFill="1" applyBorder="1" applyAlignment="1" applyProtection="1">
      <alignment horizontal="left" vertical="center" wrapText="1"/>
      <protection locked="0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22" fillId="8" borderId="23" xfId="0" applyFont="1" applyFill="1" applyBorder="1" applyAlignment="1">
      <alignment horizontal="left"/>
    </xf>
    <xf numFmtId="0" fontId="8" fillId="3" borderId="0" xfId="0" applyFont="1" applyFill="1" applyBorder="1"/>
    <xf numFmtId="3" fontId="22" fillId="8" borderId="30" xfId="0" applyNumberFormat="1" applyFont="1" applyFill="1" applyBorder="1" applyAlignment="1" applyProtection="1">
      <alignment horizontal="right"/>
      <protection hidden="1"/>
    </xf>
    <xf numFmtId="3" fontId="15" fillId="8" borderId="35" xfId="0" applyNumberFormat="1" applyFont="1" applyFill="1" applyBorder="1" applyAlignment="1" applyProtection="1">
      <alignment horizontal="right"/>
      <protection hidden="1"/>
    </xf>
    <xf numFmtId="0" fontId="15" fillId="8" borderId="0" xfId="0" applyFont="1" applyFill="1" applyAlignment="1" applyProtection="1">
      <alignment vertical="center"/>
      <protection hidden="1"/>
    </xf>
    <xf numFmtId="168" fontId="22" fillId="8" borderId="20" xfId="4" applyNumberFormat="1" applyFont="1" applyFill="1" applyBorder="1" applyAlignment="1" applyProtection="1">
      <alignment horizontal="center"/>
      <protection hidden="1"/>
    </xf>
    <xf numFmtId="168" fontId="22" fillId="8" borderId="34" xfId="4" applyNumberFormat="1" applyFont="1" applyFill="1" applyBorder="1" applyAlignment="1" applyProtection="1">
      <alignment horizontal="center"/>
      <protection hidden="1"/>
    </xf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0" fontId="4" fillId="8" borderId="0" xfId="2" applyFont="1" applyFill="1" applyBorder="1" applyAlignment="1" applyProtection="1">
      <alignment vertical="top"/>
      <protection hidden="1"/>
    </xf>
    <xf numFmtId="166" fontId="4" fillId="8" borderId="0" xfId="2" applyNumberFormat="1" applyFont="1" applyFill="1" applyBorder="1" applyAlignment="1" applyProtection="1">
      <alignment vertical="top"/>
      <protection hidden="1"/>
    </xf>
    <xf numFmtId="166" fontId="14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Protection="1">
      <protection hidden="1"/>
    </xf>
    <xf numFmtId="166" fontId="28" fillId="8" borderId="0" xfId="1" applyNumberFormat="1" applyFont="1" applyFill="1" applyBorder="1" applyAlignment="1" applyProtection="1">
      <alignment vertical="top"/>
      <protection hidden="1"/>
    </xf>
    <xf numFmtId="0" fontId="29" fillId="8" borderId="0" xfId="2" applyFont="1" applyFill="1" applyBorder="1" applyAlignment="1" applyProtection="1">
      <alignment vertical="top"/>
      <protection hidden="1"/>
    </xf>
    <xf numFmtId="166" fontId="29" fillId="8" borderId="0" xfId="2" applyNumberFormat="1" applyFont="1" applyFill="1" applyBorder="1" applyAlignment="1" applyProtection="1">
      <alignment vertical="top"/>
      <protection hidden="1"/>
    </xf>
    <xf numFmtId="166" fontId="28" fillId="8" borderId="0" xfId="2" applyNumberFormat="1" applyFont="1" applyFill="1" applyBorder="1" applyAlignment="1" applyProtection="1">
      <alignment vertical="top"/>
      <protection hidden="1"/>
    </xf>
    <xf numFmtId="166" fontId="28" fillId="8" borderId="0" xfId="3" applyNumberFormat="1" applyFont="1" applyFill="1" applyBorder="1" applyProtection="1">
      <protection hidden="1"/>
    </xf>
    <xf numFmtId="166" fontId="21" fillId="8" borderId="3" xfId="2" applyNumberFormat="1" applyFont="1" applyFill="1" applyBorder="1" applyAlignment="1" applyProtection="1">
      <alignment vertical="center"/>
      <protection hidden="1"/>
    </xf>
    <xf numFmtId="3" fontId="4" fillId="3" borderId="2" xfId="2" applyNumberFormat="1" applyFont="1" applyFill="1" applyBorder="1" applyAlignment="1" applyProtection="1">
      <alignment vertical="top"/>
      <protection hidden="1"/>
    </xf>
    <xf numFmtId="166" fontId="4" fillId="3" borderId="2" xfId="2" applyNumberFormat="1" applyFont="1" applyFill="1" applyBorder="1" applyAlignment="1" applyProtection="1">
      <alignment vertical="top"/>
      <protection hidden="1"/>
    </xf>
    <xf numFmtId="164" fontId="4" fillId="3" borderId="2" xfId="2" applyNumberFormat="1" applyFont="1" applyFill="1" applyBorder="1" applyAlignment="1" applyProtection="1">
      <alignment vertical="top"/>
      <protection hidden="1"/>
    </xf>
    <xf numFmtId="166" fontId="26" fillId="7" borderId="3" xfId="2" applyNumberFormat="1" applyFont="1" applyFill="1" applyBorder="1" applyAlignment="1" applyProtection="1">
      <alignment vertical="top"/>
      <protection hidden="1"/>
    </xf>
    <xf numFmtId="165" fontId="22" fillId="3" borderId="0" xfId="3" applyFont="1" applyFill="1" applyBorder="1" applyProtection="1">
      <protection hidden="1"/>
    </xf>
    <xf numFmtId="166" fontId="22" fillId="3" borderId="0" xfId="3" applyNumberFormat="1" applyFont="1" applyFill="1" applyBorder="1" applyProtection="1">
      <protection hidden="1"/>
    </xf>
    <xf numFmtId="166" fontId="22" fillId="3" borderId="0" xfId="1" applyNumberFormat="1" applyFont="1" applyFill="1" applyBorder="1" applyProtection="1">
      <protection hidden="1"/>
    </xf>
    <xf numFmtId="0" fontId="22" fillId="3" borderId="0" xfId="0" applyFont="1" applyFill="1" applyProtection="1">
      <protection hidden="1"/>
    </xf>
    <xf numFmtId="166" fontId="43" fillId="7" borderId="7" xfId="3" applyNumberFormat="1" applyFont="1" applyFill="1" applyBorder="1" applyProtection="1">
      <protection hidden="1"/>
    </xf>
    <xf numFmtId="166" fontId="22" fillId="3" borderId="19" xfId="3" applyNumberFormat="1" applyFont="1" applyFill="1" applyBorder="1" applyProtection="1">
      <protection hidden="1"/>
    </xf>
    <xf numFmtId="166" fontId="22" fillId="3" borderId="19" xfId="1" applyNumberFormat="1" applyFont="1" applyFill="1" applyBorder="1" applyProtection="1">
      <protection hidden="1"/>
    </xf>
    <xf numFmtId="0" fontId="22" fillId="3" borderId="19" xfId="0" applyFont="1" applyFill="1" applyBorder="1" applyProtection="1">
      <protection hidden="1"/>
    </xf>
    <xf numFmtId="165" fontId="22" fillId="3" borderId="14" xfId="3" applyFont="1" applyFill="1" applyBorder="1" applyProtection="1">
      <protection hidden="1"/>
    </xf>
    <xf numFmtId="166" fontId="22" fillId="3" borderId="14" xfId="3" applyNumberFormat="1" applyFont="1" applyFill="1" applyBorder="1" applyProtection="1">
      <protection hidden="1"/>
    </xf>
    <xf numFmtId="166" fontId="22" fillId="3" borderId="14" xfId="1" applyNumberFormat="1" applyFont="1" applyFill="1" applyBorder="1" applyProtection="1">
      <protection hidden="1"/>
    </xf>
    <xf numFmtId="0" fontId="22" fillId="3" borderId="14" xfId="0" applyFont="1" applyFill="1" applyBorder="1" applyProtection="1">
      <protection hidden="1"/>
    </xf>
    <xf numFmtId="166" fontId="21" fillId="8" borderId="0" xfId="2" applyNumberFormat="1" applyFont="1" applyFill="1" applyBorder="1" applyAlignment="1" applyProtection="1">
      <alignment vertical="center"/>
      <protection hidden="1"/>
    </xf>
    <xf numFmtId="4" fontId="18" fillId="7" borderId="0" xfId="1" applyNumberFormat="1" applyFont="1" applyFill="1" applyBorder="1" applyAlignment="1" applyProtection="1">
      <alignment vertical="top"/>
      <protection hidden="1"/>
    </xf>
    <xf numFmtId="166" fontId="18" fillId="7" borderId="0" xfId="1" applyNumberFormat="1" applyFont="1" applyFill="1" applyBorder="1" applyAlignment="1" applyProtection="1">
      <alignment vertical="top"/>
      <protection hidden="1"/>
    </xf>
    <xf numFmtId="44" fontId="18" fillId="7" borderId="0" xfId="1" applyFont="1" applyFill="1" applyBorder="1" applyAlignment="1" applyProtection="1">
      <alignment vertical="top"/>
      <protection hidden="1"/>
    </xf>
    <xf numFmtId="4" fontId="18" fillId="7" borderId="0" xfId="1" applyNumberFormat="1" applyFont="1" applyFill="1" applyBorder="1" applyAlignment="1" applyProtection="1">
      <alignment horizontal="right" vertical="top"/>
      <protection hidden="1"/>
    </xf>
    <xf numFmtId="44" fontId="4" fillId="3" borderId="14" xfId="1" applyNumberFormat="1" applyFont="1" applyFill="1" applyBorder="1" applyAlignment="1" applyProtection="1">
      <alignment vertical="center"/>
      <protection locked="0"/>
    </xf>
    <xf numFmtId="0" fontId="8" fillId="3" borderId="14" xfId="0" applyFont="1" applyFill="1" applyBorder="1"/>
    <xf numFmtId="3" fontId="44" fillId="3" borderId="7" xfId="0" applyNumberFormat="1" applyFont="1" applyFill="1" applyBorder="1" applyAlignment="1">
      <alignment horizontal="left"/>
    </xf>
    <xf numFmtId="0" fontId="15" fillId="12" borderId="18" xfId="0" applyFont="1" applyFill="1" applyBorder="1" applyAlignment="1">
      <alignment horizontal="center" vertical="center" textRotation="90" wrapText="1"/>
    </xf>
    <xf numFmtId="0" fontId="15" fillId="12" borderId="16" xfId="0" applyFont="1" applyFill="1" applyBorder="1" applyAlignment="1">
      <alignment horizontal="center" vertical="center" textRotation="90" wrapText="1"/>
    </xf>
    <xf numFmtId="0" fontId="15" fillId="12" borderId="22" xfId="0" applyFont="1" applyFill="1" applyBorder="1" applyAlignment="1">
      <alignment horizontal="center" vertical="center" textRotation="90" wrapText="1"/>
    </xf>
    <xf numFmtId="0" fontId="41" fillId="7" borderId="4" xfId="0" applyFont="1" applyFill="1" applyBorder="1" applyAlignment="1">
      <alignment horizontal="center" vertical="center"/>
    </xf>
    <xf numFmtId="0" fontId="41" fillId="7" borderId="0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15" fillId="13" borderId="18" xfId="0" applyFont="1" applyFill="1" applyBorder="1" applyAlignment="1">
      <alignment horizontal="center" vertical="center" textRotation="90"/>
    </xf>
    <xf numFmtId="0" fontId="15" fillId="13" borderId="16" xfId="0" applyFont="1" applyFill="1" applyBorder="1" applyAlignment="1">
      <alignment horizontal="center" vertical="center" textRotation="90"/>
    </xf>
    <xf numFmtId="0" fontId="15" fillId="13" borderId="22" xfId="0" applyFont="1" applyFill="1" applyBorder="1" applyAlignment="1">
      <alignment horizontal="center" vertical="center" textRotation="90"/>
    </xf>
    <xf numFmtId="0" fontId="41" fillId="7" borderId="1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41" fillId="7" borderId="0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9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 wrapText="1"/>
    </xf>
    <xf numFmtId="43" fontId="30" fillId="8" borderId="5" xfId="0" applyNumberFormat="1" applyFont="1" applyFill="1" applyBorder="1" applyAlignment="1" applyProtection="1">
      <alignment horizontal="right" vertical="center"/>
      <protection hidden="1"/>
    </xf>
    <xf numFmtId="43" fontId="30" fillId="8" borderId="45" xfId="0" applyNumberFormat="1" applyFont="1" applyFill="1" applyBorder="1" applyAlignment="1" applyProtection="1">
      <alignment horizontal="right" vertical="center"/>
      <protection hidden="1"/>
    </xf>
    <xf numFmtId="43" fontId="30" fillId="8" borderId="6" xfId="0" applyNumberFormat="1" applyFont="1" applyFill="1" applyBorder="1" applyAlignment="1" applyProtection="1">
      <alignment horizontal="right" vertical="center"/>
      <protection hidden="1"/>
    </xf>
    <xf numFmtId="0" fontId="30" fillId="8" borderId="8" xfId="0" applyFont="1" applyFill="1" applyBorder="1" applyAlignment="1" applyProtection="1">
      <alignment horizontal="right" vertical="center"/>
      <protection hidden="1"/>
    </xf>
    <xf numFmtId="0" fontId="30" fillId="8" borderId="19" xfId="0" applyFont="1" applyFill="1" applyBorder="1" applyAlignment="1" applyProtection="1">
      <alignment horizontal="right" vertical="center"/>
      <protection hidden="1"/>
    </xf>
    <xf numFmtId="0" fontId="30" fillId="8" borderId="9" xfId="0" applyFont="1" applyFill="1" applyBorder="1" applyAlignment="1" applyProtection="1">
      <alignment horizontal="right" vertical="center"/>
      <protection hidden="1"/>
    </xf>
    <xf numFmtId="0" fontId="30" fillId="8" borderId="31" xfId="0" applyFont="1" applyFill="1" applyBorder="1" applyAlignment="1" applyProtection="1">
      <alignment horizontal="right" vertical="center"/>
      <protection hidden="1"/>
    </xf>
    <xf numFmtId="0" fontId="30" fillId="8" borderId="33" xfId="0" applyFont="1" applyFill="1" applyBorder="1" applyAlignment="1" applyProtection="1">
      <alignment horizontal="right" vertical="center"/>
      <protection hidden="1"/>
    </xf>
    <xf numFmtId="0" fontId="30" fillId="8" borderId="21" xfId="0" applyFont="1" applyFill="1" applyBorder="1" applyAlignment="1" applyProtection="1">
      <alignment horizontal="right" vertical="center"/>
      <protection hidden="1"/>
    </xf>
    <xf numFmtId="43" fontId="30" fillId="8" borderId="23" xfId="0" applyNumberFormat="1" applyFont="1" applyFill="1" applyBorder="1" applyAlignment="1" applyProtection="1">
      <alignment horizontal="right" vertical="center"/>
      <protection hidden="1"/>
    </xf>
    <xf numFmtId="43" fontId="30" fillId="8" borderId="24" xfId="0" applyNumberFormat="1" applyFont="1" applyFill="1" applyBorder="1" applyAlignment="1" applyProtection="1">
      <alignment horizontal="right" vertical="center"/>
      <protection hidden="1"/>
    </xf>
    <xf numFmtId="43" fontId="30" fillId="8" borderId="25" xfId="0" applyNumberFormat="1" applyFont="1" applyFill="1" applyBorder="1" applyAlignment="1" applyProtection="1">
      <alignment horizontal="right" vertical="center"/>
      <protection hidden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41" fillId="7" borderId="18" xfId="0" applyFont="1" applyFill="1" applyBorder="1" applyAlignment="1">
      <alignment horizontal="center" vertical="center" wrapText="1"/>
    </xf>
    <xf numFmtId="0" fontId="41" fillId="7" borderId="26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/>
    </xf>
    <xf numFmtId="0" fontId="41" fillId="7" borderId="0" xfId="0" applyFont="1" applyFill="1" applyAlignment="1">
      <alignment horizontal="center"/>
    </xf>
    <xf numFmtId="0" fontId="27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1" fillId="7" borderId="18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561562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68979</xdr:colOff>
      <xdr:row>63</xdr:row>
      <xdr:rowOff>101308</xdr:rowOff>
    </xdr:from>
    <xdr:to>
      <xdr:col>11</xdr:col>
      <xdr:colOff>522297</xdr:colOff>
      <xdr:row>67</xdr:row>
      <xdr:rowOff>126679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81229" y="14439608"/>
          <a:ext cx="2878832" cy="8684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"/>
  <sheetViews>
    <sheetView showGridLines="0" tabSelected="1" zoomScale="85" zoomScaleNormal="85" workbookViewId="0">
      <selection activeCell="D9" sqref="D9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1" t="s">
        <v>127</v>
      </c>
      <c r="D2" s="220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1" t="s">
        <v>0</v>
      </c>
      <c r="D3" s="325" t="s">
        <v>65</v>
      </c>
      <c r="E3" s="19"/>
      <c r="F3" s="18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8" t="s">
        <v>1</v>
      </c>
      <c r="D4" s="343"/>
      <c r="E4" s="342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8" t="s">
        <v>3</v>
      </c>
      <c r="D5" s="34">
        <v>47</v>
      </c>
      <c r="E5" s="23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8" t="s">
        <v>67</v>
      </c>
      <c r="D6" s="226" t="s">
        <v>81</v>
      </c>
      <c r="E6" s="23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8" t="s">
        <v>68</v>
      </c>
      <c r="D7" s="226" t="s">
        <v>71</v>
      </c>
      <c r="E7" s="23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8" t="s">
        <v>7</v>
      </c>
      <c r="D8" s="49">
        <v>102600</v>
      </c>
      <c r="E8" s="23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36" t="s">
        <v>96</v>
      </c>
      <c r="D9" s="246"/>
      <c r="E9" s="342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36" t="s">
        <v>143</v>
      </c>
      <c r="D10" s="246"/>
      <c r="E10" s="342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38" t="s">
        <v>8</v>
      </c>
      <c r="D11" s="305"/>
      <c r="E11" s="342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38" t="s">
        <v>69</v>
      </c>
      <c r="D12" s="49" t="s">
        <v>9</v>
      </c>
      <c r="E12" s="23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511" t="str">
        <f>"RESULTAAT "&amp;$D$3</f>
        <v>RESULTAAT AVROBODE</v>
      </c>
      <c r="AA12" s="511"/>
      <c r="AB12" s="511"/>
      <c r="AC12" s="511"/>
      <c r="AD12" s="511"/>
      <c r="AE12" s="511"/>
      <c r="AF12" s="511"/>
      <c r="AG12" s="511"/>
      <c r="AH12" s="511"/>
      <c r="AI12" s="511"/>
      <c r="AJ12" s="511"/>
      <c r="AK12" s="511"/>
      <c r="AL12" s="57"/>
      <c r="AM12" s="57"/>
      <c r="AN12" s="27"/>
    </row>
    <row r="13" spans="2:40" ht="18" customHeight="1" x14ac:dyDescent="0.45">
      <c r="B13" s="18"/>
      <c r="C13" s="138" t="s">
        <v>70</v>
      </c>
      <c r="D13" s="242" t="s">
        <v>82</v>
      </c>
      <c r="E13" s="23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511"/>
      <c r="AA13" s="511"/>
      <c r="AB13" s="511"/>
      <c r="AC13" s="511"/>
      <c r="AD13" s="511"/>
      <c r="AE13" s="511"/>
      <c r="AF13" s="511"/>
      <c r="AG13" s="511"/>
      <c r="AH13" s="511"/>
      <c r="AI13" s="511"/>
      <c r="AJ13" s="511"/>
      <c r="AK13" s="511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38" t="s">
        <v>10</v>
      </c>
      <c r="D14" s="49" t="s">
        <v>11</v>
      </c>
      <c r="E14" s="23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511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  <c r="AK14" s="511"/>
      <c r="AL14" s="60">
        <f>D5*D8</f>
        <v>4822200</v>
      </c>
      <c r="AM14" s="57"/>
      <c r="AN14" s="27"/>
    </row>
    <row r="15" spans="2:40" ht="18" customHeight="1" thickBot="1" x14ac:dyDescent="0.5">
      <c r="B15" s="18"/>
      <c r="C15" s="118" t="s">
        <v>89</v>
      </c>
      <c r="D15" s="241"/>
      <c r="E15" s="342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60"/>
      <c r="AM15" s="57"/>
      <c r="AN15" s="27"/>
    </row>
    <row r="16" spans="2:40" s="67" customFormat="1" ht="31.5" customHeight="1" thickBot="1" x14ac:dyDescent="0.5">
      <c r="B16" s="18"/>
      <c r="C16" s="232" t="s">
        <v>12</v>
      </c>
      <c r="D16" s="179"/>
      <c r="E16" s="505" t="s">
        <v>66</v>
      </c>
      <c r="F16" s="506"/>
      <c r="G16" s="23"/>
      <c r="H16" s="512" t="s">
        <v>13</v>
      </c>
      <c r="I16" s="513"/>
      <c r="J16" s="513"/>
      <c r="K16" s="513"/>
      <c r="L16" s="513"/>
      <c r="M16" s="514"/>
      <c r="N16" s="61"/>
      <c r="O16" s="512" t="s">
        <v>14</v>
      </c>
      <c r="P16" s="513"/>
      <c r="Q16" s="514"/>
      <c r="R16" s="61"/>
      <c r="S16" s="512" t="s">
        <v>15</v>
      </c>
      <c r="T16" s="513"/>
      <c r="U16" s="513"/>
      <c r="V16" s="514"/>
      <c r="W16" s="22"/>
      <c r="X16" s="18"/>
      <c r="Y16" s="62"/>
      <c r="Z16" s="63"/>
      <c r="AA16" s="515" t="s">
        <v>16</v>
      </c>
      <c r="AB16" s="516"/>
      <c r="AC16" s="516"/>
      <c r="AD16" s="516"/>
      <c r="AE16" s="517"/>
      <c r="AF16" s="23"/>
      <c r="AG16" s="518" t="s">
        <v>17</v>
      </c>
      <c r="AH16" s="519"/>
      <c r="AI16" s="519"/>
      <c r="AJ16" s="519"/>
      <c r="AK16" s="516"/>
      <c r="AL16" s="64" t="s">
        <v>18</v>
      </c>
      <c r="AM16" s="65"/>
      <c r="AN16" s="66"/>
    </row>
    <row r="17" spans="2:40" ht="189.5" thickBot="1" x14ac:dyDescent="0.5">
      <c r="B17" s="18"/>
      <c r="C17" s="233"/>
      <c r="D17" s="225"/>
      <c r="E17" s="23"/>
      <c r="F17" s="14"/>
      <c r="G17" s="23"/>
      <c r="H17" s="181" t="s">
        <v>20</v>
      </c>
      <c r="I17" s="182" t="s">
        <v>21</v>
      </c>
      <c r="J17" s="182" t="s">
        <v>22</v>
      </c>
      <c r="K17" s="182" t="s">
        <v>23</v>
      </c>
      <c r="L17" s="183" t="s">
        <v>147</v>
      </c>
      <c r="M17" s="69" t="s">
        <v>24</v>
      </c>
      <c r="N17" s="23"/>
      <c r="O17" s="184" t="s">
        <v>25</v>
      </c>
      <c r="P17" s="185" t="s">
        <v>26</v>
      </c>
      <c r="Q17" s="70" t="s">
        <v>27</v>
      </c>
      <c r="R17" s="23"/>
      <c r="S17" s="184" t="s">
        <v>25</v>
      </c>
      <c r="T17" s="185" t="s">
        <v>27</v>
      </c>
      <c r="U17" s="185" t="s">
        <v>26</v>
      </c>
      <c r="V17" s="68" t="s">
        <v>28</v>
      </c>
      <c r="W17" s="22"/>
      <c r="X17" s="18"/>
      <c r="Y17" s="55"/>
      <c r="Z17" s="71"/>
      <c r="AA17" s="72" t="s">
        <v>29</v>
      </c>
      <c r="AB17" s="73" t="s">
        <v>30</v>
      </c>
      <c r="AC17" s="73" t="s">
        <v>31</v>
      </c>
      <c r="AD17" s="73" t="s">
        <v>32</v>
      </c>
      <c r="AE17" s="74" t="s">
        <v>33</v>
      </c>
      <c r="AF17" s="23"/>
      <c r="AG17" s="72" t="s">
        <v>29</v>
      </c>
      <c r="AH17" s="73" t="s">
        <v>30</v>
      </c>
      <c r="AI17" s="73" t="s">
        <v>31</v>
      </c>
      <c r="AJ17" s="75" t="s">
        <v>32</v>
      </c>
      <c r="AK17" s="76" t="s">
        <v>34</v>
      </c>
      <c r="AL17" s="77"/>
      <c r="AM17" s="57"/>
      <c r="AN17" s="27"/>
    </row>
    <row r="18" spans="2:40" ht="17" thickBot="1" x14ac:dyDescent="0.5">
      <c r="B18" s="18"/>
      <c r="C18" s="134" t="s">
        <v>61</v>
      </c>
      <c r="D18" s="78"/>
      <c r="E18" s="217" t="s">
        <v>63</v>
      </c>
      <c r="F18" s="218" t="s">
        <v>64</v>
      </c>
      <c r="G18" s="186"/>
      <c r="H18" s="187"/>
      <c r="I18" s="188"/>
      <c r="J18" s="187"/>
      <c r="K18" s="188"/>
      <c r="L18" s="189"/>
      <c r="M18" s="190"/>
      <c r="N18" s="186"/>
      <c r="O18" s="191" t="s">
        <v>36</v>
      </c>
      <c r="P18" s="192" t="s">
        <v>37</v>
      </c>
      <c r="Q18" s="193" t="s">
        <v>37</v>
      </c>
      <c r="R18" s="186"/>
      <c r="S18" s="191" t="s">
        <v>36</v>
      </c>
      <c r="T18" s="194" t="s">
        <v>37</v>
      </c>
      <c r="U18" s="192" t="s">
        <v>37</v>
      </c>
      <c r="V18" s="195" t="s">
        <v>37</v>
      </c>
      <c r="W18" s="22"/>
      <c r="X18" s="18"/>
      <c r="Y18" s="55"/>
      <c r="Z18" s="79" t="s">
        <v>61</v>
      </c>
      <c r="AA18" s="80"/>
      <c r="AB18" s="81"/>
      <c r="AC18" s="81"/>
      <c r="AD18" s="81"/>
      <c r="AE18" s="82"/>
      <c r="AF18" s="83"/>
      <c r="AG18" s="84"/>
      <c r="AH18" s="85"/>
      <c r="AI18" s="85"/>
      <c r="AJ18" s="85"/>
      <c r="AK18" s="86"/>
      <c r="AL18" s="77"/>
      <c r="AM18" s="57"/>
      <c r="AN18" s="27"/>
    </row>
    <row r="19" spans="2:40" ht="10" customHeight="1" x14ac:dyDescent="0.45">
      <c r="B19" s="18"/>
      <c r="C19" s="87"/>
      <c r="D19" s="88"/>
      <c r="E19" s="23"/>
      <c r="F19" s="22"/>
      <c r="G19" s="23"/>
      <c r="H19" s="89"/>
      <c r="I19" s="90"/>
      <c r="J19" s="90"/>
      <c r="K19" s="90"/>
      <c r="L19" s="91"/>
      <c r="M19" s="92"/>
      <c r="N19" s="23"/>
      <c r="O19" s="93"/>
      <c r="P19" s="94"/>
      <c r="Q19" s="70"/>
      <c r="R19" s="23"/>
      <c r="S19" s="93"/>
      <c r="T19" s="94"/>
      <c r="U19" s="94"/>
      <c r="V19" s="95"/>
      <c r="W19" s="22"/>
      <c r="X19" s="18"/>
      <c r="Y19" s="55"/>
      <c r="Z19" s="96"/>
      <c r="AA19" s="97"/>
      <c r="AB19" s="98"/>
      <c r="AC19" s="98"/>
      <c r="AD19" s="98"/>
      <c r="AE19" s="99"/>
      <c r="AF19" s="23"/>
      <c r="AG19" s="97"/>
      <c r="AH19" s="306"/>
      <c r="AI19" s="98"/>
      <c r="AJ19" s="98"/>
      <c r="AK19" s="99"/>
      <c r="AL19" s="77"/>
      <c r="AM19" s="57"/>
      <c r="AN19" s="27"/>
    </row>
    <row r="20" spans="2:40" ht="17" thickBot="1" x14ac:dyDescent="0.5">
      <c r="B20" s="18"/>
      <c r="C20" s="100" t="s">
        <v>79</v>
      </c>
      <c r="D20" s="344">
        <f>IF(AND($D$15="Offline",$D$27&gt;0),$D$27,IF(AND($D$15="Offline",$D$28&gt;0),$D$28,0))+$D$31+D32+$D$34</f>
        <v>0</v>
      </c>
      <c r="E20" s="312">
        <f>IF(D20&gt;0,$D$10,0)</f>
        <v>0</v>
      </c>
      <c r="F20" s="227" t="s">
        <v>71</v>
      </c>
      <c r="G20" s="23"/>
      <c r="H20" s="222">
        <v>0</v>
      </c>
      <c r="I20" s="223">
        <v>0</v>
      </c>
      <c r="J20" s="106">
        <v>0</v>
      </c>
      <c r="K20" s="106">
        <v>0</v>
      </c>
      <c r="L20" s="108"/>
      <c r="M20" s="101">
        <v>600</v>
      </c>
      <c r="N20" s="23"/>
      <c r="O20" s="334">
        <v>0</v>
      </c>
      <c r="P20" s="113">
        <v>0</v>
      </c>
      <c r="Q20" s="340">
        <f>O20*(M20/1000)</f>
        <v>0</v>
      </c>
      <c r="R20" s="23"/>
      <c r="S20" s="334">
        <v>0</v>
      </c>
      <c r="T20" s="326">
        <f>S20*(M20/1000)</f>
        <v>0</v>
      </c>
      <c r="U20" s="113">
        <v>0</v>
      </c>
      <c r="V20" s="302">
        <v>1</v>
      </c>
      <c r="W20" s="22"/>
      <c r="X20" s="18"/>
      <c r="Y20" s="55"/>
      <c r="Z20" s="102" t="s">
        <v>79</v>
      </c>
      <c r="AA20" s="354">
        <f>$O20*$D20</f>
        <v>0</v>
      </c>
      <c r="AB20" s="355">
        <f>$AA20*$M20/1000</f>
        <v>0</v>
      </c>
      <c r="AC20" s="355">
        <f>$P20*$D20</f>
        <v>0</v>
      </c>
      <c r="AD20" s="355" t="s">
        <v>38</v>
      </c>
      <c r="AE20" s="356">
        <f>SUM(AB20:AC20)</f>
        <v>0</v>
      </c>
      <c r="AF20" s="357"/>
      <c r="AG20" s="354">
        <f>$S20*$D20*($D$8/10000)</f>
        <v>0</v>
      </c>
      <c r="AH20" s="355">
        <f>($D20*$T20)*($D$8/10000)</f>
        <v>0</v>
      </c>
      <c r="AI20" s="355">
        <f>($D20*$U20)*$D$8/10000</f>
        <v>0</v>
      </c>
      <c r="AJ20" s="355" t="s">
        <v>38</v>
      </c>
      <c r="AK20" s="358">
        <f>SUM(AH20:AJ20)</f>
        <v>0</v>
      </c>
      <c r="AL20" s="359">
        <f>AE20+AK20</f>
        <v>0</v>
      </c>
      <c r="AM20" s="57"/>
      <c r="AN20" s="27"/>
    </row>
    <row r="21" spans="2:40" ht="10" customHeight="1" thickBot="1" x14ac:dyDescent="0.5">
      <c r="B21" s="18"/>
      <c r="C21" s="87"/>
      <c r="D21" s="88"/>
      <c r="E21" s="23"/>
      <c r="F21" s="22"/>
      <c r="G21" s="23"/>
      <c r="H21" s="89"/>
      <c r="I21" s="90"/>
      <c r="J21" s="90"/>
      <c r="K21" s="90"/>
      <c r="L21" s="91"/>
      <c r="M21" s="92"/>
      <c r="N21" s="23"/>
      <c r="O21" s="93"/>
      <c r="P21" s="336"/>
      <c r="Q21" s="70"/>
      <c r="R21" s="23"/>
      <c r="S21" s="93"/>
      <c r="T21" s="94"/>
      <c r="U21" s="94"/>
      <c r="V21" s="95"/>
      <c r="W21" s="22"/>
      <c r="X21" s="18"/>
      <c r="Y21" s="55"/>
      <c r="Z21" s="96"/>
      <c r="AA21" s="360"/>
      <c r="AB21" s="361"/>
      <c r="AC21" s="361"/>
      <c r="AD21" s="361"/>
      <c r="AE21" s="362"/>
      <c r="AF21" s="363"/>
      <c r="AG21" s="360"/>
      <c r="AH21" s="361"/>
      <c r="AI21" s="361"/>
      <c r="AJ21" s="361"/>
      <c r="AK21" s="364"/>
      <c r="AL21" s="365"/>
      <c r="AM21" s="57"/>
      <c r="AN21" s="27"/>
    </row>
    <row r="22" spans="2:40" ht="14.5" customHeight="1" x14ac:dyDescent="0.45">
      <c r="B22" s="18"/>
      <c r="C22" s="524" t="s">
        <v>97</v>
      </c>
      <c r="D22" s="525"/>
      <c r="E22" s="217" t="s">
        <v>63</v>
      </c>
      <c r="F22" s="218" t="s">
        <v>64</v>
      </c>
      <c r="G22" s="186"/>
      <c r="H22" s="196" t="s">
        <v>2</v>
      </c>
      <c r="I22" s="197" t="s">
        <v>2</v>
      </c>
      <c r="J22" s="196" t="s">
        <v>2</v>
      </c>
      <c r="K22" s="197" t="s">
        <v>2</v>
      </c>
      <c r="L22" s="198" t="s">
        <v>2</v>
      </c>
      <c r="M22" s="199" t="s">
        <v>2</v>
      </c>
      <c r="N22" s="186"/>
      <c r="O22" s="200" t="s">
        <v>36</v>
      </c>
      <c r="P22" s="337" t="s">
        <v>37</v>
      </c>
      <c r="Q22" s="202" t="s">
        <v>37</v>
      </c>
      <c r="R22" s="186"/>
      <c r="S22" s="200" t="s">
        <v>36</v>
      </c>
      <c r="T22" s="203" t="s">
        <v>37</v>
      </c>
      <c r="U22" s="201" t="s">
        <v>37</v>
      </c>
      <c r="V22" s="204" t="s">
        <v>37</v>
      </c>
      <c r="W22" s="22"/>
      <c r="X22" s="18"/>
      <c r="Y22" s="55"/>
      <c r="Z22" s="103" t="s">
        <v>35</v>
      </c>
      <c r="AA22" s="366"/>
      <c r="AB22" s="367"/>
      <c r="AC22" s="367"/>
      <c r="AD22" s="367"/>
      <c r="AE22" s="368"/>
      <c r="AF22" s="369"/>
      <c r="AG22" s="370"/>
      <c r="AH22" s="367"/>
      <c r="AI22" s="367"/>
      <c r="AJ22" s="367"/>
      <c r="AK22" s="371"/>
      <c r="AL22" s="372"/>
      <c r="AM22" s="57"/>
      <c r="AN22" s="27"/>
    </row>
    <row r="23" spans="2:40" ht="15" customHeight="1" x14ac:dyDescent="0.45">
      <c r="B23" s="18"/>
      <c r="C23" s="104" t="s">
        <v>72</v>
      </c>
      <c r="D23" s="344">
        <f>IF($D$9="84 p. selfcovered",IF($D$15="Inline",26,0),0)</f>
        <v>0</v>
      </c>
      <c r="E23" s="312">
        <f>IF(D23&gt;0,$D$10,0)</f>
        <v>0</v>
      </c>
      <c r="F23" s="227" t="s">
        <v>71</v>
      </c>
      <c r="G23" s="23"/>
      <c r="H23" s="105">
        <v>0</v>
      </c>
      <c r="I23" s="106">
        <v>0</v>
      </c>
      <c r="J23" s="107" t="s">
        <v>38</v>
      </c>
      <c r="K23" s="107" t="s">
        <v>38</v>
      </c>
      <c r="L23" s="108"/>
      <c r="M23" s="101">
        <v>555</v>
      </c>
      <c r="N23" s="23"/>
      <c r="O23" s="334">
        <v>0</v>
      </c>
      <c r="P23" s="113">
        <v>0</v>
      </c>
      <c r="Q23" s="340">
        <f>O23*(M23/1000)</f>
        <v>0</v>
      </c>
      <c r="R23" s="23"/>
      <c r="S23" s="334">
        <v>0</v>
      </c>
      <c r="T23" s="326">
        <f>S23*(M23/1000)</f>
        <v>0</v>
      </c>
      <c r="U23" s="113">
        <v>0</v>
      </c>
      <c r="V23" s="243" t="s">
        <v>38</v>
      </c>
      <c r="W23" s="22"/>
      <c r="X23" s="18"/>
      <c r="Y23" s="55"/>
      <c r="Z23" s="109" t="s">
        <v>72</v>
      </c>
      <c r="AA23" s="373">
        <f>$O23*$D23</f>
        <v>0</v>
      </c>
      <c r="AB23" s="374">
        <f>$AA23*$M23/1000</f>
        <v>0</v>
      </c>
      <c r="AC23" s="374">
        <f>$P23*$D23</f>
        <v>0</v>
      </c>
      <c r="AD23" s="374" t="s">
        <v>38</v>
      </c>
      <c r="AE23" s="375">
        <f>SUM(AB23:AC23)</f>
        <v>0</v>
      </c>
      <c r="AF23" s="357"/>
      <c r="AG23" s="373">
        <f>$S23*$D23*($D$8/10000)</f>
        <v>0</v>
      </c>
      <c r="AH23" s="374">
        <f>($D23*$T23)*($D$8/10000)</f>
        <v>0</v>
      </c>
      <c r="AI23" s="374">
        <f>($D23*$U23)*$D$8/10000</f>
        <v>0</v>
      </c>
      <c r="AJ23" s="374" t="str">
        <f>IFERROR(VLOOKUP($V23,$C$38:$U$44,$U$36,FALSE)*($D$8/10000)*$D23,"n.v.t.")</f>
        <v>n.v.t.</v>
      </c>
      <c r="AK23" s="376">
        <f>SUM(AH23:AJ23)</f>
        <v>0</v>
      </c>
      <c r="AL23" s="359">
        <f>AE23+AK23</f>
        <v>0</v>
      </c>
      <c r="AM23" s="57"/>
      <c r="AN23" s="27"/>
    </row>
    <row r="24" spans="2:40" ht="15" customHeight="1" thickBot="1" x14ac:dyDescent="0.5">
      <c r="B24" s="18"/>
      <c r="C24" s="104" t="s">
        <v>75</v>
      </c>
      <c r="D24" s="344">
        <f>IF($D$9="88 p. selfcovered",IF($D$15="Inline",26,0),0)</f>
        <v>0</v>
      </c>
      <c r="E24" s="312">
        <f>IF(D24&gt;0,$D$10,0)</f>
        <v>0</v>
      </c>
      <c r="F24" s="227" t="s">
        <v>71</v>
      </c>
      <c r="G24" s="23"/>
      <c r="H24" s="105">
        <v>0</v>
      </c>
      <c r="I24" s="106">
        <v>0</v>
      </c>
      <c r="J24" s="107" t="s">
        <v>38</v>
      </c>
      <c r="K24" s="107" t="s">
        <v>38</v>
      </c>
      <c r="L24" s="108"/>
      <c r="M24" s="101">
        <v>555</v>
      </c>
      <c r="N24" s="23"/>
      <c r="O24" s="334">
        <v>0</v>
      </c>
      <c r="P24" s="113">
        <v>0</v>
      </c>
      <c r="Q24" s="340">
        <f>O24*(M24/1000)</f>
        <v>0</v>
      </c>
      <c r="R24" s="23"/>
      <c r="S24" s="334">
        <v>0</v>
      </c>
      <c r="T24" s="326">
        <f>S24*(M24/1000)</f>
        <v>0</v>
      </c>
      <c r="U24" s="113">
        <v>0</v>
      </c>
      <c r="V24" s="243" t="s">
        <v>38</v>
      </c>
      <c r="W24" s="22"/>
      <c r="X24" s="18"/>
      <c r="Y24" s="55"/>
      <c r="Z24" s="109" t="s">
        <v>75</v>
      </c>
      <c r="AA24" s="373">
        <f>$O24*$D24</f>
        <v>0</v>
      </c>
      <c r="AB24" s="374">
        <f>$AA24*$M24/1000</f>
        <v>0</v>
      </c>
      <c r="AC24" s="374">
        <f>$P24*$D24</f>
        <v>0</v>
      </c>
      <c r="AD24" s="374" t="s">
        <v>38</v>
      </c>
      <c r="AE24" s="375">
        <f>SUM(AB24:AC24)</f>
        <v>0</v>
      </c>
      <c r="AF24" s="357"/>
      <c r="AG24" s="373">
        <f>$S24*$D24*($D$8/10000)</f>
        <v>0</v>
      </c>
      <c r="AH24" s="374">
        <f>($D24*$T24)*($D$8/10000)</f>
        <v>0</v>
      </c>
      <c r="AI24" s="374">
        <f>($D24*$U24)*$D$8/10000</f>
        <v>0</v>
      </c>
      <c r="AJ24" s="374" t="str">
        <f>IFERROR(VLOOKUP($V24,$C$38:$U$44,$U$36,FALSE)*($D$8/10000)*$D24,"n.v.t.")</f>
        <v>n.v.t.</v>
      </c>
      <c r="AK24" s="376">
        <f>SUM(AH24:AI24)</f>
        <v>0</v>
      </c>
      <c r="AL24" s="359">
        <f>AE24+AK24</f>
        <v>0</v>
      </c>
      <c r="AM24" s="57"/>
      <c r="AN24" s="27"/>
    </row>
    <row r="25" spans="2:40" ht="10" customHeight="1" thickBot="1" x14ac:dyDescent="0.5">
      <c r="B25" s="18"/>
      <c r="C25" s="87"/>
      <c r="D25" s="126"/>
      <c r="E25" s="23"/>
      <c r="F25" s="22"/>
      <c r="G25" s="23"/>
      <c r="H25" s="127"/>
      <c r="I25" s="25"/>
      <c r="J25" s="25"/>
      <c r="K25" s="25"/>
      <c r="L25" s="25"/>
      <c r="M25" s="128"/>
      <c r="N25" s="23"/>
      <c r="O25" s="129"/>
      <c r="P25" s="338"/>
      <c r="Q25" s="131"/>
      <c r="R25" s="23"/>
      <c r="S25" s="129"/>
      <c r="T25" s="132"/>
      <c r="U25" s="130"/>
      <c r="V25" s="133"/>
      <c r="W25" s="22"/>
      <c r="X25" s="18"/>
      <c r="Y25" s="55"/>
      <c r="Z25" s="23"/>
      <c r="AA25" s="373"/>
      <c r="AB25" s="377"/>
      <c r="AC25" s="377"/>
      <c r="AD25" s="377"/>
      <c r="AE25" s="378"/>
      <c r="AF25" s="357"/>
      <c r="AG25" s="373"/>
      <c r="AH25" s="377"/>
      <c r="AI25" s="377"/>
      <c r="AJ25" s="377"/>
      <c r="AK25" s="376"/>
      <c r="AL25" s="359"/>
      <c r="AM25" s="57"/>
      <c r="AN25" s="27"/>
    </row>
    <row r="26" spans="2:40" x14ac:dyDescent="0.45">
      <c r="B26" s="18"/>
      <c r="C26" s="526" t="s">
        <v>39</v>
      </c>
      <c r="D26" s="527"/>
      <c r="E26" s="217" t="s">
        <v>63</v>
      </c>
      <c r="F26" s="219" t="s">
        <v>64</v>
      </c>
      <c r="G26" s="186"/>
      <c r="H26" s="205" t="s">
        <v>2</v>
      </c>
      <c r="I26" s="206" t="s">
        <v>2</v>
      </c>
      <c r="J26" s="196" t="s">
        <v>2</v>
      </c>
      <c r="K26" s="197" t="s">
        <v>2</v>
      </c>
      <c r="L26" s="198" t="s">
        <v>2</v>
      </c>
      <c r="M26" s="199" t="s">
        <v>2</v>
      </c>
      <c r="N26" s="186"/>
      <c r="O26" s="207" t="s">
        <v>36</v>
      </c>
      <c r="P26" s="339" t="s">
        <v>37</v>
      </c>
      <c r="Q26" s="209" t="s">
        <v>37</v>
      </c>
      <c r="R26" s="186"/>
      <c r="S26" s="207" t="s">
        <v>36</v>
      </c>
      <c r="T26" s="210" t="s">
        <v>37</v>
      </c>
      <c r="U26" s="208" t="s">
        <v>37</v>
      </c>
      <c r="V26" s="211" t="s">
        <v>40</v>
      </c>
      <c r="W26" s="22"/>
      <c r="X26" s="18"/>
      <c r="Y26" s="55"/>
      <c r="Z26" s="135" t="s">
        <v>39</v>
      </c>
      <c r="AA26" s="379"/>
      <c r="AB26" s="380"/>
      <c r="AC26" s="380"/>
      <c r="AD26" s="380"/>
      <c r="AE26" s="381"/>
      <c r="AF26" s="357"/>
      <c r="AG26" s="382"/>
      <c r="AH26" s="380"/>
      <c r="AI26" s="380"/>
      <c r="AJ26" s="380"/>
      <c r="AK26" s="383"/>
      <c r="AL26" s="359"/>
      <c r="AM26" s="57"/>
      <c r="AN26" s="27"/>
    </row>
    <row r="27" spans="2:40" ht="15" customHeight="1" x14ac:dyDescent="0.45">
      <c r="B27" s="18"/>
      <c r="C27" s="104" t="s">
        <v>129</v>
      </c>
      <c r="D27" s="344">
        <f>IF($D$9="80 p. binnenwerk + 4 p. omslag",IF($D$15="Offline",42,0),0)</f>
        <v>0</v>
      </c>
      <c r="E27" s="312">
        <f t="shared" ref="E27:E34" si="0">IF(D27&gt;0,$D$10,0)</f>
        <v>0</v>
      </c>
      <c r="F27" s="227" t="s">
        <v>71</v>
      </c>
      <c r="G27" s="23"/>
      <c r="H27" s="105">
        <v>0</v>
      </c>
      <c r="I27" s="106">
        <v>0</v>
      </c>
      <c r="J27" s="107" t="s">
        <v>38</v>
      </c>
      <c r="K27" s="107" t="s">
        <v>38</v>
      </c>
      <c r="L27" s="108"/>
      <c r="M27" s="101">
        <v>555</v>
      </c>
      <c r="N27" s="23"/>
      <c r="O27" s="334">
        <v>0</v>
      </c>
      <c r="P27" s="113">
        <v>0</v>
      </c>
      <c r="Q27" s="340">
        <f>O27*(M27/1000)</f>
        <v>0</v>
      </c>
      <c r="R27" s="23"/>
      <c r="S27" s="334">
        <v>0</v>
      </c>
      <c r="T27" s="326">
        <f>S27*(M27/1000)</f>
        <v>0</v>
      </c>
      <c r="U27" s="113">
        <v>0</v>
      </c>
      <c r="V27" s="114">
        <v>1</v>
      </c>
      <c r="W27" s="303">
        <f>IF(D27&gt;0,1,0)+V27</f>
        <v>1</v>
      </c>
      <c r="X27" s="18"/>
      <c r="Y27" s="55"/>
      <c r="Z27" s="109" t="s">
        <v>74</v>
      </c>
      <c r="AA27" s="373">
        <f t="shared" ref="AA27:AA34" si="1">$O27*$D27</f>
        <v>0</v>
      </c>
      <c r="AB27" s="374">
        <f t="shared" ref="AB27:AB34" si="2">$AA27*$M27/1000</f>
        <v>0</v>
      </c>
      <c r="AC27" s="374">
        <f t="shared" ref="AC27:AC34" si="3">$P27*$D27</f>
        <v>0</v>
      </c>
      <c r="AD27" s="374">
        <f t="shared" ref="AD27:AD34" si="4">VLOOKUP($W27,$C$38:$P$44,$P$36,FALSE)*$D27</f>
        <v>0</v>
      </c>
      <c r="AE27" s="375">
        <f>SUM(AB27:AD27)</f>
        <v>0</v>
      </c>
      <c r="AF27" s="357"/>
      <c r="AG27" s="373">
        <f t="shared" ref="AG27:AG34" si="5">$S27*$D27*($D$8/10000)</f>
        <v>0</v>
      </c>
      <c r="AH27" s="374">
        <f t="shared" ref="AH27:AH34" si="6">($D27*$T27)*($D$8/10000)</f>
        <v>0</v>
      </c>
      <c r="AI27" s="374">
        <f t="shared" ref="AI27:AI34" si="7">($D27*$U27)*$D$8/10000</f>
        <v>0</v>
      </c>
      <c r="AJ27" s="374">
        <f t="shared" ref="AJ27:AJ34" si="8">VLOOKUP($W27,$C$38:$U$44,$U$36,FALSE)*($D$8/10000)*$D27</f>
        <v>0</v>
      </c>
      <c r="AK27" s="376">
        <f t="shared" ref="AK27:AK34" si="9">SUM(AH27:AJ27)</f>
        <v>0</v>
      </c>
      <c r="AL27" s="359">
        <f>AE27+AK27</f>
        <v>0</v>
      </c>
      <c r="AM27" s="57"/>
      <c r="AN27" s="27"/>
    </row>
    <row r="28" spans="2:40" ht="15" customHeight="1" x14ac:dyDescent="0.45">
      <c r="B28" s="18"/>
      <c r="C28" s="104" t="s">
        <v>128</v>
      </c>
      <c r="D28" s="344">
        <f>IF($D$9="84 p. binnenwerk + 4 p. omslag",IF($D$15="Offline",42,0),0)</f>
        <v>0</v>
      </c>
      <c r="E28" s="312">
        <f t="shared" si="0"/>
        <v>0</v>
      </c>
      <c r="F28" s="227" t="s">
        <v>71</v>
      </c>
      <c r="G28" s="23"/>
      <c r="H28" s="105">
        <v>0</v>
      </c>
      <c r="I28" s="106">
        <v>0</v>
      </c>
      <c r="J28" s="107" t="s">
        <v>38</v>
      </c>
      <c r="K28" s="107" t="s">
        <v>38</v>
      </c>
      <c r="L28" s="108"/>
      <c r="M28" s="101">
        <v>555</v>
      </c>
      <c r="N28" s="23"/>
      <c r="O28" s="334">
        <v>0</v>
      </c>
      <c r="P28" s="113">
        <v>0</v>
      </c>
      <c r="Q28" s="340">
        <f>O28*(M28/1000)</f>
        <v>0</v>
      </c>
      <c r="R28" s="23"/>
      <c r="S28" s="334">
        <v>0</v>
      </c>
      <c r="T28" s="326">
        <f>S28*(M28/1000)</f>
        <v>0</v>
      </c>
      <c r="U28" s="113">
        <v>0</v>
      </c>
      <c r="V28" s="114">
        <v>1</v>
      </c>
      <c r="W28" s="303">
        <f t="shared" ref="W28" si="10">IF(D28&gt;0,1,0)+V28</f>
        <v>1</v>
      </c>
      <c r="X28" s="18"/>
      <c r="Y28" s="55"/>
      <c r="Z28" s="109" t="s">
        <v>73</v>
      </c>
      <c r="AA28" s="373">
        <f t="shared" si="1"/>
        <v>0</v>
      </c>
      <c r="AB28" s="374">
        <f t="shared" si="2"/>
        <v>0</v>
      </c>
      <c r="AC28" s="374">
        <f t="shared" si="3"/>
        <v>0</v>
      </c>
      <c r="AD28" s="374">
        <f t="shared" si="4"/>
        <v>0</v>
      </c>
      <c r="AE28" s="375">
        <f t="shared" ref="AE28:AE34" si="11">SUM(AB28:AD28)</f>
        <v>0</v>
      </c>
      <c r="AF28" s="357"/>
      <c r="AG28" s="373">
        <f t="shared" si="5"/>
        <v>0</v>
      </c>
      <c r="AH28" s="374">
        <f t="shared" si="6"/>
        <v>0</v>
      </c>
      <c r="AI28" s="374">
        <f t="shared" si="7"/>
        <v>0</v>
      </c>
      <c r="AJ28" s="374">
        <f t="shared" si="8"/>
        <v>0</v>
      </c>
      <c r="AK28" s="376">
        <f t="shared" si="9"/>
        <v>0</v>
      </c>
      <c r="AL28" s="359">
        <f>AE28+AK28</f>
        <v>0</v>
      </c>
      <c r="AM28" s="57"/>
      <c r="AN28" s="27"/>
    </row>
    <row r="29" spans="2:40" ht="15" customHeight="1" x14ac:dyDescent="0.45">
      <c r="B29" s="18"/>
      <c r="C29" s="104" t="s">
        <v>130</v>
      </c>
      <c r="D29" s="344">
        <f>IF($D$9="84 p. selfcovered",IF($D$15="Offline",42,16),0)</f>
        <v>0</v>
      </c>
      <c r="E29" s="312">
        <f t="shared" si="0"/>
        <v>0</v>
      </c>
      <c r="F29" s="227" t="s">
        <v>71</v>
      </c>
      <c r="G29" s="23"/>
      <c r="H29" s="105">
        <v>0</v>
      </c>
      <c r="I29" s="106">
        <v>0</v>
      </c>
      <c r="J29" s="107" t="s">
        <v>38</v>
      </c>
      <c r="K29" s="107" t="s">
        <v>38</v>
      </c>
      <c r="L29" s="108"/>
      <c r="M29" s="101">
        <v>555</v>
      </c>
      <c r="N29" s="23"/>
      <c r="O29" s="334">
        <v>0</v>
      </c>
      <c r="P29" s="113">
        <v>0</v>
      </c>
      <c r="Q29" s="340">
        <f>O29*(M29/1000)</f>
        <v>0</v>
      </c>
      <c r="R29" s="23"/>
      <c r="S29" s="334">
        <v>0</v>
      </c>
      <c r="T29" s="326">
        <f>S29*(M29/1000)</f>
        <v>0</v>
      </c>
      <c r="U29" s="113">
        <v>0</v>
      </c>
      <c r="V29" s="114">
        <v>1</v>
      </c>
      <c r="W29" s="474">
        <f>IF(D29&gt;0,0,0)+V29</f>
        <v>1</v>
      </c>
      <c r="X29" s="18"/>
      <c r="Y29" s="55"/>
      <c r="Z29" s="109" t="s">
        <v>73</v>
      </c>
      <c r="AA29" s="373">
        <f t="shared" si="1"/>
        <v>0</v>
      </c>
      <c r="AB29" s="374">
        <f t="shared" si="2"/>
        <v>0</v>
      </c>
      <c r="AC29" s="374">
        <f t="shared" si="3"/>
        <v>0</v>
      </c>
      <c r="AD29" s="374">
        <f t="shared" si="4"/>
        <v>0</v>
      </c>
      <c r="AE29" s="375">
        <f>SUM(AB29:AD29)</f>
        <v>0</v>
      </c>
      <c r="AF29" s="357"/>
      <c r="AG29" s="373">
        <f t="shared" si="5"/>
        <v>0</v>
      </c>
      <c r="AH29" s="374">
        <f t="shared" si="6"/>
        <v>0</v>
      </c>
      <c r="AI29" s="374">
        <f t="shared" si="7"/>
        <v>0</v>
      </c>
      <c r="AJ29" s="374">
        <f t="shared" si="8"/>
        <v>0</v>
      </c>
      <c r="AK29" s="376">
        <f>SUM(AH29:AJ29)</f>
        <v>0</v>
      </c>
      <c r="AL29" s="359">
        <f t="shared" ref="AL29:AL34" si="12">AE29+AK29</f>
        <v>0</v>
      </c>
      <c r="AM29" s="57"/>
      <c r="AN29" s="27"/>
    </row>
    <row r="30" spans="2:40" s="111" customFormat="1" ht="15" customHeight="1" x14ac:dyDescent="0.45">
      <c r="B30" s="18"/>
      <c r="C30" s="136" t="s">
        <v>75</v>
      </c>
      <c r="D30" s="344">
        <f>IF($D$9="88 p. selfcovered",IF($D$15="Offline",42,16),0)</f>
        <v>0</v>
      </c>
      <c r="E30" s="312">
        <f t="shared" si="0"/>
        <v>0</v>
      </c>
      <c r="F30" s="227" t="s">
        <v>71</v>
      </c>
      <c r="G30" s="23"/>
      <c r="H30" s="105">
        <v>0</v>
      </c>
      <c r="I30" s="106">
        <v>0</v>
      </c>
      <c r="J30" s="110" t="s">
        <v>38</v>
      </c>
      <c r="K30" s="110" t="s">
        <v>38</v>
      </c>
      <c r="L30" s="108"/>
      <c r="M30" s="101">
        <v>555</v>
      </c>
      <c r="N30" s="23"/>
      <c r="O30" s="334">
        <v>0</v>
      </c>
      <c r="P30" s="113">
        <v>0</v>
      </c>
      <c r="Q30" s="340">
        <f>O30*M30/1000</f>
        <v>0</v>
      </c>
      <c r="R30" s="23"/>
      <c r="S30" s="334">
        <v>0</v>
      </c>
      <c r="T30" s="326">
        <f>S30*M30/1000</f>
        <v>0</v>
      </c>
      <c r="U30" s="113">
        <v>0</v>
      </c>
      <c r="V30" s="114">
        <v>1</v>
      </c>
      <c r="W30" s="303">
        <f t="shared" ref="W30:W34" si="13">IF(D30&gt;0,0,0)+V30</f>
        <v>1</v>
      </c>
      <c r="X30" s="18"/>
      <c r="Y30" s="55"/>
      <c r="Z30" s="137" t="s">
        <v>75</v>
      </c>
      <c r="AA30" s="373">
        <f t="shared" si="1"/>
        <v>0</v>
      </c>
      <c r="AB30" s="374">
        <f t="shared" si="2"/>
        <v>0</v>
      </c>
      <c r="AC30" s="374">
        <f t="shared" si="3"/>
        <v>0</v>
      </c>
      <c r="AD30" s="374">
        <f t="shared" si="4"/>
        <v>0</v>
      </c>
      <c r="AE30" s="375">
        <f t="shared" si="11"/>
        <v>0</v>
      </c>
      <c r="AF30" s="357"/>
      <c r="AG30" s="373">
        <f t="shared" si="5"/>
        <v>0</v>
      </c>
      <c r="AH30" s="374">
        <f t="shared" si="6"/>
        <v>0</v>
      </c>
      <c r="AI30" s="374">
        <f t="shared" si="7"/>
        <v>0</v>
      </c>
      <c r="AJ30" s="374">
        <f t="shared" si="8"/>
        <v>0</v>
      </c>
      <c r="AK30" s="376">
        <f t="shared" si="9"/>
        <v>0</v>
      </c>
      <c r="AL30" s="359">
        <f t="shared" si="12"/>
        <v>0</v>
      </c>
      <c r="AM30" s="116"/>
      <c r="AN30" s="117"/>
    </row>
    <row r="31" spans="2:40" s="111" customFormat="1" ht="15" customHeight="1" x14ac:dyDescent="0.45">
      <c r="B31" s="18"/>
      <c r="C31" s="112" t="s">
        <v>144</v>
      </c>
      <c r="D31" s="345">
        <f>IF(D27&gt;0,4,0)</f>
        <v>0</v>
      </c>
      <c r="E31" s="312">
        <f>IF(D31&gt;0,$D$10,0)</f>
        <v>0</v>
      </c>
      <c r="F31" s="227" t="s">
        <v>71</v>
      </c>
      <c r="G31" s="23"/>
      <c r="H31" s="105">
        <v>0</v>
      </c>
      <c r="I31" s="106">
        <v>0</v>
      </c>
      <c r="J31" s="110" t="s">
        <v>38</v>
      </c>
      <c r="K31" s="110" t="s">
        <v>38</v>
      </c>
      <c r="L31" s="108"/>
      <c r="M31" s="101">
        <v>555</v>
      </c>
      <c r="N31" s="23"/>
      <c r="O31" s="334">
        <v>0</v>
      </c>
      <c r="P31" s="113">
        <v>0</v>
      </c>
      <c r="Q31" s="340">
        <f>O31*M31/1000</f>
        <v>0</v>
      </c>
      <c r="R31" s="23"/>
      <c r="S31" s="334">
        <v>0</v>
      </c>
      <c r="T31" s="326">
        <f>S31*M31/1000</f>
        <v>0</v>
      </c>
      <c r="U31" s="113">
        <v>0</v>
      </c>
      <c r="V31" s="114">
        <v>1</v>
      </c>
      <c r="W31" s="303">
        <f t="shared" si="13"/>
        <v>1</v>
      </c>
      <c r="X31" s="18"/>
      <c r="Y31" s="55"/>
      <c r="Z31" s="115" t="s">
        <v>144</v>
      </c>
      <c r="AA31" s="373">
        <f t="shared" si="1"/>
        <v>0</v>
      </c>
      <c r="AB31" s="374">
        <f t="shared" si="2"/>
        <v>0</v>
      </c>
      <c r="AC31" s="374">
        <f t="shared" si="3"/>
        <v>0</v>
      </c>
      <c r="AD31" s="374">
        <f t="shared" si="4"/>
        <v>0</v>
      </c>
      <c r="AE31" s="375">
        <f>SUM(AB31:AD31)</f>
        <v>0</v>
      </c>
      <c r="AF31" s="357"/>
      <c r="AG31" s="373">
        <f t="shared" si="5"/>
        <v>0</v>
      </c>
      <c r="AH31" s="374">
        <f t="shared" si="6"/>
        <v>0</v>
      </c>
      <c r="AI31" s="374">
        <f t="shared" si="7"/>
        <v>0</v>
      </c>
      <c r="AJ31" s="374">
        <f t="shared" si="8"/>
        <v>0</v>
      </c>
      <c r="AK31" s="376">
        <f>SUM(AH31:AJ31)</f>
        <v>0</v>
      </c>
      <c r="AL31" s="359">
        <f>AE31+AK31</f>
        <v>0</v>
      </c>
      <c r="AM31" s="116"/>
      <c r="AN31" s="117"/>
    </row>
    <row r="32" spans="2:40" s="111" customFormat="1" ht="15" customHeight="1" x14ac:dyDescent="0.45">
      <c r="B32" s="18"/>
      <c r="C32" s="112" t="s">
        <v>76</v>
      </c>
      <c r="D32" s="345">
        <f>IF(D28&gt;0,4,IF(D23&gt;0,4,IF(D29&gt;0,4,IF(D30&gt;0,4,0))))</f>
        <v>0</v>
      </c>
      <c r="E32" s="312">
        <f t="shared" si="0"/>
        <v>0</v>
      </c>
      <c r="F32" s="227" t="s">
        <v>71</v>
      </c>
      <c r="G32" s="23"/>
      <c r="H32" s="105">
        <v>0</v>
      </c>
      <c r="I32" s="106">
        <v>0</v>
      </c>
      <c r="J32" s="110" t="s">
        <v>38</v>
      </c>
      <c r="K32" s="110" t="s">
        <v>38</v>
      </c>
      <c r="L32" s="108"/>
      <c r="M32" s="101">
        <v>555</v>
      </c>
      <c r="N32" s="23"/>
      <c r="O32" s="334">
        <v>0</v>
      </c>
      <c r="P32" s="113">
        <v>0</v>
      </c>
      <c r="Q32" s="340">
        <f>O32*M32/1000</f>
        <v>0</v>
      </c>
      <c r="R32" s="23"/>
      <c r="S32" s="334">
        <v>0</v>
      </c>
      <c r="T32" s="326">
        <f>S32*M32/1000</f>
        <v>0</v>
      </c>
      <c r="U32" s="113">
        <v>0</v>
      </c>
      <c r="V32" s="114">
        <v>1</v>
      </c>
      <c r="W32" s="303">
        <f t="shared" si="13"/>
        <v>1</v>
      </c>
      <c r="X32" s="18"/>
      <c r="Y32" s="55"/>
      <c r="Z32" s="115" t="s">
        <v>76</v>
      </c>
      <c r="AA32" s="373">
        <f t="shared" si="1"/>
        <v>0</v>
      </c>
      <c r="AB32" s="374">
        <f t="shared" si="2"/>
        <v>0</v>
      </c>
      <c r="AC32" s="374">
        <f t="shared" si="3"/>
        <v>0</v>
      </c>
      <c r="AD32" s="374">
        <f t="shared" si="4"/>
        <v>0</v>
      </c>
      <c r="AE32" s="375">
        <f t="shared" si="11"/>
        <v>0</v>
      </c>
      <c r="AF32" s="357"/>
      <c r="AG32" s="373">
        <f t="shared" si="5"/>
        <v>0</v>
      </c>
      <c r="AH32" s="374">
        <f t="shared" si="6"/>
        <v>0</v>
      </c>
      <c r="AI32" s="374">
        <f t="shared" si="7"/>
        <v>0</v>
      </c>
      <c r="AJ32" s="374">
        <f t="shared" si="8"/>
        <v>0</v>
      </c>
      <c r="AK32" s="376">
        <f t="shared" si="9"/>
        <v>0</v>
      </c>
      <c r="AL32" s="359">
        <f>AE32+AK32</f>
        <v>0</v>
      </c>
      <c r="AM32" s="116"/>
      <c r="AN32" s="117"/>
    </row>
    <row r="33" spans="2:40" s="111" customFormat="1" ht="15" customHeight="1" x14ac:dyDescent="0.45">
      <c r="B33" s="18"/>
      <c r="C33" s="112" t="s">
        <v>77</v>
      </c>
      <c r="D33" s="345">
        <v>0</v>
      </c>
      <c r="E33" s="312">
        <f t="shared" si="0"/>
        <v>0</v>
      </c>
      <c r="F33" s="227" t="s">
        <v>71</v>
      </c>
      <c r="G33" s="23"/>
      <c r="H33" s="105">
        <v>0</v>
      </c>
      <c r="I33" s="106">
        <v>0</v>
      </c>
      <c r="J33" s="110" t="s">
        <v>38</v>
      </c>
      <c r="K33" s="110" t="s">
        <v>38</v>
      </c>
      <c r="L33" s="108"/>
      <c r="M33" s="101">
        <v>555</v>
      </c>
      <c r="N33" s="23"/>
      <c r="O33" s="334">
        <v>0</v>
      </c>
      <c r="P33" s="113">
        <v>0</v>
      </c>
      <c r="Q33" s="340">
        <f>O33*M33/1000</f>
        <v>0</v>
      </c>
      <c r="R33" s="23"/>
      <c r="S33" s="334">
        <v>0</v>
      </c>
      <c r="T33" s="326">
        <f>S33*M33/1000</f>
        <v>0</v>
      </c>
      <c r="U33" s="113">
        <v>0</v>
      </c>
      <c r="V33" s="114">
        <v>1</v>
      </c>
      <c r="W33" s="303">
        <f t="shared" si="13"/>
        <v>1</v>
      </c>
      <c r="X33" s="18"/>
      <c r="Y33" s="55"/>
      <c r="Z33" s="115" t="s">
        <v>77</v>
      </c>
      <c r="AA33" s="373">
        <f t="shared" si="1"/>
        <v>0</v>
      </c>
      <c r="AB33" s="374">
        <f t="shared" si="2"/>
        <v>0</v>
      </c>
      <c r="AC33" s="374">
        <f t="shared" si="3"/>
        <v>0</v>
      </c>
      <c r="AD33" s="374">
        <f t="shared" si="4"/>
        <v>0</v>
      </c>
      <c r="AE33" s="375">
        <f t="shared" si="11"/>
        <v>0</v>
      </c>
      <c r="AF33" s="357"/>
      <c r="AG33" s="373">
        <f t="shared" si="5"/>
        <v>0</v>
      </c>
      <c r="AH33" s="374">
        <f t="shared" si="6"/>
        <v>0</v>
      </c>
      <c r="AI33" s="374">
        <f t="shared" si="7"/>
        <v>0</v>
      </c>
      <c r="AJ33" s="374">
        <f t="shared" si="8"/>
        <v>0</v>
      </c>
      <c r="AK33" s="376">
        <f t="shared" si="9"/>
        <v>0</v>
      </c>
      <c r="AL33" s="359">
        <f t="shared" si="12"/>
        <v>0</v>
      </c>
      <c r="AM33" s="116"/>
      <c r="AN33" s="117"/>
    </row>
    <row r="34" spans="2:40" s="111" customFormat="1" ht="15" customHeight="1" thickBot="1" x14ac:dyDescent="0.5">
      <c r="B34" s="18"/>
      <c r="C34" s="118" t="s">
        <v>78</v>
      </c>
      <c r="D34" s="346">
        <f>IF(D31&gt;0,1,IF(D32&gt;0,1,IF(D33&gt;0,1,0)))</f>
        <v>0</v>
      </c>
      <c r="E34" s="312">
        <f t="shared" si="0"/>
        <v>0</v>
      </c>
      <c r="F34" s="227" t="s">
        <v>71</v>
      </c>
      <c r="G34" s="23"/>
      <c r="H34" s="119">
        <v>0</v>
      </c>
      <c r="I34" s="120">
        <v>0</v>
      </c>
      <c r="J34" s="121" t="s">
        <v>38</v>
      </c>
      <c r="K34" s="121" t="s">
        <v>38</v>
      </c>
      <c r="L34" s="313"/>
      <c r="M34" s="122">
        <v>555</v>
      </c>
      <c r="N34" s="23"/>
      <c r="O34" s="335">
        <v>0</v>
      </c>
      <c r="P34" s="123">
        <v>0</v>
      </c>
      <c r="Q34" s="341">
        <f>O34*M34/1000</f>
        <v>0</v>
      </c>
      <c r="R34" s="23"/>
      <c r="S34" s="335">
        <v>0</v>
      </c>
      <c r="T34" s="326">
        <f>S34*M34/1000</f>
        <v>0</v>
      </c>
      <c r="U34" s="123">
        <v>0</v>
      </c>
      <c r="V34" s="124">
        <v>1</v>
      </c>
      <c r="W34" s="303">
        <f t="shared" si="13"/>
        <v>1</v>
      </c>
      <c r="X34" s="18"/>
      <c r="Y34" s="55"/>
      <c r="Z34" s="125" t="s">
        <v>78</v>
      </c>
      <c r="AA34" s="354">
        <f t="shared" si="1"/>
        <v>0</v>
      </c>
      <c r="AB34" s="355">
        <f t="shared" si="2"/>
        <v>0</v>
      </c>
      <c r="AC34" s="355">
        <f t="shared" si="3"/>
        <v>0</v>
      </c>
      <c r="AD34" s="355">
        <f t="shared" si="4"/>
        <v>0</v>
      </c>
      <c r="AE34" s="356">
        <f t="shared" si="11"/>
        <v>0</v>
      </c>
      <c r="AF34" s="357"/>
      <c r="AG34" s="354">
        <f t="shared" si="5"/>
        <v>0</v>
      </c>
      <c r="AH34" s="355">
        <f t="shared" si="6"/>
        <v>0</v>
      </c>
      <c r="AI34" s="355">
        <f t="shared" si="7"/>
        <v>0</v>
      </c>
      <c r="AJ34" s="355">
        <f t="shared" si="8"/>
        <v>0</v>
      </c>
      <c r="AK34" s="358">
        <f t="shared" si="9"/>
        <v>0</v>
      </c>
      <c r="AL34" s="359">
        <f t="shared" si="12"/>
        <v>0</v>
      </c>
      <c r="AM34" s="116"/>
      <c r="AN34" s="117"/>
    </row>
    <row r="35" spans="2:40" ht="15.65" customHeight="1" thickBot="1" x14ac:dyDescent="0.5">
      <c r="B35" s="18"/>
      <c r="C35" s="139"/>
      <c r="D35" s="25"/>
      <c r="E35" s="23"/>
      <c r="F35" s="23"/>
      <c r="G35" s="23"/>
      <c r="H35" s="25"/>
      <c r="I35" s="25"/>
      <c r="J35" s="25"/>
      <c r="K35" s="25"/>
      <c r="L35" s="25"/>
      <c r="M35" s="30"/>
      <c r="N35" s="23"/>
      <c r="O35" s="130"/>
      <c r="P35" s="130"/>
      <c r="Q35" s="130"/>
      <c r="R35" s="23"/>
      <c r="S35" s="129"/>
      <c r="T35" s="130"/>
      <c r="U35" s="130"/>
      <c r="V35" s="140"/>
      <c r="W35" s="22"/>
      <c r="X35" s="18"/>
      <c r="Y35" s="55"/>
      <c r="Z35" s="23"/>
      <c r="AA35" s="384"/>
      <c r="AB35" s="377"/>
      <c r="AC35" s="377"/>
      <c r="AD35" s="377"/>
      <c r="AE35" s="378"/>
      <c r="AF35" s="385"/>
      <c r="AG35" s="384"/>
      <c r="AH35" s="377"/>
      <c r="AI35" s="377"/>
      <c r="AJ35" s="377"/>
      <c r="AK35" s="376"/>
      <c r="AL35" s="359"/>
      <c r="AM35" s="57"/>
      <c r="AN35" s="27"/>
    </row>
    <row r="36" spans="2:40" ht="20.5" customHeight="1" thickBot="1" x14ac:dyDescent="0.5">
      <c r="B36" s="18"/>
      <c r="C36" s="526" t="s">
        <v>62</v>
      </c>
      <c r="D36" s="528"/>
      <c r="E36" s="528"/>
      <c r="F36" s="528"/>
      <c r="G36" s="528"/>
      <c r="H36" s="528"/>
      <c r="I36" s="528"/>
      <c r="J36" s="142"/>
      <c r="K36" s="142"/>
      <c r="L36" s="142"/>
      <c r="M36" s="142"/>
      <c r="N36" s="142"/>
      <c r="O36" s="141"/>
      <c r="P36" s="143">
        <v>14</v>
      </c>
      <c r="Q36" s="144"/>
      <c r="R36" s="142"/>
      <c r="S36" s="141"/>
      <c r="T36" s="142"/>
      <c r="U36" s="143">
        <v>19</v>
      </c>
      <c r="V36" s="144"/>
      <c r="W36" s="22"/>
      <c r="X36" s="18"/>
      <c r="Y36" s="55"/>
      <c r="Z36" s="141" t="str">
        <f>C46</f>
        <v>Extra bewerkingen (Pluspropositie):</v>
      </c>
      <c r="AA36" s="386"/>
      <c r="AB36" s="387"/>
      <c r="AC36" s="387"/>
      <c r="AD36" s="387"/>
      <c r="AE36" s="388"/>
      <c r="AF36" s="389"/>
      <c r="AG36" s="390"/>
      <c r="AH36" s="387"/>
      <c r="AI36" s="387"/>
      <c r="AJ36" s="387"/>
      <c r="AK36" s="391"/>
      <c r="AL36" s="392"/>
      <c r="AM36" s="57"/>
      <c r="AN36" s="27"/>
    </row>
    <row r="37" spans="2:40" ht="32.5" customHeight="1" x14ac:dyDescent="0.45">
      <c r="B37" s="18"/>
      <c r="C37" s="248" t="s">
        <v>41</v>
      </c>
      <c r="D37" s="30"/>
      <c r="E37" s="23"/>
      <c r="F37" s="23"/>
      <c r="G37" s="23"/>
      <c r="H37" s="24"/>
      <c r="I37" s="24"/>
      <c r="J37" s="30"/>
      <c r="K37" s="30"/>
      <c r="L37" s="30"/>
      <c r="M37" s="30"/>
      <c r="N37" s="23"/>
      <c r="O37" s="529" t="s">
        <v>42</v>
      </c>
      <c r="P37" s="530"/>
      <c r="Q37" s="531"/>
      <c r="R37" s="130"/>
      <c r="S37" s="145"/>
      <c r="T37" s="13"/>
      <c r="U37" s="216" t="s">
        <v>43</v>
      </c>
      <c r="V37" s="146"/>
      <c r="W37" s="22"/>
      <c r="X37" s="18"/>
      <c r="Y37" s="55"/>
      <c r="Z37" s="229"/>
      <c r="AA37" s="393"/>
      <c r="AB37" s="394"/>
      <c r="AC37" s="394"/>
      <c r="AD37" s="394"/>
      <c r="AE37" s="395"/>
      <c r="AF37" s="396"/>
      <c r="AG37" s="397"/>
      <c r="AH37" s="394"/>
      <c r="AI37" s="394"/>
      <c r="AJ37" s="394"/>
      <c r="AK37" s="395"/>
      <c r="AL37" s="359"/>
      <c r="AM37" s="57"/>
      <c r="AN37" s="27"/>
    </row>
    <row r="38" spans="2:40" x14ac:dyDescent="0.45">
      <c r="B38" s="18"/>
      <c r="C38" s="148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29"/>
      <c r="P38" s="328"/>
      <c r="Q38" s="133"/>
      <c r="R38" s="130"/>
      <c r="S38" s="129"/>
      <c r="T38" s="130"/>
      <c r="U38" s="328">
        <v>0</v>
      </c>
      <c r="V38" s="133"/>
      <c r="W38" s="22"/>
      <c r="X38" s="18"/>
      <c r="Y38" s="55"/>
      <c r="Z38" s="149" t="str">
        <f>C48</f>
        <v>Meehechten extra katern / insert / outsert</v>
      </c>
      <c r="AA38" s="393"/>
      <c r="AB38" s="394"/>
      <c r="AC38" s="398"/>
      <c r="AD38" s="398">
        <f>D48*P48</f>
        <v>0</v>
      </c>
      <c r="AE38" s="399">
        <f>AD38</f>
        <v>0</v>
      </c>
      <c r="AF38" s="400"/>
      <c r="AG38" s="401"/>
      <c r="AH38" s="402"/>
      <c r="AI38" s="403"/>
      <c r="AJ38" s="403">
        <f>(E48/10000)*U48*D48</f>
        <v>0</v>
      </c>
      <c r="AK38" s="404">
        <f>AJ38</f>
        <v>0</v>
      </c>
      <c r="AL38" s="359">
        <f>AE38+AK38</f>
        <v>0</v>
      </c>
      <c r="AM38" s="57"/>
      <c r="AN38" s="27"/>
    </row>
    <row r="39" spans="2:40" x14ac:dyDescent="0.45">
      <c r="B39" s="18"/>
      <c r="C39" s="150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29"/>
      <c r="P39" s="328">
        <v>0</v>
      </c>
      <c r="Q39" s="133"/>
      <c r="R39" s="130"/>
      <c r="S39" s="129"/>
      <c r="T39" s="130"/>
      <c r="U39" s="328">
        <v>0</v>
      </c>
      <c r="V39" s="133"/>
      <c r="W39" s="22"/>
      <c r="X39" s="18"/>
      <c r="Y39" s="55"/>
      <c r="Z39" s="147" t="str">
        <f>C49</f>
        <v>Meehechten via plano oplegstation (outsert)</v>
      </c>
      <c r="AA39" s="405"/>
      <c r="AB39" s="406"/>
      <c r="AC39" s="407"/>
      <c r="AD39" s="407">
        <f>$D49*$P49</f>
        <v>0</v>
      </c>
      <c r="AE39" s="408">
        <f>AD39</f>
        <v>0</v>
      </c>
      <c r="AF39" s="409"/>
      <c r="AG39" s="410"/>
      <c r="AH39" s="411"/>
      <c r="AI39" s="412"/>
      <c r="AJ39" s="403">
        <f>(E49/10000)*U49*D49</f>
        <v>0</v>
      </c>
      <c r="AK39" s="413">
        <f>AJ39</f>
        <v>0</v>
      </c>
      <c r="AL39" s="359">
        <f>AE39+AK39</f>
        <v>0</v>
      </c>
      <c r="AM39" s="57"/>
      <c r="AN39" s="27"/>
    </row>
    <row r="40" spans="2:40" x14ac:dyDescent="0.45">
      <c r="B40" s="18"/>
      <c r="C40" s="148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29"/>
      <c r="P40" s="328">
        <v>0</v>
      </c>
      <c r="Q40" s="133"/>
      <c r="R40" s="130"/>
      <c r="S40" s="129"/>
      <c r="T40" s="130"/>
      <c r="U40" s="328">
        <v>0</v>
      </c>
      <c r="V40" s="133"/>
      <c r="W40" s="22"/>
      <c r="X40" s="18"/>
      <c r="Y40" s="55"/>
      <c r="Z40" s="149" t="str">
        <f>C50</f>
        <v>Plakkaart (op katernscheiding)</v>
      </c>
      <c r="AA40" s="405"/>
      <c r="AB40" s="406"/>
      <c r="AC40" s="407"/>
      <c r="AD40" s="407">
        <f>$D50*$P50</f>
        <v>0</v>
      </c>
      <c r="AE40" s="408">
        <f>AD40</f>
        <v>0</v>
      </c>
      <c r="AF40" s="409"/>
      <c r="AG40" s="410"/>
      <c r="AH40" s="411"/>
      <c r="AI40" s="412"/>
      <c r="AJ40" s="403">
        <f>(E50/10000)*U50*D50</f>
        <v>0</v>
      </c>
      <c r="AK40" s="413">
        <f>AJ40</f>
        <v>0</v>
      </c>
      <c r="AL40" s="359">
        <f>AE40+AK40</f>
        <v>0</v>
      </c>
      <c r="AM40" s="57"/>
      <c r="AN40" s="27"/>
    </row>
    <row r="41" spans="2:40" x14ac:dyDescent="0.45">
      <c r="B41" s="18"/>
      <c r="C41" s="150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29"/>
      <c r="P41" s="328">
        <v>0</v>
      </c>
      <c r="Q41" s="133"/>
      <c r="R41" s="130"/>
      <c r="S41" s="129"/>
      <c r="T41" s="130"/>
      <c r="U41" s="328">
        <v>0</v>
      </c>
      <c r="V41" s="133"/>
      <c r="W41" s="22"/>
      <c r="X41" s="18"/>
      <c r="Y41" s="55"/>
      <c r="Z41" s="147" t="str">
        <f>C51</f>
        <v xml:space="preserve">Insteekkaart, kaart los insteken tijdens hechten (willekeurig) </v>
      </c>
      <c r="AA41" s="414"/>
      <c r="AB41" s="406"/>
      <c r="AC41" s="407"/>
      <c r="AD41" s="407">
        <f>$D51*$P51</f>
        <v>0</v>
      </c>
      <c r="AE41" s="408">
        <f>AD41</f>
        <v>0</v>
      </c>
      <c r="AF41" s="409"/>
      <c r="AG41" s="410"/>
      <c r="AH41" s="411"/>
      <c r="AI41" s="412"/>
      <c r="AJ41" s="403">
        <f>(E51/10000)*U51*D51</f>
        <v>0</v>
      </c>
      <c r="AK41" s="413">
        <f>AJ41</f>
        <v>0</v>
      </c>
      <c r="AL41" s="359">
        <f>AE41+AK41</f>
        <v>0</v>
      </c>
      <c r="AM41" s="57"/>
      <c r="AN41" s="27"/>
    </row>
    <row r="42" spans="2:40" ht="17" thickBot="1" x14ac:dyDescent="0.5">
      <c r="B42" s="18"/>
      <c r="C42" s="148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29"/>
      <c r="P42" s="328">
        <v>0</v>
      </c>
      <c r="Q42" s="133"/>
      <c r="R42" s="130"/>
      <c r="S42" s="129"/>
      <c r="T42" s="130"/>
      <c r="U42" s="328">
        <v>0</v>
      </c>
      <c r="V42" s="133"/>
      <c r="W42" s="22"/>
      <c r="X42" s="18"/>
      <c r="Y42" s="55"/>
      <c r="Z42" s="236"/>
      <c r="AA42" s="415"/>
      <c r="AB42" s="416"/>
      <c r="AC42" s="416"/>
      <c r="AD42" s="417"/>
      <c r="AE42" s="418"/>
      <c r="AF42" s="419"/>
      <c r="AG42" s="420"/>
      <c r="AH42" s="421"/>
      <c r="AI42" s="421"/>
      <c r="AJ42" s="421"/>
      <c r="AK42" s="418"/>
      <c r="AL42" s="359"/>
      <c r="AM42" s="57"/>
      <c r="AN42" s="27"/>
    </row>
    <row r="43" spans="2:40" ht="20.5" customHeight="1" x14ac:dyDescent="0.45">
      <c r="B43" s="18"/>
      <c r="C43" s="148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0"/>
      <c r="N43" s="23"/>
      <c r="O43" s="129"/>
      <c r="P43" s="328">
        <v>0</v>
      </c>
      <c r="Q43" s="133"/>
      <c r="R43" s="130"/>
      <c r="S43" s="129"/>
      <c r="T43" s="130"/>
      <c r="U43" s="328">
        <v>0</v>
      </c>
      <c r="V43" s="133"/>
      <c r="W43" s="22"/>
      <c r="X43" s="18"/>
      <c r="Y43" s="55"/>
      <c r="Z43" s="141" t="s">
        <v>84</v>
      </c>
      <c r="AA43" s="422"/>
      <c r="AB43" s="423"/>
      <c r="AC43" s="423"/>
      <c r="AD43" s="424"/>
      <c r="AE43" s="425"/>
      <c r="AF43" s="419"/>
      <c r="AG43" s="426"/>
      <c r="AH43" s="427"/>
      <c r="AI43" s="427"/>
      <c r="AJ43" s="427"/>
      <c r="AK43" s="427"/>
      <c r="AL43" s="359"/>
      <c r="AM43" s="57"/>
      <c r="AN43" s="27"/>
    </row>
    <row r="44" spans="2:40" ht="17" thickBot="1" x14ac:dyDescent="0.5">
      <c r="B44" s="18"/>
      <c r="C44" s="153">
        <v>7</v>
      </c>
      <c r="D44" s="154"/>
      <c r="E44" s="154"/>
      <c r="F44" s="154"/>
      <c r="G44" s="154"/>
      <c r="H44" s="154"/>
      <c r="I44" s="154"/>
      <c r="J44" s="154"/>
      <c r="K44" s="154"/>
      <c r="L44" s="154"/>
      <c r="M44" s="155"/>
      <c r="N44" s="154"/>
      <c r="O44" s="156"/>
      <c r="P44" s="329">
        <v>0</v>
      </c>
      <c r="Q44" s="157"/>
      <c r="R44" s="154"/>
      <c r="S44" s="156"/>
      <c r="T44" s="158"/>
      <c r="U44" s="330">
        <v>0</v>
      </c>
      <c r="V44" s="159"/>
      <c r="W44" s="22"/>
      <c r="X44" s="18"/>
      <c r="Y44" s="55"/>
      <c r="Z44" s="151" t="s">
        <v>85</v>
      </c>
      <c r="AA44" s="414"/>
      <c r="AB44" s="406"/>
      <c r="AC44" s="407"/>
      <c r="AD44" s="407">
        <f>$D53*$P53</f>
        <v>0</v>
      </c>
      <c r="AE44" s="408">
        <f>AD44</f>
        <v>0</v>
      </c>
      <c r="AF44" s="409"/>
      <c r="AG44" s="410"/>
      <c r="AH44" s="411"/>
      <c r="AI44" s="412"/>
      <c r="AJ44" s="428">
        <f>(E51/10000)*U53*D53</f>
        <v>0</v>
      </c>
      <c r="AK44" s="413">
        <f>AJ44</f>
        <v>0</v>
      </c>
      <c r="AL44" s="359">
        <f>AE44+AK44</f>
        <v>0</v>
      </c>
      <c r="AM44" s="57"/>
      <c r="AN44" s="27"/>
    </row>
    <row r="45" spans="2:40" ht="10" customHeight="1" thickBot="1" x14ac:dyDescent="0.5">
      <c r="B45" s="18"/>
      <c r="C45" s="160"/>
      <c r="D45" s="25"/>
      <c r="E45" s="23"/>
      <c r="F45" s="23"/>
      <c r="G45" s="23"/>
      <c r="H45" s="25"/>
      <c r="I45" s="25"/>
      <c r="J45" s="25"/>
      <c r="K45" s="25"/>
      <c r="L45" s="25"/>
      <c r="M45" s="30"/>
      <c r="N45" s="23"/>
      <c r="O45" s="129"/>
      <c r="P45" s="130"/>
      <c r="Q45" s="133"/>
      <c r="R45" s="23"/>
      <c r="S45" s="129"/>
      <c r="T45" s="130"/>
      <c r="U45" s="130"/>
      <c r="V45" s="131"/>
      <c r="W45" s="22"/>
      <c r="X45" s="18"/>
      <c r="Y45" s="55"/>
      <c r="Z45" s="236"/>
      <c r="AA45" s="415"/>
      <c r="AB45" s="416"/>
      <c r="AC45" s="416"/>
      <c r="AD45" s="417"/>
      <c r="AE45" s="418"/>
      <c r="AF45" s="419"/>
      <c r="AG45" s="420"/>
      <c r="AH45" s="417"/>
      <c r="AI45" s="417"/>
      <c r="AJ45" s="417"/>
      <c r="AK45" s="417"/>
      <c r="AL45" s="359"/>
      <c r="AM45" s="57"/>
      <c r="AN45" s="27"/>
    </row>
    <row r="46" spans="2:40" ht="35.5" customHeight="1" x14ac:dyDescent="0.45">
      <c r="B46" s="18"/>
      <c r="C46" s="141" t="s">
        <v>45</v>
      </c>
      <c r="D46" s="212" t="s">
        <v>19</v>
      </c>
      <c r="E46" s="212" t="s">
        <v>83</v>
      </c>
      <c r="F46" s="212"/>
      <c r="G46" s="212"/>
      <c r="H46" s="212"/>
      <c r="I46" s="212"/>
      <c r="J46" s="212"/>
      <c r="K46" s="212"/>
      <c r="L46" s="212"/>
      <c r="M46" s="212"/>
      <c r="N46" s="212"/>
      <c r="O46" s="520" t="s">
        <v>131</v>
      </c>
      <c r="P46" s="520"/>
      <c r="Q46" s="521"/>
      <c r="R46" s="212"/>
      <c r="S46" s="213"/>
      <c r="T46" s="212"/>
      <c r="U46" s="214" t="s">
        <v>46</v>
      </c>
      <c r="V46" s="215"/>
      <c r="W46" s="22"/>
      <c r="X46" s="18"/>
      <c r="Y46" s="55"/>
      <c r="Z46" s="141" t="s">
        <v>86</v>
      </c>
      <c r="AA46" s="429"/>
      <c r="AB46" s="406"/>
      <c r="AC46" s="407"/>
      <c r="AD46" s="407"/>
      <c r="AE46" s="408"/>
      <c r="AF46" s="409"/>
      <c r="AG46" s="410"/>
      <c r="AH46" s="411"/>
      <c r="AI46" s="412"/>
      <c r="AJ46" s="428"/>
      <c r="AK46" s="413"/>
      <c r="AL46" s="359"/>
      <c r="AM46" s="57"/>
      <c r="AN46" s="27"/>
    </row>
    <row r="47" spans="2:40" ht="18" customHeight="1" thickBot="1" x14ac:dyDescent="0.5">
      <c r="B47" s="235"/>
      <c r="C47" s="230" t="s">
        <v>80</v>
      </c>
      <c r="D47" s="161">
        <v>47</v>
      </c>
      <c r="E47" s="237">
        <f>71000</f>
        <v>71000</v>
      </c>
      <c r="F47" s="247" t="s">
        <v>152</v>
      </c>
      <c r="G47" s="23"/>
      <c r="H47" s="25"/>
      <c r="I47" s="25"/>
      <c r="J47" s="25"/>
      <c r="K47" s="25"/>
      <c r="L47" s="25"/>
      <c r="M47" s="30"/>
      <c r="N47" s="25"/>
      <c r="O47" s="129"/>
      <c r="P47" s="304"/>
      <c r="Q47" s="133"/>
      <c r="R47" s="130"/>
      <c r="S47" s="129"/>
      <c r="T47" s="245"/>
      <c r="U47" s="304"/>
      <c r="V47" s="162"/>
      <c r="W47" s="22"/>
      <c r="X47" s="18"/>
      <c r="Y47" s="57"/>
      <c r="Z47" s="228" t="str">
        <f>C55</f>
        <v>Transportkosten (1 adres in Nederland)</v>
      </c>
      <c r="AA47" s="430"/>
      <c r="AB47" s="431"/>
      <c r="AC47" s="432"/>
      <c r="AD47" s="432">
        <f>$D55*$P55</f>
        <v>0</v>
      </c>
      <c r="AE47" s="433">
        <f>AD47</f>
        <v>0</v>
      </c>
      <c r="AF47" s="434"/>
      <c r="AG47" s="435"/>
      <c r="AH47" s="436"/>
      <c r="AI47" s="437"/>
      <c r="AJ47" s="438">
        <f>(E55/10000)*U55</f>
        <v>0</v>
      </c>
      <c r="AK47" s="439">
        <f>AJ47</f>
        <v>0</v>
      </c>
      <c r="AL47" s="440">
        <f>AE47+AK47</f>
        <v>0</v>
      </c>
      <c r="AM47" s="57"/>
      <c r="AN47" s="27"/>
    </row>
    <row r="48" spans="2:40" ht="16.5" customHeight="1" thickBot="1" x14ac:dyDescent="0.55000000000000004">
      <c r="B48" s="18"/>
      <c r="C48" s="230" t="s">
        <v>47</v>
      </c>
      <c r="D48" s="161">
        <v>21</v>
      </c>
      <c r="E48" s="237">
        <v>71000</v>
      </c>
      <c r="F48" s="23"/>
      <c r="G48" s="23"/>
      <c r="H48" s="25"/>
      <c r="I48" s="25"/>
      <c r="J48" s="25"/>
      <c r="K48" s="25"/>
      <c r="L48" s="25"/>
      <c r="M48" s="30"/>
      <c r="N48" s="25"/>
      <c r="O48" s="129"/>
      <c r="P48" s="331">
        <v>0</v>
      </c>
      <c r="Q48" s="133"/>
      <c r="R48" s="130"/>
      <c r="S48" s="129"/>
      <c r="T48" s="130"/>
      <c r="U48" s="331">
        <v>0</v>
      </c>
      <c r="V48" s="162"/>
      <c r="W48" s="22"/>
      <c r="X48" s="18"/>
      <c r="Y48" s="57"/>
      <c r="Z48" s="323"/>
      <c r="AA48" s="441"/>
      <c r="AB48" s="442"/>
      <c r="AC48" s="443"/>
      <c r="AD48" s="444"/>
      <c r="AE48" s="445"/>
      <c r="AF48" s="446"/>
      <c r="AG48" s="446"/>
      <c r="AH48" s="447"/>
      <c r="AI48" s="448"/>
      <c r="AJ48" s="448"/>
      <c r="AK48" s="449"/>
      <c r="AL48" s="450"/>
      <c r="AM48" s="57"/>
      <c r="AN48" s="27"/>
    </row>
    <row r="49" spans="1:40" ht="16.5" customHeight="1" x14ac:dyDescent="0.45">
      <c r="B49" s="18"/>
      <c r="C49" s="163" t="s">
        <v>48</v>
      </c>
      <c r="D49" s="161">
        <v>0</v>
      </c>
      <c r="E49" s="237">
        <v>0</v>
      </c>
      <c r="F49" s="23"/>
      <c r="G49" s="23"/>
      <c r="H49" s="25"/>
      <c r="I49" s="25"/>
      <c r="J49" s="25"/>
      <c r="K49" s="25"/>
      <c r="L49" s="25"/>
      <c r="M49" s="30"/>
      <c r="N49" s="25"/>
      <c r="O49" s="129"/>
      <c r="P49" s="331">
        <v>0</v>
      </c>
      <c r="Q49" s="133"/>
      <c r="R49" s="130"/>
      <c r="S49" s="129"/>
      <c r="T49" s="130"/>
      <c r="U49" s="331">
        <v>0</v>
      </c>
      <c r="V49" s="162"/>
      <c r="W49" s="22"/>
      <c r="X49" s="18"/>
      <c r="Y49" s="57"/>
      <c r="Z49" s="141" t="s">
        <v>124</v>
      </c>
      <c r="AA49" s="451"/>
      <c r="AB49" s="452"/>
      <c r="AC49" s="452"/>
      <c r="AD49" s="452"/>
      <c r="AE49" s="452"/>
      <c r="AF49" s="389"/>
      <c r="AG49" s="453"/>
      <c r="AH49" s="452"/>
      <c r="AI49" s="452"/>
      <c r="AJ49" s="452"/>
      <c r="AK49" s="452"/>
      <c r="AL49" s="454"/>
      <c r="AM49" s="57"/>
      <c r="AN49" s="27"/>
    </row>
    <row r="50" spans="1:40" ht="16.5" customHeight="1" x14ac:dyDescent="0.45">
      <c r="B50" s="18"/>
      <c r="C50" s="163" t="s">
        <v>49</v>
      </c>
      <c r="D50" s="161">
        <v>2</v>
      </c>
      <c r="E50" s="237">
        <v>71000</v>
      </c>
      <c r="F50" s="23"/>
      <c r="G50" s="23"/>
      <c r="H50" s="25"/>
      <c r="I50" s="25"/>
      <c r="J50" s="25"/>
      <c r="K50" s="25"/>
      <c r="L50" s="25"/>
      <c r="M50" s="30"/>
      <c r="N50" s="25"/>
      <c r="O50" s="129"/>
      <c r="P50" s="331">
        <v>0</v>
      </c>
      <c r="Q50" s="133"/>
      <c r="R50" s="130"/>
      <c r="S50" s="129"/>
      <c r="T50" s="130"/>
      <c r="U50" s="331">
        <v>0</v>
      </c>
      <c r="V50" s="162"/>
      <c r="W50" s="22"/>
      <c r="X50" s="18"/>
      <c r="Y50" s="57"/>
      <c r="Z50" s="18"/>
      <c r="AA50" s="455"/>
      <c r="AB50" s="456"/>
      <c r="AC50" s="457"/>
      <c r="AD50" s="457"/>
      <c r="AE50" s="456"/>
      <c r="AF50" s="458"/>
      <c r="AG50" s="455"/>
      <c r="AH50" s="456"/>
      <c r="AI50" s="456"/>
      <c r="AJ50" s="456"/>
      <c r="AK50" s="416"/>
      <c r="AL50" s="459"/>
      <c r="AM50" s="57"/>
      <c r="AN50" s="27"/>
    </row>
    <row r="51" spans="1:40" ht="16.5" customHeight="1" thickBot="1" x14ac:dyDescent="0.5">
      <c r="B51" s="18"/>
      <c r="C51" s="163" t="s">
        <v>50</v>
      </c>
      <c r="D51" s="161">
        <v>47</v>
      </c>
      <c r="E51" s="237">
        <v>11500</v>
      </c>
      <c r="F51" s="348" t="s">
        <v>149</v>
      </c>
      <c r="G51" s="23"/>
      <c r="H51" s="25"/>
      <c r="I51" s="25"/>
      <c r="J51" s="25"/>
      <c r="K51" s="25"/>
      <c r="L51" s="25"/>
      <c r="M51" s="30"/>
      <c r="N51" s="25"/>
      <c r="O51" s="129"/>
      <c r="P51" s="331">
        <v>0</v>
      </c>
      <c r="Q51" s="133"/>
      <c r="R51" s="130"/>
      <c r="S51" s="129"/>
      <c r="T51" s="130"/>
      <c r="U51" s="331">
        <v>0</v>
      </c>
      <c r="V51" s="162"/>
      <c r="W51" s="22"/>
      <c r="X51" s="18"/>
      <c r="Y51" s="57"/>
      <c r="Z51" s="300" t="s">
        <v>125</v>
      </c>
      <c r="AA51" s="414"/>
      <c r="AB51" s="460"/>
      <c r="AC51" s="461"/>
      <c r="AD51" s="461"/>
      <c r="AE51" s="460"/>
      <c r="AF51" s="462"/>
      <c r="AG51" s="414"/>
      <c r="AH51" s="460"/>
      <c r="AI51" s="460"/>
      <c r="AJ51" s="460"/>
      <c r="AK51" s="460"/>
      <c r="AL51" s="359">
        <f>$K$88</f>
        <v>0</v>
      </c>
      <c r="AM51" s="57"/>
      <c r="AN51" s="27"/>
    </row>
    <row r="52" spans="1:40" ht="16.5" customHeight="1" thickBot="1" x14ac:dyDescent="0.5">
      <c r="B52" s="18"/>
      <c r="C52" s="141" t="s">
        <v>84</v>
      </c>
      <c r="D52" s="141"/>
      <c r="E52" s="141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32"/>
      <c r="Q52" s="314"/>
      <c r="R52" s="314"/>
      <c r="S52" s="314"/>
      <c r="T52" s="314"/>
      <c r="U52" s="332"/>
      <c r="V52" s="315"/>
      <c r="W52" s="22"/>
      <c r="X52" s="18"/>
      <c r="Y52" s="57"/>
      <c r="Z52" s="301" t="s">
        <v>126</v>
      </c>
      <c r="AA52" s="463"/>
      <c r="AB52" s="464"/>
      <c r="AC52" s="465"/>
      <c r="AD52" s="465"/>
      <c r="AE52" s="464"/>
      <c r="AF52" s="466"/>
      <c r="AG52" s="463"/>
      <c r="AH52" s="464"/>
      <c r="AI52" s="464"/>
      <c r="AJ52" s="464"/>
      <c r="AK52" s="464"/>
      <c r="AL52" s="359">
        <f>$K$97</f>
        <v>0</v>
      </c>
      <c r="AM52" s="57"/>
      <c r="AN52" s="27"/>
    </row>
    <row r="53" spans="1:40" ht="16.5" customHeight="1" thickBot="1" x14ac:dyDescent="0.5">
      <c r="B53" s="18"/>
      <c r="C53" s="239" t="s">
        <v>85</v>
      </c>
      <c r="D53" s="161">
        <v>47</v>
      </c>
      <c r="E53" s="237">
        <v>0</v>
      </c>
      <c r="F53" s="316"/>
      <c r="G53" s="316"/>
      <c r="H53" s="317"/>
      <c r="I53" s="317"/>
      <c r="J53" s="317"/>
      <c r="K53" s="317"/>
      <c r="L53" s="317"/>
      <c r="M53" s="318"/>
      <c r="N53" s="317"/>
      <c r="O53" s="319"/>
      <c r="P53" s="331">
        <v>0</v>
      </c>
      <c r="Q53" s="320"/>
      <c r="R53" s="321"/>
      <c r="S53" s="319"/>
      <c r="T53" s="321"/>
      <c r="U53" s="333">
        <v>0</v>
      </c>
      <c r="V53" s="320"/>
      <c r="W53" s="22"/>
      <c r="X53" s="18"/>
      <c r="Y53" s="57"/>
      <c r="Z53" s="324"/>
      <c r="AA53" s="441"/>
      <c r="AB53" s="442"/>
      <c r="AC53" s="442"/>
      <c r="AD53" s="442"/>
      <c r="AE53" s="442"/>
      <c r="AF53" s="441"/>
      <c r="AG53" s="441"/>
      <c r="AH53" s="442"/>
      <c r="AI53" s="442"/>
      <c r="AJ53" s="442"/>
      <c r="AK53" s="442"/>
      <c r="AL53" s="467"/>
      <c r="AM53" s="57"/>
      <c r="AN53" s="27"/>
    </row>
    <row r="54" spans="1:40" ht="16.5" customHeight="1" x14ac:dyDescent="0.45">
      <c r="B54" s="18"/>
      <c r="C54" s="141" t="s">
        <v>86</v>
      </c>
      <c r="D54" s="141"/>
      <c r="E54" s="141"/>
      <c r="F54" s="314"/>
      <c r="G54" s="314"/>
      <c r="H54" s="314"/>
      <c r="I54" s="314"/>
      <c r="J54" s="314"/>
      <c r="K54" s="314"/>
      <c r="L54" s="314"/>
      <c r="M54" s="314"/>
      <c r="N54" s="314"/>
      <c r="O54" s="314"/>
      <c r="P54" s="332"/>
      <c r="Q54" s="314"/>
      <c r="R54" s="314"/>
      <c r="S54" s="314"/>
      <c r="T54" s="314"/>
      <c r="U54" s="332"/>
      <c r="V54" s="315"/>
      <c r="W54" s="22"/>
      <c r="X54" s="18"/>
      <c r="Y54" s="57"/>
      <c r="Z54" s="152" t="s">
        <v>44</v>
      </c>
      <c r="AA54" s="468" t="str">
        <f>SUM(AA20:AA47)&amp;" KG"</f>
        <v>0 KG</v>
      </c>
      <c r="AB54" s="469">
        <f>SUM(AB20:AB47)</f>
        <v>0</v>
      </c>
      <c r="AC54" s="469">
        <f>SUM(AC20:AC47)</f>
        <v>0</v>
      </c>
      <c r="AD54" s="469">
        <f>SUM(AD20:AD47)</f>
        <v>0</v>
      </c>
      <c r="AE54" s="469">
        <f>SUM(AB54:AD54)</f>
        <v>0</v>
      </c>
      <c r="AF54" s="470"/>
      <c r="AG54" s="471" t="str">
        <f>SUM(AG20:AG47)&amp;" KG"</f>
        <v>0 KG</v>
      </c>
      <c r="AH54" s="469">
        <f>SUM(AH20:AH47)</f>
        <v>0</v>
      </c>
      <c r="AI54" s="469">
        <f>SUM(AI20:AI47)</f>
        <v>0</v>
      </c>
      <c r="AJ54" s="469">
        <f>SUM(AJ20:AJ47)</f>
        <v>0</v>
      </c>
      <c r="AK54" s="469">
        <f>SUM(AH54:AJ54)</f>
        <v>0</v>
      </c>
      <c r="AL54" s="469">
        <f>SUM(AL20:AL52)</f>
        <v>0</v>
      </c>
      <c r="AM54" s="57"/>
      <c r="AN54" s="27"/>
    </row>
    <row r="55" spans="1:40" ht="16.5" customHeight="1" thickBot="1" x14ac:dyDescent="0.5">
      <c r="B55" s="18"/>
      <c r="C55" s="240" t="s">
        <v>51</v>
      </c>
      <c r="D55" s="164">
        <v>47</v>
      </c>
      <c r="E55" s="238">
        <v>0</v>
      </c>
      <c r="F55" s="473" t="s">
        <v>151</v>
      </c>
      <c r="G55" s="165"/>
      <c r="H55" s="58"/>
      <c r="I55" s="58"/>
      <c r="J55" s="58"/>
      <c r="K55" s="58"/>
      <c r="L55" s="58"/>
      <c r="M55" s="166"/>
      <c r="N55" s="167"/>
      <c r="O55" s="168"/>
      <c r="P55" s="472">
        <v>0</v>
      </c>
      <c r="Q55" s="140"/>
      <c r="R55" s="31"/>
      <c r="S55" s="168"/>
      <c r="T55" s="59"/>
      <c r="U55" s="472">
        <v>0</v>
      </c>
      <c r="V55" s="140"/>
      <c r="W55" s="22"/>
      <c r="X55" s="18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27"/>
    </row>
    <row r="56" spans="1:40" ht="22.5" customHeight="1" thickBot="1" x14ac:dyDescent="0.5">
      <c r="A56" s="1"/>
      <c r="B56" s="169"/>
      <c r="C56" s="234"/>
      <c r="D56" s="154" t="s">
        <v>2</v>
      </c>
      <c r="E56" s="165"/>
      <c r="F56" s="165"/>
      <c r="G56" s="165"/>
      <c r="H56" s="154" t="s">
        <v>2</v>
      </c>
      <c r="I56" s="154" t="s">
        <v>2</v>
      </c>
      <c r="J56" s="154"/>
      <c r="K56" s="154"/>
      <c r="L56" s="154"/>
      <c r="M56" s="155" t="s">
        <v>2</v>
      </c>
      <c r="N56" s="165"/>
      <c r="O56" s="158"/>
      <c r="P56" s="158"/>
      <c r="Q56" s="158"/>
      <c r="R56" s="165"/>
      <c r="S56" s="158"/>
      <c r="T56" s="158"/>
      <c r="U56" s="158"/>
      <c r="V56" s="158"/>
      <c r="W56" s="170"/>
      <c r="X56" s="169"/>
      <c r="Y56" s="165"/>
      <c r="Z56" s="165"/>
      <c r="AA56" s="171"/>
      <c r="AB56" s="171"/>
      <c r="AC56" s="172"/>
      <c r="AD56" s="172"/>
      <c r="AE56" s="171"/>
      <c r="AF56" s="173"/>
      <c r="AG56" s="171"/>
      <c r="AH56" s="171"/>
      <c r="AI56" s="171"/>
      <c r="AJ56" s="171"/>
      <c r="AK56" s="174"/>
      <c r="AL56" s="174"/>
      <c r="AM56" s="154"/>
      <c r="AN56" s="157"/>
    </row>
    <row r="57" spans="1:40" ht="18" customHeight="1" x14ac:dyDescent="0.45"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28" hidden="1" x14ac:dyDescent="0.45">
      <c r="H58" s="175" t="s">
        <v>52</v>
      </c>
      <c r="I58" s="175" t="s">
        <v>53</v>
      </c>
      <c r="J58" s="175" t="s">
        <v>54</v>
      </c>
      <c r="K58" s="175" t="s">
        <v>55</v>
      </c>
      <c r="L58" s="175" t="s">
        <v>56</v>
      </c>
      <c r="M58" s="176" t="s">
        <v>57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47</v>
      </c>
      <c r="D59" s="177">
        <v>2</v>
      </c>
      <c r="H59" s="178">
        <v>16</v>
      </c>
      <c r="I59" s="178">
        <v>12</v>
      </c>
      <c r="J59" s="178">
        <v>4</v>
      </c>
      <c r="K59" s="178">
        <v>16</v>
      </c>
      <c r="L59" s="178">
        <v>7</v>
      </c>
      <c r="M59" s="178">
        <v>8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50</v>
      </c>
      <c r="D60" s="177">
        <v>5</v>
      </c>
      <c r="H60" s="178">
        <v>1</v>
      </c>
      <c r="I60" s="178">
        <v>0</v>
      </c>
      <c r="J60" s="178">
        <v>21</v>
      </c>
      <c r="K60" s="178">
        <v>0</v>
      </c>
      <c r="L60" s="178">
        <v>51</v>
      </c>
      <c r="M60" s="178">
        <v>26</v>
      </c>
      <c r="P60" s="6" t="s">
        <v>60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77">
        <v>3</v>
      </c>
      <c r="H61" s="178">
        <v>4</v>
      </c>
      <c r="I61" s="178">
        <v>4</v>
      </c>
      <c r="J61" s="178">
        <v>0</v>
      </c>
      <c r="K61" s="178">
        <v>4</v>
      </c>
      <c r="L61" s="178">
        <v>0</v>
      </c>
      <c r="M61" s="178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 x14ac:dyDescent="0.45">
      <c r="C62" s="2" t="s">
        <v>49</v>
      </c>
      <c r="D62" s="177">
        <v>4</v>
      </c>
      <c r="H62" s="178">
        <v>0</v>
      </c>
      <c r="I62" s="178">
        <v>0</v>
      </c>
      <c r="J62" s="178">
        <v>0</v>
      </c>
      <c r="K62" s="178">
        <v>0</v>
      </c>
      <c r="L62" s="178">
        <v>0</v>
      </c>
      <c r="M62" s="178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26.5" x14ac:dyDescent="0.45">
      <c r="A63" s="249"/>
      <c r="B63" s="250"/>
      <c r="C63" s="327" t="s">
        <v>100</v>
      </c>
      <c r="D63" s="252" t="s">
        <v>101</v>
      </c>
      <c r="E63" s="252"/>
      <c r="F63" s="250"/>
      <c r="G63" s="250"/>
      <c r="H63" s="253"/>
      <c r="I63" s="250"/>
      <c r="J63" s="251" t="s">
        <v>102</v>
      </c>
      <c r="K63" s="250"/>
      <c r="L63" s="251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7" thickBot="1" x14ac:dyDescent="0.5">
      <c r="A64" s="249"/>
      <c r="B64" s="254"/>
      <c r="C64" s="254"/>
      <c r="D64" s="254"/>
      <c r="E64" s="254"/>
      <c r="F64" s="250"/>
      <c r="G64" s="250"/>
      <c r="H64" s="254"/>
      <c r="I64" s="250"/>
      <c r="J64" s="254"/>
      <c r="K64" s="250"/>
      <c r="L64" s="254"/>
    </row>
    <row r="65" spans="1:12" ht="27.5" thickTop="1" thickBot="1" x14ac:dyDescent="0.5">
      <c r="A65" s="249"/>
      <c r="B65" s="250"/>
      <c r="C65" s="251" t="s">
        <v>1</v>
      </c>
      <c r="D65" s="322">
        <f>D4</f>
        <v>0</v>
      </c>
      <c r="E65" s="252"/>
      <c r="F65" s="250"/>
      <c r="G65" s="250"/>
      <c r="H65" s="253"/>
      <c r="I65" s="250"/>
      <c r="J65" s="254"/>
      <c r="K65" s="250"/>
      <c r="L65" s="254"/>
    </row>
    <row r="66" spans="1:12" ht="27" thickTop="1" x14ac:dyDescent="0.45">
      <c r="A66" s="249"/>
      <c r="B66" s="251"/>
      <c r="C66" s="252"/>
      <c r="D66" s="252"/>
      <c r="E66" s="252"/>
      <c r="F66" s="250"/>
      <c r="G66" s="250"/>
      <c r="H66" s="253"/>
      <c r="I66" s="250"/>
      <c r="J66" s="254"/>
      <c r="K66" s="250"/>
      <c r="L66" s="254"/>
    </row>
    <row r="67" spans="1:12" ht="17" thickBot="1" x14ac:dyDescent="0.5">
      <c r="A67" s="249"/>
      <c r="B67" s="255" t="s">
        <v>103</v>
      </c>
      <c r="C67" s="256" t="s">
        <v>52</v>
      </c>
      <c r="D67" s="254"/>
      <c r="E67" s="257"/>
      <c r="F67" s="250"/>
      <c r="G67" s="250"/>
      <c r="H67" s="258"/>
      <c r="I67" s="250"/>
      <c r="J67" s="254"/>
      <c r="K67" s="250"/>
      <c r="L67" s="254"/>
    </row>
    <row r="68" spans="1:12" ht="17.5" thickTop="1" thickBot="1" x14ac:dyDescent="0.5">
      <c r="A68" s="249"/>
      <c r="B68" s="255" t="s">
        <v>103</v>
      </c>
      <c r="C68" s="260" t="s">
        <v>104</v>
      </c>
      <c r="D68" s="350">
        <v>71000</v>
      </c>
      <c r="E68" s="257"/>
      <c r="F68" s="250"/>
      <c r="G68" s="250"/>
      <c r="H68" s="258"/>
      <c r="I68" s="250"/>
      <c r="J68" s="254"/>
      <c r="K68" s="250"/>
      <c r="L68" s="254"/>
    </row>
    <row r="69" spans="1:12" ht="17.5" hidden="1" thickTop="1" thickBot="1" x14ac:dyDescent="0.5">
      <c r="A69" s="249"/>
      <c r="B69" s="255" t="s">
        <v>103</v>
      </c>
      <c r="C69" s="259" t="s">
        <v>105</v>
      </c>
      <c r="D69" s="349">
        <v>71</v>
      </c>
      <c r="E69" s="257"/>
      <c r="F69" s="250"/>
      <c r="G69" s="250"/>
      <c r="H69" s="257"/>
      <c r="I69" s="250"/>
      <c r="J69" s="257"/>
      <c r="K69" s="250"/>
      <c r="L69" s="257"/>
    </row>
    <row r="70" spans="1:12" ht="17.5" hidden="1" thickTop="1" thickBot="1" x14ac:dyDescent="0.5">
      <c r="A70" s="249"/>
      <c r="B70" s="250"/>
      <c r="C70" s="260" t="s">
        <v>106</v>
      </c>
      <c r="D70" s="350">
        <v>71071</v>
      </c>
      <c r="E70" s="250"/>
      <c r="F70" s="250"/>
      <c r="G70" s="250"/>
      <c r="H70" s="257"/>
      <c r="I70" s="250"/>
      <c r="J70" s="257"/>
      <c r="K70" s="250"/>
      <c r="L70" s="257"/>
    </row>
    <row r="71" spans="1:12" ht="17.5" thickTop="1" thickBot="1" x14ac:dyDescent="0.5">
      <c r="A71" s="249"/>
      <c r="B71" s="250"/>
      <c r="C71" s="255"/>
      <c r="D71" s="351"/>
      <c r="E71" s="254"/>
      <c r="F71" s="250"/>
      <c r="G71" s="250"/>
      <c r="H71" s="258"/>
      <c r="I71" s="250"/>
      <c r="J71" s="254"/>
      <c r="K71" s="250"/>
      <c r="L71" s="254"/>
    </row>
    <row r="72" spans="1:12" ht="17.5" thickTop="1" thickBot="1" x14ac:dyDescent="0.5">
      <c r="A72" s="261"/>
      <c r="B72" s="250"/>
      <c r="C72" s="260" t="s">
        <v>107</v>
      </c>
      <c r="D72" s="350">
        <v>47</v>
      </c>
      <c r="E72" s="257"/>
      <c r="F72" s="250"/>
      <c r="G72" s="250"/>
      <c r="H72" s="257"/>
      <c r="I72" s="250"/>
      <c r="J72" s="257"/>
      <c r="K72" s="250"/>
      <c r="L72" s="257"/>
    </row>
    <row r="73" spans="1:12" ht="17.5" thickTop="1" thickBot="1" x14ac:dyDescent="0.5">
      <c r="A73" s="249"/>
      <c r="B73" s="250"/>
      <c r="C73" s="255"/>
      <c r="D73" s="351"/>
      <c r="E73" s="254"/>
      <c r="F73" s="250"/>
      <c r="G73" s="250"/>
      <c r="H73" s="258"/>
      <c r="I73" s="250"/>
      <c r="J73" s="254"/>
      <c r="K73" s="250"/>
      <c r="L73" s="254"/>
    </row>
    <row r="74" spans="1:12" ht="17.5" thickTop="1" thickBot="1" x14ac:dyDescent="0.5">
      <c r="A74" s="261"/>
      <c r="B74" s="250"/>
      <c r="C74" s="262" t="s">
        <v>108</v>
      </c>
      <c r="D74" s="350">
        <v>11500</v>
      </c>
      <c r="E74" s="257"/>
      <c r="F74" s="250"/>
      <c r="G74" s="250"/>
      <c r="H74" s="257"/>
      <c r="I74" s="250"/>
      <c r="J74" s="257"/>
      <c r="K74" s="250"/>
      <c r="L74" s="257"/>
    </row>
    <row r="75" spans="1:12" ht="17.5" hidden="1" thickTop="1" thickBot="1" x14ac:dyDescent="0.5">
      <c r="A75" s="261"/>
      <c r="B75" s="263"/>
      <c r="C75" s="260" t="s">
        <v>109</v>
      </c>
      <c r="D75" s="350">
        <v>1</v>
      </c>
      <c r="E75" s="257"/>
      <c r="F75" s="250"/>
      <c r="G75" s="250"/>
      <c r="H75" s="257"/>
      <c r="I75" s="250"/>
      <c r="J75" s="257"/>
      <c r="K75" s="250"/>
      <c r="L75" s="257"/>
    </row>
    <row r="76" spans="1:12" ht="32" thickTop="1" thickBot="1" x14ac:dyDescent="0.5">
      <c r="A76" s="261"/>
      <c r="B76" s="250"/>
      <c r="C76" s="262" t="s">
        <v>110</v>
      </c>
      <c r="D76" s="350">
        <v>18400</v>
      </c>
      <c r="E76" s="257"/>
      <c r="F76" s="250"/>
      <c r="G76" s="250"/>
      <c r="H76" s="257"/>
      <c r="I76" s="250"/>
      <c r="J76" s="257"/>
      <c r="K76" s="250"/>
      <c r="L76" s="257"/>
    </row>
    <row r="77" spans="1:12" ht="17" thickTop="1" x14ac:dyDescent="0.45">
      <c r="A77" s="261"/>
      <c r="B77" s="263"/>
      <c r="C77" s="264"/>
      <c r="D77" s="265"/>
      <c r="E77" s="257"/>
      <c r="F77" s="250"/>
      <c r="G77" s="250"/>
      <c r="H77" s="257"/>
      <c r="I77" s="250"/>
      <c r="J77" s="257"/>
      <c r="K77" s="250"/>
      <c r="L77" s="257"/>
    </row>
    <row r="78" spans="1:12" ht="17" thickBot="1" x14ac:dyDescent="0.5">
      <c r="A78" s="261"/>
      <c r="B78" s="250"/>
      <c r="C78" s="257"/>
      <c r="D78" s="250"/>
      <c r="E78" s="250"/>
      <c r="F78" s="250"/>
      <c r="G78" s="250"/>
      <c r="H78" s="250"/>
      <c r="I78" s="250"/>
      <c r="J78" s="250"/>
      <c r="K78" s="250"/>
      <c r="L78" s="250"/>
    </row>
    <row r="79" spans="1:12" ht="16.5" customHeight="1" x14ac:dyDescent="0.45">
      <c r="A79" s="261"/>
      <c r="B79" s="475" t="s">
        <v>148</v>
      </c>
      <c r="C79" s="266"/>
      <c r="D79" s="507" t="s">
        <v>133</v>
      </c>
      <c r="E79" s="522" t="s">
        <v>132</v>
      </c>
      <c r="F79" s="250"/>
      <c r="G79" s="250"/>
      <c r="H79" s="491" t="s">
        <v>134</v>
      </c>
      <c r="I79" s="250"/>
      <c r="J79" s="509" t="s">
        <v>111</v>
      </c>
      <c r="K79" s="510"/>
      <c r="L79" s="250"/>
    </row>
    <row r="80" spans="1:12" ht="17" thickBot="1" x14ac:dyDescent="0.5">
      <c r="A80" s="261"/>
      <c r="B80" s="476"/>
      <c r="C80" s="267"/>
      <c r="D80" s="508"/>
      <c r="E80" s="523"/>
      <c r="F80" s="250"/>
      <c r="G80" s="250"/>
      <c r="H80" s="492"/>
      <c r="I80" s="250"/>
      <c r="J80" s="268"/>
      <c r="K80" s="269"/>
      <c r="L80" s="250"/>
    </row>
    <row r="81" spans="1:12" x14ac:dyDescent="0.45">
      <c r="A81" s="261"/>
      <c r="B81" s="476"/>
      <c r="C81" s="270" t="s">
        <v>145</v>
      </c>
      <c r="D81" s="352">
        <v>71000</v>
      </c>
      <c r="E81" s="352">
        <f>IF(D72="",0,D72)</f>
        <v>47</v>
      </c>
      <c r="F81" s="250"/>
      <c r="G81" s="250"/>
      <c r="H81" s="271">
        <v>0</v>
      </c>
      <c r="I81" s="250"/>
      <c r="J81" s="272"/>
      <c r="K81" s="307">
        <f t="shared" ref="K81:K87" si="14">$H81/1000*$D81*E81</f>
        <v>0</v>
      </c>
      <c r="L81" s="250"/>
    </row>
    <row r="82" spans="1:12" x14ac:dyDescent="0.45">
      <c r="A82" s="261"/>
      <c r="B82" s="476"/>
      <c r="C82" s="273" t="s">
        <v>112</v>
      </c>
      <c r="D82" s="352">
        <f>IF(D20&gt;5,0,D81)</f>
        <v>71000</v>
      </c>
      <c r="E82" s="352">
        <f>IF(D20&gt;5,0,E81)</f>
        <v>47</v>
      </c>
      <c r="F82" s="250"/>
      <c r="G82" s="250"/>
      <c r="H82" s="271">
        <v>0</v>
      </c>
      <c r="I82" s="250"/>
      <c r="J82" s="274"/>
      <c r="K82" s="308">
        <f t="shared" si="14"/>
        <v>0</v>
      </c>
      <c r="L82" s="250"/>
    </row>
    <row r="83" spans="1:12" x14ac:dyDescent="0.45">
      <c r="A83" s="261"/>
      <c r="B83" s="476"/>
      <c r="C83" s="273" t="s">
        <v>113</v>
      </c>
      <c r="D83" s="352">
        <f>IF(E83=0,0,D81)</f>
        <v>0</v>
      </c>
      <c r="E83" s="352">
        <f>IF(D20&gt;6,E85,0)</f>
        <v>0</v>
      </c>
      <c r="F83" s="250"/>
      <c r="G83" s="250"/>
      <c r="H83" s="271">
        <v>0</v>
      </c>
      <c r="I83" s="250"/>
      <c r="J83" s="274"/>
      <c r="K83" s="308">
        <f t="shared" si="14"/>
        <v>0</v>
      </c>
      <c r="L83" s="250"/>
    </row>
    <row r="84" spans="1:12" x14ac:dyDescent="0.45">
      <c r="A84" s="261"/>
      <c r="B84" s="476"/>
      <c r="C84" s="273" t="s">
        <v>114</v>
      </c>
      <c r="D84" s="352">
        <v>0</v>
      </c>
      <c r="E84" s="352">
        <v>0</v>
      </c>
      <c r="F84" s="250"/>
      <c r="G84" s="250"/>
      <c r="H84" s="271">
        <v>0</v>
      </c>
      <c r="I84" s="250"/>
      <c r="J84" s="274"/>
      <c r="K84" s="308">
        <f t="shared" si="14"/>
        <v>0</v>
      </c>
      <c r="L84" s="250"/>
    </row>
    <row r="85" spans="1:12" x14ac:dyDescent="0.45">
      <c r="A85" s="261"/>
      <c r="B85" s="476"/>
      <c r="C85" s="273" t="s">
        <v>115</v>
      </c>
      <c r="D85" s="352">
        <f>D81</f>
        <v>71000</v>
      </c>
      <c r="E85" s="352">
        <v>28</v>
      </c>
      <c r="F85" s="250"/>
      <c r="G85" s="250"/>
      <c r="H85" s="271">
        <v>0</v>
      </c>
      <c r="I85" s="250"/>
      <c r="J85" s="274"/>
      <c r="K85" s="308">
        <f t="shared" si="14"/>
        <v>0</v>
      </c>
      <c r="L85" s="250"/>
    </row>
    <row r="86" spans="1:12" x14ac:dyDescent="0.45">
      <c r="A86" s="261"/>
      <c r="B86" s="476"/>
      <c r="C86" s="273" t="s">
        <v>116</v>
      </c>
      <c r="D86" s="352">
        <f>D81</f>
        <v>71000</v>
      </c>
      <c r="E86" s="352">
        <v>2</v>
      </c>
      <c r="F86" s="250"/>
      <c r="G86" s="250"/>
      <c r="H86" s="271">
        <v>0</v>
      </c>
      <c r="I86" s="250"/>
      <c r="J86" s="274"/>
      <c r="K86" s="308">
        <f t="shared" si="14"/>
        <v>0</v>
      </c>
      <c r="L86" s="250"/>
    </row>
    <row r="87" spans="1:12" ht="17" thickBot="1" x14ac:dyDescent="0.5">
      <c r="A87" s="261"/>
      <c r="B87" s="477"/>
      <c r="C87" s="275" t="s">
        <v>117</v>
      </c>
      <c r="D87" s="353">
        <f>71000</f>
        <v>71000</v>
      </c>
      <c r="E87" s="353">
        <v>1</v>
      </c>
      <c r="F87" s="250"/>
      <c r="G87" s="250"/>
      <c r="H87" s="276">
        <v>0</v>
      </c>
      <c r="I87" s="250"/>
      <c r="J87" s="277"/>
      <c r="K87" s="309">
        <f t="shared" si="14"/>
        <v>0</v>
      </c>
      <c r="L87" s="250"/>
    </row>
    <row r="88" spans="1:12" x14ac:dyDescent="0.45">
      <c r="A88" s="261"/>
      <c r="B88" s="278"/>
      <c r="C88" s="279" t="s">
        <v>118</v>
      </c>
      <c r="D88" s="280"/>
      <c r="E88" s="250"/>
      <c r="F88" s="250"/>
      <c r="G88" s="250"/>
      <c r="H88" s="281"/>
      <c r="I88" s="250"/>
      <c r="J88" s="282"/>
      <c r="K88" s="310">
        <f>SUM(K81:K87)</f>
        <v>0</v>
      </c>
      <c r="L88" s="250"/>
    </row>
    <row r="89" spans="1:12" ht="17" thickBot="1" x14ac:dyDescent="0.5">
      <c r="A89" s="261"/>
      <c r="B89" s="257"/>
      <c r="C89" s="257"/>
      <c r="D89" s="257"/>
      <c r="E89" s="257"/>
      <c r="F89" s="283"/>
      <c r="G89" s="283"/>
      <c r="H89" s="257"/>
      <c r="I89" s="250"/>
      <c r="J89" s="257"/>
      <c r="K89" s="250"/>
      <c r="L89" s="250"/>
    </row>
    <row r="90" spans="1:12" x14ac:dyDescent="0.45">
      <c r="A90" s="261"/>
      <c r="B90" s="482" t="s">
        <v>119</v>
      </c>
      <c r="C90" s="284"/>
      <c r="D90" s="485" t="s">
        <v>135</v>
      </c>
      <c r="E90" s="486"/>
      <c r="F90" s="487"/>
      <c r="G90" s="283"/>
      <c r="H90" s="491" t="s">
        <v>120</v>
      </c>
      <c r="I90" s="250"/>
      <c r="J90" s="478" t="s">
        <v>111</v>
      </c>
      <c r="K90" s="479"/>
      <c r="L90" s="250"/>
    </row>
    <row r="91" spans="1:12" ht="17" thickBot="1" x14ac:dyDescent="0.5">
      <c r="A91" s="261"/>
      <c r="B91" s="483"/>
      <c r="C91" s="285"/>
      <c r="D91" s="488"/>
      <c r="E91" s="489"/>
      <c r="F91" s="490"/>
      <c r="G91" s="283"/>
      <c r="H91" s="492"/>
      <c r="I91" s="250"/>
      <c r="J91" s="480"/>
      <c r="K91" s="481"/>
      <c r="L91" s="250"/>
    </row>
    <row r="92" spans="1:12" x14ac:dyDescent="0.45">
      <c r="A92" s="261"/>
      <c r="B92" s="483"/>
      <c r="C92" s="286" t="s">
        <v>121</v>
      </c>
      <c r="D92" s="493" t="s">
        <v>153</v>
      </c>
      <c r="E92" s="494"/>
      <c r="F92" s="495"/>
      <c r="G92" s="283"/>
      <c r="H92" s="287">
        <v>0</v>
      </c>
      <c r="I92" s="250"/>
      <c r="J92" s="288"/>
      <c r="K92" s="289">
        <f>H92*$D$72</f>
        <v>0</v>
      </c>
      <c r="L92" s="250"/>
    </row>
    <row r="93" spans="1:12" x14ac:dyDescent="0.45">
      <c r="A93" s="261"/>
      <c r="B93" s="483"/>
      <c r="C93" s="286" t="s">
        <v>146</v>
      </c>
      <c r="D93" s="502" t="s">
        <v>154</v>
      </c>
      <c r="E93" s="503"/>
      <c r="F93" s="504"/>
      <c r="G93" s="283"/>
      <c r="H93" s="287">
        <v>0</v>
      </c>
      <c r="I93" s="250"/>
      <c r="J93" s="288"/>
      <c r="K93" s="289">
        <f>H93*$D$72</f>
        <v>0</v>
      </c>
      <c r="L93" s="250"/>
    </row>
    <row r="94" spans="1:12" x14ac:dyDescent="0.45">
      <c r="A94" s="261"/>
      <c r="B94" s="483"/>
      <c r="C94" s="347" t="s">
        <v>150</v>
      </c>
      <c r="D94" s="496" t="s">
        <v>155</v>
      </c>
      <c r="E94" s="497"/>
      <c r="F94" s="498"/>
      <c r="G94" s="283"/>
      <c r="H94" s="271">
        <v>0</v>
      </c>
      <c r="I94" s="250"/>
      <c r="J94" s="288"/>
      <c r="K94" s="289">
        <f>H94*$D$72</f>
        <v>0</v>
      </c>
      <c r="L94" s="250"/>
    </row>
    <row r="95" spans="1:12" x14ac:dyDescent="0.45">
      <c r="A95" s="261"/>
      <c r="B95" s="483"/>
      <c r="C95" s="286" t="s">
        <v>122</v>
      </c>
      <c r="D95" s="496" t="s">
        <v>156</v>
      </c>
      <c r="E95" s="497"/>
      <c r="F95" s="498"/>
      <c r="G95" s="283"/>
      <c r="H95" s="287">
        <v>0</v>
      </c>
      <c r="I95" s="250"/>
      <c r="J95" s="288"/>
      <c r="K95" s="289">
        <f>H95*$D$72</f>
        <v>0</v>
      </c>
      <c r="L95" s="250"/>
    </row>
    <row r="96" spans="1:12" ht="17" thickBot="1" x14ac:dyDescent="0.5">
      <c r="A96" s="261"/>
      <c r="B96" s="484"/>
      <c r="C96" s="290" t="s">
        <v>123</v>
      </c>
      <c r="D96" s="499" t="s">
        <v>157</v>
      </c>
      <c r="E96" s="500"/>
      <c r="F96" s="501"/>
      <c r="G96" s="283"/>
      <c r="H96" s="291">
        <v>0</v>
      </c>
      <c r="I96" s="250"/>
      <c r="J96" s="288"/>
      <c r="K96" s="289">
        <f>H96*$D$72</f>
        <v>0</v>
      </c>
      <c r="L96" s="250"/>
    </row>
    <row r="97" spans="1:12" x14ac:dyDescent="0.45">
      <c r="A97" s="261"/>
      <c r="B97" s="257"/>
      <c r="C97" s="279" t="s">
        <v>118</v>
      </c>
      <c r="D97" s="292"/>
      <c r="E97" s="250"/>
      <c r="F97" s="283"/>
      <c r="G97" s="283"/>
      <c r="H97" s="293"/>
      <c r="I97" s="250"/>
      <c r="J97" s="294"/>
      <c r="K97" s="295">
        <f>SUM(K90:K96)</f>
        <v>0</v>
      </c>
      <c r="L97" s="250"/>
    </row>
    <row r="98" spans="1:12" ht="17" thickBot="1" x14ac:dyDescent="0.5">
      <c r="A98" s="261"/>
      <c r="B98" s="257"/>
      <c r="C98" s="257"/>
      <c r="D98" s="257"/>
      <c r="E98" s="257"/>
      <c r="F98" s="283"/>
      <c r="G98" s="283"/>
      <c r="H98" s="257"/>
      <c r="I98" s="250"/>
      <c r="J98" s="250"/>
      <c r="K98" s="250"/>
      <c r="L98" s="250"/>
    </row>
    <row r="99" spans="1:12" ht="17" thickBot="1" x14ac:dyDescent="0.5">
      <c r="A99" s="261"/>
      <c r="B99" s="263"/>
      <c r="C99" s="296"/>
      <c r="D99" s="297"/>
      <c r="E99" s="297"/>
      <c r="F99" s="297"/>
      <c r="G99" s="297"/>
      <c r="H99" s="297"/>
      <c r="I99" s="297"/>
      <c r="J99" s="298"/>
      <c r="K99" s="299">
        <f>SUM(J81:K87, J92:K96)</f>
        <v>0</v>
      </c>
      <c r="L99" s="250"/>
    </row>
    <row r="100" spans="1:12" x14ac:dyDescent="0.45">
      <c r="A100" s="261"/>
      <c r="B100" s="263"/>
      <c r="C100" s="257"/>
      <c r="D100" s="257"/>
      <c r="E100" s="257"/>
      <c r="F100" s="257"/>
      <c r="G100" s="257"/>
      <c r="H100" s="257"/>
      <c r="I100" s="257"/>
      <c r="J100" s="257"/>
      <c r="K100" s="257"/>
      <c r="L100" s="250"/>
    </row>
    <row r="101" spans="1:12" x14ac:dyDescent="0.45">
      <c r="A101" s="261"/>
      <c r="B101" s="257"/>
      <c r="C101" s="257"/>
      <c r="D101" s="257"/>
      <c r="E101" s="257"/>
      <c r="F101" s="257"/>
      <c r="G101" s="257"/>
      <c r="H101" s="257"/>
      <c r="I101" s="250"/>
      <c r="J101" s="250"/>
      <c r="K101" s="250"/>
      <c r="L101" s="250"/>
    </row>
  </sheetData>
  <sheetProtection algorithmName="SHA-512" hashValue="pB2OnIC3EDPQPWJJb350SSfTBMERkgb1psqMAr7rKX4+vNY+Q0c1MCvkJJq6IqeiIGVUAkXlLbyzCXVKdgmfcQ==" saltValue="flUwtIqRYhD7jk2UEVchig==" spinCount="100000" sheet="1" objects="1" scenarios="1"/>
  <mergeCells count="26">
    <mergeCell ref="E16:F16"/>
    <mergeCell ref="D79:D80"/>
    <mergeCell ref="H79:H80"/>
    <mergeCell ref="J79:K79"/>
    <mergeCell ref="Z12:AK14"/>
    <mergeCell ref="H16:M16"/>
    <mergeCell ref="O16:Q16"/>
    <mergeCell ref="S16:V16"/>
    <mergeCell ref="AA16:AE16"/>
    <mergeCell ref="AG16:AK16"/>
    <mergeCell ref="O46:Q46"/>
    <mergeCell ref="E79:E80"/>
    <mergeCell ref="C22:D22"/>
    <mergeCell ref="C26:D26"/>
    <mergeCell ref="C36:I36"/>
    <mergeCell ref="O37:Q37"/>
    <mergeCell ref="B79:B87"/>
    <mergeCell ref="J90:K91"/>
    <mergeCell ref="B90:B96"/>
    <mergeCell ref="D90:F91"/>
    <mergeCell ref="H90:H91"/>
    <mergeCell ref="D92:F92"/>
    <mergeCell ref="D94:F94"/>
    <mergeCell ref="D95:F95"/>
    <mergeCell ref="D96:F96"/>
    <mergeCell ref="D93:F93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5" x14ac:dyDescent="0.35"/>
  <cols>
    <col min="6" max="6" width="10.1796875" bestFit="1" customWidth="1"/>
  </cols>
  <sheetData>
    <row r="1" spans="1:6" x14ac:dyDescent="0.35">
      <c r="A1" t="s">
        <v>87</v>
      </c>
      <c r="B1" t="s">
        <v>90</v>
      </c>
      <c r="C1" t="s">
        <v>93</v>
      </c>
      <c r="E1" s="311" t="s">
        <v>136</v>
      </c>
      <c r="F1" t="s">
        <v>137</v>
      </c>
    </row>
    <row r="2" spans="1:6" x14ac:dyDescent="0.35">
      <c r="A2" t="s">
        <v>88</v>
      </c>
      <c r="B2" t="s">
        <v>91</v>
      </c>
      <c r="C2" t="s">
        <v>94</v>
      </c>
      <c r="E2" s="311" t="s">
        <v>138</v>
      </c>
      <c r="F2" t="s">
        <v>139</v>
      </c>
    </row>
    <row r="3" spans="1:6" x14ac:dyDescent="0.35">
      <c r="C3" t="s">
        <v>98</v>
      </c>
      <c r="E3" s="311" t="s">
        <v>140</v>
      </c>
    </row>
    <row r="4" spans="1:6" x14ac:dyDescent="0.35">
      <c r="C4" t="s">
        <v>92</v>
      </c>
      <c r="E4" s="311" t="s">
        <v>141</v>
      </c>
    </row>
    <row r="5" spans="1:6" x14ac:dyDescent="0.35">
      <c r="E5" s="311" t="s">
        <v>142</v>
      </c>
    </row>
    <row r="6" spans="1:6" x14ac:dyDescent="0.35">
      <c r="E6" s="311" t="s">
        <v>81</v>
      </c>
    </row>
    <row r="7" spans="1:6" x14ac:dyDescent="0.35">
      <c r="C7" t="s">
        <v>99</v>
      </c>
      <c r="D7" s="244" t="s">
        <v>95</v>
      </c>
    </row>
  </sheetData>
  <sheetProtection algorithmName="SHA-512" hashValue="nFA45YRMF8i3DntHxVT4OS/JGMK7oTzXjygRwX2CGrFzSSnwi/WEZR1GXLyVZ79j0abISZd8ds6X3fhQk3g0WA==" saltValue="LI6wRIuV8TShjf3SiyR+m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AC950-BF85-4B2F-99E1-E41B531390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C02B87-ED49-4185-9761-279CC8412D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A1D53-984D-46CD-B7E8-09913DE0F8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3</vt:lpstr>
      <vt:lpstr>Blad2</vt:lpstr>
      <vt:lpstr>'Perceel 3'!Afdrukbereik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2021-04-30T13:00:44Z</cp:lastPrinted>
  <dcterms:created xsi:type="dcterms:W3CDTF">2021-02-15T12:12:53Z</dcterms:created>
  <dcterms:modified xsi:type="dcterms:W3CDTF">2021-05-04T13:09:26Z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