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ignificantgroep.sharepoint.com/sites/-Bindinc/Gedeelde documenten/EA Drukwerk - 001321/Doorstart 2020-2021/05. Aanbestedingsdocumenten/Bijlagen/Prijzenbladen EA Drukken DEF/"/>
    </mc:Choice>
  </mc:AlternateContent>
  <xr:revisionPtr revIDLastSave="4" documentId="13_ncr:1_{CB92832B-45D7-4D2D-A2C6-52C75CCF4CC5}" xr6:coauthVersionLast="46" xr6:coauthVersionMax="46" xr10:uidLastSave="{8CE284D3-8FE1-4425-B8EA-8ABF6366A3FB}"/>
  <workbookProtection workbookAlgorithmName="SHA-512" workbookHashValue="gyxXt+uaB5BqVoh8XbET9cpIiIWVLK7L50u5lQF0J4whk2bsn0Hs3buU7gcNWSeLdNVH864KtJeQe0NJ+sLMSw==" workbookSaltValue="IQWFydgh0FUyx42Y5ZtwkA==" workbookSpinCount="100000" lockStructure="1"/>
  <bookViews>
    <workbookView xWindow="-108" yWindow="-108" windowWidth="23256" windowHeight="12576" tabRatio="417" xr2:uid="{00000000-000D-0000-FFFF-FFFF00000000}"/>
  </bookViews>
  <sheets>
    <sheet name="Inschrijfsom 1, bij SC" sheetId="1" r:id="rId1"/>
    <sheet name="Inschrijfsom 2, bij niet SC" sheetId="7" r:id="rId2"/>
    <sheet name="lijstjes" sheetId="3" state="hidden" r:id="rId3"/>
    <sheet name="oplage" sheetId="4" state="hidden" r:id="rId4"/>
    <sheet name="drukkers NIET GEBRUIKEN " sheetId="6" state="hidden" r:id="rId5"/>
  </sheets>
  <definedNames>
    <definedName name="_xlnm.Print_Area" localSheetId="4">'drukkers NIET GEBRUIKEN '!$A$1:$K$95</definedName>
    <definedName name="_xlnm.Print_Area" localSheetId="0">'Inschrijfsom 1, bij SC'!$A$1:$M$37</definedName>
    <definedName name="_xlnm.Print_Area" localSheetId="1">'Inschrijfsom 2, bij niet SC'!$A$1:$M$37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5" i="7" l="1"/>
  <c r="D31" i="7"/>
  <c r="I22" i="7"/>
  <c r="K22" i="7" s="1"/>
  <c r="D15" i="7"/>
  <c r="D13" i="7"/>
  <c r="D11" i="7"/>
  <c r="I30" i="7" s="1"/>
  <c r="D8" i="7"/>
  <c r="D7" i="7"/>
  <c r="D30" i="7" s="1"/>
  <c r="I32" i="7" l="1"/>
  <c r="K32" i="7" s="1"/>
  <c r="K30" i="7"/>
  <c r="I31" i="7"/>
  <c r="K31" i="7" s="1"/>
  <c r="D9" i="7"/>
  <c r="D20" i="7"/>
  <c r="D25" i="7"/>
  <c r="I25" i="7" s="1"/>
  <c r="K25" i="7" s="1"/>
  <c r="E20" i="7"/>
  <c r="K33" i="7" l="1"/>
  <c r="D24" i="7"/>
  <c r="I24" i="7" s="1"/>
  <c r="K24" i="7" s="1"/>
  <c r="D21" i="7"/>
  <c r="I21" i="7" s="1"/>
  <c r="K21" i="7" s="1"/>
  <c r="D23" i="7"/>
  <c r="I23" i="7" s="1"/>
  <c r="K23" i="7" s="1"/>
  <c r="I20" i="7"/>
  <c r="I33" i="7"/>
  <c r="I35" i="7" l="1"/>
  <c r="I26" i="7"/>
  <c r="K20" i="7"/>
  <c r="K26" i="7" s="1"/>
  <c r="D11" i="1" l="1"/>
  <c r="E20" i="1" l="1"/>
  <c r="E21" i="1" s="1"/>
  <c r="I31" i="1"/>
  <c r="D13" i="1"/>
  <c r="E53" i="3" l="1"/>
  <c r="F53" i="3" s="1"/>
  <c r="D57" i="3"/>
  <c r="D56" i="3"/>
  <c r="D55" i="3"/>
  <c r="D54" i="3"/>
  <c r="D53" i="3"/>
  <c r="D52" i="3"/>
  <c r="E52" i="3"/>
  <c r="F52" i="3" s="1"/>
  <c r="D51" i="3"/>
  <c r="E45" i="3" l="1"/>
  <c r="E44" i="3"/>
  <c r="E43" i="3"/>
  <c r="E42" i="3"/>
  <c r="E41" i="3"/>
  <c r="E40" i="3"/>
  <c r="E39" i="3"/>
  <c r="D31" i="1" s="1"/>
  <c r="D39" i="3"/>
  <c r="D15" i="1" s="1"/>
  <c r="C45" i="3"/>
  <c r="C43" i="3"/>
  <c r="C41" i="3"/>
  <c r="C40" i="3"/>
  <c r="C39" i="3"/>
  <c r="C44" i="3"/>
  <c r="F44" i="3" s="1"/>
  <c r="C42" i="3"/>
  <c r="C33" i="3"/>
  <c r="C57" i="3" s="1"/>
  <c r="E57" i="3" s="1"/>
  <c r="F57" i="3" s="1"/>
  <c r="C32" i="3"/>
  <c r="C56" i="3" s="1"/>
  <c r="E56" i="3" s="1"/>
  <c r="F56" i="3" s="1"/>
  <c r="C31" i="3"/>
  <c r="C55" i="3" s="1"/>
  <c r="E55" i="3" s="1"/>
  <c r="F55" i="3" s="1"/>
  <c r="C30" i="3"/>
  <c r="C54" i="3" s="1"/>
  <c r="E54" i="3" s="1"/>
  <c r="F54" i="3" s="1"/>
  <c r="C29" i="3"/>
  <c r="C28" i="3"/>
  <c r="C27" i="3"/>
  <c r="AJ7" i="3"/>
  <c r="AJ3" i="3"/>
  <c r="AJ4" i="3"/>
  <c r="D7" i="1" l="1"/>
  <c r="C51" i="3"/>
  <c r="F41" i="3"/>
  <c r="F42" i="3"/>
  <c r="E46" i="3"/>
  <c r="F40" i="3"/>
  <c r="F39" i="3"/>
  <c r="F45" i="3"/>
  <c r="C46" i="3"/>
  <c r="F43" i="3"/>
  <c r="I88" i="6"/>
  <c r="D25" i="1" l="1"/>
  <c r="I25" i="1" s="1"/>
  <c r="D20" i="1"/>
  <c r="E51" i="3"/>
  <c r="C58" i="3"/>
  <c r="D30" i="1"/>
  <c r="F46" i="3"/>
  <c r="F47" i="3" s="1"/>
  <c r="AK32" i="3"/>
  <c r="AD32" i="3"/>
  <c r="AK31" i="3"/>
  <c r="AD31" i="3"/>
  <c r="AK30" i="3"/>
  <c r="AD30" i="3"/>
  <c r="AK29" i="3"/>
  <c r="AD29" i="3"/>
  <c r="AK28" i="3"/>
  <c r="AD28" i="3"/>
  <c r="AK27" i="3"/>
  <c r="AD27" i="3"/>
  <c r="AK26" i="3"/>
  <c r="AD26" i="3"/>
  <c r="I32" i="1"/>
  <c r="K32" i="1" s="1"/>
  <c r="I30" i="1"/>
  <c r="K30" i="1" s="1"/>
  <c r="K31" i="1"/>
  <c r="D24" i="1" l="1"/>
  <c r="I24" i="1" s="1"/>
  <c r="D23" i="1"/>
  <c r="I23" i="1" s="1"/>
  <c r="I22" i="1"/>
  <c r="I20" i="1"/>
  <c r="D21" i="1"/>
  <c r="I21" i="1" s="1"/>
  <c r="F51" i="3"/>
  <c r="F58" i="3" s="1"/>
  <c r="E58" i="3"/>
  <c r="K33" i="1"/>
  <c r="I33" i="1"/>
  <c r="C34" i="3"/>
  <c r="AD15" i="3" l="1"/>
  <c r="AD16" i="3"/>
  <c r="AD17" i="3"/>
  <c r="AD18" i="3"/>
  <c r="AD19" i="3"/>
  <c r="AD20" i="3"/>
  <c r="AD21" i="3"/>
  <c r="F17" i="3"/>
  <c r="F18" i="3" s="1"/>
  <c r="F19" i="3" s="1"/>
  <c r="F20" i="3" s="1"/>
  <c r="F21" i="3" s="1"/>
  <c r="F22" i="3" s="1"/>
  <c r="F23" i="3" s="1"/>
  <c r="N2" i="6"/>
  <c r="K21" i="1" l="1"/>
  <c r="D78" i="6"/>
  <c r="D80" i="6"/>
  <c r="D79" i="6"/>
  <c r="D77" i="6"/>
  <c r="F78" i="6"/>
  <c r="F77" i="6"/>
  <c r="F79" i="6"/>
  <c r="F80" i="6"/>
  <c r="D17" i="6"/>
  <c r="D16" i="6"/>
  <c r="I17" i="6"/>
  <c r="I16" i="6"/>
  <c r="F59" i="6"/>
  <c r="E59" i="6"/>
  <c r="D59" i="6"/>
  <c r="G59" i="6"/>
  <c r="U6" i="6"/>
  <c r="U7" i="6" s="1"/>
  <c r="O11" i="6"/>
  <c r="F71" i="6"/>
  <c r="I71" i="6" s="1"/>
  <c r="F70" i="6"/>
  <c r="I70" i="6" s="1"/>
  <c r="R6" i="6"/>
  <c r="R7" i="6" s="1"/>
  <c r="V6" i="6"/>
  <c r="V7" i="6" s="1"/>
  <c r="O6" i="6"/>
  <c r="S6" i="6"/>
  <c r="S7" i="6" s="1"/>
  <c r="P6" i="6"/>
  <c r="P7" i="6" s="1"/>
  <c r="T6" i="6"/>
  <c r="T7" i="6" s="1"/>
  <c r="Q6" i="6"/>
  <c r="Q7" i="6" s="1"/>
  <c r="K20" i="1" l="1"/>
  <c r="I78" i="6"/>
  <c r="I80" i="6"/>
  <c r="I79" i="6"/>
  <c r="I77" i="6"/>
  <c r="O7" i="6"/>
  <c r="O4" i="6"/>
  <c r="P4" i="6" s="1"/>
  <c r="Q4" i="6" s="1"/>
  <c r="R4" i="6" l="1"/>
  <c r="S4" i="6" s="1"/>
  <c r="T4" i="6" s="1"/>
  <c r="U4" i="6" s="1"/>
  <c r="P9" i="6" l="1"/>
  <c r="E52" i="6" s="1"/>
  <c r="E63" i="6" s="1"/>
  <c r="V4" i="6"/>
  <c r="Q9" i="6"/>
  <c r="F52" i="6" s="1"/>
  <c r="F63" i="6" s="1"/>
  <c r="AC21" i="3"/>
  <c r="AC20" i="3"/>
  <c r="AC19" i="3"/>
  <c r="AC18" i="3"/>
  <c r="AC17" i="3"/>
  <c r="AC16" i="3"/>
  <c r="AC15" i="3"/>
  <c r="AG43" i="3"/>
  <c r="AH43" i="3" s="1"/>
  <c r="AG40" i="3"/>
  <c r="AG39" i="3"/>
  <c r="AH39" i="3" s="1"/>
  <c r="AG38" i="3"/>
  <c r="AH38" i="3" s="1"/>
  <c r="AG37" i="3"/>
  <c r="AH37" i="3" s="1"/>
  <c r="AK21" i="3"/>
  <c r="AK20" i="3"/>
  <c r="AK19" i="3"/>
  <c r="AK18" i="3"/>
  <c r="AK17" i="3"/>
  <c r="AK16" i="3"/>
  <c r="AK15" i="3"/>
  <c r="AJ9" i="3"/>
  <c r="AJ8" i="3"/>
  <c r="AJ6" i="3"/>
  <c r="AJ5" i="3"/>
  <c r="R9" i="6" l="1"/>
  <c r="G52" i="6" s="1"/>
  <c r="G63" i="6" s="1"/>
  <c r="O9" i="6"/>
  <c r="D52" i="6" s="1"/>
  <c r="D63" i="6" s="1"/>
  <c r="D41" i="6"/>
  <c r="O3" i="6"/>
  <c r="I81" i="6"/>
  <c r="I72" i="6"/>
  <c r="I11" i="6"/>
  <c r="C3" i="6"/>
  <c r="I12" i="6"/>
  <c r="D20" i="6"/>
  <c r="F86" i="6" s="1"/>
  <c r="I86" i="6" s="1"/>
  <c r="D11" i="6"/>
  <c r="E33" i="3"/>
  <c r="F33" i="3" s="1"/>
  <c r="D33" i="3"/>
  <c r="E32" i="3"/>
  <c r="D32" i="3"/>
  <c r="E31" i="3"/>
  <c r="F31" i="3" s="1"/>
  <c r="D31" i="3"/>
  <c r="E30" i="3"/>
  <c r="D30" i="3"/>
  <c r="E29" i="3"/>
  <c r="F29" i="3" s="1"/>
  <c r="D29" i="3"/>
  <c r="E28" i="3"/>
  <c r="D28" i="3"/>
  <c r="E27" i="3"/>
  <c r="D8" i="1" s="1"/>
  <c r="D27" i="3"/>
  <c r="F27" i="3" l="1"/>
  <c r="F28" i="3"/>
  <c r="F32" i="3"/>
  <c r="E34" i="3"/>
  <c r="D9" i="1" s="1"/>
  <c r="F87" i="6"/>
  <c r="I87" i="6" s="1"/>
  <c r="B8" i="3"/>
  <c r="B9" i="3"/>
  <c r="D45" i="6"/>
  <c r="F30" i="3"/>
  <c r="L10" i="4"/>
  <c r="L16" i="4" s="1"/>
  <c r="F34" i="3" l="1"/>
  <c r="I89" i="6"/>
  <c r="D12" i="6"/>
  <c r="D13" i="6" s="1"/>
  <c r="D58" i="6" s="1"/>
  <c r="D60" i="6" s="1"/>
  <c r="J13" i="4"/>
  <c r="F10" i="4"/>
  <c r="F15" i="4" s="1"/>
  <c r="C10" i="4"/>
  <c r="J9" i="4"/>
  <c r="J8" i="4"/>
  <c r="J7" i="4"/>
  <c r="J5" i="4"/>
  <c r="J4" i="4"/>
  <c r="J3" i="4"/>
  <c r="N3" i="4" l="1"/>
  <c r="F35" i="3"/>
  <c r="E11" i="4"/>
  <c r="C15" i="4"/>
  <c r="E16" i="4" s="1"/>
  <c r="D55" i="6"/>
  <c r="D62" i="6" s="1"/>
  <c r="D64" i="6" s="1"/>
  <c r="D37" i="6"/>
  <c r="G58" i="6"/>
  <c r="G60" i="6" s="1"/>
  <c r="F58" i="6"/>
  <c r="F60" i="6" s="1"/>
  <c r="E58" i="6"/>
  <c r="E60" i="6" s="1"/>
  <c r="D40" i="6"/>
  <c r="D42" i="6" s="1"/>
  <c r="F55" i="6"/>
  <c r="B55" i="6"/>
  <c r="E55" i="6"/>
  <c r="G55" i="6"/>
  <c r="E62" i="6" l="1"/>
  <c r="E64" i="6" s="1"/>
  <c r="F62" i="6"/>
  <c r="F64" i="6" s="1"/>
  <c r="D44" i="6"/>
  <c r="D46" i="6" s="1"/>
  <c r="I46" i="6" s="1"/>
  <c r="G62" i="6"/>
  <c r="G64" i="6" s="1"/>
  <c r="K23" i="1"/>
  <c r="K24" i="1"/>
  <c r="K25" i="1"/>
  <c r="K22" i="1" l="1"/>
  <c r="K26" i="1" s="1"/>
  <c r="I35" i="1"/>
  <c r="K35" i="1"/>
  <c r="I26" i="1"/>
  <c r="I64" i="6"/>
  <c r="I93" i="6" s="1"/>
  <c r="I94" i="6" s="1"/>
</calcChain>
</file>

<file path=xl/sharedStrings.xml><?xml version="1.0" encoding="utf-8"?>
<sst xmlns="http://schemas.openxmlformats.org/spreadsheetml/2006/main" count="538" uniqueCount="163">
  <si>
    <t>Perceel 1</t>
  </si>
  <si>
    <t>Postaal verwerken</t>
  </si>
  <si>
    <t>Inschrijver:</t>
  </si>
  <si>
    <t xml:space="preserve"> </t>
  </si>
  <si>
    <t>Totaaloplage exclusief inschiet Postaal verwerken:</t>
  </si>
  <si>
    <t>Totale abonneeoplage welke afgeleverd wordt bij verzendhuis:</t>
  </si>
  <si>
    <t>Totale losse verkoop oplage welke afgeleverd wordt bij verzendhuis</t>
  </si>
  <si>
    <t>Totale kosten op jaarbasis</t>
  </si>
  <si>
    <t>Adresseren</t>
  </si>
  <si>
    <t>Toeslag los insteken tijdens adresseren</t>
  </si>
  <si>
    <t>Toeslag oplegger bij sealen</t>
  </si>
  <si>
    <t>Toeslag insteker bij sealen</t>
  </si>
  <si>
    <t>Toeslag gimmick feader bij sealen</t>
  </si>
  <si>
    <t>Prijzen in Euro</t>
  </si>
  <si>
    <t>totaal</t>
  </si>
  <si>
    <t>Prijs</t>
  </si>
  <si>
    <t>Oplage welke afgeleverd moet worden bij Verzendhuis:</t>
  </si>
  <si>
    <t>Standaard</t>
  </si>
  <si>
    <t>hoogte</t>
  </si>
  <si>
    <t>mm</t>
  </si>
  <si>
    <t>breedte</t>
  </si>
  <si>
    <t>Productietechnologie binnenwerk</t>
  </si>
  <si>
    <t>Productietechnologie omslag</t>
  </si>
  <si>
    <t>Productiemethoden</t>
  </si>
  <si>
    <t>Inline</t>
  </si>
  <si>
    <t>Kwaliteit papiersoort</t>
  </si>
  <si>
    <t>gewicht per m2</t>
  </si>
  <si>
    <t>gram</t>
  </si>
  <si>
    <t>Omvang</t>
  </si>
  <si>
    <t>frequentie</t>
  </si>
  <si>
    <t>8. Instelkosten</t>
  </si>
  <si>
    <t>Zwart wissel cover 1</t>
  </si>
  <si>
    <t>Full color wissel cover 1</t>
  </si>
  <si>
    <t>9. Kosten Plusproposities</t>
  </si>
  <si>
    <t>Prijs per 1.000</t>
  </si>
  <si>
    <t>Meehechten extra katern/insert/outsert</t>
  </si>
  <si>
    <t>Meehechten via plano oplegstation (outsert)</t>
  </si>
  <si>
    <t>Plakkaart</t>
  </si>
  <si>
    <t xml:space="preserve">Insteekkaart, kaart los insteken tijdens hechten </t>
  </si>
  <si>
    <t>10. Transportkosten *</t>
  </si>
  <si>
    <t>Kosten per editie</t>
  </si>
  <si>
    <t>Transportkosten totale oplage naar verzendhuis (Utrecht)</t>
  </si>
  <si>
    <t xml:space="preserve">Transportkosten losse verkoop (Gilze) </t>
  </si>
  <si>
    <t>Transportkosten incidenteel naar opdrachtgever bijv. extra exemplaren</t>
  </si>
  <si>
    <t>*) Hiervoor geld geen afname verplichting</t>
  </si>
  <si>
    <t>TCO</t>
  </si>
  <si>
    <t>aantal jaar</t>
  </si>
  <si>
    <t>Diepdruk</t>
  </si>
  <si>
    <t>Rotatie offset</t>
  </si>
  <si>
    <t>Offline</t>
  </si>
  <si>
    <t>Frequentie</t>
  </si>
  <si>
    <t>Avrobode</t>
  </si>
  <si>
    <t>abonnee oplage</t>
  </si>
  <si>
    <t>Buitenland</t>
  </si>
  <si>
    <t>Belgen</t>
  </si>
  <si>
    <t>losse verkoop oplage</t>
  </si>
  <si>
    <t>Leesportefeuille oplage</t>
  </si>
  <si>
    <t>Extra's</t>
  </si>
  <si>
    <t>Combiperceel: AB-KROM-NG-VG</t>
  </si>
  <si>
    <t>Avrobode:</t>
  </si>
  <si>
    <t>Televizier</t>
  </si>
  <si>
    <t>TVFilm</t>
  </si>
  <si>
    <t>KRO Magazine</t>
  </si>
  <si>
    <t>Mikro Gids</t>
  </si>
  <si>
    <t>NCRV Gids</t>
  </si>
  <si>
    <t>VARAgids</t>
  </si>
  <si>
    <t>Perceel 2</t>
  </si>
  <si>
    <t>Perceel 3</t>
  </si>
  <si>
    <t>Perceel 4</t>
  </si>
  <si>
    <t>Perceel 5</t>
  </si>
  <si>
    <t>Perceel 6</t>
  </si>
  <si>
    <t>Perceel 7</t>
  </si>
  <si>
    <t>Perceel 8</t>
  </si>
  <si>
    <t>Perceel 9</t>
  </si>
  <si>
    <t>Gewicht</t>
  </si>
  <si>
    <t>titel</t>
  </si>
  <si>
    <t>nee</t>
  </si>
  <si>
    <t>ja</t>
  </si>
  <si>
    <t>Naam Percelen</t>
  </si>
  <si>
    <t>papier binnenwerk</t>
  </si>
  <si>
    <t>papier omslag</t>
  </si>
  <si>
    <t>TCO x jaar</t>
  </si>
  <si>
    <t xml:space="preserve">SCA </t>
  </si>
  <si>
    <t>Combinatieperceel</t>
  </si>
  <si>
    <t>SCB</t>
  </si>
  <si>
    <t>Totaal oplage</t>
  </si>
  <si>
    <t>Omvang binnenwerk</t>
  </si>
  <si>
    <t>inschiet vast</t>
  </si>
  <si>
    <t>inschiet variabel</t>
  </si>
  <si>
    <t>afronden</t>
  </si>
  <si>
    <t>Aantal editites per jaar</t>
  </si>
  <si>
    <t>1 Oplage</t>
  </si>
  <si>
    <t>2 Formaat</t>
  </si>
  <si>
    <t>3 Frequentie</t>
  </si>
  <si>
    <t>6 Drukkosten</t>
  </si>
  <si>
    <t>4 Papier binnenwerk</t>
  </si>
  <si>
    <t>5 Productietechnologie</t>
  </si>
  <si>
    <t>Specificaties titel</t>
  </si>
  <si>
    <t>Aanbod inschrijver</t>
  </si>
  <si>
    <t>omslag</t>
  </si>
  <si>
    <t>omvangen</t>
  </si>
  <si>
    <t>Weging binnenwerk</t>
  </si>
  <si>
    <t>wissel J/N</t>
  </si>
  <si>
    <t>Frequentie cylinderwissel</t>
  </si>
  <si>
    <t>Frequentie transportkosten</t>
  </si>
  <si>
    <t>aantal weken</t>
  </si>
  <si>
    <t>Vaste kosten</t>
  </si>
  <si>
    <t>Kosten handling Papier totale oplage</t>
  </si>
  <si>
    <t>Start hoeveelheid papier (kilo)</t>
  </si>
  <si>
    <t>Run-on hoeveelheid papier (kilo)</t>
  </si>
  <si>
    <t>4 pagina's</t>
  </si>
  <si>
    <t>Inkt en Techniek (per 1.000)</t>
  </si>
  <si>
    <t>Totale kosten per jaar</t>
  </si>
  <si>
    <t>Totale hoeveelheid papier hele oplage</t>
  </si>
  <si>
    <t>Totaal Drukkosten hele oplage</t>
  </si>
  <si>
    <t>Totale Papierkosten hele oplage</t>
  </si>
  <si>
    <t>Productiekosten hele oplage</t>
  </si>
  <si>
    <t>overizchtje voor formules</t>
  </si>
  <si>
    <t>verschillende omvangen</t>
  </si>
  <si>
    <t>Drukwerk Omslag</t>
  </si>
  <si>
    <t>Drukwerk Binnenwerk</t>
  </si>
  <si>
    <t>wissel</t>
  </si>
  <si>
    <t>5 Papier Omslag</t>
  </si>
  <si>
    <t>Papierprijs per ton</t>
  </si>
  <si>
    <t>Prijs per week</t>
  </si>
  <si>
    <t>Frequentie Plusproposities (aantal keer per jaar</t>
  </si>
  <si>
    <t>Aantallen Plusproposities (per jaar)</t>
  </si>
  <si>
    <t>Aantal per jaar</t>
  </si>
  <si>
    <t>Totaal per jaar</t>
  </si>
  <si>
    <t>Bijlage: G</t>
  </si>
  <si>
    <t>Prijs per wissel</t>
  </si>
  <si>
    <t>(in Euro)</t>
  </si>
  <si>
    <t>Kosten per jaar</t>
  </si>
  <si>
    <t>Kosten per exemplaar</t>
  </si>
  <si>
    <t>Verbeterd courant iso 76</t>
  </si>
  <si>
    <t>Verbeterd courant iso 68</t>
  </si>
  <si>
    <t>LWC gloss</t>
  </si>
  <si>
    <t xml:space="preserve">LWC Gloss </t>
  </si>
  <si>
    <r>
      <t>VARA Gids heeft 4 zomer dubbelnummers</t>
    </r>
    <r>
      <rPr>
        <b/>
        <u/>
        <sz val="11"/>
        <color rgb="FFFF0000"/>
        <rFont val="Calibri"/>
        <family val="2"/>
        <scheme val="minor"/>
      </rPr>
      <t xml:space="preserve"> met binnenwerk omvang van  144 pagina's  !!!!</t>
    </r>
  </si>
  <si>
    <t>ABO oplage excl inschiet</t>
  </si>
  <si>
    <t>LVK oplage netto</t>
  </si>
  <si>
    <t>LPH oplage netto</t>
  </si>
  <si>
    <t xml:space="preserve">Totaaloplage </t>
  </si>
  <si>
    <t>Modellen en nazend oplage</t>
  </si>
  <si>
    <t>Inschiet Postaal verwerken:</t>
  </si>
  <si>
    <t>Totaaloplage incl inschiet, LVK en LPH</t>
  </si>
  <si>
    <t>Totaaloplage inclusief inschiet, LVK, LPH en Extra:</t>
  </si>
  <si>
    <t>Aantallen per 17-2-2021</t>
  </si>
  <si>
    <t>Totaal adresseren</t>
  </si>
  <si>
    <t>Uitganspunt aantal gemiddelde edities per jaar</t>
  </si>
  <si>
    <t>Transportkosten hoofdzending (abonnementen oplage) Nieuwegein</t>
  </si>
  <si>
    <t>Totale leesportefeuillehouders aantallen welke wordt afgeleverd bij verzendhuis</t>
  </si>
  <si>
    <t>Transportkosten t.b.v. nazendingen (Houten)</t>
  </si>
  <si>
    <t> 1000 exemplaren in 1 transport per week</t>
  </si>
  <si>
    <t>2. Transport</t>
  </si>
  <si>
    <t>Inschatting per editie</t>
  </si>
  <si>
    <t>Inschatting per week</t>
  </si>
  <si>
    <t>1. Postaal verwerken            kosten</t>
  </si>
  <si>
    <t>Transportkosten exemplaren wekelijks één adres Hilversum</t>
  </si>
  <si>
    <t>Toeslag sealen bij niet-selfcover en/of bijlages</t>
  </si>
  <si>
    <t>Toeslag sealen bij selfcover</t>
  </si>
  <si>
    <t>Perceel 2, Inschrijfsom 1 bij selfcover</t>
  </si>
  <si>
    <t>Perceel 2, Inschrijfsom 2 bij niet selfcover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</si>
</sst>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??_-;_-@_-"/>
    <numFmt numFmtId="165" formatCode="_-&quot;€&quot;\ * #,##0.00_-;_-&quot;€&quot;\ * #,##0.00\-;_-&quot;€&quot;\ * &quot;-&quot;??_-;_-@_-"/>
    <numFmt numFmtId="166" formatCode="#,##0_ ;\-#,##0\ "/>
    <numFmt numFmtId="167" formatCode="#,##0.0"/>
    <numFmt numFmtId="168" formatCode="_ * #,##0_ ;_ * \-#,##0_ ;_ * &quot;-&quot;??_ ;_ @_ "/>
    <numFmt numFmtId="169" formatCode="_ &quot;€&quot;\ * #,##0_ ;_ &quot;€&quot;\ * \-#,##0_ ;_ &quot;€&quot;\ * &quot;-&quot;??_ ;_ @_ "/>
    <numFmt numFmtId="170" formatCode="_ &quot;€&quot;\ * #,##0.0000_ ;_ &quot;€&quot;\ * \-#,##0.0000_ ;_ &quot;€&quot;\ * &quot;-&quot;??_ ;_ @_ "/>
    <numFmt numFmtId="171" formatCode="_(&quot;€&quot;* #,##0.00_);_(&quot;€&quot;* \(#,##0.00\);_(&quot;€&quot;* &quot;-&quot;??_);_(@_)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Arial"/>
      <family val="2"/>
      <charset val="204"/>
    </font>
    <font>
      <b/>
      <sz val="1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  <charset val="204"/>
    </font>
    <font>
      <sz val="9"/>
      <name val="Arial"/>
      <family val="2"/>
      <charset val="204"/>
    </font>
    <font>
      <b/>
      <sz val="10"/>
      <color theme="0"/>
      <name val="Arial"/>
      <family val="2"/>
    </font>
    <font>
      <b/>
      <sz val="11"/>
      <color rgb="FFFFFFFF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theme="0"/>
      <name val="Arial"/>
      <family val="2"/>
      <charset val="204"/>
    </font>
    <font>
      <b/>
      <sz val="10"/>
      <color rgb="FFFFFFFF"/>
      <name val="Arial"/>
      <family val="2"/>
      <charset val="204"/>
    </font>
    <font>
      <b/>
      <sz val="18"/>
      <color rgb="FFFFFFFF"/>
      <name val="Arial"/>
      <family val="2"/>
      <charset val="204"/>
    </font>
    <font>
      <b/>
      <sz val="10"/>
      <color theme="1"/>
      <name val="Arial"/>
      <family val="2"/>
    </font>
    <font>
      <b/>
      <sz val="16"/>
      <name val="Arial"/>
      <family val="2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Arial"/>
      <family val="2"/>
      <charset val="204"/>
    </font>
    <font>
      <sz val="12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4"/>
      <color rgb="FFFFFFFF"/>
      <name val="Arial"/>
      <family val="2"/>
      <charset val="204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0"/>
      <name val="Muli"/>
    </font>
    <font>
      <sz val="11"/>
      <color theme="1"/>
      <name val="Muli"/>
    </font>
    <font>
      <b/>
      <sz val="18"/>
      <color theme="0"/>
      <name val="Muli"/>
    </font>
    <font>
      <b/>
      <sz val="18"/>
      <name val="Muli"/>
    </font>
    <font>
      <sz val="18"/>
      <name val="Muli"/>
    </font>
    <font>
      <b/>
      <sz val="12"/>
      <name val="Muli"/>
    </font>
    <font>
      <b/>
      <sz val="10"/>
      <color theme="0" tint="-0.14999847407452621"/>
      <name val="Muli"/>
    </font>
    <font>
      <sz val="10"/>
      <name val="Muli"/>
    </font>
    <font>
      <sz val="10"/>
      <color theme="0"/>
      <name val="Muli"/>
    </font>
    <font>
      <b/>
      <sz val="10"/>
      <color theme="0"/>
      <name val="Muli"/>
    </font>
    <font>
      <sz val="10"/>
      <color theme="0" tint="-0.14999847407452621"/>
      <name val="Muli"/>
    </font>
    <font>
      <i/>
      <sz val="9"/>
      <name val="Muli"/>
    </font>
    <font>
      <sz val="9"/>
      <name val="Muli"/>
    </font>
    <font>
      <sz val="10"/>
      <color theme="1"/>
      <name val="Muli"/>
    </font>
  </fonts>
  <fills count="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5F5F5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01">
    <border>
      <left/>
      <right/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00B050"/>
      </left>
      <right style="thick">
        <color rgb="FF00B050"/>
      </right>
      <top/>
      <bottom style="thin">
        <color auto="1"/>
      </bottom>
      <diagonal/>
    </border>
    <border>
      <left style="thick">
        <color rgb="FF00B050"/>
      </left>
      <right style="thick">
        <color rgb="FF00B050"/>
      </right>
      <top style="thin">
        <color indexed="64"/>
      </top>
      <bottom style="hair">
        <color auto="1"/>
      </bottom>
      <diagonal/>
    </border>
    <border>
      <left style="thick">
        <color rgb="FF00B050"/>
      </left>
      <right style="thick">
        <color rgb="FF00B050"/>
      </right>
      <top style="thin">
        <color auto="1"/>
      </top>
      <bottom/>
      <diagonal/>
    </border>
    <border>
      <left style="thick">
        <color rgb="FF00B050"/>
      </left>
      <right style="thick">
        <color rgb="FF00B050"/>
      </right>
      <top style="thin">
        <color auto="1"/>
      </top>
      <bottom style="thin">
        <color auto="1"/>
      </bottom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 style="thick">
        <color rgb="FF00B050"/>
      </left>
      <right style="thick">
        <color rgb="FF00B050"/>
      </right>
      <top style="thin">
        <color auto="1"/>
      </top>
      <bottom style="medium">
        <color indexed="64"/>
      </bottom>
      <diagonal/>
    </border>
    <border>
      <left style="thick">
        <color rgb="FF00B050"/>
      </left>
      <right style="thick">
        <color rgb="FF00B050"/>
      </right>
      <top style="medium">
        <color auto="1"/>
      </top>
      <bottom style="thick">
        <color rgb="FF00B050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/>
      <top style="thick">
        <color rgb="FF00B050"/>
      </top>
      <bottom/>
      <diagonal/>
    </border>
    <border>
      <left/>
      <right/>
      <top/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8" tint="-0.499984740745262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thick">
        <color rgb="FF00B050"/>
      </top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/>
      <bottom style="thick">
        <color rgb="FF00B050"/>
      </bottom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/>
      <top style="thick">
        <color rgb="FF00B050"/>
      </top>
      <bottom style="thick">
        <color rgb="FF00B05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69">
    <xf numFmtId="0" fontId="0" fillId="0" borderId="0" xfId="0"/>
    <xf numFmtId="0" fontId="0" fillId="10" borderId="0" xfId="0" applyFill="1" applyProtection="1"/>
    <xf numFmtId="0" fontId="3" fillId="11" borderId="0" xfId="0" applyFont="1" applyFill="1" applyProtection="1"/>
    <xf numFmtId="0" fontId="3" fillId="11" borderId="0" xfId="0" applyFont="1" applyFill="1" applyBorder="1" applyProtection="1"/>
    <xf numFmtId="0" fontId="3" fillId="10" borderId="0" xfId="0" applyFont="1" applyFill="1" applyBorder="1" applyProtection="1"/>
    <xf numFmtId="0" fontId="3" fillId="10" borderId="0" xfId="0" applyFont="1" applyFill="1" applyBorder="1" applyAlignment="1" applyProtection="1">
      <alignment horizontal="center"/>
    </xf>
    <xf numFmtId="0" fontId="3" fillId="10" borderId="0" xfId="0" applyFont="1" applyFill="1" applyBorder="1" applyAlignment="1" applyProtection="1">
      <alignment vertical="center"/>
    </xf>
    <xf numFmtId="0" fontId="5" fillId="11" borderId="0" xfId="0" applyFont="1" applyFill="1" applyBorder="1" applyAlignment="1" applyProtection="1">
      <alignment horizontal="right"/>
    </xf>
    <xf numFmtId="22" fontId="5" fillId="11" borderId="0" xfId="0" applyNumberFormat="1" applyFont="1" applyFill="1" applyBorder="1" applyProtection="1"/>
    <xf numFmtId="0" fontId="5" fillId="11" borderId="0" xfId="0" applyFont="1" applyFill="1" applyBorder="1" applyAlignment="1" applyProtection="1"/>
    <xf numFmtId="0" fontId="5" fillId="11" borderId="0" xfId="0" applyFont="1" applyFill="1" applyProtection="1"/>
    <xf numFmtId="0" fontId="5" fillId="10" borderId="0" xfId="0" applyFont="1" applyFill="1" applyProtection="1"/>
    <xf numFmtId="0" fontId="5" fillId="11" borderId="0" xfId="0" applyFont="1" applyFill="1" applyBorder="1" applyProtection="1"/>
    <xf numFmtId="0" fontId="9" fillId="11" borderId="0" xfId="0" applyFont="1" applyFill="1" applyProtection="1"/>
    <xf numFmtId="0" fontId="0" fillId="10" borderId="0" xfId="0" applyFill="1" applyBorder="1"/>
    <xf numFmtId="0" fontId="5" fillId="10" borderId="0" xfId="0" applyFont="1" applyFill="1" applyBorder="1" applyProtection="1"/>
    <xf numFmtId="0" fontId="5" fillId="11" borderId="50" xfId="0" applyFont="1" applyFill="1" applyBorder="1" applyAlignment="1" applyProtection="1"/>
    <xf numFmtId="0" fontId="5" fillId="11" borderId="51" xfId="0" applyFont="1" applyFill="1" applyBorder="1" applyAlignment="1" applyProtection="1"/>
    <xf numFmtId="44" fontId="5" fillId="7" borderId="47" xfId="2" applyFont="1" applyFill="1" applyBorder="1" applyProtection="1">
      <protection locked="0"/>
    </xf>
    <xf numFmtId="0" fontId="5" fillId="10" borderId="24" xfId="0" applyFont="1" applyFill="1" applyBorder="1" applyProtection="1"/>
    <xf numFmtId="0" fontId="5" fillId="11" borderId="45" xfId="0" applyFont="1" applyFill="1" applyBorder="1" applyAlignment="1" applyProtection="1"/>
    <xf numFmtId="0" fontId="5" fillId="11" borderId="53" xfId="0" applyFont="1" applyFill="1" applyBorder="1" applyAlignment="1" applyProtection="1"/>
    <xf numFmtId="44" fontId="5" fillId="7" borderId="55" xfId="2" applyFont="1" applyFill="1" applyBorder="1" applyProtection="1">
      <protection locked="0"/>
    </xf>
    <xf numFmtId="0" fontId="5" fillId="10" borderId="14" xfId="0" applyFont="1" applyFill="1" applyBorder="1" applyProtection="1"/>
    <xf numFmtId="0" fontId="5" fillId="11" borderId="46" xfId="0" applyFont="1" applyFill="1" applyBorder="1" applyAlignment="1" applyProtection="1"/>
    <xf numFmtId="0" fontId="5" fillId="11" borderId="57" xfId="0" applyFont="1" applyFill="1" applyBorder="1" applyAlignment="1" applyProtection="1"/>
    <xf numFmtId="44" fontId="5" fillId="7" borderId="59" xfId="2" applyFont="1" applyFill="1" applyBorder="1" applyProtection="1">
      <protection locked="0"/>
    </xf>
    <xf numFmtId="44" fontId="5" fillId="7" borderId="60" xfId="2" applyFont="1" applyFill="1" applyBorder="1" applyProtection="1">
      <protection locked="0"/>
    </xf>
    <xf numFmtId="44" fontId="5" fillId="7" borderId="42" xfId="2" applyFont="1" applyFill="1" applyBorder="1" applyProtection="1">
      <protection locked="0"/>
    </xf>
    <xf numFmtId="0" fontId="5" fillId="10" borderId="24" xfId="0" applyFont="1" applyFill="1" applyBorder="1" applyAlignment="1" applyProtection="1">
      <alignment horizontal="right"/>
    </xf>
    <xf numFmtId="0" fontId="3" fillId="11" borderId="0" xfId="0" applyFont="1" applyFill="1" applyAlignment="1" applyProtection="1">
      <alignment horizontal="right"/>
    </xf>
    <xf numFmtId="0" fontId="5" fillId="11" borderId="0" xfId="0" applyFont="1" applyFill="1" applyAlignment="1" applyProtection="1">
      <alignment horizontal="left" wrapText="1"/>
    </xf>
    <xf numFmtId="0" fontId="0" fillId="0" borderId="0" xfId="0" applyProtection="1"/>
    <xf numFmtId="0" fontId="0" fillId="2" borderId="50" xfId="0" applyFont="1" applyFill="1" applyBorder="1" applyProtection="1"/>
    <xf numFmtId="0" fontId="0" fillId="2" borderId="26" xfId="0" applyFill="1" applyBorder="1" applyAlignment="1" applyProtection="1"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21" xfId="0" applyFont="1" applyFill="1" applyBorder="1" applyProtection="1"/>
    <xf numFmtId="0" fontId="0" fillId="0" borderId="21" xfId="0" applyBorder="1"/>
    <xf numFmtId="0" fontId="0" fillId="2" borderId="7" xfId="0" applyFill="1" applyBorder="1"/>
    <xf numFmtId="0" fontId="0" fillId="2" borderId="21" xfId="0" applyFill="1" applyBorder="1"/>
    <xf numFmtId="0" fontId="10" fillId="6" borderId="2" xfId="0" applyFont="1" applyFill="1" applyBorder="1" applyProtection="1"/>
    <xf numFmtId="3" fontId="0" fillId="0" borderId="0" xfId="0" applyNumberFormat="1"/>
    <xf numFmtId="3" fontId="0" fillId="0" borderId="70" xfId="0" applyNumberFormat="1" applyBorder="1"/>
    <xf numFmtId="3" fontId="0" fillId="0" borderId="0" xfId="0" applyNumberFormat="1" applyAlignment="1">
      <alignment horizontal="center"/>
    </xf>
    <xf numFmtId="167" fontId="0" fillId="0" borderId="70" xfId="0" applyNumberFormat="1" applyBorder="1"/>
    <xf numFmtId="0" fontId="0" fillId="0" borderId="12" xfId="0" applyBorder="1"/>
    <xf numFmtId="0" fontId="2" fillId="6" borderId="71" xfId="0" applyFont="1" applyFill="1" applyBorder="1"/>
    <xf numFmtId="0" fontId="2" fillId="6" borderId="72" xfId="0" applyFont="1" applyFill="1" applyBorder="1"/>
    <xf numFmtId="0" fontId="0" fillId="2" borderId="29" xfId="0" applyFill="1" applyBorder="1"/>
    <xf numFmtId="0" fontId="2" fillId="6" borderId="9" xfId="0" applyFont="1" applyFill="1" applyBorder="1"/>
    <xf numFmtId="0" fontId="2" fillId="6" borderId="7" xfId="0" applyFont="1" applyFill="1" applyBorder="1"/>
    <xf numFmtId="0" fontId="10" fillId="6" borderId="61" xfId="0" applyFont="1" applyFill="1" applyBorder="1" applyAlignment="1" applyProtection="1">
      <alignment horizontal="center"/>
    </xf>
    <xf numFmtId="0" fontId="10" fillId="6" borderId="62" xfId="0" applyFont="1" applyFill="1" applyBorder="1" applyAlignment="1" applyProtection="1">
      <alignment horizontal="center"/>
    </xf>
    <xf numFmtId="0" fontId="2" fillId="6" borderId="27" xfId="0" applyFont="1" applyFill="1" applyBorder="1"/>
    <xf numFmtId="0" fontId="10" fillId="6" borderId="16" xfId="0" applyFont="1" applyFill="1" applyBorder="1" applyProtection="1"/>
    <xf numFmtId="0" fontId="2" fillId="6" borderId="2" xfId="0" applyFont="1" applyFill="1" applyBorder="1"/>
    <xf numFmtId="0" fontId="2" fillId="6" borderId="16" xfId="0" applyFont="1" applyFill="1" applyBorder="1"/>
    <xf numFmtId="0" fontId="0" fillId="10" borderId="12" xfId="0" applyFill="1" applyBorder="1"/>
    <xf numFmtId="168" fontId="0" fillId="10" borderId="39" xfId="1" applyNumberFormat="1" applyFont="1" applyFill="1" applyBorder="1"/>
    <xf numFmtId="0" fontId="0" fillId="10" borderId="29" xfId="0" applyFill="1" applyBorder="1"/>
    <xf numFmtId="0" fontId="0" fillId="10" borderId="50" xfId="0" applyFill="1" applyBorder="1"/>
    <xf numFmtId="0" fontId="0" fillId="10" borderId="21" xfId="0" applyFill="1" applyBorder="1"/>
    <xf numFmtId="168" fontId="2" fillId="6" borderId="38" xfId="1" applyNumberFormat="1" applyFont="1" applyFill="1" applyBorder="1"/>
    <xf numFmtId="168" fontId="2" fillId="6" borderId="16" xfId="1" applyNumberFormat="1" applyFont="1" applyFill="1" applyBorder="1"/>
    <xf numFmtId="168" fontId="0" fillId="10" borderId="0" xfId="1" applyNumberFormat="1" applyFont="1" applyFill="1" applyBorder="1"/>
    <xf numFmtId="0" fontId="0" fillId="10" borderId="39" xfId="0" applyFill="1" applyBorder="1"/>
    <xf numFmtId="0" fontId="0" fillId="10" borderId="9" xfId="0" applyFill="1" applyBorder="1"/>
    <xf numFmtId="0" fontId="0" fillId="10" borderId="51" xfId="0" applyFill="1" applyBorder="1"/>
    <xf numFmtId="0" fontId="0" fillId="10" borderId="52" xfId="0" applyFill="1" applyBorder="1"/>
    <xf numFmtId="0" fontId="0" fillId="10" borderId="7" xfId="0" applyFill="1" applyBorder="1"/>
    <xf numFmtId="0" fontId="0" fillId="9" borderId="7" xfId="0" applyFill="1" applyBorder="1"/>
    <xf numFmtId="0" fontId="0" fillId="9" borderId="39" xfId="0" applyFill="1" applyBorder="1"/>
    <xf numFmtId="0" fontId="0" fillId="9" borderId="0" xfId="0" applyFill="1" applyBorder="1"/>
    <xf numFmtId="0" fontId="0" fillId="9" borderId="12" xfId="0" applyFill="1" applyBorder="1"/>
    <xf numFmtId="0" fontId="0" fillId="9" borderId="9" xfId="0" applyFill="1" applyBorder="1"/>
    <xf numFmtId="0" fontId="0" fillId="9" borderId="21" xfId="0" applyFill="1" applyBorder="1"/>
    <xf numFmtId="0" fontId="0" fillId="9" borderId="52" xfId="0" applyFill="1" applyBorder="1"/>
    <xf numFmtId="0" fontId="0" fillId="9" borderId="51" xfId="0" applyFill="1" applyBorder="1"/>
    <xf numFmtId="0" fontId="10" fillId="6" borderId="75" xfId="0" applyFont="1" applyFill="1" applyBorder="1" applyAlignment="1" applyProtection="1">
      <alignment horizontal="center"/>
    </xf>
    <xf numFmtId="0" fontId="0" fillId="2" borderId="50" xfId="0" applyFill="1" applyBorder="1"/>
    <xf numFmtId="0" fontId="6" fillId="10" borderId="14" xfId="0" applyFont="1" applyFill="1" applyBorder="1" applyAlignment="1" applyProtection="1">
      <alignment horizontal="left"/>
    </xf>
    <xf numFmtId="0" fontId="0" fillId="10" borderId="0" xfId="0" applyFill="1" applyBorder="1" applyAlignment="1" applyProtection="1"/>
    <xf numFmtId="3" fontId="3" fillId="10" borderId="15" xfId="0" applyNumberFormat="1" applyFont="1" applyFill="1" applyBorder="1" applyAlignment="1" applyProtection="1"/>
    <xf numFmtId="0" fontId="6" fillId="10" borderId="43" xfId="0" applyFont="1" applyFill="1" applyBorder="1" applyAlignment="1" applyProtection="1">
      <alignment horizontal="left"/>
    </xf>
    <xf numFmtId="3" fontId="3" fillId="10" borderId="44" xfId="0" applyNumberFormat="1" applyFont="1" applyFill="1" applyBorder="1" applyAlignment="1" applyProtection="1"/>
    <xf numFmtId="0" fontId="6" fillId="10" borderId="24" xfId="0" applyFont="1" applyFill="1" applyBorder="1" applyAlignment="1" applyProtection="1">
      <alignment horizontal="left"/>
    </xf>
    <xf numFmtId="0" fontId="0" fillId="10" borderId="51" xfId="0" applyFill="1" applyBorder="1" applyAlignment="1" applyProtection="1"/>
    <xf numFmtId="3" fontId="3" fillId="10" borderId="25" xfId="0" applyNumberFormat="1" applyFont="1" applyFill="1" applyBorder="1" applyAlignment="1" applyProtection="1"/>
    <xf numFmtId="0" fontId="0" fillId="10" borderId="37" xfId="0" applyFill="1" applyBorder="1" applyAlignment="1" applyProtection="1"/>
    <xf numFmtId="0" fontId="6" fillId="10" borderId="28" xfId="0" applyFont="1" applyFill="1" applyBorder="1" applyAlignment="1" applyProtection="1">
      <alignment horizontal="left"/>
    </xf>
    <xf numFmtId="0" fontId="5" fillId="11" borderId="71" xfId="0" applyFont="1" applyFill="1" applyBorder="1" applyProtection="1"/>
    <xf numFmtId="0" fontId="5" fillId="11" borderId="30" xfId="0" applyFont="1" applyFill="1" applyBorder="1" applyProtection="1"/>
    <xf numFmtId="0" fontId="5" fillId="11" borderId="28" xfId="0" applyFont="1" applyFill="1" applyBorder="1" applyProtection="1"/>
    <xf numFmtId="0" fontId="15" fillId="13" borderId="33" xfId="0" applyFont="1" applyFill="1" applyBorder="1" applyAlignment="1" applyProtection="1">
      <alignment horizontal="left" vertical="center"/>
    </xf>
    <xf numFmtId="0" fontId="0" fillId="10" borderId="58" xfId="0" applyFill="1" applyBorder="1" applyAlignment="1" applyProtection="1">
      <alignment horizontal="right"/>
    </xf>
    <xf numFmtId="0" fontId="10" fillId="6" borderId="34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vertical="center"/>
    </xf>
    <xf numFmtId="0" fontId="10" fillId="6" borderId="36" xfId="0" applyFont="1" applyFill="1" applyBorder="1" applyProtection="1"/>
    <xf numFmtId="0" fontId="6" fillId="10" borderId="27" xfId="0" applyFont="1" applyFill="1" applyBorder="1" applyAlignment="1" applyProtection="1">
      <alignment horizontal="left"/>
    </xf>
    <xf numFmtId="0" fontId="0" fillId="10" borderId="56" xfId="0" applyFill="1" applyBorder="1" applyAlignment="1" applyProtection="1">
      <alignment horizontal="right"/>
    </xf>
    <xf numFmtId="0" fontId="14" fillId="15" borderId="34" xfId="0" applyFont="1" applyFill="1" applyBorder="1" applyAlignment="1" applyProtection="1">
      <alignment horizontal="left"/>
    </xf>
    <xf numFmtId="0" fontId="14" fillId="15" borderId="35" xfId="0" applyFont="1" applyFill="1" applyBorder="1" applyAlignment="1" applyProtection="1">
      <alignment vertical="center"/>
    </xf>
    <xf numFmtId="0" fontId="14" fillId="15" borderId="36" xfId="0" applyFont="1" applyFill="1" applyBorder="1" applyProtection="1"/>
    <xf numFmtId="0" fontId="10" fillId="6" borderId="35" xfId="0" applyFont="1" applyFill="1" applyBorder="1" applyProtection="1"/>
    <xf numFmtId="0" fontId="10" fillId="6" borderId="74" xfId="0" applyFont="1" applyFill="1" applyBorder="1" applyAlignment="1" applyProtection="1">
      <alignment horizontal="center" wrapText="1"/>
    </xf>
    <xf numFmtId="0" fontId="10" fillId="6" borderId="51" xfId="0" applyFont="1" applyFill="1" applyBorder="1" applyAlignment="1" applyProtection="1">
      <alignment horizontal="center" wrapText="1"/>
    </xf>
    <xf numFmtId="0" fontId="2" fillId="6" borderId="29" xfId="0" applyFont="1" applyFill="1" applyBorder="1"/>
    <xf numFmtId="0" fontId="10" fillId="6" borderId="78" xfId="0" applyFont="1" applyFill="1" applyBorder="1" applyAlignment="1" applyProtection="1">
      <alignment horizontal="center"/>
    </xf>
    <xf numFmtId="0" fontId="0" fillId="0" borderId="7" xfId="0" applyBorder="1"/>
    <xf numFmtId="0" fontId="10" fillId="6" borderId="17" xfId="0" applyFont="1" applyFill="1" applyBorder="1" applyAlignment="1" applyProtection="1">
      <alignment horizontal="center" wrapText="1"/>
    </xf>
    <xf numFmtId="0" fontId="11" fillId="15" borderId="39" xfId="0" applyFont="1" applyFill="1" applyBorder="1"/>
    <xf numFmtId="0" fontId="10" fillId="6" borderId="30" xfId="0" applyFont="1" applyFill="1" applyBorder="1" applyAlignment="1" applyProtection="1">
      <alignment horizontal="center" wrapText="1"/>
    </xf>
    <xf numFmtId="0" fontId="10" fillId="6" borderId="18" xfId="0" applyFont="1" applyFill="1" applyBorder="1" applyAlignment="1" applyProtection="1">
      <alignment horizontal="center" wrapText="1"/>
    </xf>
    <xf numFmtId="0" fontId="0" fillId="17" borderId="9" xfId="0" applyFill="1" applyBorder="1" applyAlignment="1">
      <alignment horizontal="center"/>
    </xf>
    <xf numFmtId="0" fontId="0" fillId="17" borderId="39" xfId="0" applyFill="1" applyBorder="1" applyAlignment="1">
      <alignment horizontal="center"/>
    </xf>
    <xf numFmtId="0" fontId="0" fillId="17" borderId="52" xfId="0" applyFill="1" applyBorder="1" applyAlignment="1">
      <alignment horizontal="center"/>
    </xf>
    <xf numFmtId="0" fontId="10" fillId="6" borderId="49" xfId="0" applyFont="1" applyFill="1" applyBorder="1" applyAlignment="1" applyProtection="1">
      <alignment horizontal="center" wrapText="1"/>
    </xf>
    <xf numFmtId="0" fontId="11" fillId="4" borderId="7" xfId="0" applyFont="1" applyFill="1" applyBorder="1"/>
    <xf numFmtId="0" fontId="11" fillId="4" borderId="12" xfId="0" applyFont="1" applyFill="1" applyBorder="1"/>
    <xf numFmtId="0" fontId="11" fillId="4" borderId="21" xfId="0" applyFont="1" applyFill="1" applyBorder="1"/>
    <xf numFmtId="0" fontId="11" fillId="18" borderId="7" xfId="0" applyFont="1" applyFill="1" applyBorder="1"/>
    <xf numFmtId="0" fontId="11" fillId="18" borderId="12" xfId="0" applyFont="1" applyFill="1" applyBorder="1"/>
    <xf numFmtId="0" fontId="11" fillId="18" borderId="21" xfId="0" applyFont="1" applyFill="1" applyBorder="1"/>
    <xf numFmtId="0" fontId="0" fillId="14" borderId="12" xfId="0" applyFill="1" applyBorder="1"/>
    <xf numFmtId="0" fontId="0" fillId="14" borderId="39" xfId="0" applyFill="1" applyBorder="1" applyAlignment="1">
      <alignment horizontal="center"/>
    </xf>
    <xf numFmtId="0" fontId="11" fillId="14" borderId="12" xfId="0" applyFont="1" applyFill="1" applyBorder="1"/>
    <xf numFmtId="0" fontId="10" fillId="6" borderId="0" xfId="0" applyFont="1" applyFill="1" applyBorder="1" applyAlignment="1" applyProtection="1">
      <alignment horizontal="center"/>
    </xf>
    <xf numFmtId="0" fontId="0" fillId="9" borderId="26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39" xfId="0" applyFill="1" applyBorder="1" applyAlignment="1">
      <alignment horizontal="center"/>
    </xf>
    <xf numFmtId="0" fontId="0" fillId="9" borderId="50" xfId="0" applyFill="1" applyBorder="1" applyAlignment="1">
      <alignment horizontal="center"/>
    </xf>
    <xf numFmtId="0" fontId="0" fillId="9" borderId="51" xfId="0" applyFill="1" applyBorder="1" applyAlignment="1">
      <alignment horizontal="center"/>
    </xf>
    <xf numFmtId="0" fontId="0" fillId="9" borderId="52" xfId="0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0" fontId="0" fillId="14" borderId="51" xfId="0" applyFill="1" applyBorder="1" applyAlignment="1">
      <alignment horizontal="center"/>
    </xf>
    <xf numFmtId="0" fontId="0" fillId="14" borderId="52" xfId="0" applyFill="1" applyBorder="1" applyAlignment="1">
      <alignment horizontal="center"/>
    </xf>
    <xf numFmtId="0" fontId="2" fillId="6" borderId="48" xfId="0" applyFont="1" applyFill="1" applyBorder="1" applyAlignment="1">
      <alignment wrapText="1"/>
    </xf>
    <xf numFmtId="0" fontId="0" fillId="4" borderId="7" xfId="0" applyFill="1" applyBorder="1"/>
    <xf numFmtId="0" fontId="0" fillId="4" borderId="12" xfId="0" applyFill="1" applyBorder="1"/>
    <xf numFmtId="0" fontId="0" fillId="4" borderId="21" xfId="0" applyFill="1" applyBorder="1"/>
    <xf numFmtId="0" fontId="13" fillId="6" borderId="0" xfId="0" applyFont="1" applyFill="1" applyBorder="1" applyAlignment="1" applyProtection="1"/>
    <xf numFmtId="0" fontId="17" fillId="10" borderId="0" xfId="0" applyFont="1" applyFill="1" applyProtection="1"/>
    <xf numFmtId="0" fontId="0" fillId="2" borderId="12" xfId="0" applyFill="1" applyBorder="1"/>
    <xf numFmtId="0" fontId="2" fillId="6" borderId="38" xfId="0" applyFont="1" applyFill="1" applyBorder="1"/>
    <xf numFmtId="169" fontId="5" fillId="11" borderId="84" xfId="2" applyNumberFormat="1" applyFont="1" applyFill="1" applyBorder="1" applyProtection="1"/>
    <xf numFmtId="0" fontId="14" fillId="13" borderId="56" xfId="0" applyFont="1" applyFill="1" applyBorder="1" applyAlignment="1" applyProtection="1">
      <alignment horizontal="center"/>
    </xf>
    <xf numFmtId="168" fontId="16" fillId="10" borderId="37" xfId="1" applyNumberFormat="1" applyFont="1" applyFill="1" applyBorder="1" applyProtection="1"/>
    <xf numFmtId="169" fontId="5" fillId="11" borderId="86" xfId="2" applyNumberFormat="1" applyFont="1" applyFill="1" applyBorder="1" applyProtection="1"/>
    <xf numFmtId="0" fontId="5" fillId="16" borderId="0" xfId="0" applyFont="1" applyFill="1" applyProtection="1"/>
    <xf numFmtId="3" fontId="5" fillId="11" borderId="80" xfId="0" applyNumberFormat="1" applyFont="1" applyFill="1" applyBorder="1" applyProtection="1"/>
    <xf numFmtId="0" fontId="5" fillId="11" borderId="77" xfId="0" applyFont="1" applyFill="1" applyBorder="1" applyAlignment="1" applyProtection="1"/>
    <xf numFmtId="0" fontId="5" fillId="11" borderId="54" xfId="0" applyFont="1" applyFill="1" applyBorder="1" applyAlignment="1" applyProtection="1"/>
    <xf numFmtId="44" fontId="5" fillId="7" borderId="88" xfId="2" applyFont="1" applyFill="1" applyBorder="1" applyProtection="1">
      <protection locked="0"/>
    </xf>
    <xf numFmtId="44" fontId="5" fillId="7" borderId="73" xfId="2" applyFont="1" applyFill="1" applyBorder="1" applyProtection="1">
      <protection locked="0"/>
    </xf>
    <xf numFmtId="0" fontId="10" fillId="6" borderId="34" xfId="0" applyFont="1" applyFill="1" applyBorder="1" applyProtection="1"/>
    <xf numFmtId="44" fontId="5" fillId="7" borderId="89" xfId="2" applyFont="1" applyFill="1" applyBorder="1" applyProtection="1">
      <protection locked="0"/>
    </xf>
    <xf numFmtId="44" fontId="5" fillId="16" borderId="0" xfId="2" applyFont="1" applyFill="1" applyBorder="1" applyProtection="1"/>
    <xf numFmtId="0" fontId="0" fillId="10" borderId="0" xfId="0" applyFill="1" applyBorder="1" applyAlignment="1" applyProtection="1">
      <alignment horizontal="right"/>
    </xf>
    <xf numFmtId="0" fontId="6" fillId="10" borderId="34" xfId="0" applyFont="1" applyFill="1" applyBorder="1" applyAlignment="1" applyProtection="1">
      <alignment horizontal="left"/>
    </xf>
    <xf numFmtId="0" fontId="0" fillId="10" borderId="35" xfId="0" applyFill="1" applyBorder="1" applyAlignment="1" applyProtection="1"/>
    <xf numFmtId="0" fontId="10" fillId="6" borderId="8" xfId="0" applyFont="1" applyFill="1" applyBorder="1" applyAlignment="1" applyProtection="1">
      <alignment vertical="center"/>
    </xf>
    <xf numFmtId="0" fontId="6" fillId="10" borderId="29" xfId="0" applyFont="1" applyFill="1" applyBorder="1" applyAlignment="1" applyProtection="1">
      <alignment horizontal="left"/>
    </xf>
    <xf numFmtId="0" fontId="6" fillId="10" borderId="50" xfId="0" applyFont="1" applyFill="1" applyBorder="1" applyAlignment="1" applyProtection="1">
      <alignment horizontal="left"/>
    </xf>
    <xf numFmtId="0" fontId="0" fillId="10" borderId="51" xfId="0" applyFill="1" applyBorder="1" applyAlignment="1" applyProtection="1">
      <alignment horizontal="right"/>
    </xf>
    <xf numFmtId="0" fontId="10" fillId="6" borderId="11" xfId="0" applyFont="1" applyFill="1" applyBorder="1" applyProtection="1"/>
    <xf numFmtId="3" fontId="3" fillId="10" borderId="84" xfId="0" applyNumberFormat="1" applyFont="1" applyFill="1" applyBorder="1" applyAlignment="1" applyProtection="1">
      <alignment horizontal="right"/>
    </xf>
    <xf numFmtId="3" fontId="3" fillId="10" borderId="32" xfId="0" applyNumberFormat="1" applyFont="1" applyFill="1" applyBorder="1" applyAlignment="1" applyProtection="1"/>
    <xf numFmtId="3" fontId="3" fillId="10" borderId="79" xfId="0" applyNumberFormat="1" applyFont="1" applyFill="1" applyBorder="1" applyAlignment="1" applyProtection="1"/>
    <xf numFmtId="0" fontId="5" fillId="10" borderId="54" xfId="0" applyFont="1" applyFill="1" applyBorder="1" applyProtection="1"/>
    <xf numFmtId="0" fontId="5" fillId="10" borderId="53" xfId="0" applyFont="1" applyFill="1" applyBorder="1" applyProtection="1"/>
    <xf numFmtId="0" fontId="5" fillId="10" borderId="57" xfId="0" applyFont="1" applyFill="1" applyBorder="1" applyAlignment="1" applyProtection="1"/>
    <xf numFmtId="0" fontId="3" fillId="10" borderId="0" xfId="0" applyFont="1" applyFill="1" applyAlignment="1" applyProtection="1">
      <alignment horizontal="right"/>
    </xf>
    <xf numFmtId="0" fontId="13" fillId="6" borderId="26" xfId="0" applyFont="1" applyFill="1" applyBorder="1" applyAlignment="1" applyProtection="1"/>
    <xf numFmtId="0" fontId="13" fillId="6" borderId="8" xfId="0" applyFont="1" applyFill="1" applyBorder="1" applyAlignment="1" applyProtection="1"/>
    <xf numFmtId="0" fontId="13" fillId="6" borderId="9" xfId="0" applyFont="1" applyFill="1" applyBorder="1" applyAlignment="1" applyProtection="1"/>
    <xf numFmtId="0" fontId="13" fillId="6" borderId="29" xfId="0" applyFont="1" applyFill="1" applyBorder="1" applyAlignment="1" applyProtection="1"/>
    <xf numFmtId="0" fontId="13" fillId="6" borderId="39" xfId="0" applyFont="1" applyFill="1" applyBorder="1" applyAlignment="1" applyProtection="1"/>
    <xf numFmtId="0" fontId="10" fillId="6" borderId="79" xfId="0" applyFont="1" applyFill="1" applyBorder="1" applyProtection="1"/>
    <xf numFmtId="0" fontId="10" fillId="6" borderId="35" xfId="0" applyFont="1" applyFill="1" applyBorder="1" applyAlignment="1" applyProtection="1">
      <alignment horizontal="center"/>
    </xf>
    <xf numFmtId="0" fontId="10" fillId="6" borderId="36" xfId="0" applyFont="1" applyFill="1" applyBorder="1" applyAlignment="1" applyProtection="1">
      <alignment horizontal="center"/>
    </xf>
    <xf numFmtId="0" fontId="6" fillId="10" borderId="0" xfId="0" applyFont="1" applyFill="1" applyBorder="1" applyAlignment="1" applyProtection="1">
      <alignment horizontal="left"/>
    </xf>
    <xf numFmtId="3" fontId="3" fillId="10" borderId="0" xfId="0" applyNumberFormat="1" applyFont="1" applyFill="1" applyBorder="1" applyAlignment="1" applyProtection="1"/>
    <xf numFmtId="3" fontId="3" fillId="10" borderId="32" xfId="0" applyNumberFormat="1" applyFont="1" applyFill="1" applyBorder="1" applyAlignment="1" applyProtection="1">
      <alignment horizontal="right"/>
    </xf>
    <xf numFmtId="0" fontId="2" fillId="6" borderId="40" xfId="0" applyFont="1" applyFill="1" applyBorder="1"/>
    <xf numFmtId="168" fontId="0" fillId="10" borderId="52" xfId="1" applyNumberFormat="1" applyFont="1" applyFill="1" applyBorder="1"/>
    <xf numFmtId="0" fontId="7" fillId="16" borderId="0" xfId="0" applyFont="1" applyFill="1" applyBorder="1" applyProtection="1"/>
    <xf numFmtId="168" fontId="7" fillId="10" borderId="44" xfId="1" applyNumberFormat="1" applyFont="1" applyFill="1" applyBorder="1" applyProtection="1"/>
    <xf numFmtId="0" fontId="20" fillId="19" borderId="35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vertical="center" wrapText="1"/>
    </xf>
    <xf numFmtId="3" fontId="5" fillId="10" borderId="14" xfId="0" applyNumberFormat="1" applyFont="1" applyFill="1" applyBorder="1" applyProtection="1"/>
    <xf numFmtId="3" fontId="5" fillId="10" borderId="43" xfId="0" applyNumberFormat="1" applyFont="1" applyFill="1" applyBorder="1" applyProtection="1"/>
    <xf numFmtId="0" fontId="18" fillId="10" borderId="14" xfId="0" applyFont="1" applyFill="1" applyBorder="1" applyProtection="1"/>
    <xf numFmtId="0" fontId="18" fillId="10" borderId="43" xfId="0" applyFont="1" applyFill="1" applyBorder="1" applyProtection="1"/>
    <xf numFmtId="0" fontId="18" fillId="10" borderId="24" xfId="0" applyFont="1" applyFill="1" applyBorder="1" applyProtection="1"/>
    <xf numFmtId="0" fontId="15" fillId="13" borderId="34" xfId="0" applyFont="1" applyFill="1" applyBorder="1" applyAlignment="1" applyProtection="1">
      <alignment horizontal="left" vertical="center"/>
    </xf>
    <xf numFmtId="0" fontId="10" fillId="6" borderId="26" xfId="0" applyFont="1" applyFill="1" applyBorder="1" applyAlignment="1" applyProtection="1">
      <alignment horizontal="left"/>
    </xf>
    <xf numFmtId="3" fontId="0" fillId="2" borderId="5" xfId="0" applyNumberFormat="1" applyFill="1" applyBorder="1"/>
    <xf numFmtId="0" fontId="0" fillId="2" borderId="5" xfId="0" applyFill="1" applyBorder="1"/>
    <xf numFmtId="3" fontId="0" fillId="2" borderId="12" xfId="0" applyNumberFormat="1" applyFill="1" applyBorder="1"/>
    <xf numFmtId="3" fontId="0" fillId="2" borderId="21" xfId="0" applyNumberFormat="1" applyFill="1" applyBorder="1"/>
    <xf numFmtId="0" fontId="0" fillId="0" borderId="34" xfId="0" applyBorder="1" applyProtection="1"/>
    <xf numFmtId="0" fontId="0" fillId="0" borderId="33" xfId="0" applyBorder="1" applyProtection="1"/>
    <xf numFmtId="0" fontId="0" fillId="0" borderId="36" xfId="0" applyBorder="1" applyProtection="1"/>
    <xf numFmtId="0" fontId="0" fillId="20" borderId="0" xfId="0" applyFill="1" applyProtection="1"/>
    <xf numFmtId="0" fontId="11" fillId="13" borderId="33" xfId="0" applyFont="1" applyFill="1" applyBorder="1" applyAlignment="1" applyProtection="1"/>
    <xf numFmtId="0" fontId="11" fillId="13" borderId="34" xfId="0" applyFont="1" applyFill="1" applyBorder="1" applyProtection="1"/>
    <xf numFmtId="0" fontId="11" fillId="13" borderId="33" xfId="0" applyFont="1" applyFill="1" applyBorder="1" applyProtection="1"/>
    <xf numFmtId="0" fontId="11" fillId="13" borderId="7" xfId="0" applyFont="1" applyFill="1" applyBorder="1" applyAlignment="1" applyProtection="1"/>
    <xf numFmtId="0" fontId="0" fillId="0" borderId="0" xfId="0" applyBorder="1" applyProtection="1"/>
    <xf numFmtId="0" fontId="0" fillId="0" borderId="39" xfId="0" applyBorder="1" applyProtection="1"/>
    <xf numFmtId="0" fontId="2" fillId="6" borderId="28" xfId="0" applyFont="1" applyFill="1" applyBorder="1" applyAlignment="1" applyProtection="1"/>
    <xf numFmtId="0" fontId="2" fillId="6" borderId="22" xfId="0" applyFont="1" applyFill="1" applyBorder="1" applyProtection="1"/>
    <xf numFmtId="0" fontId="2" fillId="6" borderId="76" xfId="0" applyFont="1" applyFill="1" applyBorder="1" applyProtection="1"/>
    <xf numFmtId="0" fontId="0" fillId="0" borderId="26" xfId="0" applyBorder="1" applyProtection="1"/>
    <xf numFmtId="0" fontId="0" fillId="9" borderId="34" xfId="0" applyFill="1" applyBorder="1" applyAlignment="1" applyProtection="1">
      <alignment horizontal="center"/>
    </xf>
    <xf numFmtId="0" fontId="0" fillId="9" borderId="35" xfId="0" applyFill="1" applyBorder="1" applyAlignment="1" applyProtection="1">
      <alignment horizontal="center"/>
    </xf>
    <xf numFmtId="0" fontId="0" fillId="9" borderId="36" xfId="0" applyFill="1" applyBorder="1" applyAlignment="1" applyProtection="1">
      <alignment horizontal="center"/>
    </xf>
    <xf numFmtId="0" fontId="2" fillId="6" borderId="28" xfId="0" applyFont="1" applyFill="1" applyBorder="1" applyProtection="1"/>
    <xf numFmtId="0" fontId="2" fillId="6" borderId="51" xfId="0" applyFont="1" applyFill="1" applyBorder="1" applyProtection="1"/>
    <xf numFmtId="0" fontId="0" fillId="12" borderId="34" xfId="0" applyFill="1" applyBorder="1" applyProtection="1"/>
    <xf numFmtId="0" fontId="0" fillId="12" borderId="36" xfId="0" applyFill="1" applyBorder="1" applyProtection="1"/>
    <xf numFmtId="0" fontId="19" fillId="0" borderId="0" xfId="0" applyFont="1" applyProtection="1"/>
    <xf numFmtId="0" fontId="19" fillId="10" borderId="0" xfId="0" applyFont="1" applyFill="1" applyProtection="1"/>
    <xf numFmtId="0" fontId="19" fillId="16" borderId="0" xfId="0" applyFont="1" applyFill="1" applyProtection="1"/>
    <xf numFmtId="0" fontId="19" fillId="19" borderId="35" xfId="0" applyFont="1" applyFill="1" applyBorder="1" applyProtection="1"/>
    <xf numFmtId="0" fontId="19" fillId="16" borderId="0" xfId="0" applyFont="1" applyFill="1" applyBorder="1" applyProtection="1"/>
    <xf numFmtId="0" fontId="0" fillId="16" borderId="0" xfId="0" applyFill="1" applyBorder="1" applyProtection="1"/>
    <xf numFmtId="169" fontId="5" fillId="0" borderId="85" xfId="2" applyNumberFormat="1" applyFont="1" applyFill="1" applyBorder="1" applyProtection="1">
      <protection locked="0"/>
    </xf>
    <xf numFmtId="169" fontId="5" fillId="0" borderId="86" xfId="2" applyNumberFormat="1" applyFont="1" applyFill="1" applyBorder="1" applyProtection="1">
      <protection locked="0"/>
    </xf>
    <xf numFmtId="169" fontId="6" fillId="0" borderId="86" xfId="2" applyNumberFormat="1" applyFont="1" applyFill="1" applyBorder="1" applyProtection="1">
      <protection locked="0"/>
    </xf>
    <xf numFmtId="169" fontId="5" fillId="0" borderId="83" xfId="2" applyNumberFormat="1" applyFont="1" applyFill="1" applyBorder="1" applyProtection="1">
      <protection locked="0"/>
    </xf>
    <xf numFmtId="169" fontId="5" fillId="0" borderId="84" xfId="2" applyNumberFormat="1" applyFont="1" applyFill="1" applyBorder="1" applyProtection="1">
      <protection locked="0"/>
    </xf>
    <xf numFmtId="168" fontId="6" fillId="0" borderId="84" xfId="1" applyNumberFormat="1" applyFont="1" applyFill="1" applyBorder="1" applyProtection="1">
      <protection locked="0"/>
    </xf>
    <xf numFmtId="0" fontId="22" fillId="16" borderId="0" xfId="0" applyFont="1" applyFill="1" applyProtection="1"/>
    <xf numFmtId="0" fontId="3" fillId="16" borderId="0" xfId="0" applyFont="1" applyFill="1" applyProtection="1"/>
    <xf numFmtId="44" fontId="3" fillId="10" borderId="3" xfId="2" applyFont="1" applyFill="1" applyBorder="1" applyProtection="1"/>
    <xf numFmtId="44" fontId="3" fillId="10" borderId="23" xfId="2" applyFont="1" applyFill="1" applyBorder="1" applyProtection="1"/>
    <xf numFmtId="0" fontId="20" fillId="19" borderId="0" xfId="0" applyFont="1" applyFill="1" applyBorder="1" applyProtection="1"/>
    <xf numFmtId="169" fontId="3" fillId="19" borderId="95" xfId="2" applyNumberFormat="1" applyFont="1" applyFill="1" applyBorder="1" applyProtection="1"/>
    <xf numFmtId="44" fontId="0" fillId="0" borderId="0" xfId="0" applyNumberFormat="1" applyProtection="1"/>
    <xf numFmtId="44" fontId="13" fillId="19" borderId="33" xfId="2" applyFont="1" applyFill="1" applyBorder="1" applyProtection="1"/>
    <xf numFmtId="44" fontId="3" fillId="10" borderId="13" xfId="2" applyFont="1" applyFill="1" applyBorder="1" applyProtection="1"/>
    <xf numFmtId="44" fontId="3" fillId="10" borderId="17" xfId="2" applyFont="1" applyFill="1" applyBorder="1" applyProtection="1"/>
    <xf numFmtId="0" fontId="24" fillId="19" borderId="91" xfId="0" applyFont="1" applyFill="1" applyBorder="1" applyProtection="1"/>
    <xf numFmtId="170" fontId="25" fillId="19" borderId="97" xfId="0" applyNumberFormat="1" applyFont="1" applyFill="1" applyBorder="1" applyAlignment="1" applyProtection="1">
      <alignment horizontal="left" wrapText="1"/>
    </xf>
    <xf numFmtId="0" fontId="8" fillId="16" borderId="90" xfId="0" applyFont="1" applyFill="1" applyBorder="1" applyProtection="1"/>
    <xf numFmtId="0" fontId="8" fillId="16" borderId="91" xfId="0" applyFont="1" applyFill="1" applyBorder="1" applyProtection="1"/>
    <xf numFmtId="0" fontId="5" fillId="16" borderId="0" xfId="0" applyFont="1" applyFill="1" applyAlignment="1" applyProtection="1">
      <alignment horizontal="left" wrapText="1"/>
    </xf>
    <xf numFmtId="0" fontId="23" fillId="19" borderId="91" xfId="0" applyFont="1" applyFill="1" applyBorder="1" applyProtection="1"/>
    <xf numFmtId="0" fontId="0" fillId="10" borderId="98" xfId="0" applyFill="1" applyBorder="1" applyProtection="1"/>
    <xf numFmtId="0" fontId="5" fillId="10" borderId="98" xfId="0" applyFont="1" applyFill="1" applyBorder="1" applyProtection="1"/>
    <xf numFmtId="0" fontId="5" fillId="11" borderId="98" xfId="0" applyFont="1" applyFill="1" applyBorder="1" applyAlignment="1" applyProtection="1">
      <alignment horizontal="left" wrapText="1"/>
    </xf>
    <xf numFmtId="0" fontId="23" fillId="19" borderId="99" xfId="0" applyFont="1" applyFill="1" applyBorder="1" applyProtection="1"/>
    <xf numFmtId="0" fontId="24" fillId="19" borderId="100" xfId="0" applyFont="1" applyFill="1" applyBorder="1" applyProtection="1"/>
    <xf numFmtId="0" fontId="10" fillId="6" borderId="33" xfId="0" applyFont="1" applyFill="1" applyBorder="1" applyAlignment="1" applyProtection="1">
      <alignment horizontal="center"/>
    </xf>
    <xf numFmtId="0" fontId="22" fillId="19" borderId="7" xfId="0" applyFont="1" applyFill="1" applyBorder="1" applyProtection="1"/>
    <xf numFmtId="0" fontId="22" fillId="19" borderId="12" xfId="0" applyFont="1" applyFill="1" applyBorder="1" applyProtection="1"/>
    <xf numFmtId="0" fontId="22" fillId="19" borderId="21" xfId="0" applyFont="1" applyFill="1" applyBorder="1" applyProtection="1"/>
    <xf numFmtId="169" fontId="14" fillId="19" borderId="33" xfId="2" applyNumberFormat="1" applyFont="1" applyFill="1" applyBorder="1" applyProtection="1"/>
    <xf numFmtId="44" fontId="5" fillId="3" borderId="3" xfId="2" applyFont="1" applyFill="1" applyBorder="1" applyProtection="1">
      <protection locked="0"/>
    </xf>
    <xf numFmtId="44" fontId="5" fillId="7" borderId="21" xfId="2" applyFont="1" applyFill="1" applyBorder="1" applyProtection="1">
      <protection locked="0"/>
    </xf>
    <xf numFmtId="0" fontId="13" fillId="13" borderId="75" xfId="0" applyFont="1" applyFill="1" applyBorder="1" applyAlignment="1" applyProtection="1">
      <alignment horizontal="center"/>
    </xf>
    <xf numFmtId="0" fontId="13" fillId="19" borderId="34" xfId="0" applyFont="1" applyFill="1" applyBorder="1" applyAlignment="1" applyProtection="1">
      <alignment horizontal="left"/>
    </xf>
    <xf numFmtId="169" fontId="10" fillId="14" borderId="44" xfId="2" applyNumberFormat="1" applyFont="1" applyFill="1" applyBorder="1" applyProtection="1"/>
    <xf numFmtId="169" fontId="10" fillId="17" borderId="44" xfId="2" applyNumberFormat="1" applyFont="1" applyFill="1" applyBorder="1" applyProtection="1"/>
    <xf numFmtId="169" fontId="10" fillId="19" borderId="79" xfId="2" applyNumberFormat="1" applyFont="1" applyFill="1" applyBorder="1" applyProtection="1"/>
    <xf numFmtId="169" fontId="10" fillId="14" borderId="37" xfId="2" applyNumberFormat="1" applyFont="1" applyFill="1" applyBorder="1" applyProtection="1"/>
    <xf numFmtId="169" fontId="10" fillId="17" borderId="37" xfId="2" applyNumberFormat="1" applyFont="1" applyFill="1" applyBorder="1" applyProtection="1"/>
    <xf numFmtId="3" fontId="5" fillId="11" borderId="48" xfId="0" applyNumberFormat="1" applyFont="1" applyFill="1" applyBorder="1" applyProtection="1"/>
    <xf numFmtId="0" fontId="14" fillId="19" borderId="34" xfId="0" applyFont="1" applyFill="1" applyBorder="1" applyAlignment="1" applyProtection="1">
      <alignment horizontal="left"/>
    </xf>
    <xf numFmtId="0" fontId="11" fillId="19" borderId="35" xfId="0" applyFont="1" applyFill="1" applyBorder="1" applyAlignment="1" applyProtection="1">
      <alignment horizontal="left"/>
    </xf>
    <xf numFmtId="169" fontId="14" fillId="19" borderId="40" xfId="2" applyNumberFormat="1" applyFont="1" applyFill="1" applyBorder="1" applyProtection="1"/>
    <xf numFmtId="0" fontId="10" fillId="6" borderId="33" xfId="0" applyFont="1" applyFill="1" applyBorder="1" applyAlignment="1" applyProtection="1">
      <alignment horizontal="center" vertical="center" wrapText="1"/>
    </xf>
    <xf numFmtId="0" fontId="10" fillId="6" borderId="36" xfId="0" applyFont="1" applyFill="1" applyBorder="1" applyAlignment="1" applyProtection="1">
      <alignment vertical="center"/>
    </xf>
    <xf numFmtId="3" fontId="5" fillId="10" borderId="13" xfId="0" applyNumberFormat="1" applyFont="1" applyFill="1" applyBorder="1" applyProtection="1"/>
    <xf numFmtId="3" fontId="5" fillId="10" borderId="17" xfId="0" applyNumberFormat="1" applyFont="1" applyFill="1" applyBorder="1" applyProtection="1"/>
    <xf numFmtId="3" fontId="5" fillId="10" borderId="23" xfId="0" applyNumberFormat="1" applyFont="1" applyFill="1" applyBorder="1" applyProtection="1"/>
    <xf numFmtId="0" fontId="10" fillId="6" borderId="33" xfId="0" applyFont="1" applyFill="1" applyBorder="1" applyAlignment="1" applyProtection="1">
      <alignment wrapText="1"/>
    </xf>
    <xf numFmtId="0" fontId="10" fillId="6" borderId="35" xfId="0" applyFont="1" applyFill="1" applyBorder="1" applyAlignment="1" applyProtection="1">
      <alignment horizontal="left"/>
    </xf>
    <xf numFmtId="0" fontId="13" fillId="6" borderId="94" xfId="0" applyFont="1" applyFill="1" applyBorder="1" applyProtection="1"/>
    <xf numFmtId="0" fontId="7" fillId="6" borderId="36" xfId="0" applyFont="1" applyFill="1" applyBorder="1" applyProtection="1"/>
    <xf numFmtId="0" fontId="7" fillId="6" borderId="35" xfId="0" applyFont="1" applyFill="1" applyBorder="1" applyProtection="1"/>
    <xf numFmtId="0" fontId="6" fillId="10" borderId="77" xfId="0" applyFont="1" applyFill="1" applyBorder="1" applyProtection="1"/>
    <xf numFmtId="0" fontId="6" fillId="10" borderId="45" xfId="0" applyFont="1" applyFill="1" applyBorder="1" applyProtection="1"/>
    <xf numFmtId="0" fontId="21" fillId="10" borderId="46" xfId="0" applyFont="1" applyFill="1" applyBorder="1" applyAlignment="1" applyProtection="1"/>
    <xf numFmtId="171" fontId="25" fillId="19" borderId="96" xfId="0" applyNumberFormat="1" applyFont="1" applyFill="1" applyBorder="1" applyProtection="1"/>
    <xf numFmtId="0" fontId="0" fillId="20" borderId="39" xfId="0" applyFill="1" applyBorder="1"/>
    <xf numFmtId="0" fontId="0" fillId="20" borderId="52" xfId="0" applyFill="1" applyBorder="1"/>
    <xf numFmtId="0" fontId="27" fillId="0" borderId="0" xfId="0" applyFont="1"/>
    <xf numFmtId="0" fontId="28" fillId="0" borderId="0" xfId="0" applyFont="1"/>
    <xf numFmtId="0" fontId="0" fillId="21" borderId="0" xfId="0" applyFill="1"/>
    <xf numFmtId="0" fontId="2" fillId="6" borderId="16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10" fillId="6" borderId="50" xfId="0" applyFont="1" applyFill="1" applyBorder="1" applyAlignment="1" applyProtection="1">
      <alignment horizontal="center" wrapText="1"/>
    </xf>
    <xf numFmtId="10" fontId="10" fillId="6" borderId="50" xfId="0" applyNumberFormat="1" applyFont="1" applyFill="1" applyBorder="1" applyAlignment="1" applyProtection="1">
      <alignment horizontal="center" wrapText="1"/>
    </xf>
    <xf numFmtId="3" fontId="0" fillId="21" borderId="0" xfId="0" applyNumberFormat="1" applyFill="1"/>
    <xf numFmtId="0" fontId="30" fillId="2" borderId="0" xfId="0" applyFont="1" applyFill="1" applyProtection="1"/>
    <xf numFmtId="0" fontId="31" fillId="2" borderId="0" xfId="0" applyFont="1" applyFill="1" applyProtection="1"/>
    <xf numFmtId="0" fontId="32" fillId="12" borderId="34" xfId="0" applyFont="1" applyFill="1" applyBorder="1" applyAlignment="1" applyProtection="1">
      <alignment horizontal="left" vertical="center"/>
    </xf>
    <xf numFmtId="0" fontId="32" fillId="12" borderId="36" xfId="0" applyFont="1" applyFill="1" applyBorder="1" applyAlignment="1" applyProtection="1">
      <alignment vertical="center"/>
    </xf>
    <xf numFmtId="0" fontId="33" fillId="2" borderId="0" xfId="0" applyFont="1" applyFill="1" applyBorder="1" applyAlignment="1" applyProtection="1">
      <alignment vertical="center"/>
    </xf>
    <xf numFmtId="0" fontId="34" fillId="2" borderId="0" xfId="0" applyFont="1" applyFill="1" applyBorder="1" applyAlignment="1" applyProtection="1">
      <alignment horizontal="right" vertical="center"/>
    </xf>
    <xf numFmtId="0" fontId="33" fillId="2" borderId="0" xfId="0" applyFont="1" applyFill="1" applyBorder="1" applyAlignment="1" applyProtection="1">
      <alignment horizontal="left" vertical="center"/>
    </xf>
    <xf numFmtId="0" fontId="31" fillId="2" borderId="0" xfId="0" applyFont="1" applyFill="1" applyBorder="1" applyProtection="1"/>
    <xf numFmtId="0" fontId="30" fillId="2" borderId="0" xfId="0" applyFont="1" applyFill="1" applyBorder="1" applyProtection="1"/>
    <xf numFmtId="0" fontId="31" fillId="0" borderId="0" xfId="0" applyFont="1" applyProtection="1"/>
    <xf numFmtId="0" fontId="35" fillId="3" borderId="1" xfId="0" applyFont="1" applyFill="1" applyBorder="1" applyAlignment="1" applyProtection="1">
      <alignment vertical="center"/>
      <protection locked="0"/>
    </xf>
    <xf numFmtId="0" fontId="30" fillId="2" borderId="0" xfId="0" applyFont="1" applyFill="1" applyBorder="1" applyAlignment="1" applyProtection="1">
      <alignment horizontal="center"/>
    </xf>
    <xf numFmtId="0" fontId="36" fillId="2" borderId="0" xfId="0" applyFont="1" applyFill="1" applyBorder="1" applyAlignment="1" applyProtection="1">
      <alignment vertical="center"/>
    </xf>
    <xf numFmtId="0" fontId="37" fillId="2" borderId="0" xfId="0" applyFont="1" applyFill="1" applyBorder="1" applyAlignment="1" applyProtection="1"/>
    <xf numFmtId="0" fontId="37" fillId="2" borderId="0" xfId="0" applyFont="1" applyFill="1" applyBorder="1" applyAlignment="1" applyProtection="1">
      <alignment horizontal="right"/>
    </xf>
    <xf numFmtId="0" fontId="30" fillId="2" borderId="4" xfId="0" applyFont="1" applyFill="1" applyBorder="1" applyAlignment="1" applyProtection="1">
      <alignment horizontal="left" wrapText="1"/>
    </xf>
    <xf numFmtId="0" fontId="30" fillId="2" borderId="6" xfId="0" applyFont="1" applyFill="1" applyBorder="1" applyAlignment="1" applyProtection="1">
      <alignment horizontal="left" wrapText="1"/>
    </xf>
    <xf numFmtId="0" fontId="30" fillId="2" borderId="0" xfId="0" applyFont="1" applyFill="1" applyBorder="1" applyAlignment="1" applyProtection="1">
      <alignment vertical="center"/>
    </xf>
    <xf numFmtId="0" fontId="30" fillId="2" borderId="0" xfId="0" applyFont="1" applyFill="1" applyBorder="1" applyAlignment="1" applyProtection="1"/>
    <xf numFmtId="0" fontId="37" fillId="2" borderId="0" xfId="0" applyFont="1" applyFill="1" applyProtection="1"/>
    <xf numFmtId="0" fontId="30" fillId="2" borderId="6" xfId="0" applyFont="1" applyFill="1" applyBorder="1" applyAlignment="1" applyProtection="1">
      <alignment horizontal="left" vertical="top" wrapText="1"/>
    </xf>
    <xf numFmtId="0" fontId="30" fillId="2" borderId="0" xfId="0" applyFont="1" applyFill="1" applyAlignment="1" applyProtection="1">
      <alignment horizontal="right"/>
    </xf>
    <xf numFmtId="0" fontId="30" fillId="2" borderId="0" xfId="0" applyFont="1" applyFill="1" applyBorder="1" applyAlignment="1" applyProtection="1">
      <alignment horizontal="left" wrapText="1"/>
    </xf>
    <xf numFmtId="3" fontId="30" fillId="2" borderId="0" xfId="0" applyNumberFormat="1" applyFont="1" applyFill="1" applyBorder="1" applyAlignment="1" applyProtection="1">
      <alignment horizontal="right"/>
    </xf>
    <xf numFmtId="0" fontId="38" fillId="6" borderId="7" xfId="0" applyFont="1" applyFill="1" applyBorder="1" applyAlignment="1" applyProtection="1">
      <alignment horizontal="center"/>
    </xf>
    <xf numFmtId="0" fontId="39" fillId="6" borderId="92" xfId="0" applyFont="1" applyFill="1" applyBorder="1" applyAlignment="1" applyProtection="1">
      <alignment horizontal="center"/>
    </xf>
    <xf numFmtId="0" fontId="38" fillId="6" borderId="13" xfId="0" applyFont="1" applyFill="1" applyBorder="1" applyAlignment="1" applyProtection="1">
      <alignment horizontal="center"/>
    </xf>
    <xf numFmtId="0" fontId="38" fillId="6" borderId="63" xfId="0" applyFont="1" applyFill="1" applyBorder="1" applyAlignment="1" applyProtection="1">
      <alignment horizontal="center"/>
    </xf>
    <xf numFmtId="0" fontId="40" fillId="2" borderId="0" xfId="0" applyFont="1" applyFill="1" applyProtection="1"/>
    <xf numFmtId="44" fontId="37" fillId="7" borderId="19" xfId="2" applyFont="1" applyFill="1" applyBorder="1" applyProtection="1">
      <protection locked="0"/>
    </xf>
    <xf numFmtId="44" fontId="37" fillId="2" borderId="20" xfId="2" applyFont="1" applyFill="1" applyBorder="1" applyProtection="1"/>
    <xf numFmtId="44" fontId="37" fillId="2" borderId="64" xfId="2" applyFont="1" applyFill="1" applyBorder="1" applyProtection="1"/>
    <xf numFmtId="44" fontId="37" fillId="7" borderId="24" xfId="2" applyFont="1" applyFill="1" applyBorder="1" applyProtection="1">
      <protection locked="0"/>
    </xf>
    <xf numFmtId="44" fontId="37" fillId="2" borderId="5" xfId="2" applyFont="1" applyFill="1" applyBorder="1" applyProtection="1"/>
    <xf numFmtId="44" fontId="37" fillId="2" borderId="65" xfId="2" applyFont="1" applyFill="1" applyBorder="1" applyProtection="1"/>
    <xf numFmtId="0" fontId="31" fillId="2" borderId="0" xfId="0" applyFont="1" applyFill="1" applyBorder="1" applyAlignment="1" applyProtection="1">
      <alignment textRotation="90"/>
    </xf>
    <xf numFmtId="0" fontId="41" fillId="2" borderId="0" xfId="0" applyFont="1" applyFill="1" applyProtection="1"/>
    <xf numFmtId="9" fontId="38" fillId="2" borderId="8" xfId="0" applyNumberFormat="1" applyFont="1" applyFill="1" applyBorder="1" applyAlignment="1" applyProtection="1">
      <alignment horizontal="center"/>
    </xf>
    <xf numFmtId="44" fontId="37" fillId="2" borderId="0" xfId="2" applyFont="1" applyFill="1" applyBorder="1" applyProtection="1"/>
    <xf numFmtId="44" fontId="39" fillId="6" borderId="66" xfId="2" applyFont="1" applyFill="1" applyBorder="1" applyProtection="1"/>
    <xf numFmtId="0" fontId="37" fillId="2" borderId="0" xfId="0" applyFont="1" applyFill="1" applyBorder="1" applyAlignment="1" applyProtection="1">
      <alignment horizontal="left" vertical="top" wrapText="1"/>
    </xf>
    <xf numFmtId="0" fontId="42" fillId="2" borderId="0" xfId="0" applyFont="1" applyFill="1" applyAlignment="1" applyProtection="1">
      <alignment vertical="top"/>
    </xf>
    <xf numFmtId="0" fontId="37" fillId="2" borderId="0" xfId="0" applyFont="1" applyFill="1" applyBorder="1" applyProtection="1"/>
    <xf numFmtId="0" fontId="37" fillId="2" borderId="67" xfId="0" applyFont="1" applyFill="1" applyBorder="1" applyProtection="1"/>
    <xf numFmtId="44" fontId="37" fillId="2" borderId="23" xfId="2" applyFont="1" applyFill="1" applyBorder="1" applyProtection="1"/>
    <xf numFmtId="44" fontId="37" fillId="2" borderId="68" xfId="2" applyFont="1" applyFill="1" applyBorder="1" applyProtection="1"/>
    <xf numFmtId="0" fontId="37" fillId="6" borderId="26" xfId="0" applyFont="1" applyFill="1" applyBorder="1" applyAlignment="1" applyProtection="1">
      <alignment horizontal="left"/>
    </xf>
    <xf numFmtId="0" fontId="38" fillId="6" borderId="3" xfId="0" applyFont="1" applyFill="1" applyBorder="1" applyProtection="1"/>
    <xf numFmtId="0" fontId="38" fillId="6" borderId="67" xfId="0" applyFont="1" applyFill="1" applyBorder="1" applyAlignment="1" applyProtection="1">
      <alignment horizontal="center"/>
    </xf>
    <xf numFmtId="0" fontId="37" fillId="6" borderId="50" xfId="0" applyFont="1" applyFill="1" applyBorder="1" applyAlignment="1" applyProtection="1">
      <alignment horizontal="left"/>
    </xf>
    <xf numFmtId="0" fontId="38" fillId="6" borderId="12" xfId="0" applyFont="1" applyFill="1" applyBorder="1" applyProtection="1"/>
    <xf numFmtId="0" fontId="38" fillId="6" borderId="67" xfId="0" applyFont="1" applyFill="1" applyBorder="1" applyProtection="1"/>
    <xf numFmtId="0" fontId="37" fillId="2" borderId="27" xfId="0" applyFont="1" applyFill="1" applyBorder="1" applyAlignment="1" applyProtection="1">
      <alignment horizontal="left"/>
    </xf>
    <xf numFmtId="0" fontId="37" fillId="2" borderId="30" xfId="0" applyFont="1" applyFill="1" applyBorder="1" applyProtection="1"/>
    <xf numFmtId="44" fontId="37" fillId="7" borderId="43" xfId="2" applyFont="1" applyFill="1" applyBorder="1" applyProtection="1">
      <protection locked="0"/>
    </xf>
    <xf numFmtId="0" fontId="37" fillId="2" borderId="28" xfId="0" applyFont="1" applyFill="1" applyBorder="1" applyProtection="1"/>
    <xf numFmtId="44" fontId="37" fillId="7" borderId="31" xfId="2" applyFont="1" applyFill="1" applyBorder="1" applyProtection="1">
      <protection locked="0"/>
    </xf>
    <xf numFmtId="166" fontId="37" fillId="2" borderId="0" xfId="2" applyNumberFormat="1" applyFont="1" applyFill="1" applyBorder="1" applyProtection="1"/>
    <xf numFmtId="0" fontId="31" fillId="2" borderId="67" xfId="0" applyFont="1" applyFill="1" applyBorder="1" applyProtection="1"/>
    <xf numFmtId="0" fontId="37" fillId="9" borderId="34" xfId="0" applyFont="1" applyFill="1" applyBorder="1" applyProtection="1"/>
    <xf numFmtId="0" fontId="37" fillId="9" borderId="35" xfId="0" applyFont="1" applyFill="1" applyBorder="1" applyProtection="1"/>
    <xf numFmtId="165" fontId="30" fillId="9" borderId="36" xfId="0" applyNumberFormat="1" applyFont="1" applyFill="1" applyBorder="1" applyProtection="1"/>
    <xf numFmtId="165" fontId="30" fillId="9" borderId="69" xfId="0" applyNumberFormat="1" applyFont="1" applyFill="1" applyBorder="1" applyProtection="1"/>
    <xf numFmtId="0" fontId="31" fillId="0" borderId="0" xfId="0" applyFont="1" applyBorder="1" applyProtection="1"/>
    <xf numFmtId="0" fontId="31" fillId="0" borderId="0" xfId="0" applyFont="1" applyFill="1" applyProtection="1"/>
    <xf numFmtId="0" fontId="31" fillId="0" borderId="0" xfId="0" applyFont="1" applyFill="1" applyBorder="1" applyProtection="1"/>
    <xf numFmtId="44" fontId="31" fillId="0" borderId="0" xfId="0" applyNumberFormat="1" applyFont="1" applyProtection="1"/>
    <xf numFmtId="3" fontId="37" fillId="2" borderId="0" xfId="0" applyNumberFormat="1" applyFont="1" applyFill="1" applyBorder="1" applyAlignment="1" applyProtection="1">
      <alignment horizontal="right"/>
    </xf>
    <xf numFmtId="9" fontId="38" fillId="2" borderId="0" xfId="0" applyNumberFormat="1" applyFont="1" applyFill="1" applyBorder="1" applyAlignment="1" applyProtection="1">
      <alignment horizontal="center"/>
    </xf>
    <xf numFmtId="3" fontId="0" fillId="0" borderId="70" xfId="0" applyNumberFormat="1" applyFill="1" applyBorder="1"/>
    <xf numFmtId="164" fontId="37" fillId="2" borderId="17" xfId="1" applyNumberFormat="1" applyFont="1" applyFill="1" applyBorder="1" applyAlignment="1" applyProtection="1">
      <alignment horizontal="center"/>
      <protection hidden="1"/>
    </xf>
    <xf numFmtId="164" fontId="37" fillId="2" borderId="23" xfId="1" applyNumberFormat="1" applyFont="1" applyFill="1" applyBorder="1" applyAlignment="1" applyProtection="1">
      <alignment horizontal="center"/>
      <protection hidden="1"/>
    </xf>
    <xf numFmtId="3" fontId="37" fillId="2" borderId="93" xfId="0" applyNumberFormat="1" applyFont="1" applyFill="1" applyBorder="1" applyAlignment="1" applyProtection="1">
      <alignment horizontal="right"/>
      <protection hidden="1"/>
    </xf>
    <xf numFmtId="3" fontId="30" fillId="2" borderId="1" xfId="0" applyNumberFormat="1" applyFont="1" applyFill="1" applyBorder="1" applyAlignment="1" applyProtection="1">
      <alignment horizontal="right"/>
      <protection hidden="1"/>
    </xf>
    <xf numFmtId="0" fontId="30" fillId="2" borderId="0" xfId="0" applyFont="1" applyFill="1" applyBorder="1" applyAlignment="1" applyProtection="1">
      <alignment vertical="center"/>
      <protection hidden="1"/>
    </xf>
    <xf numFmtId="0" fontId="30" fillId="4" borderId="4" xfId="0" applyFont="1" applyFill="1" applyBorder="1" applyAlignment="1" applyProtection="1">
      <alignment horizontal="left" wrapText="1"/>
    </xf>
    <xf numFmtId="3" fontId="37" fillId="4" borderId="93" xfId="0" applyNumberFormat="1" applyFont="1" applyFill="1" applyBorder="1" applyAlignment="1" applyProtection="1">
      <alignment horizontal="right"/>
      <protection hidden="1"/>
    </xf>
    <xf numFmtId="0" fontId="30" fillId="4" borderId="6" xfId="0" applyFont="1" applyFill="1" applyBorder="1" applyAlignment="1" applyProtection="1">
      <alignment horizontal="left" wrapText="1"/>
    </xf>
    <xf numFmtId="3" fontId="30" fillId="4" borderId="1" xfId="0" applyNumberFormat="1" applyFont="1" applyFill="1" applyBorder="1" applyAlignment="1" applyProtection="1">
      <alignment horizontal="right"/>
      <protection hidden="1"/>
    </xf>
    <xf numFmtId="3" fontId="38" fillId="6" borderId="26" xfId="0" applyNumberFormat="1" applyFont="1" applyFill="1" applyBorder="1" applyAlignment="1" applyProtection="1">
      <alignment horizontal="center"/>
    </xf>
    <xf numFmtId="3" fontId="38" fillId="6" borderId="29" xfId="0" applyNumberFormat="1" applyFont="1" applyFill="1" applyBorder="1" applyProtection="1"/>
    <xf numFmtId="3" fontId="37" fillId="2" borderId="30" xfId="0" applyNumberFormat="1" applyFont="1" applyFill="1" applyBorder="1" applyAlignment="1" applyProtection="1">
      <alignment horizontal="left"/>
    </xf>
    <xf numFmtId="3" fontId="37" fillId="2" borderId="30" xfId="0" applyNumberFormat="1" applyFont="1" applyFill="1" applyBorder="1" applyProtection="1"/>
    <xf numFmtId="3" fontId="37" fillId="2" borderId="28" xfId="0" applyNumberFormat="1" applyFont="1" applyFill="1" applyBorder="1" applyProtection="1"/>
    <xf numFmtId="0" fontId="30" fillId="8" borderId="7" xfId="0" applyFont="1" applyFill="1" applyBorder="1" applyAlignment="1" applyProtection="1">
      <alignment horizontal="center" vertical="center" textRotation="90"/>
    </xf>
    <xf numFmtId="0" fontId="30" fillId="8" borderId="12" xfId="0" applyFont="1" applyFill="1" applyBorder="1" applyAlignment="1" applyProtection="1">
      <alignment horizontal="center" vertical="center" textRotation="90"/>
    </xf>
    <xf numFmtId="0" fontId="30" fillId="8" borderId="21" xfId="0" applyFont="1" applyFill="1" applyBorder="1" applyAlignment="1" applyProtection="1">
      <alignment horizontal="center" vertical="center" textRotation="90"/>
    </xf>
    <xf numFmtId="0" fontId="38" fillId="6" borderId="10" xfId="0" applyFont="1" applyFill="1" applyBorder="1" applyAlignment="1" applyProtection="1">
      <alignment horizontal="center" vertical="center"/>
    </xf>
    <xf numFmtId="0" fontId="38" fillId="6" borderId="14" xfId="0" applyFont="1" applyFill="1" applyBorder="1" applyAlignment="1" applyProtection="1">
      <alignment horizontal="center" vertical="center"/>
    </xf>
    <xf numFmtId="0" fontId="30" fillId="5" borderId="7" xfId="0" applyFont="1" applyFill="1" applyBorder="1" applyAlignment="1" applyProtection="1">
      <alignment horizontal="center" vertical="center" textRotation="90" wrapText="1"/>
    </xf>
    <xf numFmtId="0" fontId="30" fillId="5" borderId="12" xfId="0" applyFont="1" applyFill="1" applyBorder="1" applyAlignment="1" applyProtection="1">
      <alignment horizontal="center" vertical="center" textRotation="90" wrapText="1"/>
    </xf>
    <xf numFmtId="0" fontId="30" fillId="5" borderId="21" xfId="0" applyFont="1" applyFill="1" applyBorder="1" applyAlignment="1" applyProtection="1">
      <alignment horizontal="center" vertical="center" textRotation="90" wrapText="1"/>
    </xf>
    <xf numFmtId="0" fontId="38" fillId="6" borderId="7" xfId="0" applyFont="1" applyFill="1" applyBorder="1" applyAlignment="1" applyProtection="1">
      <alignment horizontal="center" vertical="center" wrapText="1"/>
    </xf>
    <xf numFmtId="0" fontId="38" fillId="6" borderId="13" xfId="0" applyFont="1" applyFill="1" applyBorder="1" applyAlignment="1" applyProtection="1">
      <alignment horizontal="center" vertical="center" wrapText="1"/>
    </xf>
    <xf numFmtId="0" fontId="38" fillId="6" borderId="12" xfId="0" applyFont="1" applyFill="1" applyBorder="1" applyAlignment="1" applyProtection="1">
      <alignment horizontal="center" vertical="center" wrapText="1"/>
    </xf>
    <xf numFmtId="0" fontId="38" fillId="6" borderId="26" xfId="0" applyFont="1" applyFill="1" applyBorder="1" applyAlignment="1" applyProtection="1">
      <alignment horizontal="center" vertical="center" wrapText="1"/>
    </xf>
    <xf numFmtId="0" fontId="38" fillId="6" borderId="9" xfId="0" applyFont="1" applyFill="1" applyBorder="1" applyAlignment="1" applyProtection="1">
      <alignment horizontal="center" vertical="center" wrapText="1"/>
    </xf>
    <xf numFmtId="0" fontId="38" fillId="6" borderId="29" xfId="0" applyFont="1" applyFill="1" applyBorder="1" applyAlignment="1" applyProtection="1">
      <alignment horizontal="center" vertical="center" wrapText="1"/>
    </xf>
    <xf numFmtId="0" fontId="38" fillId="6" borderId="39" xfId="0" applyFont="1" applyFill="1" applyBorder="1" applyAlignment="1" applyProtection="1">
      <alignment horizontal="center" vertical="center" wrapText="1"/>
    </xf>
    <xf numFmtId="0" fontId="43" fillId="2" borderId="27" xfId="0" applyFont="1" applyFill="1" applyBorder="1" applyAlignment="1" applyProtection="1">
      <alignment horizontal="right" vertical="center"/>
      <protection hidden="1"/>
    </xf>
    <xf numFmtId="0" fontId="43" fillId="2" borderId="75" xfId="0" applyFont="1" applyFill="1" applyBorder="1" applyAlignment="1" applyProtection="1">
      <alignment horizontal="right" vertical="center"/>
      <protection hidden="1"/>
    </xf>
    <xf numFmtId="0" fontId="43" fillId="2" borderId="30" xfId="0" applyFont="1" applyFill="1" applyBorder="1" applyAlignment="1" applyProtection="1">
      <alignment horizontal="right" vertical="center"/>
      <protection hidden="1"/>
    </xf>
    <xf numFmtId="0" fontId="43" fillId="2" borderId="18" xfId="0" applyFont="1" applyFill="1" applyBorder="1" applyAlignment="1" applyProtection="1">
      <alignment horizontal="right" vertical="center"/>
      <protection hidden="1"/>
    </xf>
    <xf numFmtId="0" fontId="43" fillId="2" borderId="50" xfId="0" applyFont="1" applyFill="1" applyBorder="1" applyAlignment="1" applyProtection="1">
      <alignment horizontal="right" vertical="center"/>
      <protection hidden="1"/>
    </xf>
    <xf numFmtId="0" fontId="43" fillId="2" borderId="52" xfId="0" applyFont="1" applyFill="1" applyBorder="1" applyAlignment="1" applyProtection="1">
      <alignment horizontal="right" vertical="center"/>
      <protection hidden="1"/>
    </xf>
    <xf numFmtId="0" fontId="12" fillId="13" borderId="26" xfId="0" applyFont="1" applyFill="1" applyBorder="1" applyAlignment="1" applyProtection="1">
      <alignment horizontal="left"/>
    </xf>
    <xf numFmtId="0" fontId="12" fillId="13" borderId="8" xfId="0" applyFont="1" applyFill="1" applyBorder="1" applyAlignment="1" applyProtection="1">
      <alignment horizontal="left"/>
    </xf>
    <xf numFmtId="0" fontId="12" fillId="13" borderId="9" xfId="0" applyFont="1" applyFill="1" applyBorder="1" applyAlignment="1" applyProtection="1">
      <alignment horizontal="left"/>
    </xf>
    <xf numFmtId="0" fontId="11" fillId="13" borderId="29" xfId="0" applyFont="1" applyFill="1" applyBorder="1" applyAlignment="1">
      <alignment horizontal="center"/>
    </xf>
    <xf numFmtId="0" fontId="11" fillId="13" borderId="0" xfId="0" applyFont="1" applyFill="1" applyBorder="1" applyAlignment="1">
      <alignment horizontal="center"/>
    </xf>
    <xf numFmtId="0" fontId="12" fillId="13" borderId="29" xfId="0" applyFont="1" applyFill="1" applyBorder="1" applyAlignment="1" applyProtection="1">
      <alignment horizontal="left"/>
    </xf>
    <xf numFmtId="0" fontId="12" fillId="13" borderId="0" xfId="0" applyFont="1" applyFill="1" applyBorder="1" applyAlignment="1" applyProtection="1">
      <alignment horizontal="left"/>
    </xf>
    <xf numFmtId="0" fontId="11" fillId="13" borderId="34" xfId="0" applyFont="1" applyFill="1" applyBorder="1" applyAlignment="1">
      <alignment horizontal="center"/>
    </xf>
    <xf numFmtId="0" fontId="11" fillId="13" borderId="35" xfId="0" applyFont="1" applyFill="1" applyBorder="1" applyAlignment="1">
      <alignment horizontal="center"/>
    </xf>
    <xf numFmtId="0" fontId="11" fillId="13" borderId="36" xfId="0" applyFont="1" applyFill="1" applyBorder="1" applyAlignment="1">
      <alignment horizontal="center"/>
    </xf>
    <xf numFmtId="0" fontId="10" fillId="6" borderId="34" xfId="0" applyFont="1" applyFill="1" applyBorder="1" applyAlignment="1" applyProtection="1">
      <alignment horizontal="center"/>
    </xf>
    <xf numFmtId="0" fontId="10" fillId="6" borderId="35" xfId="0" applyFont="1" applyFill="1" applyBorder="1" applyAlignment="1" applyProtection="1">
      <alignment horizontal="center"/>
    </xf>
    <xf numFmtId="0" fontId="10" fillId="6" borderId="36" xfId="0" applyFont="1" applyFill="1" applyBorder="1" applyAlignment="1" applyProtection="1">
      <alignment horizontal="center"/>
    </xf>
    <xf numFmtId="0" fontId="10" fillId="6" borderId="26" xfId="0" applyFont="1" applyFill="1" applyBorder="1" applyAlignment="1" applyProtection="1">
      <alignment horizontal="center" vertical="center" wrapText="1"/>
    </xf>
    <xf numFmtId="0" fontId="10" fillId="6" borderId="8" xfId="0" applyFont="1" applyFill="1" applyBorder="1" applyAlignment="1" applyProtection="1">
      <alignment horizontal="center" vertical="center" wrapText="1"/>
    </xf>
    <xf numFmtId="0" fontId="10" fillId="6" borderId="9" xfId="0" applyFont="1" applyFill="1" applyBorder="1" applyAlignment="1" applyProtection="1">
      <alignment horizontal="center" vertical="center" wrapText="1"/>
    </xf>
    <xf numFmtId="0" fontId="10" fillId="6" borderId="26" xfId="0" applyFont="1" applyFill="1" applyBorder="1" applyAlignment="1" applyProtection="1">
      <alignment horizontal="center"/>
    </xf>
    <xf numFmtId="0" fontId="10" fillId="6" borderId="41" xfId="0" applyFont="1" applyFill="1" applyBorder="1" applyAlignment="1" applyProtection="1">
      <alignment horizontal="center"/>
    </xf>
    <xf numFmtId="0" fontId="15" fillId="13" borderId="34" xfId="0" applyFont="1" applyFill="1" applyBorder="1" applyAlignment="1" applyProtection="1">
      <alignment horizontal="left" vertical="center"/>
    </xf>
    <xf numFmtId="0" fontId="15" fillId="13" borderId="35" xfId="0" applyFont="1" applyFill="1" applyBorder="1" applyAlignment="1" applyProtection="1">
      <alignment horizontal="left" vertical="center"/>
    </xf>
    <xf numFmtId="0" fontId="15" fillId="13" borderId="36" xfId="0" applyFont="1" applyFill="1" applyBorder="1" applyAlignment="1" applyProtection="1">
      <alignment horizontal="left" vertical="center"/>
    </xf>
    <xf numFmtId="0" fontId="4" fillId="7" borderId="34" xfId="0" applyFont="1" applyFill="1" applyBorder="1" applyAlignment="1" applyProtection="1">
      <alignment horizontal="left" vertical="center"/>
      <protection locked="0"/>
    </xf>
    <xf numFmtId="0" fontId="4" fillId="7" borderId="35" xfId="0" applyFont="1" applyFill="1" applyBorder="1" applyAlignment="1" applyProtection="1">
      <alignment horizontal="left" vertical="center"/>
      <protection locked="0"/>
    </xf>
    <xf numFmtId="0" fontId="4" fillId="7" borderId="36" xfId="0" applyFont="1" applyFill="1" applyBorder="1" applyAlignment="1" applyProtection="1">
      <alignment horizontal="left" vertical="center"/>
      <protection locked="0"/>
    </xf>
    <xf numFmtId="0" fontId="26" fillId="12" borderId="34" xfId="0" applyFont="1" applyFill="1" applyBorder="1" applyAlignment="1" applyProtection="1">
      <alignment horizontal="left"/>
    </xf>
    <xf numFmtId="0" fontId="26" fillId="12" borderId="35" xfId="0" applyFont="1" applyFill="1" applyBorder="1" applyAlignment="1" applyProtection="1">
      <alignment horizontal="left"/>
    </xf>
    <xf numFmtId="0" fontId="26" fillId="12" borderId="36" xfId="0" applyFont="1" applyFill="1" applyBorder="1" applyAlignment="1" applyProtection="1">
      <alignment horizontal="left"/>
    </xf>
    <xf numFmtId="0" fontId="26" fillId="16" borderId="34" xfId="0" applyFont="1" applyFill="1" applyBorder="1" applyAlignment="1" applyProtection="1">
      <alignment horizontal="left"/>
    </xf>
    <xf numFmtId="0" fontId="26" fillId="16" borderId="35" xfId="0" applyFont="1" applyFill="1" applyBorder="1" applyAlignment="1" applyProtection="1">
      <alignment horizontal="left"/>
    </xf>
    <xf numFmtId="0" fontId="26" fillId="16" borderId="36" xfId="0" applyFont="1" applyFill="1" applyBorder="1" applyAlignment="1" applyProtection="1">
      <alignment horizontal="left"/>
    </xf>
    <xf numFmtId="0" fontId="5" fillId="11" borderId="29" xfId="0" applyFont="1" applyFill="1" applyBorder="1" applyAlignment="1" applyProtection="1">
      <alignment horizontal="left"/>
    </xf>
    <xf numFmtId="0" fontId="5" fillId="11" borderId="0" xfId="0" applyFont="1" applyFill="1" applyBorder="1" applyAlignment="1" applyProtection="1">
      <alignment horizontal="left"/>
    </xf>
    <xf numFmtId="0" fontId="13" fillId="15" borderId="34" xfId="0" applyFont="1" applyFill="1" applyBorder="1" applyAlignment="1" applyProtection="1">
      <alignment horizontal="left"/>
    </xf>
    <xf numFmtId="0" fontId="13" fillId="15" borderId="35" xfId="0" applyFont="1" applyFill="1" applyBorder="1" applyAlignment="1" applyProtection="1">
      <alignment horizontal="left"/>
    </xf>
    <xf numFmtId="0" fontId="13" fillId="13" borderId="27" xfId="0" applyFont="1" applyFill="1" applyBorder="1" applyAlignment="1" applyProtection="1">
      <alignment horizontal="left"/>
    </xf>
    <xf numFmtId="0" fontId="13" fillId="13" borderId="62" xfId="0" applyFont="1" applyFill="1" applyBorder="1" applyAlignment="1" applyProtection="1">
      <alignment horizontal="left"/>
    </xf>
    <xf numFmtId="0" fontId="10" fillId="6" borderId="34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horizontal="left"/>
    </xf>
    <xf numFmtId="0" fontId="14" fillId="13" borderId="27" xfId="0" applyFont="1" applyFill="1" applyBorder="1" applyAlignment="1" applyProtection="1">
      <alignment horizontal="left"/>
    </xf>
    <xf numFmtId="0" fontId="14" fillId="13" borderId="62" xfId="0" applyFont="1" applyFill="1" applyBorder="1" applyAlignment="1" applyProtection="1">
      <alignment horizontal="left"/>
    </xf>
    <xf numFmtId="0" fontId="5" fillId="11" borderId="81" xfId="0" applyFont="1" applyFill="1" applyBorder="1" applyAlignment="1" applyProtection="1">
      <alignment horizontal="left"/>
    </xf>
    <xf numFmtId="0" fontId="5" fillId="11" borderId="82" xfId="0" applyFont="1" applyFill="1" applyBorder="1" applyAlignment="1" applyProtection="1">
      <alignment horizontal="left"/>
    </xf>
    <xf numFmtId="0" fontId="13" fillId="17" borderId="30" xfId="0" applyFont="1" applyFill="1" applyBorder="1" applyAlignment="1" applyProtection="1">
      <alignment horizontal="left"/>
    </xf>
    <xf numFmtId="0" fontId="13" fillId="17" borderId="16" xfId="0" applyFont="1" applyFill="1" applyBorder="1" applyAlignment="1" applyProtection="1">
      <alignment horizontal="left"/>
    </xf>
    <xf numFmtId="0" fontId="6" fillId="11" borderId="29" xfId="0" applyFont="1" applyFill="1" applyBorder="1" applyAlignment="1" applyProtection="1">
      <alignment horizontal="left"/>
    </xf>
    <xf numFmtId="0" fontId="6" fillId="11" borderId="0" xfId="0" applyFont="1" applyFill="1" applyBorder="1" applyAlignment="1" applyProtection="1">
      <alignment horizontal="left"/>
    </xf>
    <xf numFmtId="0" fontId="0" fillId="10" borderId="72" xfId="0" applyFill="1" applyBorder="1" applyAlignment="1" applyProtection="1">
      <alignment horizontal="left"/>
    </xf>
    <xf numFmtId="0" fontId="5" fillId="10" borderId="41" xfId="0" applyFont="1" applyFill="1" applyBorder="1" applyAlignment="1" applyProtection="1">
      <alignment horizontal="left"/>
    </xf>
    <xf numFmtId="3" fontId="0" fillId="10" borderId="16" xfId="0" applyNumberFormat="1" applyFill="1" applyBorder="1" applyAlignment="1" applyProtection="1">
      <alignment horizontal="left"/>
    </xf>
    <xf numFmtId="3" fontId="5" fillId="10" borderId="18" xfId="0" applyNumberFormat="1" applyFont="1" applyFill="1" applyBorder="1" applyAlignment="1" applyProtection="1">
      <alignment horizontal="left"/>
    </xf>
    <xf numFmtId="3" fontId="0" fillId="10" borderId="22" xfId="0" applyNumberFormat="1" applyFill="1" applyBorder="1" applyAlignment="1" applyProtection="1">
      <alignment horizontal="left"/>
    </xf>
    <xf numFmtId="3" fontId="5" fillId="10" borderId="76" xfId="0" applyNumberFormat="1" applyFont="1" applyFill="1" applyBorder="1" applyAlignment="1" applyProtection="1">
      <alignment horizontal="left"/>
    </xf>
    <xf numFmtId="0" fontId="10" fillId="14" borderId="30" xfId="0" applyFont="1" applyFill="1" applyBorder="1" applyAlignment="1" applyProtection="1">
      <alignment horizontal="left"/>
    </xf>
    <xf numFmtId="0" fontId="10" fillId="14" borderId="16" xfId="0" applyFont="1" applyFill="1" applyBorder="1" applyAlignment="1" applyProtection="1">
      <alignment horizontal="left"/>
    </xf>
    <xf numFmtId="0" fontId="10" fillId="17" borderId="30" xfId="0" applyFont="1" applyFill="1" applyBorder="1" applyAlignment="1" applyProtection="1">
      <alignment horizontal="left"/>
    </xf>
    <xf numFmtId="0" fontId="10" fillId="17" borderId="16" xfId="0" applyFont="1" applyFill="1" applyBorder="1" applyAlignment="1" applyProtection="1">
      <alignment horizontal="left"/>
    </xf>
    <xf numFmtId="0" fontId="5" fillId="11" borderId="87" xfId="0" applyFont="1" applyFill="1" applyBorder="1" applyAlignment="1" applyProtection="1">
      <alignment horizontal="left"/>
    </xf>
    <xf numFmtId="0" fontId="5" fillId="11" borderId="74" xfId="0" applyFont="1" applyFill="1" applyBorder="1" applyAlignment="1" applyProtection="1">
      <alignment horizontal="left"/>
    </xf>
    <xf numFmtId="0" fontId="16" fillId="10" borderId="30" xfId="0" applyFont="1" applyFill="1" applyBorder="1" applyAlignment="1" applyProtection="1">
      <alignment horizontal="left"/>
    </xf>
    <xf numFmtId="0" fontId="16" fillId="10" borderId="16" xfId="0" applyFont="1" applyFill="1" applyBorder="1" applyAlignment="1" applyProtection="1">
      <alignment horizontal="left"/>
    </xf>
    <xf numFmtId="0" fontId="13" fillId="14" borderId="30" xfId="0" applyFont="1" applyFill="1" applyBorder="1" applyAlignment="1" applyProtection="1">
      <alignment horizontal="left"/>
    </xf>
    <xf numFmtId="0" fontId="13" fillId="14" borderId="16" xfId="0" applyFont="1" applyFill="1" applyBorder="1" applyAlignment="1" applyProtection="1">
      <alignment horizontal="left"/>
    </xf>
    <xf numFmtId="0" fontId="7" fillId="10" borderId="30" xfId="0" applyFont="1" applyFill="1" applyBorder="1" applyAlignment="1" applyProtection="1">
      <alignment horizontal="left"/>
    </xf>
    <xf numFmtId="0" fontId="7" fillId="10" borderId="16" xfId="0" applyFont="1" applyFill="1" applyBorder="1" applyAlignment="1" applyProtection="1">
      <alignment horizontal="left"/>
    </xf>
  </cellXfs>
  <cellStyles count="3">
    <cellStyle name="Komma" xfId="1" builtinId="3"/>
    <cellStyle name="Standaard" xfId="0" builtinId="0"/>
    <cellStyle name="Valuta" xfId="2" builtinId="4"/>
  </cellStyles>
  <dxfs count="34">
    <dxf>
      <font>
        <color theme="0" tint="-0.24994659260841701"/>
      </font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top/>
        <bottom/>
        <vertical/>
        <horizontal/>
      </border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ijstjes!$C$3" fmlaRange="lijstjes!$B$3:$B$4" noThreeD="1" sel="2" val="0"/>
</file>

<file path=xl/ctrlProps/ctrlProp2.xml><?xml version="1.0" encoding="utf-8"?>
<formControlPr xmlns="http://schemas.microsoft.com/office/spreadsheetml/2009/9/main" objectType="Drop" dropLines="3" dropStyle="combo" dx="16" fmlaLink="lijstjes!$C$8" fmlaRange="lijstjes!$B$8:$B$9" noThreeD="1" sel="2" val="0"/>
</file>

<file path=xl/ctrlProps/ctrlProp3.xml><?xml version="1.0" encoding="utf-8"?>
<formControlPr xmlns="http://schemas.microsoft.com/office/spreadsheetml/2009/9/main" objectType="Drop" dropLines="3" dropStyle="combo" dx="16" fmlaLink="lijstjes!$C$13" fmlaRange="lijstjes!$B$13:$B$14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95251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10223" y="191910"/>
          <a:ext cx="3161649" cy="80292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95251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7879" y="191910"/>
          <a:ext cx="3162354" cy="808216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31750</xdr:colOff>
      <xdr:row>9</xdr:row>
      <xdr:rowOff>105834</xdr:rowOff>
    </xdr:from>
    <xdr:to>
      <xdr:col>3</xdr:col>
      <xdr:colOff>1227666</xdr:colOff>
      <xdr:row>10</xdr:row>
      <xdr:rowOff>42333</xdr:rowOff>
    </xdr:to>
    <xdr:cxnSp macro="">
      <xdr:nvCxnSpPr>
        <xdr:cNvPr id="2" name="Rechte verbindingslijn met pijl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2193925" y="1572684"/>
          <a:ext cx="614891" cy="10794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963083</xdr:colOff>
      <xdr:row>9</xdr:row>
      <xdr:rowOff>148167</xdr:rowOff>
    </xdr:from>
    <xdr:to>
      <xdr:col>5</xdr:col>
      <xdr:colOff>867834</xdr:colOff>
      <xdr:row>10</xdr:row>
      <xdr:rowOff>74083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 flipH="1">
          <a:off x="3420533" y="1615017"/>
          <a:ext cx="866776" cy="9736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963083</xdr:colOff>
      <xdr:row>14</xdr:row>
      <xdr:rowOff>148167</xdr:rowOff>
    </xdr:from>
    <xdr:to>
      <xdr:col>5</xdr:col>
      <xdr:colOff>867834</xdr:colOff>
      <xdr:row>15</xdr:row>
      <xdr:rowOff>74083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 flipH="1">
          <a:off x="3420533" y="2453217"/>
          <a:ext cx="866776" cy="8784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127000</xdr:colOff>
      <xdr:row>14</xdr:row>
      <xdr:rowOff>127001</xdr:rowOff>
    </xdr:from>
    <xdr:to>
      <xdr:col>4</xdr:col>
      <xdr:colOff>74083</xdr:colOff>
      <xdr:row>15</xdr:row>
      <xdr:rowOff>74084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2289175" y="2432051"/>
          <a:ext cx="594783" cy="1090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1211580</xdr:colOff>
          <xdr:row>25</xdr:row>
          <xdr:rowOff>22860</xdr:rowOff>
        </xdr:from>
        <xdr:to>
          <xdr:col>3</xdr:col>
          <xdr:colOff>1089660</xdr:colOff>
          <xdr:row>25</xdr:row>
          <xdr:rowOff>228600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1211580</xdr:colOff>
          <xdr:row>26</xdr:row>
          <xdr:rowOff>30480</xdr:rowOff>
        </xdr:from>
        <xdr:to>
          <xdr:col>3</xdr:col>
          <xdr:colOff>1066800</xdr:colOff>
          <xdr:row>26</xdr:row>
          <xdr:rowOff>228600</xdr:rowOff>
        </xdr:to>
        <xdr:sp macro="" textlink="">
          <xdr:nvSpPr>
            <xdr:cNvPr id="6146" name="Drop Dow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1211580</xdr:colOff>
          <xdr:row>27</xdr:row>
          <xdr:rowOff>22860</xdr:rowOff>
        </xdr:from>
        <xdr:to>
          <xdr:col>3</xdr:col>
          <xdr:colOff>1066800</xdr:colOff>
          <xdr:row>27</xdr:row>
          <xdr:rowOff>220980</xdr:rowOff>
        </xdr:to>
        <xdr:sp macro="" textlink="">
          <xdr:nvSpPr>
            <xdr:cNvPr id="6147" name="Drop Dow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4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400913</xdr:colOff>
      <xdr:row>0</xdr:row>
      <xdr:rowOff>64944</xdr:rowOff>
    </xdr:from>
    <xdr:to>
      <xdr:col>8</xdr:col>
      <xdr:colOff>1412294</xdr:colOff>
      <xdr:row>1</xdr:row>
      <xdr:rowOff>465923</xdr:rowOff>
    </xdr:to>
    <xdr:pic>
      <xdr:nvPicPr>
        <xdr:cNvPr id="5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6549" y="64944"/>
          <a:ext cx="2370859" cy="66075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M44"/>
  <sheetViews>
    <sheetView showGridLines="0" tabSelected="1" zoomScale="90" zoomScaleNormal="90" workbookViewId="0">
      <selection activeCell="D4" sqref="D4"/>
    </sheetView>
  </sheetViews>
  <sheetFormatPr defaultColWidth="9.21875" defaultRowHeight="13.8"/>
  <cols>
    <col min="1" max="1" width="3" style="309" customWidth="1"/>
    <col min="2" max="2" width="8" style="309" customWidth="1"/>
    <col min="3" max="3" width="65.5546875" style="309" customWidth="1"/>
    <col min="4" max="4" width="38" style="309" customWidth="1"/>
    <col min="5" max="5" width="14.21875" style="309" customWidth="1"/>
    <col min="6" max="6" width="12.44140625" style="309" customWidth="1"/>
    <col min="7" max="7" width="14" style="309" customWidth="1"/>
    <col min="8" max="8" width="2.5546875" style="364" customWidth="1"/>
    <col min="9" max="9" width="23.21875" style="309" bestFit="1" customWidth="1"/>
    <col min="10" max="10" width="1.77734375" style="365" customWidth="1"/>
    <col min="11" max="11" width="23.21875" style="309" hidden="1" customWidth="1"/>
    <col min="12" max="12" width="1.77734375" style="365" hidden="1" customWidth="1"/>
    <col min="13" max="13" width="1.77734375" style="365" customWidth="1"/>
    <col min="14" max="16384" width="9.21875" style="309"/>
  </cols>
  <sheetData>
    <row r="1" spans="1:13" ht="14.4" thickBot="1">
      <c r="A1" s="301"/>
      <c r="B1" s="301"/>
      <c r="C1" s="301"/>
      <c r="D1" s="301"/>
      <c r="E1" s="301"/>
      <c r="F1" s="301"/>
      <c r="G1" s="301"/>
      <c r="H1" s="301"/>
      <c r="I1" s="301"/>
      <c r="J1" s="307"/>
      <c r="K1" s="301"/>
      <c r="L1" s="307"/>
      <c r="M1" s="307"/>
    </row>
    <row r="2" spans="1:13" ht="23.4" thickBot="1">
      <c r="A2" s="300"/>
      <c r="B2" s="301"/>
      <c r="C2" s="302" t="s">
        <v>161</v>
      </c>
      <c r="D2" s="303" t="s">
        <v>1</v>
      </c>
      <c r="E2" s="304"/>
      <c r="F2" s="304"/>
      <c r="G2" s="305"/>
      <c r="H2" s="301"/>
      <c r="I2" s="306"/>
      <c r="J2" s="307"/>
      <c r="K2" s="306"/>
      <c r="L2" s="307"/>
      <c r="M2" s="307"/>
    </row>
    <row r="3" spans="1:13" ht="23.4" thickBot="1">
      <c r="A3" s="300"/>
      <c r="B3" s="308"/>
      <c r="C3" s="308"/>
      <c r="D3" s="308"/>
      <c r="E3" s="304"/>
      <c r="F3" s="308"/>
      <c r="G3" s="308"/>
      <c r="H3" s="301"/>
      <c r="I3" s="308"/>
      <c r="J3" s="307"/>
      <c r="K3" s="308"/>
      <c r="L3" s="307"/>
      <c r="M3" s="307"/>
    </row>
    <row r="4" spans="1:13" ht="24" thickTop="1" thickBot="1">
      <c r="A4" s="300"/>
      <c r="B4" s="301"/>
      <c r="C4" s="306" t="s">
        <v>2</v>
      </c>
      <c r="D4" s="310"/>
      <c r="E4" s="304"/>
      <c r="F4" s="304"/>
      <c r="G4" s="305"/>
      <c r="H4" s="301"/>
      <c r="I4" s="308"/>
      <c r="J4" s="307"/>
      <c r="K4" s="308"/>
      <c r="L4" s="307"/>
      <c r="M4" s="307"/>
    </row>
    <row r="5" spans="1:13" ht="23.4" thickTop="1">
      <c r="A5" s="300"/>
      <c r="B5" s="306"/>
      <c r="C5" s="304"/>
      <c r="D5" s="304"/>
      <c r="E5" s="304"/>
      <c r="F5" s="304"/>
      <c r="G5" s="305"/>
      <c r="H5" s="301"/>
      <c r="I5" s="308"/>
      <c r="J5" s="307"/>
      <c r="K5" s="308"/>
      <c r="L5" s="307"/>
      <c r="M5" s="307"/>
    </row>
    <row r="6" spans="1:13" ht="14.4" thickBot="1">
      <c r="A6" s="300"/>
      <c r="B6" s="311" t="s">
        <v>3</v>
      </c>
      <c r="C6" s="312" t="s">
        <v>51</v>
      </c>
      <c r="D6" s="308"/>
      <c r="E6" s="308"/>
      <c r="F6" s="313"/>
      <c r="G6" s="314"/>
      <c r="H6" s="301"/>
      <c r="I6" s="308"/>
      <c r="J6" s="307"/>
      <c r="K6" s="308"/>
      <c r="L6" s="307"/>
      <c r="M6" s="307"/>
    </row>
    <row r="7" spans="1:13" ht="15" thickTop="1" thickBot="1">
      <c r="A7" s="300"/>
      <c r="B7" s="311" t="s">
        <v>3</v>
      </c>
      <c r="C7" s="316" t="s">
        <v>4</v>
      </c>
      <c r="D7" s="373">
        <f>VLOOKUP($C$6,lijstjes!$B$27:$F$34,2,FALSE)</f>
        <v>71000</v>
      </c>
      <c r="E7" s="367"/>
      <c r="F7" s="313"/>
      <c r="G7" s="314"/>
      <c r="H7" s="301"/>
      <c r="I7" s="308"/>
      <c r="J7" s="307"/>
      <c r="K7" s="308"/>
      <c r="L7" s="307"/>
      <c r="M7" s="307"/>
    </row>
    <row r="8" spans="1:13" ht="15" hidden="1" thickTop="1" thickBot="1">
      <c r="A8" s="300"/>
      <c r="B8" s="311" t="s">
        <v>3</v>
      </c>
      <c r="C8" s="375" t="s">
        <v>144</v>
      </c>
      <c r="D8" s="376">
        <f>VLOOKUP($C$6,lijstjes!$B$27:$F$34,4,FALSE)</f>
        <v>71</v>
      </c>
      <c r="E8" s="367"/>
      <c r="F8" s="313"/>
      <c r="G8" s="313"/>
      <c r="H8" s="301"/>
      <c r="I8" s="313"/>
      <c r="J8" s="307"/>
      <c r="K8" s="313"/>
      <c r="L8" s="307"/>
      <c r="M8" s="307"/>
    </row>
    <row r="9" spans="1:13" ht="15" hidden="1" thickTop="1" thickBot="1">
      <c r="A9" s="300"/>
      <c r="B9" s="301"/>
      <c r="C9" s="377" t="s">
        <v>5</v>
      </c>
      <c r="D9" s="378">
        <f>D7+D8</f>
        <v>71071</v>
      </c>
      <c r="E9" s="323"/>
      <c r="F9" s="301"/>
      <c r="G9" s="313"/>
      <c r="H9" s="301"/>
      <c r="I9" s="313"/>
      <c r="J9" s="307"/>
      <c r="K9" s="313"/>
      <c r="L9" s="307"/>
      <c r="M9" s="307"/>
    </row>
    <row r="10" spans="1:13" ht="15" thickTop="1" thickBot="1">
      <c r="A10" s="308"/>
      <c r="B10" s="301"/>
      <c r="C10" s="311"/>
      <c r="D10" s="374"/>
      <c r="E10" s="317"/>
      <c r="F10" s="318"/>
      <c r="G10" s="314"/>
      <c r="H10" s="301"/>
      <c r="I10" s="308"/>
      <c r="J10" s="307"/>
      <c r="K10" s="308"/>
      <c r="L10" s="307"/>
      <c r="M10" s="307"/>
    </row>
    <row r="11" spans="1:13" ht="15" thickTop="1" thickBot="1">
      <c r="A11" s="319"/>
      <c r="B11" s="301"/>
      <c r="C11" s="316" t="s">
        <v>149</v>
      </c>
      <c r="D11" s="373">
        <f>VLOOKUP($C$6,lijstjes!$B$17:$C$23,2,FALSE)</f>
        <v>47</v>
      </c>
      <c r="E11" s="323"/>
      <c r="F11" s="319"/>
      <c r="G11" s="319"/>
      <c r="H11" s="301"/>
      <c r="I11" s="319"/>
      <c r="J11" s="307"/>
      <c r="K11" s="319"/>
      <c r="L11" s="307"/>
      <c r="M11" s="307"/>
    </row>
    <row r="12" spans="1:13" ht="15" hidden="1" thickTop="1" thickBot="1">
      <c r="A12" s="308"/>
      <c r="B12" s="301"/>
      <c r="C12" s="311"/>
      <c r="D12" s="374"/>
      <c r="E12" s="317"/>
      <c r="F12" s="318"/>
      <c r="G12" s="314"/>
      <c r="H12" s="301"/>
      <c r="I12" s="308"/>
      <c r="J12" s="307"/>
      <c r="K12" s="308"/>
      <c r="L12" s="307"/>
      <c r="M12" s="307"/>
    </row>
    <row r="13" spans="1:13" ht="15" hidden="1" thickTop="1" thickBot="1">
      <c r="A13" s="319"/>
      <c r="B13" s="301"/>
      <c r="C13" s="320" t="s">
        <v>6</v>
      </c>
      <c r="D13" s="373">
        <f>ROUND(VLOOKUP(C6,oplage!$A$3:$F$13,6,FALSE),-2)</f>
        <v>11500</v>
      </c>
      <c r="E13" s="323"/>
      <c r="F13" s="319"/>
      <c r="G13" s="319"/>
      <c r="H13" s="301"/>
      <c r="I13" s="319"/>
      <c r="J13" s="307"/>
      <c r="K13" s="319"/>
      <c r="L13" s="307"/>
      <c r="M13" s="307"/>
    </row>
    <row r="14" spans="1:13" ht="15" hidden="1" thickTop="1" thickBot="1">
      <c r="A14" s="319"/>
      <c r="B14" s="321"/>
      <c r="C14" s="316" t="s">
        <v>46</v>
      </c>
      <c r="D14" s="373">
        <v>1</v>
      </c>
      <c r="E14" s="323"/>
      <c r="F14" s="319"/>
      <c r="G14" s="319"/>
      <c r="H14" s="301"/>
      <c r="I14" s="319"/>
      <c r="J14" s="307"/>
      <c r="K14" s="319"/>
      <c r="L14" s="307"/>
      <c r="M14" s="307"/>
    </row>
    <row r="15" spans="1:13" ht="27.6" hidden="1" thickTop="1" thickBot="1">
      <c r="A15" s="319"/>
      <c r="B15" s="301"/>
      <c r="C15" s="320" t="s">
        <v>151</v>
      </c>
      <c r="D15" s="373">
        <f>ROUND(VLOOKUP($C$6,lijstjes!$B$39:$F$46,3,FALSE),-2)</f>
        <v>18400</v>
      </c>
      <c r="E15" s="323"/>
      <c r="F15" s="319"/>
      <c r="G15" s="319"/>
      <c r="H15" s="301"/>
      <c r="I15" s="319"/>
      <c r="J15" s="307"/>
      <c r="K15" s="319"/>
      <c r="L15" s="307"/>
      <c r="M15" s="307"/>
    </row>
    <row r="16" spans="1:13" ht="14.4" thickTop="1">
      <c r="A16" s="319"/>
      <c r="B16" s="321"/>
      <c r="C16" s="322"/>
      <c r="D16" s="323"/>
      <c r="E16" s="323"/>
      <c r="F16" s="319"/>
      <c r="G16" s="319"/>
      <c r="H16" s="301"/>
      <c r="I16" s="319"/>
      <c r="J16" s="307"/>
      <c r="K16" s="319"/>
      <c r="L16" s="307"/>
      <c r="M16" s="307"/>
    </row>
    <row r="17" spans="1:13" ht="5.25" customHeight="1" thickBot="1">
      <c r="A17" s="319"/>
      <c r="B17" s="301"/>
      <c r="C17" s="319"/>
      <c r="D17" s="301"/>
      <c r="E17" s="301"/>
      <c r="F17" s="301"/>
      <c r="G17" s="301"/>
      <c r="H17" s="301"/>
      <c r="I17" s="301"/>
      <c r="J17" s="307"/>
      <c r="K17" s="301"/>
      <c r="L17" s="307"/>
      <c r="M17" s="307"/>
    </row>
    <row r="18" spans="1:13" ht="14.4" thickTop="1">
      <c r="A18" s="319"/>
      <c r="B18" s="389" t="s">
        <v>157</v>
      </c>
      <c r="C18" s="379"/>
      <c r="D18" s="392" t="s">
        <v>155</v>
      </c>
      <c r="E18" s="392" t="s">
        <v>50</v>
      </c>
      <c r="F18" s="301"/>
      <c r="G18" s="387" t="s">
        <v>34</v>
      </c>
      <c r="H18" s="301"/>
      <c r="I18" s="324" t="s">
        <v>7</v>
      </c>
      <c r="J18" s="307"/>
      <c r="K18" s="325" t="s">
        <v>81</v>
      </c>
      <c r="L18" s="307"/>
      <c r="M18" s="307"/>
    </row>
    <row r="19" spans="1:13">
      <c r="A19" s="319"/>
      <c r="B19" s="390"/>
      <c r="C19" s="380"/>
      <c r="D19" s="393"/>
      <c r="E19" s="394"/>
      <c r="F19" s="301"/>
      <c r="G19" s="388"/>
      <c r="H19" s="301"/>
      <c r="I19" s="326"/>
      <c r="J19" s="307"/>
      <c r="K19" s="327"/>
      <c r="L19" s="307"/>
      <c r="M19" s="307"/>
    </row>
    <row r="20" spans="1:13">
      <c r="A20" s="319"/>
      <c r="B20" s="390"/>
      <c r="C20" s="381" t="s">
        <v>8</v>
      </c>
      <c r="D20" s="370">
        <f>D7</f>
        <v>71000</v>
      </c>
      <c r="E20" s="370">
        <f>D11</f>
        <v>47</v>
      </c>
      <c r="F20" s="328">
        <v>1</v>
      </c>
      <c r="G20" s="329">
        <v>0</v>
      </c>
      <c r="H20" s="301"/>
      <c r="I20" s="330">
        <f>G20/1000*(D20*E20)</f>
        <v>0</v>
      </c>
      <c r="J20" s="307"/>
      <c r="K20" s="331">
        <f>I20*$D$14</f>
        <v>0</v>
      </c>
      <c r="L20" s="307"/>
      <c r="M20" s="307"/>
    </row>
    <row r="21" spans="1:13">
      <c r="A21" s="319"/>
      <c r="B21" s="390"/>
      <c r="C21" s="382" t="s">
        <v>160</v>
      </c>
      <c r="D21" s="370">
        <f>D20</f>
        <v>71000</v>
      </c>
      <c r="E21" s="370">
        <f>E20</f>
        <v>47</v>
      </c>
      <c r="F21" s="328"/>
      <c r="G21" s="329">
        <v>0</v>
      </c>
      <c r="H21" s="301"/>
      <c r="I21" s="330">
        <f t="shared" ref="I21:I25" si="0">G21/1000*D21*E21</f>
        <v>0</v>
      </c>
      <c r="J21" s="307"/>
      <c r="K21" s="331">
        <f t="shared" ref="K21" si="1">I21*$D$14</f>
        <v>0</v>
      </c>
      <c r="L21" s="307"/>
      <c r="M21" s="307"/>
    </row>
    <row r="22" spans="1:13">
      <c r="A22" s="319"/>
      <c r="B22" s="390"/>
      <c r="C22" s="382" t="s">
        <v>9</v>
      </c>
      <c r="D22" s="370">
        <v>0</v>
      </c>
      <c r="E22" s="370">
        <v>0</v>
      </c>
      <c r="F22" s="328"/>
      <c r="G22" s="329">
        <v>0</v>
      </c>
      <c r="H22" s="301"/>
      <c r="I22" s="330">
        <f t="shared" si="0"/>
        <v>0</v>
      </c>
      <c r="J22" s="307"/>
      <c r="K22" s="331">
        <f t="shared" ref="K22:K25" si="2">I22*$D$14</f>
        <v>0</v>
      </c>
      <c r="L22" s="307"/>
      <c r="M22" s="307"/>
    </row>
    <row r="23" spans="1:13">
      <c r="A23" s="319"/>
      <c r="B23" s="390"/>
      <c r="C23" s="382" t="s">
        <v>10</v>
      </c>
      <c r="D23" s="370">
        <f>D20</f>
        <v>71000</v>
      </c>
      <c r="E23" s="370">
        <v>28</v>
      </c>
      <c r="F23" s="328"/>
      <c r="G23" s="329">
        <v>0</v>
      </c>
      <c r="H23" s="301"/>
      <c r="I23" s="330">
        <f t="shared" si="0"/>
        <v>0</v>
      </c>
      <c r="J23" s="307"/>
      <c r="K23" s="331">
        <f t="shared" si="2"/>
        <v>0</v>
      </c>
      <c r="L23" s="307"/>
      <c r="M23" s="307"/>
    </row>
    <row r="24" spans="1:13">
      <c r="A24" s="319"/>
      <c r="B24" s="390"/>
      <c r="C24" s="382" t="s">
        <v>11</v>
      </c>
      <c r="D24" s="370">
        <f>D20</f>
        <v>71000</v>
      </c>
      <c r="E24" s="370">
        <v>2</v>
      </c>
      <c r="F24" s="328"/>
      <c r="G24" s="329">
        <v>0</v>
      </c>
      <c r="H24" s="301"/>
      <c r="I24" s="330">
        <f t="shared" si="0"/>
        <v>0</v>
      </c>
      <c r="J24" s="307"/>
      <c r="K24" s="331">
        <f t="shared" si="2"/>
        <v>0</v>
      </c>
      <c r="L24" s="307"/>
      <c r="M24" s="307"/>
    </row>
    <row r="25" spans="1:13" ht="14.4" thickBot="1">
      <c r="A25" s="319"/>
      <c r="B25" s="391"/>
      <c r="C25" s="383" t="s">
        <v>12</v>
      </c>
      <c r="D25" s="371">
        <f>D7</f>
        <v>71000</v>
      </c>
      <c r="E25" s="371">
        <v>1</v>
      </c>
      <c r="F25" s="328"/>
      <c r="G25" s="332">
        <v>0</v>
      </c>
      <c r="H25" s="301"/>
      <c r="I25" s="333">
        <f t="shared" si="0"/>
        <v>0</v>
      </c>
      <c r="J25" s="307"/>
      <c r="K25" s="334">
        <f t="shared" si="2"/>
        <v>0</v>
      </c>
      <c r="L25" s="307"/>
      <c r="M25" s="307"/>
    </row>
    <row r="26" spans="1:13">
      <c r="A26" s="319"/>
      <c r="B26" s="335"/>
      <c r="C26" s="336" t="s">
        <v>13</v>
      </c>
      <c r="D26" s="337"/>
      <c r="E26" s="368"/>
      <c r="F26" s="301"/>
      <c r="G26" s="338"/>
      <c r="H26" s="301"/>
      <c r="I26" s="339">
        <f>SUM(I20:I25)</f>
        <v>0</v>
      </c>
      <c r="J26" s="307"/>
      <c r="K26" s="339">
        <f>SUM(K20:K25)</f>
        <v>0</v>
      </c>
      <c r="L26" s="307"/>
      <c r="M26" s="307"/>
    </row>
    <row r="27" spans="1:13" ht="14.4" thickBot="1">
      <c r="A27" s="319"/>
      <c r="B27" s="319"/>
      <c r="C27" s="319"/>
      <c r="D27" s="340"/>
      <c r="E27" s="340"/>
      <c r="F27" s="319"/>
      <c r="G27" s="341"/>
      <c r="H27" s="301"/>
      <c r="I27" s="342"/>
      <c r="J27" s="307"/>
      <c r="K27" s="343"/>
      <c r="L27" s="307"/>
      <c r="M27" s="307"/>
    </row>
    <row r="28" spans="1:13">
      <c r="A28" s="319"/>
      <c r="B28" s="384" t="s">
        <v>154</v>
      </c>
      <c r="C28" s="346"/>
      <c r="D28" s="395" t="s">
        <v>156</v>
      </c>
      <c r="E28" s="396"/>
      <c r="F28" s="342"/>
      <c r="G28" s="387" t="s">
        <v>124</v>
      </c>
      <c r="H28" s="301"/>
      <c r="I28" s="347" t="s">
        <v>7</v>
      </c>
      <c r="J28" s="307"/>
      <c r="K28" s="348" t="s">
        <v>45</v>
      </c>
      <c r="L28" s="307"/>
      <c r="M28" s="307"/>
    </row>
    <row r="29" spans="1:13" ht="14.4" thickBot="1">
      <c r="A29" s="319"/>
      <c r="B29" s="385"/>
      <c r="C29" s="349"/>
      <c r="D29" s="397"/>
      <c r="E29" s="398"/>
      <c r="F29" s="342"/>
      <c r="G29" s="388"/>
      <c r="H29" s="301"/>
      <c r="I29" s="350"/>
      <c r="J29" s="307"/>
      <c r="K29" s="351"/>
      <c r="L29" s="307"/>
      <c r="M29" s="307"/>
    </row>
    <row r="30" spans="1:13">
      <c r="A30" s="319"/>
      <c r="B30" s="385"/>
      <c r="C30" s="353" t="s">
        <v>150</v>
      </c>
      <c r="D30" s="399" t="str">
        <f>D7&amp;(" exemplaren in 1 transport per week")</f>
        <v>71000 exemplaren in 1 transport per week</v>
      </c>
      <c r="E30" s="400"/>
      <c r="F30" s="301"/>
      <c r="G30" s="354">
        <v>0</v>
      </c>
      <c r="H30" s="301"/>
      <c r="I30" s="330">
        <f>G30*$D$11</f>
        <v>0</v>
      </c>
      <c r="J30" s="307"/>
      <c r="K30" s="331">
        <f>I30*$D$14</f>
        <v>0</v>
      </c>
      <c r="L30" s="307"/>
      <c r="M30" s="307"/>
    </row>
    <row r="31" spans="1:13">
      <c r="A31" s="319"/>
      <c r="B31" s="385"/>
      <c r="C31" s="352" t="s">
        <v>158</v>
      </c>
      <c r="D31" s="401" t="str">
        <f>VLOOKUP(C6,lijstjes!$B$39:$F$46,4,FALSE)&amp;(" exemplaren in 1 transport per week")</f>
        <v>700 exemplaren in 1 transport per week</v>
      </c>
      <c r="E31" s="402"/>
      <c r="F31" s="301"/>
      <c r="G31" s="354">
        <v>0</v>
      </c>
      <c r="H31" s="301"/>
      <c r="I31" s="330">
        <f>G31*$D$11</f>
        <v>0</v>
      </c>
      <c r="J31" s="307"/>
      <c r="K31" s="331">
        <f t="shared" ref="K31:K32" si="3">I31*$D$14</f>
        <v>0</v>
      </c>
      <c r="L31" s="307"/>
      <c r="M31" s="307"/>
    </row>
    <row r="32" spans="1:13" ht="14.4" thickBot="1">
      <c r="A32" s="319"/>
      <c r="B32" s="386"/>
      <c r="C32" s="355" t="s">
        <v>152</v>
      </c>
      <c r="D32" s="403" t="s">
        <v>153</v>
      </c>
      <c r="E32" s="404"/>
      <c r="F32" s="301"/>
      <c r="G32" s="356">
        <v>0</v>
      </c>
      <c r="H32" s="301"/>
      <c r="I32" s="344">
        <f t="shared" ref="I32" si="4">G32*$D$11</f>
        <v>0</v>
      </c>
      <c r="J32" s="307"/>
      <c r="K32" s="345">
        <f t="shared" si="3"/>
        <v>0</v>
      </c>
      <c r="L32" s="307"/>
      <c r="M32" s="307"/>
    </row>
    <row r="33" spans="1:13">
      <c r="A33" s="319"/>
      <c r="B33" s="319"/>
      <c r="C33" s="336" t="s">
        <v>13</v>
      </c>
      <c r="D33" s="368"/>
      <c r="E33" s="368"/>
      <c r="F33" s="301"/>
      <c r="G33" s="357"/>
      <c r="H33" s="301"/>
      <c r="I33" s="339">
        <f>SUM(I28:I32)</f>
        <v>0</v>
      </c>
      <c r="J33" s="307"/>
      <c r="K33" s="339">
        <f>SUM(K28:K32)</f>
        <v>0</v>
      </c>
      <c r="L33" s="307"/>
      <c r="M33" s="307"/>
    </row>
    <row r="34" spans="1:13" ht="9" customHeight="1" thickBot="1">
      <c r="A34" s="319"/>
      <c r="B34" s="319"/>
      <c r="C34" s="342"/>
      <c r="D34" s="342"/>
      <c r="E34" s="342"/>
      <c r="F34" s="342"/>
      <c r="G34" s="342"/>
      <c r="H34" s="301"/>
      <c r="I34" s="301"/>
      <c r="J34" s="307"/>
      <c r="K34" s="358"/>
      <c r="L34" s="307"/>
      <c r="M34" s="307"/>
    </row>
    <row r="35" spans="1:13" ht="14.4" thickBot="1">
      <c r="A35" s="319"/>
      <c r="B35" s="321"/>
      <c r="C35" s="359"/>
      <c r="D35" s="360"/>
      <c r="E35" s="360"/>
      <c r="F35" s="360"/>
      <c r="G35" s="360"/>
      <c r="H35" s="360"/>
      <c r="I35" s="361">
        <f>SUM(I20:I25,I30:I32)</f>
        <v>0</v>
      </c>
      <c r="J35" s="307"/>
      <c r="K35" s="362" t="e">
        <f>SUM(K20:K25,#REF!,K31:K32)</f>
        <v>#REF!</v>
      </c>
      <c r="L35" s="307"/>
      <c r="M35" s="307"/>
    </row>
    <row r="36" spans="1:13" ht="9" customHeight="1">
      <c r="A36" s="319"/>
      <c r="B36" s="321"/>
      <c r="C36" s="319"/>
      <c r="D36" s="319"/>
      <c r="E36" s="319"/>
      <c r="F36" s="319"/>
      <c r="G36" s="319"/>
      <c r="H36" s="319"/>
      <c r="I36" s="319"/>
      <c r="J36" s="319"/>
      <c r="K36" s="319"/>
      <c r="L36" s="319"/>
      <c r="M36" s="307"/>
    </row>
    <row r="37" spans="1:13" s="363" customFormat="1" ht="9" customHeight="1">
      <c r="A37" s="342"/>
      <c r="B37" s="342"/>
      <c r="C37" s="342"/>
      <c r="D37" s="342"/>
      <c r="E37" s="342"/>
      <c r="F37" s="342"/>
      <c r="G37" s="342"/>
      <c r="H37" s="307"/>
      <c r="I37" s="307"/>
      <c r="J37" s="307"/>
      <c r="K37" s="307"/>
      <c r="L37" s="307"/>
      <c r="M37" s="342"/>
    </row>
    <row r="38" spans="1:13">
      <c r="K38" s="366"/>
    </row>
    <row r="39" spans="1:13">
      <c r="H39" s="309"/>
    </row>
    <row r="40" spans="1:13">
      <c r="H40" s="309"/>
    </row>
    <row r="41" spans="1:13">
      <c r="H41" s="309"/>
    </row>
    <row r="42" spans="1:13">
      <c r="H42" s="309"/>
    </row>
    <row r="43" spans="1:13">
      <c r="H43" s="309"/>
    </row>
    <row r="44" spans="1:13">
      <c r="H44" s="309"/>
    </row>
  </sheetData>
  <sheetProtection algorithmName="SHA-512" hashValue="S6+sIEcj4fMOVzkqr2mbz4T0Mi6yS5p4VOtVXKNkLrLiCxvyEaCx+vg2Jqj/btqmLXEqFFOXGfiZNR+8VDuAeQ==" saltValue="YAaGfOD8AWMvWhC2XIVJ3Q==" spinCount="100000" sheet="1" objects="1" scenarios="1"/>
  <mergeCells count="10">
    <mergeCell ref="B28:B32"/>
    <mergeCell ref="G28:G29"/>
    <mergeCell ref="B18:B25"/>
    <mergeCell ref="D18:D19"/>
    <mergeCell ref="G18:G19"/>
    <mergeCell ref="E18:E19"/>
    <mergeCell ref="D28:E29"/>
    <mergeCell ref="D30:E30"/>
    <mergeCell ref="D31:E31"/>
    <mergeCell ref="D32:E32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29C7A-9541-45FD-A994-9B155FE49271}">
  <sheetPr>
    <pageSetUpPr fitToPage="1"/>
  </sheetPr>
  <dimension ref="A1:M44"/>
  <sheetViews>
    <sheetView showGridLines="0" zoomScale="90" zoomScaleNormal="90" workbookViewId="0">
      <selection activeCell="G30" sqref="G30"/>
    </sheetView>
  </sheetViews>
  <sheetFormatPr defaultColWidth="9.21875" defaultRowHeight="13.8"/>
  <cols>
    <col min="1" max="1" width="3" style="309" customWidth="1"/>
    <col min="2" max="2" width="8" style="309" customWidth="1"/>
    <col min="3" max="3" width="69.5546875" style="309" customWidth="1"/>
    <col min="4" max="4" width="38" style="309" customWidth="1"/>
    <col min="5" max="5" width="14.21875" style="309" customWidth="1"/>
    <col min="6" max="6" width="12.44140625" style="309" customWidth="1"/>
    <col min="7" max="7" width="14" style="309" customWidth="1"/>
    <col min="8" max="8" width="2.5546875" style="364" customWidth="1"/>
    <col min="9" max="9" width="23.21875" style="309" bestFit="1" customWidth="1"/>
    <col min="10" max="10" width="1.77734375" style="365" customWidth="1"/>
    <col min="11" max="11" width="23.21875" style="309" hidden="1" customWidth="1"/>
    <col min="12" max="12" width="1.77734375" style="365" hidden="1" customWidth="1"/>
    <col min="13" max="13" width="1.77734375" style="365" customWidth="1"/>
    <col min="14" max="16384" width="9.21875" style="309"/>
  </cols>
  <sheetData>
    <row r="1" spans="1:13" ht="14.4" thickBot="1">
      <c r="A1" s="301"/>
      <c r="B1" s="301"/>
      <c r="C1" s="301"/>
      <c r="D1" s="301"/>
      <c r="E1" s="301"/>
      <c r="F1" s="301"/>
      <c r="G1" s="301"/>
      <c r="H1" s="301"/>
      <c r="I1" s="301"/>
      <c r="J1" s="307"/>
      <c r="K1" s="301"/>
      <c r="L1" s="307"/>
      <c r="M1" s="307"/>
    </row>
    <row r="2" spans="1:13" ht="23.4" thickBot="1">
      <c r="A2" s="300"/>
      <c r="B2" s="301"/>
      <c r="C2" s="302" t="s">
        <v>162</v>
      </c>
      <c r="D2" s="303" t="s">
        <v>1</v>
      </c>
      <c r="E2" s="304"/>
      <c r="F2" s="304"/>
      <c r="G2" s="305"/>
      <c r="H2" s="301"/>
      <c r="I2" s="306"/>
      <c r="J2" s="307"/>
      <c r="K2" s="306"/>
      <c r="L2" s="307"/>
      <c r="M2" s="307"/>
    </row>
    <row r="3" spans="1:13" ht="23.4" thickBot="1">
      <c r="A3" s="300"/>
      <c r="B3" s="308"/>
      <c r="C3" s="308"/>
      <c r="D3" s="308"/>
      <c r="E3" s="304"/>
      <c r="F3" s="308"/>
      <c r="G3" s="308"/>
      <c r="H3" s="301"/>
      <c r="I3" s="308"/>
      <c r="J3" s="307"/>
      <c r="K3" s="308"/>
      <c r="L3" s="307"/>
      <c r="M3" s="307"/>
    </row>
    <row r="4" spans="1:13" ht="24" thickTop="1" thickBot="1">
      <c r="A4" s="300"/>
      <c r="B4" s="301"/>
      <c r="C4" s="306" t="s">
        <v>2</v>
      </c>
      <c r="D4" s="310"/>
      <c r="E4" s="304"/>
      <c r="F4" s="304"/>
      <c r="G4" s="305"/>
      <c r="H4" s="301"/>
      <c r="I4" s="308"/>
      <c r="J4" s="307"/>
      <c r="K4" s="308"/>
      <c r="L4" s="307"/>
      <c r="M4" s="307"/>
    </row>
    <row r="5" spans="1:13" ht="23.4" thickTop="1">
      <c r="A5" s="300"/>
      <c r="B5" s="306"/>
      <c r="C5" s="304"/>
      <c r="D5" s="304"/>
      <c r="E5" s="304"/>
      <c r="F5" s="304"/>
      <c r="G5" s="305"/>
      <c r="H5" s="301"/>
      <c r="I5" s="308"/>
      <c r="J5" s="307"/>
      <c r="K5" s="308"/>
      <c r="L5" s="307"/>
      <c r="M5" s="307"/>
    </row>
    <row r="6" spans="1:13" ht="14.4" thickBot="1">
      <c r="A6" s="300"/>
      <c r="B6" s="311" t="s">
        <v>3</v>
      </c>
      <c r="C6" s="312" t="s">
        <v>51</v>
      </c>
      <c r="D6" s="308"/>
      <c r="E6" s="308"/>
      <c r="F6" s="313"/>
      <c r="G6" s="314"/>
      <c r="H6" s="301"/>
      <c r="I6" s="308"/>
      <c r="J6" s="307"/>
      <c r="K6" s="308"/>
      <c r="L6" s="307"/>
      <c r="M6" s="307"/>
    </row>
    <row r="7" spans="1:13" ht="15" thickTop="1" thickBot="1">
      <c r="A7" s="300"/>
      <c r="B7" s="311" t="s">
        <v>3</v>
      </c>
      <c r="C7" s="316" t="s">
        <v>4</v>
      </c>
      <c r="D7" s="373">
        <f>VLOOKUP($C$6,lijstjes!$B$27:$F$34,2,FALSE)</f>
        <v>71000</v>
      </c>
      <c r="E7" s="367"/>
      <c r="F7" s="313"/>
      <c r="G7" s="314"/>
      <c r="H7" s="301"/>
      <c r="I7" s="308"/>
      <c r="J7" s="307"/>
      <c r="K7" s="308"/>
      <c r="L7" s="307"/>
      <c r="M7" s="307"/>
    </row>
    <row r="8" spans="1:13" ht="15" hidden="1" thickTop="1" thickBot="1">
      <c r="A8" s="300"/>
      <c r="B8" s="311" t="s">
        <v>3</v>
      </c>
      <c r="C8" s="315" t="s">
        <v>144</v>
      </c>
      <c r="D8" s="372">
        <f>VLOOKUP($C$6,lijstjes!$B$27:$F$34,4,FALSE)</f>
        <v>71</v>
      </c>
      <c r="E8" s="367"/>
      <c r="F8" s="313"/>
      <c r="G8" s="313"/>
      <c r="H8" s="301"/>
      <c r="I8" s="313"/>
      <c r="J8" s="307"/>
      <c r="K8" s="313"/>
      <c r="L8" s="307"/>
      <c r="M8" s="307"/>
    </row>
    <row r="9" spans="1:13" ht="15" hidden="1" thickTop="1" thickBot="1">
      <c r="A9" s="300"/>
      <c r="B9" s="301"/>
      <c r="C9" s="316" t="s">
        <v>5</v>
      </c>
      <c r="D9" s="373">
        <f>D7+D8</f>
        <v>71071</v>
      </c>
      <c r="E9" s="323"/>
      <c r="F9" s="301"/>
      <c r="G9" s="313"/>
      <c r="H9" s="301"/>
      <c r="I9" s="313"/>
      <c r="J9" s="307"/>
      <c r="K9" s="313"/>
      <c r="L9" s="307"/>
      <c r="M9" s="307"/>
    </row>
    <row r="10" spans="1:13" ht="15" thickTop="1" thickBot="1">
      <c r="A10" s="308"/>
      <c r="B10" s="301"/>
      <c r="C10" s="311"/>
      <c r="D10" s="374"/>
      <c r="E10" s="317"/>
      <c r="F10" s="318"/>
      <c r="G10" s="314"/>
      <c r="H10" s="301"/>
      <c r="I10" s="308"/>
      <c r="J10" s="307"/>
      <c r="K10" s="308"/>
      <c r="L10" s="307"/>
      <c r="M10" s="307"/>
    </row>
    <row r="11" spans="1:13" ht="15" thickTop="1" thickBot="1">
      <c r="A11" s="319"/>
      <c r="B11" s="301"/>
      <c r="C11" s="316" t="s">
        <v>149</v>
      </c>
      <c r="D11" s="373">
        <f>VLOOKUP($C$6,lijstjes!$B$17:$C$23,2,FALSE)</f>
        <v>47</v>
      </c>
      <c r="E11" s="323"/>
      <c r="F11" s="319"/>
      <c r="G11" s="319"/>
      <c r="H11" s="301"/>
      <c r="I11" s="319"/>
      <c r="J11" s="307"/>
      <c r="K11" s="319"/>
      <c r="L11" s="307"/>
      <c r="M11" s="307"/>
    </row>
    <row r="12" spans="1:13" ht="15" hidden="1" thickTop="1" thickBot="1">
      <c r="A12" s="308"/>
      <c r="B12" s="301"/>
      <c r="C12" s="311"/>
      <c r="D12" s="374"/>
      <c r="E12" s="317"/>
      <c r="F12" s="318"/>
      <c r="G12" s="314"/>
      <c r="H12" s="301"/>
      <c r="I12" s="308"/>
      <c r="J12" s="307"/>
      <c r="K12" s="308"/>
      <c r="L12" s="307"/>
      <c r="M12" s="307"/>
    </row>
    <row r="13" spans="1:13" ht="15" hidden="1" thickTop="1" thickBot="1">
      <c r="A13" s="319"/>
      <c r="B13" s="301"/>
      <c r="C13" s="320" t="s">
        <v>6</v>
      </c>
      <c r="D13" s="373">
        <f>ROUND(VLOOKUP(C6,oplage!$A$3:$F$13,6,FALSE),-2)</f>
        <v>11500</v>
      </c>
      <c r="E13" s="323"/>
      <c r="F13" s="319"/>
      <c r="G13" s="319"/>
      <c r="H13" s="301"/>
      <c r="I13" s="319"/>
      <c r="J13" s="307"/>
      <c r="K13" s="319"/>
      <c r="L13" s="307"/>
      <c r="M13" s="307"/>
    </row>
    <row r="14" spans="1:13" ht="15" hidden="1" thickTop="1" thickBot="1">
      <c r="A14" s="319"/>
      <c r="B14" s="321"/>
      <c r="C14" s="316" t="s">
        <v>46</v>
      </c>
      <c r="D14" s="373">
        <v>1</v>
      </c>
      <c r="E14" s="323"/>
      <c r="F14" s="319"/>
      <c r="G14" s="319"/>
      <c r="H14" s="301"/>
      <c r="I14" s="319"/>
      <c r="J14" s="307"/>
      <c r="K14" s="319"/>
      <c r="L14" s="307"/>
      <c r="M14" s="307"/>
    </row>
    <row r="15" spans="1:13" ht="27.6" hidden="1" thickTop="1" thickBot="1">
      <c r="A15" s="319"/>
      <c r="B15" s="301"/>
      <c r="C15" s="320" t="s">
        <v>151</v>
      </c>
      <c r="D15" s="373">
        <f>ROUND(VLOOKUP($C$6,lijstjes!$B$39:$F$46,3,FALSE),-2)</f>
        <v>18400</v>
      </c>
      <c r="E15" s="323"/>
      <c r="F15" s="319"/>
      <c r="G15" s="319"/>
      <c r="H15" s="301"/>
      <c r="I15" s="319"/>
      <c r="J15" s="307"/>
      <c r="K15" s="319"/>
      <c r="L15" s="307"/>
      <c r="M15" s="307"/>
    </row>
    <row r="16" spans="1:13" ht="14.4" thickTop="1">
      <c r="A16" s="319"/>
      <c r="B16" s="321"/>
      <c r="C16" s="322"/>
      <c r="D16" s="323"/>
      <c r="E16" s="323"/>
      <c r="F16" s="319"/>
      <c r="G16" s="319"/>
      <c r="H16" s="301"/>
      <c r="I16" s="319"/>
      <c r="J16" s="307"/>
      <c r="K16" s="319"/>
      <c r="L16" s="307"/>
      <c r="M16" s="307"/>
    </row>
    <row r="17" spans="1:13" ht="5.25" customHeight="1" thickBot="1">
      <c r="A17" s="319"/>
      <c r="B17" s="301"/>
      <c r="C17" s="319"/>
      <c r="D17" s="301"/>
      <c r="E17" s="301"/>
      <c r="F17" s="301"/>
      <c r="G17" s="301"/>
      <c r="H17" s="301"/>
      <c r="I17" s="301"/>
      <c r="J17" s="307"/>
      <c r="K17" s="301"/>
      <c r="L17" s="307"/>
      <c r="M17" s="307"/>
    </row>
    <row r="18" spans="1:13" ht="14.4" thickTop="1">
      <c r="A18" s="319"/>
      <c r="B18" s="389" t="s">
        <v>157</v>
      </c>
      <c r="C18" s="379"/>
      <c r="D18" s="392" t="s">
        <v>155</v>
      </c>
      <c r="E18" s="392" t="s">
        <v>50</v>
      </c>
      <c r="F18" s="301"/>
      <c r="G18" s="387" t="s">
        <v>34</v>
      </c>
      <c r="H18" s="301"/>
      <c r="I18" s="324" t="s">
        <v>7</v>
      </c>
      <c r="J18" s="307"/>
      <c r="K18" s="325" t="s">
        <v>81</v>
      </c>
      <c r="L18" s="307"/>
      <c r="M18" s="307"/>
    </row>
    <row r="19" spans="1:13">
      <c r="A19" s="319"/>
      <c r="B19" s="390"/>
      <c r="C19" s="380"/>
      <c r="D19" s="393"/>
      <c r="E19" s="394"/>
      <c r="F19" s="301"/>
      <c r="G19" s="388"/>
      <c r="H19" s="301"/>
      <c r="I19" s="326"/>
      <c r="J19" s="307"/>
      <c r="K19" s="327"/>
      <c r="L19" s="307"/>
      <c r="M19" s="307"/>
    </row>
    <row r="20" spans="1:13">
      <c r="A20" s="319"/>
      <c r="B20" s="390"/>
      <c r="C20" s="381" t="s">
        <v>8</v>
      </c>
      <c r="D20" s="370">
        <f>D7</f>
        <v>71000</v>
      </c>
      <c r="E20" s="370">
        <f>D11</f>
        <v>47</v>
      </c>
      <c r="F20" s="328">
        <v>1</v>
      </c>
      <c r="G20" s="329">
        <v>0</v>
      </c>
      <c r="H20" s="301"/>
      <c r="I20" s="330">
        <f>G20/1000*(D20*E20)</f>
        <v>0</v>
      </c>
      <c r="J20" s="307"/>
      <c r="K20" s="331">
        <f>I20*$D$14</f>
        <v>0</v>
      </c>
      <c r="L20" s="307"/>
      <c r="M20" s="307"/>
    </row>
    <row r="21" spans="1:13">
      <c r="A21" s="319"/>
      <c r="B21" s="390"/>
      <c r="C21" s="382" t="s">
        <v>159</v>
      </c>
      <c r="D21" s="370">
        <f>D20</f>
        <v>71000</v>
      </c>
      <c r="E21" s="370">
        <v>28</v>
      </c>
      <c r="F21" s="328"/>
      <c r="G21" s="329">
        <v>0</v>
      </c>
      <c r="H21" s="301"/>
      <c r="I21" s="330">
        <f t="shared" ref="I21:I25" si="0">G21/1000*D21*E21</f>
        <v>0</v>
      </c>
      <c r="J21" s="307"/>
      <c r="K21" s="331">
        <f t="shared" ref="K21:K25" si="1">I21*$D$14</f>
        <v>0</v>
      </c>
      <c r="L21" s="307"/>
      <c r="M21" s="307"/>
    </row>
    <row r="22" spans="1:13">
      <c r="A22" s="319"/>
      <c r="B22" s="390"/>
      <c r="C22" s="382" t="s">
        <v>9</v>
      </c>
      <c r="D22" s="370">
        <v>0</v>
      </c>
      <c r="E22" s="370">
        <v>0</v>
      </c>
      <c r="F22" s="328"/>
      <c r="G22" s="329">
        <v>0</v>
      </c>
      <c r="H22" s="301"/>
      <c r="I22" s="330">
        <f t="shared" si="0"/>
        <v>0</v>
      </c>
      <c r="J22" s="307"/>
      <c r="K22" s="331">
        <f t="shared" si="1"/>
        <v>0</v>
      </c>
      <c r="L22" s="307"/>
      <c r="M22" s="307"/>
    </row>
    <row r="23" spans="1:13">
      <c r="A23" s="319"/>
      <c r="B23" s="390"/>
      <c r="C23" s="382" t="s">
        <v>10</v>
      </c>
      <c r="D23" s="370">
        <f>D20</f>
        <v>71000</v>
      </c>
      <c r="E23" s="370">
        <v>28</v>
      </c>
      <c r="F23" s="328"/>
      <c r="G23" s="329">
        <v>0</v>
      </c>
      <c r="H23" s="301"/>
      <c r="I23" s="330">
        <f t="shared" si="0"/>
        <v>0</v>
      </c>
      <c r="J23" s="307"/>
      <c r="K23" s="331">
        <f t="shared" si="1"/>
        <v>0</v>
      </c>
      <c r="L23" s="307"/>
      <c r="M23" s="307"/>
    </row>
    <row r="24" spans="1:13">
      <c r="A24" s="319"/>
      <c r="B24" s="390"/>
      <c r="C24" s="382" t="s">
        <v>11</v>
      </c>
      <c r="D24" s="370">
        <f>D20</f>
        <v>71000</v>
      </c>
      <c r="E24" s="370">
        <v>2</v>
      </c>
      <c r="F24" s="328"/>
      <c r="G24" s="329">
        <v>0</v>
      </c>
      <c r="H24" s="301"/>
      <c r="I24" s="330">
        <f t="shared" si="0"/>
        <v>0</v>
      </c>
      <c r="J24" s="307"/>
      <c r="K24" s="331">
        <f t="shared" si="1"/>
        <v>0</v>
      </c>
      <c r="L24" s="307"/>
      <c r="M24" s="307"/>
    </row>
    <row r="25" spans="1:13" ht="14.4" thickBot="1">
      <c r="A25" s="319"/>
      <c r="B25" s="391"/>
      <c r="C25" s="383" t="s">
        <v>12</v>
      </c>
      <c r="D25" s="371">
        <f>D7</f>
        <v>71000</v>
      </c>
      <c r="E25" s="371">
        <v>1</v>
      </c>
      <c r="F25" s="328"/>
      <c r="G25" s="332">
        <v>0</v>
      </c>
      <c r="H25" s="301"/>
      <c r="I25" s="333">
        <f t="shared" si="0"/>
        <v>0</v>
      </c>
      <c r="J25" s="307"/>
      <c r="K25" s="334">
        <f t="shared" si="1"/>
        <v>0</v>
      </c>
      <c r="L25" s="307"/>
      <c r="M25" s="307"/>
    </row>
    <row r="26" spans="1:13">
      <c r="A26" s="319"/>
      <c r="B26" s="335"/>
      <c r="C26" s="336" t="s">
        <v>13</v>
      </c>
      <c r="D26" s="337"/>
      <c r="E26" s="368"/>
      <c r="F26" s="301"/>
      <c r="G26" s="338"/>
      <c r="H26" s="301"/>
      <c r="I26" s="339">
        <f>SUM(I20:I25)</f>
        <v>0</v>
      </c>
      <c r="J26" s="307"/>
      <c r="K26" s="339">
        <f>SUM(K20:K25)</f>
        <v>0</v>
      </c>
      <c r="L26" s="307"/>
      <c r="M26" s="307"/>
    </row>
    <row r="27" spans="1:13" ht="14.4" thickBot="1">
      <c r="A27" s="319"/>
      <c r="B27" s="319"/>
      <c r="C27" s="319"/>
      <c r="D27" s="340"/>
      <c r="E27" s="340"/>
      <c r="F27" s="319"/>
      <c r="G27" s="341"/>
      <c r="H27" s="301"/>
      <c r="I27" s="342"/>
      <c r="J27" s="307"/>
      <c r="K27" s="343"/>
      <c r="L27" s="307"/>
      <c r="M27" s="307"/>
    </row>
    <row r="28" spans="1:13">
      <c r="A28" s="319"/>
      <c r="B28" s="384" t="s">
        <v>154</v>
      </c>
      <c r="C28" s="346"/>
      <c r="D28" s="395" t="s">
        <v>156</v>
      </c>
      <c r="E28" s="396"/>
      <c r="F28" s="342"/>
      <c r="G28" s="387" t="s">
        <v>124</v>
      </c>
      <c r="H28" s="301"/>
      <c r="I28" s="347" t="s">
        <v>7</v>
      </c>
      <c r="J28" s="307"/>
      <c r="K28" s="348" t="s">
        <v>45</v>
      </c>
      <c r="L28" s="307"/>
      <c r="M28" s="307"/>
    </row>
    <row r="29" spans="1:13" ht="14.4" thickBot="1">
      <c r="A29" s="319"/>
      <c r="B29" s="385"/>
      <c r="C29" s="349"/>
      <c r="D29" s="397"/>
      <c r="E29" s="398"/>
      <c r="F29" s="342"/>
      <c r="G29" s="388"/>
      <c r="H29" s="301"/>
      <c r="I29" s="350"/>
      <c r="J29" s="307"/>
      <c r="K29" s="351"/>
      <c r="L29" s="307"/>
      <c r="M29" s="307"/>
    </row>
    <row r="30" spans="1:13">
      <c r="A30" s="319"/>
      <c r="B30" s="385"/>
      <c r="C30" s="353" t="s">
        <v>150</v>
      </c>
      <c r="D30" s="399" t="str">
        <f>D7&amp;(" exemplaren in 1 transport per week")</f>
        <v>71000 exemplaren in 1 transport per week</v>
      </c>
      <c r="E30" s="400"/>
      <c r="F30" s="301"/>
      <c r="G30" s="354">
        <v>0</v>
      </c>
      <c r="H30" s="301"/>
      <c r="I30" s="330">
        <f>G30*$D$11</f>
        <v>0</v>
      </c>
      <c r="J30" s="307"/>
      <c r="K30" s="331">
        <f>I30*$D$14</f>
        <v>0</v>
      </c>
      <c r="L30" s="307"/>
      <c r="M30" s="307"/>
    </row>
    <row r="31" spans="1:13">
      <c r="A31" s="319"/>
      <c r="B31" s="385"/>
      <c r="C31" s="352" t="s">
        <v>158</v>
      </c>
      <c r="D31" s="401" t="str">
        <f>VLOOKUP(C6,lijstjes!$B$39:$F$46,4,FALSE)&amp;(" exemplaren in 1 transport per week")</f>
        <v>700 exemplaren in 1 transport per week</v>
      </c>
      <c r="E31" s="402"/>
      <c r="F31" s="301"/>
      <c r="G31" s="329">
        <v>0</v>
      </c>
      <c r="H31" s="301"/>
      <c r="I31" s="330">
        <f>G31*$D$11</f>
        <v>0</v>
      </c>
      <c r="J31" s="307"/>
      <c r="K31" s="331">
        <f t="shared" ref="K31:K32" si="2">I31*$D$14</f>
        <v>0</v>
      </c>
      <c r="L31" s="307"/>
      <c r="M31" s="307"/>
    </row>
    <row r="32" spans="1:13" ht="14.4" thickBot="1">
      <c r="A32" s="319"/>
      <c r="B32" s="386"/>
      <c r="C32" s="355" t="s">
        <v>152</v>
      </c>
      <c r="D32" s="403" t="s">
        <v>153</v>
      </c>
      <c r="E32" s="404"/>
      <c r="F32" s="301"/>
      <c r="G32" s="356">
        <v>0</v>
      </c>
      <c r="H32" s="301"/>
      <c r="I32" s="344">
        <f t="shared" ref="I32" si="3">G32*$D$11</f>
        <v>0</v>
      </c>
      <c r="J32" s="307"/>
      <c r="K32" s="345">
        <f t="shared" si="2"/>
        <v>0</v>
      </c>
      <c r="L32" s="307"/>
      <c r="M32" s="307"/>
    </row>
    <row r="33" spans="1:13">
      <c r="A33" s="319"/>
      <c r="B33" s="319"/>
      <c r="C33" s="336" t="s">
        <v>13</v>
      </c>
      <c r="D33" s="368"/>
      <c r="E33" s="368"/>
      <c r="F33" s="301"/>
      <c r="G33" s="357"/>
      <c r="H33" s="301"/>
      <c r="I33" s="339">
        <f>SUM(I28:I32)</f>
        <v>0</v>
      </c>
      <c r="J33" s="307"/>
      <c r="K33" s="339">
        <f>SUM(K28:K32)</f>
        <v>0</v>
      </c>
      <c r="L33" s="307"/>
      <c r="M33" s="307"/>
    </row>
    <row r="34" spans="1:13" ht="9" customHeight="1" thickBot="1">
      <c r="A34" s="319"/>
      <c r="B34" s="319"/>
      <c r="C34" s="342"/>
      <c r="D34" s="342"/>
      <c r="E34" s="342"/>
      <c r="F34" s="342"/>
      <c r="G34" s="342"/>
      <c r="H34" s="301"/>
      <c r="I34" s="301"/>
      <c r="J34" s="307"/>
      <c r="K34" s="358"/>
      <c r="L34" s="307"/>
      <c r="M34" s="307"/>
    </row>
    <row r="35" spans="1:13" ht="14.4" thickBot="1">
      <c r="A35" s="319"/>
      <c r="B35" s="321"/>
      <c r="C35" s="359"/>
      <c r="D35" s="360"/>
      <c r="E35" s="360"/>
      <c r="F35" s="360"/>
      <c r="G35" s="360"/>
      <c r="H35" s="360"/>
      <c r="I35" s="361">
        <f>SUM(I20:I25,I30:I32)</f>
        <v>0</v>
      </c>
      <c r="J35" s="307"/>
      <c r="K35" s="362" t="e">
        <f>SUM(K20:K25,#REF!,K31:K32)</f>
        <v>#REF!</v>
      </c>
      <c r="L35" s="307"/>
      <c r="M35" s="307"/>
    </row>
    <row r="36" spans="1:13" ht="9" customHeight="1">
      <c r="A36" s="319"/>
      <c r="B36" s="321"/>
      <c r="C36" s="319"/>
      <c r="D36" s="319"/>
      <c r="E36" s="319"/>
      <c r="F36" s="319"/>
      <c r="G36" s="319"/>
      <c r="H36" s="319"/>
      <c r="I36" s="319"/>
      <c r="J36" s="319"/>
      <c r="K36" s="319"/>
      <c r="L36" s="319"/>
      <c r="M36" s="307"/>
    </row>
    <row r="37" spans="1:13" s="363" customFormat="1" ht="9" customHeight="1">
      <c r="A37" s="342"/>
      <c r="B37" s="342"/>
      <c r="C37" s="342"/>
      <c r="D37" s="342"/>
      <c r="E37" s="342"/>
      <c r="F37" s="342"/>
      <c r="G37" s="342"/>
      <c r="H37" s="307"/>
      <c r="I37" s="307"/>
      <c r="J37" s="307"/>
      <c r="K37" s="307"/>
      <c r="L37" s="307"/>
      <c r="M37" s="342"/>
    </row>
    <row r="38" spans="1:13">
      <c r="K38" s="366"/>
    </row>
    <row r="39" spans="1:13">
      <c r="H39" s="309"/>
    </row>
    <row r="40" spans="1:13">
      <c r="H40" s="309"/>
    </row>
    <row r="41" spans="1:13">
      <c r="H41" s="309"/>
    </row>
    <row r="42" spans="1:13">
      <c r="H42" s="309"/>
    </row>
    <row r="43" spans="1:13">
      <c r="H43" s="309"/>
    </row>
    <row r="44" spans="1:13">
      <c r="H44" s="309"/>
    </row>
  </sheetData>
  <sheetProtection algorithmName="SHA-512" hashValue="x8p50wWaZdxk/vTDxJOvhMZDSx6byEvDZ/zKdOypmBRaS8NvlUbHtYtZu7U61+mclC2rleD4/HeMwQzpq67WEg==" saltValue="69CaMkOzy1bhrPzX0Oj/kA==" spinCount="100000" sheet="1" objects="1" scenarios="1"/>
  <mergeCells count="10">
    <mergeCell ref="G18:G19"/>
    <mergeCell ref="B28:B32"/>
    <mergeCell ref="D28:E29"/>
    <mergeCell ref="G28:G29"/>
    <mergeCell ref="D30:E30"/>
    <mergeCell ref="D31:E31"/>
    <mergeCell ref="D32:E32"/>
    <mergeCell ref="B18:B25"/>
    <mergeCell ref="D18:D19"/>
    <mergeCell ref="E18:E19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theme="9" tint="-0.249977111117893"/>
  </sheetPr>
  <dimension ref="A1:AK58"/>
  <sheetViews>
    <sheetView showGridLines="0" topLeftCell="A25" zoomScale="80" zoomScaleNormal="80" workbookViewId="0">
      <selection activeCell="D27" sqref="D27:E27"/>
    </sheetView>
  </sheetViews>
  <sheetFormatPr defaultRowHeight="14.4"/>
  <cols>
    <col min="1" max="1" width="15.77734375" customWidth="1"/>
    <col min="2" max="2" width="20.77734375" customWidth="1"/>
    <col min="3" max="3" width="15.77734375" customWidth="1"/>
    <col min="4" max="4" width="11.5546875" customWidth="1"/>
    <col min="5" max="5" width="19.77734375" customWidth="1"/>
    <col min="6" max="6" width="23.21875" customWidth="1"/>
    <col min="7" max="7" width="9" customWidth="1"/>
    <col min="10" max="11" width="16.77734375" customWidth="1"/>
    <col min="12" max="12" width="25.5546875" bestFit="1" customWidth="1"/>
    <col min="13" max="14" width="20.21875" customWidth="1"/>
    <col min="18" max="18" width="13.77734375" customWidth="1"/>
    <col min="31" max="31" width="5.5546875" customWidth="1"/>
    <col min="32" max="32" width="16.44140625" customWidth="1"/>
    <col min="33" max="34" width="23.5546875" customWidth="1"/>
    <col min="35" max="35" width="24.77734375" customWidth="1"/>
    <col min="36" max="36" width="23.5546875" customWidth="1"/>
    <col min="37" max="44" width="19.77734375" customWidth="1"/>
  </cols>
  <sheetData>
    <row r="1" spans="1:37" ht="20.25" customHeight="1" thickBot="1">
      <c r="I1" s="412" t="s">
        <v>79</v>
      </c>
      <c r="J1" s="413"/>
      <c r="K1" s="413"/>
      <c r="L1" s="413"/>
      <c r="M1" s="413"/>
      <c r="N1" s="413"/>
      <c r="O1" s="414"/>
      <c r="Q1" s="412" t="s">
        <v>86</v>
      </c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4"/>
      <c r="AE1" s="410" t="s">
        <v>103</v>
      </c>
      <c r="AF1" s="411"/>
      <c r="AG1" s="411"/>
      <c r="AH1" s="411"/>
      <c r="AI1" s="411"/>
      <c r="AJ1" s="411"/>
    </row>
    <row r="2" spans="1:37" ht="42" customHeight="1" thickBot="1">
      <c r="A2" s="418" t="s">
        <v>21</v>
      </c>
      <c r="B2" s="419"/>
      <c r="C2" s="420"/>
      <c r="E2" s="421" t="s">
        <v>78</v>
      </c>
      <c r="F2" s="422"/>
      <c r="I2" s="46"/>
      <c r="J2" s="47" t="s">
        <v>75</v>
      </c>
      <c r="K2" s="47"/>
      <c r="L2" s="47" t="s">
        <v>25</v>
      </c>
      <c r="M2" s="50" t="s">
        <v>74</v>
      </c>
      <c r="N2" s="49" t="s">
        <v>15</v>
      </c>
      <c r="O2" s="49"/>
      <c r="Q2" s="53"/>
      <c r="R2" s="51" t="s">
        <v>75</v>
      </c>
      <c r="S2" s="52">
        <v>80</v>
      </c>
      <c r="T2" s="52">
        <v>88</v>
      </c>
      <c r="U2" s="52">
        <v>96</v>
      </c>
      <c r="V2" s="52">
        <v>104</v>
      </c>
      <c r="W2" s="52">
        <v>128</v>
      </c>
      <c r="X2" s="52">
        <v>156</v>
      </c>
      <c r="Y2" s="52">
        <v>168</v>
      </c>
      <c r="Z2" s="52">
        <v>176</v>
      </c>
      <c r="AA2" s="52">
        <v>180</v>
      </c>
      <c r="AB2" s="78">
        <v>184</v>
      </c>
      <c r="AE2" s="106"/>
      <c r="AF2" s="107" t="s">
        <v>75</v>
      </c>
      <c r="AG2" s="110" t="s">
        <v>102</v>
      </c>
      <c r="AH2" s="111" t="s">
        <v>31</v>
      </c>
      <c r="AI2" s="112" t="s">
        <v>32</v>
      </c>
      <c r="AJ2" s="116" t="s">
        <v>14</v>
      </c>
    </row>
    <row r="3" spans="1:37">
      <c r="A3" s="38">
        <v>1</v>
      </c>
      <c r="B3" s="34" t="s">
        <v>47</v>
      </c>
      <c r="C3" s="35">
        <v>2</v>
      </c>
      <c r="E3" s="69" t="s">
        <v>0</v>
      </c>
      <c r="F3" s="65" t="s">
        <v>1</v>
      </c>
      <c r="I3" s="69">
        <v>1</v>
      </c>
      <c r="J3" s="69" t="s">
        <v>51</v>
      </c>
      <c r="K3" s="14"/>
      <c r="L3" s="14" t="s">
        <v>82</v>
      </c>
      <c r="M3" s="57">
        <v>51</v>
      </c>
      <c r="N3" s="289">
        <v>500</v>
      </c>
      <c r="O3" s="66"/>
      <c r="Q3" s="38">
        <v>1</v>
      </c>
      <c r="R3" s="45" t="s">
        <v>51</v>
      </c>
      <c r="S3" s="136" t="s">
        <v>76</v>
      </c>
      <c r="T3" s="136" t="s">
        <v>77</v>
      </c>
      <c r="U3" s="136" t="s">
        <v>77</v>
      </c>
      <c r="V3" s="136" t="s">
        <v>76</v>
      </c>
      <c r="W3" s="136" t="s">
        <v>76</v>
      </c>
      <c r="X3" s="136" t="s">
        <v>77</v>
      </c>
      <c r="Y3" s="136" t="s">
        <v>77</v>
      </c>
      <c r="Z3" s="136" t="s">
        <v>76</v>
      </c>
      <c r="AA3" s="136" t="s">
        <v>76</v>
      </c>
      <c r="AB3" s="124" t="s">
        <v>76</v>
      </c>
      <c r="AE3" s="38">
        <v>1</v>
      </c>
      <c r="AF3" s="108" t="s">
        <v>51</v>
      </c>
      <c r="AG3" s="113" t="s">
        <v>77</v>
      </c>
      <c r="AH3" s="45">
        <v>47</v>
      </c>
      <c r="AI3" s="45">
        <v>0</v>
      </c>
      <c r="AJ3" s="117">
        <f>SUM(AH3:AI3)</f>
        <v>47</v>
      </c>
    </row>
    <row r="4" spans="1:37" ht="15" thickBot="1">
      <c r="A4" s="39">
        <v>2</v>
      </c>
      <c r="B4" s="33" t="s">
        <v>48</v>
      </c>
      <c r="C4" s="36"/>
      <c r="E4" s="57" t="s">
        <v>66</v>
      </c>
      <c r="F4" s="57" t="s">
        <v>51</v>
      </c>
      <c r="I4" s="59">
        <v>2</v>
      </c>
      <c r="J4" s="57" t="s">
        <v>60</v>
      </c>
      <c r="K4" s="14"/>
      <c r="L4" s="14" t="s">
        <v>134</v>
      </c>
      <c r="M4" s="57">
        <v>52</v>
      </c>
      <c r="N4" s="289">
        <v>500</v>
      </c>
      <c r="O4" s="65"/>
      <c r="Q4" s="48">
        <v>2</v>
      </c>
      <c r="R4" s="45" t="s">
        <v>60</v>
      </c>
      <c r="S4" s="136" t="s">
        <v>76</v>
      </c>
      <c r="T4" s="136" t="s">
        <v>77</v>
      </c>
      <c r="U4" s="136" t="s">
        <v>77</v>
      </c>
      <c r="V4" s="136" t="s">
        <v>77</v>
      </c>
      <c r="W4" s="136" t="s">
        <v>76</v>
      </c>
      <c r="X4" s="136" t="s">
        <v>76</v>
      </c>
      <c r="Y4" s="136" t="s">
        <v>76</v>
      </c>
      <c r="Z4" s="136" t="s">
        <v>77</v>
      </c>
      <c r="AA4" s="136" t="s">
        <v>76</v>
      </c>
      <c r="AB4" s="124" t="s">
        <v>76</v>
      </c>
      <c r="AE4" s="48">
        <v>2</v>
      </c>
      <c r="AF4" s="45" t="s">
        <v>60</v>
      </c>
      <c r="AG4" s="114" t="s">
        <v>77</v>
      </c>
      <c r="AH4" s="45">
        <v>51</v>
      </c>
      <c r="AI4" s="45">
        <v>0</v>
      </c>
      <c r="AJ4" s="118">
        <f>SUM(AH4:AI4)</f>
        <v>51</v>
      </c>
    </row>
    <row r="5" spans="1:37">
      <c r="E5" s="57" t="s">
        <v>67</v>
      </c>
      <c r="F5" s="57" t="s">
        <v>60</v>
      </c>
      <c r="I5" s="59">
        <v>3</v>
      </c>
      <c r="J5" s="57" t="s">
        <v>61</v>
      </c>
      <c r="K5" s="14"/>
      <c r="L5" s="14" t="s">
        <v>135</v>
      </c>
      <c r="M5" s="57">
        <v>52</v>
      </c>
      <c r="N5" s="289">
        <v>500</v>
      </c>
      <c r="O5" s="65"/>
      <c r="Q5" s="48">
        <v>3</v>
      </c>
      <c r="R5" s="45" t="s">
        <v>61</v>
      </c>
      <c r="S5" s="136" t="s">
        <v>76</v>
      </c>
      <c r="T5" s="136" t="s">
        <v>76</v>
      </c>
      <c r="U5" s="136" t="s">
        <v>76</v>
      </c>
      <c r="V5" s="136" t="s">
        <v>76</v>
      </c>
      <c r="W5" s="136" t="s">
        <v>77</v>
      </c>
      <c r="X5" s="136" t="s">
        <v>76</v>
      </c>
      <c r="Y5" s="136" t="s">
        <v>76</v>
      </c>
      <c r="Z5" s="136" t="s">
        <v>76</v>
      </c>
      <c r="AA5" s="136" t="s">
        <v>76</v>
      </c>
      <c r="AB5" s="124" t="s">
        <v>76</v>
      </c>
      <c r="AE5" s="48">
        <v>3</v>
      </c>
      <c r="AF5" s="45" t="s">
        <v>61</v>
      </c>
      <c r="AG5" s="114" t="s">
        <v>77</v>
      </c>
      <c r="AH5" s="45"/>
      <c r="AI5" s="45">
        <v>26</v>
      </c>
      <c r="AJ5" s="118">
        <f t="shared" ref="AJ5:AJ9" si="0">SUM(AH5:AI5)</f>
        <v>26</v>
      </c>
    </row>
    <row r="6" spans="1:37" ht="15" thickBot="1">
      <c r="E6" s="57" t="s">
        <v>68</v>
      </c>
      <c r="F6" s="57" t="s">
        <v>61</v>
      </c>
      <c r="I6" s="59">
        <v>4</v>
      </c>
      <c r="J6" s="57" t="s">
        <v>62</v>
      </c>
      <c r="K6" s="14"/>
      <c r="L6" s="14" t="s">
        <v>82</v>
      </c>
      <c r="M6" s="57">
        <v>51</v>
      </c>
      <c r="N6" s="289">
        <v>500</v>
      </c>
      <c r="O6" s="65"/>
      <c r="Q6" s="48">
        <v>4</v>
      </c>
      <c r="R6" s="45" t="s">
        <v>62</v>
      </c>
      <c r="S6" s="136" t="s">
        <v>76</v>
      </c>
      <c r="T6" s="136" t="s">
        <v>77</v>
      </c>
      <c r="U6" s="136" t="s">
        <v>77</v>
      </c>
      <c r="V6" s="136" t="s">
        <v>76</v>
      </c>
      <c r="W6" s="136" t="s">
        <v>76</v>
      </c>
      <c r="X6" s="136" t="s">
        <v>77</v>
      </c>
      <c r="Y6" s="136" t="s">
        <v>77</v>
      </c>
      <c r="Z6" s="136" t="s">
        <v>76</v>
      </c>
      <c r="AA6" s="136" t="s">
        <v>76</v>
      </c>
      <c r="AB6" s="124" t="s">
        <v>76</v>
      </c>
      <c r="AE6" s="48">
        <v>4</v>
      </c>
      <c r="AF6" s="123" t="s">
        <v>62</v>
      </c>
      <c r="AG6" s="124" t="s">
        <v>76</v>
      </c>
      <c r="AH6" s="123"/>
      <c r="AI6" s="123"/>
      <c r="AJ6" s="125">
        <f t="shared" si="0"/>
        <v>0</v>
      </c>
    </row>
    <row r="7" spans="1:37" ht="15" thickBot="1">
      <c r="A7" s="418" t="s">
        <v>22</v>
      </c>
      <c r="B7" s="419"/>
      <c r="C7" s="420"/>
      <c r="E7" s="57" t="s">
        <v>69</v>
      </c>
      <c r="F7" s="57" t="s">
        <v>62</v>
      </c>
      <c r="I7" s="59">
        <v>5</v>
      </c>
      <c r="J7" s="57" t="s">
        <v>63</v>
      </c>
      <c r="K7" s="14"/>
      <c r="L7" s="14" t="s">
        <v>82</v>
      </c>
      <c r="M7" s="57">
        <v>56</v>
      </c>
      <c r="N7" s="289">
        <v>500</v>
      </c>
      <c r="O7" s="65"/>
      <c r="Q7" s="48">
        <v>5</v>
      </c>
      <c r="R7" s="45" t="s">
        <v>63</v>
      </c>
      <c r="S7" s="136" t="s">
        <v>76</v>
      </c>
      <c r="T7" s="136" t="s">
        <v>77</v>
      </c>
      <c r="U7" s="136" t="s">
        <v>77</v>
      </c>
      <c r="V7" s="136" t="s">
        <v>76</v>
      </c>
      <c r="W7" s="136" t="s">
        <v>76</v>
      </c>
      <c r="X7" s="136" t="s">
        <v>77</v>
      </c>
      <c r="Y7" s="136" t="s">
        <v>77</v>
      </c>
      <c r="Z7" s="136" t="s">
        <v>76</v>
      </c>
      <c r="AA7" s="136" t="s">
        <v>76</v>
      </c>
      <c r="AB7" s="124" t="s">
        <v>76</v>
      </c>
      <c r="AE7" s="48">
        <v>5</v>
      </c>
      <c r="AF7" s="45" t="s">
        <v>63</v>
      </c>
      <c r="AG7" s="114" t="s">
        <v>77</v>
      </c>
      <c r="AH7" s="45">
        <v>45</v>
      </c>
      <c r="AI7" s="45">
        <v>0</v>
      </c>
      <c r="AJ7" s="118">
        <f>SUM(AH7:AI7)</f>
        <v>45</v>
      </c>
    </row>
    <row r="8" spans="1:37">
      <c r="A8" s="38">
        <v>1</v>
      </c>
      <c r="B8" s="34" t="str">
        <f>IF('drukkers NIET GEBRUIKEN '!$O$3="nee","Niet van toepassing","Diepdruk")</f>
        <v>Diepdruk</v>
      </c>
      <c r="C8" s="35">
        <v>2</v>
      </c>
      <c r="E8" s="57" t="s">
        <v>70</v>
      </c>
      <c r="F8" s="57" t="s">
        <v>63</v>
      </c>
      <c r="I8" s="59">
        <v>6</v>
      </c>
      <c r="J8" s="57" t="s">
        <v>64</v>
      </c>
      <c r="K8" s="14"/>
      <c r="L8" s="14" t="s">
        <v>82</v>
      </c>
      <c r="M8" s="57">
        <v>51</v>
      </c>
      <c r="N8" s="289">
        <v>500</v>
      </c>
      <c r="O8" s="65"/>
      <c r="Q8" s="48">
        <v>6</v>
      </c>
      <c r="R8" s="45" t="s">
        <v>64</v>
      </c>
      <c r="S8" s="136" t="s">
        <v>76</v>
      </c>
      <c r="T8" s="136" t="s">
        <v>77</v>
      </c>
      <c r="U8" s="136" t="s">
        <v>77</v>
      </c>
      <c r="V8" s="136" t="s">
        <v>76</v>
      </c>
      <c r="W8" s="136" t="s">
        <v>76</v>
      </c>
      <c r="X8" s="136" t="s">
        <v>77</v>
      </c>
      <c r="Y8" s="136" t="s">
        <v>77</v>
      </c>
      <c r="Z8" s="136" t="s">
        <v>76</v>
      </c>
      <c r="AA8" s="136" t="s">
        <v>76</v>
      </c>
      <c r="AB8" s="124" t="s">
        <v>76</v>
      </c>
      <c r="AE8" s="48">
        <v>6</v>
      </c>
      <c r="AF8" s="123" t="s">
        <v>64</v>
      </c>
      <c r="AG8" s="124" t="s">
        <v>76</v>
      </c>
      <c r="AH8" s="123"/>
      <c r="AI8" s="123"/>
      <c r="AJ8" s="125">
        <f t="shared" si="0"/>
        <v>0</v>
      </c>
    </row>
    <row r="9" spans="1:37" ht="15" thickBot="1">
      <c r="A9" s="39">
        <v>2</v>
      </c>
      <c r="B9" s="33" t="str">
        <f>IF('drukkers NIET GEBRUIKEN '!$O$3="nee","Niet van toepassing","Rotatie offset")</f>
        <v>Rotatie offset</v>
      </c>
      <c r="C9" s="36"/>
      <c r="E9" s="57" t="s">
        <v>71</v>
      </c>
      <c r="F9" s="57" t="s">
        <v>64</v>
      </c>
      <c r="I9" s="60">
        <v>7</v>
      </c>
      <c r="J9" s="61" t="s">
        <v>65</v>
      </c>
      <c r="K9" s="67"/>
      <c r="L9" s="67" t="s">
        <v>84</v>
      </c>
      <c r="M9" s="61">
        <v>50</v>
      </c>
      <c r="N9" s="290">
        <v>500</v>
      </c>
      <c r="O9" s="68"/>
      <c r="Q9" s="79">
        <v>7</v>
      </c>
      <c r="R9" s="37" t="s">
        <v>65</v>
      </c>
      <c r="S9" s="137" t="s">
        <v>76</v>
      </c>
      <c r="T9" s="137" t="s">
        <v>77</v>
      </c>
      <c r="U9" s="137" t="s">
        <v>77</v>
      </c>
      <c r="V9" s="137" t="s">
        <v>76</v>
      </c>
      <c r="W9" s="137" t="s">
        <v>76</v>
      </c>
      <c r="X9" s="137" t="s">
        <v>76</v>
      </c>
      <c r="Y9" s="137" t="s">
        <v>77</v>
      </c>
      <c r="Z9" s="137" t="s">
        <v>76</v>
      </c>
      <c r="AA9" s="137" t="s">
        <v>76</v>
      </c>
      <c r="AB9" s="138" t="s">
        <v>76</v>
      </c>
      <c r="AE9" s="79">
        <v>7</v>
      </c>
      <c r="AF9" s="37" t="s">
        <v>65</v>
      </c>
      <c r="AG9" s="115" t="s">
        <v>77</v>
      </c>
      <c r="AH9" s="37"/>
      <c r="AI9" s="37">
        <v>47</v>
      </c>
      <c r="AJ9" s="119">
        <f t="shared" si="0"/>
        <v>47</v>
      </c>
    </row>
    <row r="10" spans="1:37" ht="15" thickBot="1">
      <c r="A10" s="39"/>
      <c r="B10" s="33"/>
      <c r="C10" s="36"/>
      <c r="E10" s="57" t="s">
        <v>72</v>
      </c>
      <c r="F10" s="57" t="s">
        <v>65</v>
      </c>
    </row>
    <row r="11" spans="1:37" ht="15" thickBot="1">
      <c r="E11" s="61" t="s">
        <v>73</v>
      </c>
      <c r="F11" s="68" t="s">
        <v>83</v>
      </c>
    </row>
    <row r="12" spans="1:37" ht="26.25" customHeight="1" thickBot="1">
      <c r="A12" s="418" t="s">
        <v>23</v>
      </c>
      <c r="B12" s="419"/>
      <c r="C12" s="420"/>
    </row>
    <row r="13" spans="1:37" ht="25.5" customHeight="1" thickBot="1">
      <c r="A13" s="38">
        <v>1</v>
      </c>
      <c r="B13" s="34" t="s">
        <v>24</v>
      </c>
      <c r="C13" s="35">
        <v>2</v>
      </c>
      <c r="I13" s="412" t="s">
        <v>80</v>
      </c>
      <c r="J13" s="413"/>
      <c r="K13" s="413"/>
      <c r="L13" s="413"/>
      <c r="M13" s="413"/>
      <c r="N13" s="413"/>
      <c r="O13" s="414"/>
      <c r="Q13" s="408" t="s">
        <v>101</v>
      </c>
      <c r="R13" s="409"/>
      <c r="S13" s="409"/>
      <c r="T13" s="409"/>
      <c r="U13" s="409"/>
      <c r="V13" s="409"/>
      <c r="W13" s="409"/>
      <c r="X13" s="409"/>
      <c r="Y13" s="409"/>
      <c r="Z13" s="409"/>
      <c r="AA13" s="409"/>
      <c r="AB13" s="409"/>
      <c r="AC13" s="409"/>
      <c r="AE13" s="405" t="s">
        <v>125</v>
      </c>
      <c r="AF13" s="406"/>
      <c r="AG13" s="406"/>
      <c r="AH13" s="406"/>
      <c r="AI13" s="406"/>
      <c r="AJ13" s="406"/>
      <c r="AK13" s="407"/>
    </row>
    <row r="14" spans="1:37" ht="54" customHeight="1" thickBot="1">
      <c r="A14" s="39">
        <v>2</v>
      </c>
      <c r="B14" s="33" t="s">
        <v>49</v>
      </c>
      <c r="C14" s="36"/>
      <c r="I14" s="46"/>
      <c r="J14" s="47" t="s">
        <v>75</v>
      </c>
      <c r="K14" s="47"/>
      <c r="L14" s="47" t="s">
        <v>25</v>
      </c>
      <c r="M14" s="50" t="s">
        <v>74</v>
      </c>
      <c r="N14" s="49" t="s">
        <v>15</v>
      </c>
      <c r="O14" s="49"/>
      <c r="Q14" s="53"/>
      <c r="R14" s="51" t="s">
        <v>75</v>
      </c>
      <c r="S14" s="126">
        <v>80</v>
      </c>
      <c r="T14" s="126">
        <v>88</v>
      </c>
      <c r="U14" s="126">
        <v>96</v>
      </c>
      <c r="V14" s="126">
        <v>104</v>
      </c>
      <c r="W14" s="126">
        <v>128</v>
      </c>
      <c r="X14" s="126">
        <v>156</v>
      </c>
      <c r="Y14" s="126">
        <v>168</v>
      </c>
      <c r="Z14" s="126">
        <v>176</v>
      </c>
      <c r="AA14" s="126">
        <v>180</v>
      </c>
      <c r="AB14" s="126">
        <v>184</v>
      </c>
      <c r="AC14" s="139" t="s">
        <v>105</v>
      </c>
      <c r="AE14" s="106"/>
      <c r="AF14" s="107" t="s">
        <v>75</v>
      </c>
      <c r="AG14" s="111" t="s">
        <v>35</v>
      </c>
      <c r="AH14" s="111" t="s">
        <v>36</v>
      </c>
      <c r="AI14" s="111" t="s">
        <v>37</v>
      </c>
      <c r="AJ14" s="112" t="s">
        <v>38</v>
      </c>
      <c r="AK14" s="116" t="s">
        <v>14</v>
      </c>
    </row>
    <row r="15" spans="1:37" ht="23.25" customHeight="1" thickBot="1">
      <c r="I15" s="70">
        <v>1</v>
      </c>
      <c r="J15" s="70" t="s">
        <v>51</v>
      </c>
      <c r="K15" s="71" t="s">
        <v>76</v>
      </c>
      <c r="L15" s="72" t="s">
        <v>76</v>
      </c>
      <c r="M15" s="73" t="s">
        <v>76</v>
      </c>
      <c r="N15" s="71" t="s">
        <v>76</v>
      </c>
      <c r="O15" s="74"/>
      <c r="Q15" s="38">
        <v>1</v>
      </c>
      <c r="R15" s="45" t="s">
        <v>51</v>
      </c>
      <c r="S15" s="127" t="s">
        <v>76</v>
      </c>
      <c r="T15" s="128">
        <v>41</v>
      </c>
      <c r="U15" s="128">
        <v>1</v>
      </c>
      <c r="V15" s="128" t="s">
        <v>76</v>
      </c>
      <c r="W15" s="128" t="s">
        <v>76</v>
      </c>
      <c r="X15" s="128">
        <v>4</v>
      </c>
      <c r="Y15" s="128">
        <v>1</v>
      </c>
      <c r="Z15" s="128" t="s">
        <v>76</v>
      </c>
      <c r="AA15" s="128" t="s">
        <v>76</v>
      </c>
      <c r="AB15" s="129" t="s">
        <v>76</v>
      </c>
      <c r="AC15" s="140">
        <f>SUM(S15:V15)+SUM(W15:AB15)*2</f>
        <v>52</v>
      </c>
      <c r="AD15">
        <f t="shared" ref="AD15:AD20" si="1">COUNTIF(S15:AB15,"nee")</f>
        <v>6</v>
      </c>
      <c r="AE15" s="38">
        <v>1</v>
      </c>
      <c r="AF15" s="38" t="s">
        <v>51</v>
      </c>
      <c r="AG15" s="145">
        <v>17</v>
      </c>
      <c r="AH15" s="145">
        <v>4</v>
      </c>
      <c r="AI15" s="145">
        <v>7</v>
      </c>
      <c r="AJ15" s="145">
        <v>0</v>
      </c>
      <c r="AK15" s="120">
        <f>SUM(AG15:AJ15)</f>
        <v>28</v>
      </c>
    </row>
    <row r="16" spans="1:37" ht="15" thickBot="1">
      <c r="A16" s="415" t="s">
        <v>50</v>
      </c>
      <c r="B16" s="416"/>
      <c r="C16" s="417"/>
      <c r="E16" s="55" t="s">
        <v>117</v>
      </c>
      <c r="F16" s="146">
        <v>1</v>
      </c>
      <c r="I16" s="73">
        <v>2</v>
      </c>
      <c r="J16" s="73" t="s">
        <v>60</v>
      </c>
      <c r="K16" s="71" t="s">
        <v>77</v>
      </c>
      <c r="L16" s="72" t="s">
        <v>136</v>
      </c>
      <c r="M16" s="73">
        <v>90</v>
      </c>
      <c r="N16" s="289">
        <v>600</v>
      </c>
      <c r="O16" s="71"/>
      <c r="Q16" s="48">
        <v>2</v>
      </c>
      <c r="R16" s="45" t="s">
        <v>60</v>
      </c>
      <c r="S16" s="130" t="s">
        <v>76</v>
      </c>
      <c r="T16" s="131" t="s">
        <v>76</v>
      </c>
      <c r="U16" s="131">
        <v>49</v>
      </c>
      <c r="V16" s="131">
        <v>1</v>
      </c>
      <c r="W16" s="131" t="s">
        <v>76</v>
      </c>
      <c r="X16" s="131" t="s">
        <v>76</v>
      </c>
      <c r="Y16" s="131" t="s">
        <v>76</v>
      </c>
      <c r="Z16" s="131">
        <v>1</v>
      </c>
      <c r="AA16" s="131" t="s">
        <v>76</v>
      </c>
      <c r="AB16" s="132" t="s">
        <v>76</v>
      </c>
      <c r="AC16" s="141">
        <f t="shared" ref="AC16:AC21" si="2">SUM(S16:V16)+SUM(W16:AB16)*2</f>
        <v>52</v>
      </c>
      <c r="AD16">
        <f t="shared" si="1"/>
        <v>7</v>
      </c>
      <c r="AE16" s="48">
        <v>2</v>
      </c>
      <c r="AF16" s="145" t="s">
        <v>60</v>
      </c>
      <c r="AG16" s="145">
        <v>12</v>
      </c>
      <c r="AH16" s="145">
        <v>0</v>
      </c>
      <c r="AI16" s="145">
        <v>6</v>
      </c>
      <c r="AJ16" s="145">
        <v>51</v>
      </c>
      <c r="AK16" s="121">
        <f t="shared" ref="AK16:AK21" si="3">SUM(AG16:AJ16)</f>
        <v>69</v>
      </c>
    </row>
    <row r="17" spans="1:37">
      <c r="A17" s="57">
        <v>1</v>
      </c>
      <c r="B17" s="57" t="s">
        <v>51</v>
      </c>
      <c r="C17" s="65">
        <v>47</v>
      </c>
      <c r="E17" s="45" t="s">
        <v>51</v>
      </c>
      <c r="F17" s="145">
        <f>F16+1</f>
        <v>2</v>
      </c>
      <c r="I17" s="73">
        <v>3</v>
      </c>
      <c r="J17" s="73" t="s">
        <v>61</v>
      </c>
      <c r="K17" s="71" t="s">
        <v>77</v>
      </c>
      <c r="L17" s="72" t="s">
        <v>136</v>
      </c>
      <c r="M17" s="73">
        <v>90</v>
      </c>
      <c r="N17" s="289">
        <v>600</v>
      </c>
      <c r="O17" s="71"/>
      <c r="Q17" s="48">
        <v>3</v>
      </c>
      <c r="R17" s="45" t="s">
        <v>61</v>
      </c>
      <c r="S17" s="130" t="s">
        <v>76</v>
      </c>
      <c r="T17" s="131" t="s">
        <v>76</v>
      </c>
      <c r="U17" s="131" t="s">
        <v>76</v>
      </c>
      <c r="V17" s="131" t="s">
        <v>76</v>
      </c>
      <c r="W17" s="131">
        <v>26</v>
      </c>
      <c r="X17" s="131" t="s">
        <v>76</v>
      </c>
      <c r="Y17" s="131" t="s">
        <v>76</v>
      </c>
      <c r="Z17" s="131" t="s">
        <v>76</v>
      </c>
      <c r="AA17" s="131" t="s">
        <v>76</v>
      </c>
      <c r="AB17" s="132" t="s">
        <v>76</v>
      </c>
      <c r="AC17" s="141">
        <f t="shared" si="2"/>
        <v>52</v>
      </c>
      <c r="AD17">
        <f t="shared" si="1"/>
        <v>9</v>
      </c>
      <c r="AE17" s="48">
        <v>3</v>
      </c>
      <c r="AF17" s="145" t="s">
        <v>61</v>
      </c>
      <c r="AG17" s="145">
        <v>7</v>
      </c>
      <c r="AH17" s="145">
        <v>0</v>
      </c>
      <c r="AI17" s="145">
        <v>4</v>
      </c>
      <c r="AJ17" s="145">
        <v>26</v>
      </c>
      <c r="AK17" s="121">
        <f t="shared" si="3"/>
        <v>37</v>
      </c>
    </row>
    <row r="18" spans="1:37" ht="15" customHeight="1">
      <c r="A18" s="59">
        <v>2</v>
      </c>
      <c r="B18" s="57" t="s">
        <v>60</v>
      </c>
      <c r="C18" s="65">
        <v>51</v>
      </c>
      <c r="E18" s="45" t="s">
        <v>60</v>
      </c>
      <c r="F18" s="145">
        <f t="shared" ref="F18:F23" si="4">F17+1</f>
        <v>3</v>
      </c>
      <c r="I18" s="73">
        <v>4</v>
      </c>
      <c r="J18" s="73" t="s">
        <v>62</v>
      </c>
      <c r="K18" s="71" t="s">
        <v>76</v>
      </c>
      <c r="L18" s="72" t="s">
        <v>76</v>
      </c>
      <c r="M18" s="73" t="s">
        <v>76</v>
      </c>
      <c r="N18" s="71" t="s">
        <v>76</v>
      </c>
      <c r="O18" s="71"/>
      <c r="Q18" s="48">
        <v>4</v>
      </c>
      <c r="R18" s="45" t="s">
        <v>62</v>
      </c>
      <c r="S18" s="130" t="s">
        <v>76</v>
      </c>
      <c r="T18" s="131">
        <v>36</v>
      </c>
      <c r="U18" s="131" t="s">
        <v>76</v>
      </c>
      <c r="V18" s="131" t="s">
        <v>76</v>
      </c>
      <c r="W18" s="131" t="s">
        <v>76</v>
      </c>
      <c r="X18" s="131">
        <v>7</v>
      </c>
      <c r="Y18" s="131">
        <v>1</v>
      </c>
      <c r="Z18" s="131" t="s">
        <v>76</v>
      </c>
      <c r="AA18" s="131" t="s">
        <v>76</v>
      </c>
      <c r="AB18" s="132" t="s">
        <v>76</v>
      </c>
      <c r="AC18" s="141">
        <f t="shared" si="2"/>
        <v>52</v>
      </c>
      <c r="AD18">
        <f t="shared" si="1"/>
        <v>7</v>
      </c>
      <c r="AE18" s="48">
        <v>4</v>
      </c>
      <c r="AF18" s="145" t="s">
        <v>62</v>
      </c>
      <c r="AG18" s="145">
        <v>14</v>
      </c>
      <c r="AH18" s="145">
        <v>4</v>
      </c>
      <c r="AI18" s="145">
        <v>9</v>
      </c>
      <c r="AJ18" s="145">
        <v>0</v>
      </c>
      <c r="AK18" s="121">
        <f t="shared" si="3"/>
        <v>27</v>
      </c>
    </row>
    <row r="19" spans="1:37" ht="18" customHeight="1">
      <c r="A19" s="59">
        <v>3</v>
      </c>
      <c r="B19" s="57" t="s">
        <v>61</v>
      </c>
      <c r="C19" s="65">
        <v>26</v>
      </c>
      <c r="E19" s="45" t="s">
        <v>61</v>
      </c>
      <c r="F19" s="145">
        <f t="shared" si="4"/>
        <v>4</v>
      </c>
      <c r="I19" s="73">
        <v>5</v>
      </c>
      <c r="J19" s="73" t="s">
        <v>63</v>
      </c>
      <c r="K19" s="71" t="s">
        <v>76</v>
      </c>
      <c r="L19" s="72" t="s">
        <v>76</v>
      </c>
      <c r="M19" s="73" t="s">
        <v>76</v>
      </c>
      <c r="N19" s="71" t="s">
        <v>76</v>
      </c>
      <c r="O19" s="71"/>
      <c r="Q19" s="48">
        <v>5</v>
      </c>
      <c r="R19" s="45" t="s">
        <v>63</v>
      </c>
      <c r="S19" s="130" t="s">
        <v>76</v>
      </c>
      <c r="T19" s="131">
        <v>38</v>
      </c>
      <c r="U19" s="131" t="s">
        <v>76</v>
      </c>
      <c r="V19" s="131" t="s">
        <v>76</v>
      </c>
      <c r="W19" s="131" t="s">
        <v>76</v>
      </c>
      <c r="X19" s="131">
        <v>7</v>
      </c>
      <c r="Y19" s="131" t="s">
        <v>76</v>
      </c>
      <c r="Z19" s="131" t="s">
        <v>76</v>
      </c>
      <c r="AA19" s="131" t="s">
        <v>76</v>
      </c>
      <c r="AB19" s="132" t="s">
        <v>76</v>
      </c>
      <c r="AC19" s="141">
        <f t="shared" si="2"/>
        <v>52</v>
      </c>
      <c r="AD19">
        <f t="shared" si="1"/>
        <v>8</v>
      </c>
      <c r="AE19" s="48">
        <v>5</v>
      </c>
      <c r="AF19" s="145" t="s">
        <v>63</v>
      </c>
      <c r="AG19" s="145">
        <v>15</v>
      </c>
      <c r="AH19" s="145">
        <v>0</v>
      </c>
      <c r="AI19" s="145">
        <v>8</v>
      </c>
      <c r="AJ19" s="145">
        <v>45</v>
      </c>
      <c r="AK19" s="121">
        <f t="shared" si="3"/>
        <v>68</v>
      </c>
    </row>
    <row r="20" spans="1:37">
      <c r="A20" s="59">
        <v>4</v>
      </c>
      <c r="B20" s="57" t="s">
        <v>62</v>
      </c>
      <c r="C20" s="65">
        <v>44</v>
      </c>
      <c r="E20" s="45" t="s">
        <v>62</v>
      </c>
      <c r="F20" s="145">
        <f t="shared" si="4"/>
        <v>5</v>
      </c>
      <c r="I20" s="73">
        <v>6</v>
      </c>
      <c r="J20" s="73" t="s">
        <v>64</v>
      </c>
      <c r="K20" s="71" t="s">
        <v>76</v>
      </c>
      <c r="L20" s="72" t="s">
        <v>76</v>
      </c>
      <c r="M20" s="73" t="s">
        <v>76</v>
      </c>
      <c r="N20" s="71" t="s">
        <v>76</v>
      </c>
      <c r="O20" s="71"/>
      <c r="Q20" s="48">
        <v>6</v>
      </c>
      <c r="R20" s="45" t="s">
        <v>64</v>
      </c>
      <c r="S20" s="130" t="s">
        <v>76</v>
      </c>
      <c r="T20" s="131">
        <v>38</v>
      </c>
      <c r="U20" s="131" t="s">
        <v>76</v>
      </c>
      <c r="V20" s="131" t="s">
        <v>76</v>
      </c>
      <c r="W20" s="131" t="s">
        <v>76</v>
      </c>
      <c r="X20" s="131">
        <v>6</v>
      </c>
      <c r="Y20" s="131">
        <v>1</v>
      </c>
      <c r="Z20" s="131" t="s">
        <v>76</v>
      </c>
      <c r="AA20" s="131" t="s">
        <v>76</v>
      </c>
      <c r="AB20" s="132" t="s">
        <v>76</v>
      </c>
      <c r="AC20" s="141">
        <f t="shared" si="2"/>
        <v>52</v>
      </c>
      <c r="AD20">
        <f t="shared" si="1"/>
        <v>7</v>
      </c>
      <c r="AE20" s="48">
        <v>6</v>
      </c>
      <c r="AF20" s="145" t="s">
        <v>64</v>
      </c>
      <c r="AG20" s="145">
        <v>19</v>
      </c>
      <c r="AH20" s="145">
        <v>4</v>
      </c>
      <c r="AI20" s="145">
        <v>10</v>
      </c>
      <c r="AJ20" s="145">
        <v>0</v>
      </c>
      <c r="AK20" s="121">
        <f t="shared" si="3"/>
        <v>33</v>
      </c>
    </row>
    <row r="21" spans="1:37" ht="15" thickBot="1">
      <c r="A21" s="59">
        <v>5</v>
      </c>
      <c r="B21" s="57" t="s">
        <v>63</v>
      </c>
      <c r="C21" s="65">
        <v>45</v>
      </c>
      <c r="E21" s="45" t="s">
        <v>63</v>
      </c>
      <c r="F21" s="145">
        <f t="shared" si="4"/>
        <v>6</v>
      </c>
      <c r="I21" s="75">
        <v>7</v>
      </c>
      <c r="J21" s="75" t="s">
        <v>65</v>
      </c>
      <c r="K21" s="76" t="s">
        <v>77</v>
      </c>
      <c r="L21" s="77" t="s">
        <v>137</v>
      </c>
      <c r="M21" s="75">
        <v>90</v>
      </c>
      <c r="N21" s="290">
        <v>600</v>
      </c>
      <c r="O21" s="76"/>
      <c r="Q21" s="79">
        <v>7</v>
      </c>
      <c r="R21" s="37" t="s">
        <v>65</v>
      </c>
      <c r="S21" s="133" t="s">
        <v>76</v>
      </c>
      <c r="T21" s="134">
        <v>36</v>
      </c>
      <c r="U21" s="134">
        <v>6</v>
      </c>
      <c r="V21" s="134" t="s">
        <v>76</v>
      </c>
      <c r="W21" s="134" t="s">
        <v>76</v>
      </c>
      <c r="X21" s="134" t="s">
        <v>76</v>
      </c>
      <c r="Y21" s="134">
        <v>1</v>
      </c>
      <c r="Z21" s="134" t="s">
        <v>76</v>
      </c>
      <c r="AA21" s="134" t="s">
        <v>76</v>
      </c>
      <c r="AB21" s="135" t="s">
        <v>76</v>
      </c>
      <c r="AC21" s="142">
        <f t="shared" si="2"/>
        <v>44</v>
      </c>
      <c r="AD21">
        <f>COUNTIF(S21:AB21,"nee")</f>
        <v>7</v>
      </c>
      <c r="AE21" s="79">
        <v>7</v>
      </c>
      <c r="AF21" s="39" t="s">
        <v>65</v>
      </c>
      <c r="AG21" s="39">
        <v>6</v>
      </c>
      <c r="AH21" s="39">
        <v>13</v>
      </c>
      <c r="AI21" s="39">
        <v>6</v>
      </c>
      <c r="AJ21" s="39">
        <v>0</v>
      </c>
      <c r="AK21" s="122">
        <f t="shared" si="3"/>
        <v>25</v>
      </c>
    </row>
    <row r="22" spans="1:37">
      <c r="A22" s="59">
        <v>6</v>
      </c>
      <c r="B22" s="57" t="s">
        <v>64</v>
      </c>
      <c r="C22" s="65">
        <v>45</v>
      </c>
      <c r="E22" s="45" t="s">
        <v>64</v>
      </c>
      <c r="F22" s="145">
        <f t="shared" si="4"/>
        <v>7</v>
      </c>
    </row>
    <row r="23" spans="1:37" ht="15" thickBot="1">
      <c r="A23" s="60">
        <v>7</v>
      </c>
      <c r="B23" s="61" t="s">
        <v>65</v>
      </c>
      <c r="C23" s="68">
        <v>47</v>
      </c>
      <c r="E23" s="37" t="s">
        <v>65</v>
      </c>
      <c r="F23" s="39">
        <f t="shared" si="4"/>
        <v>8</v>
      </c>
      <c r="R23" s="291" t="s">
        <v>138</v>
      </c>
      <c r="W23" s="292"/>
    </row>
    <row r="24" spans="1:37" ht="21.75" customHeight="1" thickBot="1">
      <c r="AE24" s="405" t="s">
        <v>126</v>
      </c>
      <c r="AF24" s="406"/>
      <c r="AG24" s="406"/>
      <c r="AH24" s="406"/>
      <c r="AI24" s="406"/>
      <c r="AJ24" s="406"/>
      <c r="AK24" s="407"/>
    </row>
    <row r="25" spans="1:37" ht="54" customHeight="1" thickBot="1">
      <c r="A25" s="295"/>
      <c r="B25" s="296"/>
      <c r="C25" s="104" t="s">
        <v>139</v>
      </c>
      <c r="D25" s="296" t="s">
        <v>87</v>
      </c>
      <c r="E25" s="296" t="s">
        <v>88</v>
      </c>
      <c r="F25" s="104" t="s">
        <v>145</v>
      </c>
      <c r="I25" s="95" t="s">
        <v>92</v>
      </c>
      <c r="J25" s="186"/>
      <c r="K25" s="181" t="s">
        <v>18</v>
      </c>
      <c r="L25" s="182" t="s">
        <v>20</v>
      </c>
      <c r="AE25" s="106"/>
      <c r="AF25" s="107" t="s">
        <v>75</v>
      </c>
      <c r="AG25" s="111" t="s">
        <v>35</v>
      </c>
      <c r="AH25" s="111" t="s">
        <v>36</v>
      </c>
      <c r="AI25" s="111" t="s">
        <v>37</v>
      </c>
      <c r="AJ25" s="112" t="s">
        <v>38</v>
      </c>
      <c r="AK25" s="116" t="s">
        <v>14</v>
      </c>
    </row>
    <row r="26" spans="1:37" ht="15" thickBot="1">
      <c r="A26" s="297"/>
      <c r="B26" s="297"/>
      <c r="C26" s="105"/>
      <c r="D26" s="297">
        <v>500</v>
      </c>
      <c r="E26" s="298">
        <v>1E-3</v>
      </c>
      <c r="F26" s="105"/>
      <c r="I26" s="73">
        <v>1</v>
      </c>
      <c r="J26" s="73" t="s">
        <v>51</v>
      </c>
      <c r="K26" s="58">
        <v>245</v>
      </c>
      <c r="L26" s="58">
        <v>202</v>
      </c>
      <c r="AD26">
        <f t="shared" ref="AD26:AD31" si="5">COUNTIF(S26:AB26,"nee")</f>
        <v>0</v>
      </c>
      <c r="AE26" s="38">
        <v>1</v>
      </c>
      <c r="AF26" s="38" t="s">
        <v>51</v>
      </c>
      <c r="AG26" s="199">
        <v>1040000</v>
      </c>
      <c r="AH26" s="200">
        <v>50000</v>
      </c>
      <c r="AI26" s="200">
        <v>465000</v>
      </c>
      <c r="AJ26" s="199">
        <v>0</v>
      </c>
      <c r="AK26" s="120">
        <f>SUM(AG26:AJ26)</f>
        <v>1555000</v>
      </c>
    </row>
    <row r="27" spans="1:37">
      <c r="A27" s="57">
        <v>1</v>
      </c>
      <c r="B27" s="57" t="s">
        <v>51</v>
      </c>
      <c r="C27" s="58">
        <f>oplage!C3</f>
        <v>71000</v>
      </c>
      <c r="D27" s="58">
        <f t="shared" ref="D27:D33" si="6">D$26</f>
        <v>500</v>
      </c>
      <c r="E27" s="58">
        <f t="shared" ref="E27:E33" si="7">E$26*C27</f>
        <v>71</v>
      </c>
      <c r="F27" s="58">
        <f>SUM(C27:E27)+F39</f>
        <v>102171</v>
      </c>
      <c r="I27" s="73">
        <v>2</v>
      </c>
      <c r="J27" s="73" t="s">
        <v>60</v>
      </c>
      <c r="K27" s="58">
        <v>265</v>
      </c>
      <c r="L27" s="58">
        <v>202</v>
      </c>
      <c r="AD27">
        <f t="shared" si="5"/>
        <v>0</v>
      </c>
      <c r="AE27" s="48">
        <v>2</v>
      </c>
      <c r="AF27" s="145" t="s">
        <v>60</v>
      </c>
      <c r="AG27" s="201">
        <v>545000</v>
      </c>
      <c r="AH27" s="145">
        <v>0</v>
      </c>
      <c r="AI27" s="201">
        <v>385000</v>
      </c>
      <c r="AJ27" s="201">
        <v>1070000</v>
      </c>
      <c r="AK27" s="121">
        <f t="shared" ref="AK27:AK32" si="8">SUM(AG27:AJ27)</f>
        <v>2000000</v>
      </c>
    </row>
    <row r="28" spans="1:37">
      <c r="A28" s="59">
        <v>2</v>
      </c>
      <c r="B28" s="57" t="s">
        <v>60</v>
      </c>
      <c r="C28" s="58">
        <f>oplage!C4</f>
        <v>50500</v>
      </c>
      <c r="D28" s="58">
        <f t="shared" si="6"/>
        <v>500</v>
      </c>
      <c r="E28" s="58">
        <f t="shared" si="7"/>
        <v>50.5</v>
      </c>
      <c r="F28" s="58">
        <f>SUM(C28:E28)+F40</f>
        <v>71450.5</v>
      </c>
      <c r="I28" s="73">
        <v>3</v>
      </c>
      <c r="J28" s="73" t="s">
        <v>61</v>
      </c>
      <c r="K28" s="58">
        <v>285</v>
      </c>
      <c r="L28" s="58">
        <v>210</v>
      </c>
      <c r="AD28">
        <f t="shared" si="5"/>
        <v>0</v>
      </c>
      <c r="AE28" s="48">
        <v>3</v>
      </c>
      <c r="AF28" s="145" t="s">
        <v>61</v>
      </c>
      <c r="AG28" s="201">
        <v>490000</v>
      </c>
      <c r="AH28" s="145">
        <v>0</v>
      </c>
      <c r="AI28" s="145">
        <v>145000</v>
      </c>
      <c r="AJ28" s="201">
        <v>196000</v>
      </c>
      <c r="AK28" s="121">
        <f t="shared" si="8"/>
        <v>831000</v>
      </c>
    </row>
    <row r="29" spans="1:37" ht="15" customHeight="1">
      <c r="A29" s="59">
        <v>3</v>
      </c>
      <c r="B29" s="57" t="s">
        <v>61</v>
      </c>
      <c r="C29" s="58">
        <f>oplage!C5</f>
        <v>40000</v>
      </c>
      <c r="D29" s="58">
        <f t="shared" si="6"/>
        <v>500</v>
      </c>
      <c r="E29" s="58">
        <f t="shared" si="7"/>
        <v>40</v>
      </c>
      <c r="F29" s="58">
        <f>SUM(C29:E29)+F41</f>
        <v>109840</v>
      </c>
      <c r="I29" s="73">
        <v>4</v>
      </c>
      <c r="J29" s="73" t="s">
        <v>62</v>
      </c>
      <c r="K29" s="58">
        <v>245</v>
      </c>
      <c r="L29" s="58">
        <v>202</v>
      </c>
      <c r="AD29">
        <f t="shared" si="5"/>
        <v>0</v>
      </c>
      <c r="AE29" s="48">
        <v>4</v>
      </c>
      <c r="AF29" s="145" t="s">
        <v>62</v>
      </c>
      <c r="AG29" s="201">
        <v>66000</v>
      </c>
      <c r="AH29" s="145">
        <v>110000</v>
      </c>
      <c r="AI29" s="201">
        <v>565000</v>
      </c>
      <c r="AJ29" s="201">
        <v>0</v>
      </c>
      <c r="AK29" s="121">
        <f t="shared" si="8"/>
        <v>741000</v>
      </c>
    </row>
    <row r="30" spans="1:37">
      <c r="A30" s="59">
        <v>4</v>
      </c>
      <c r="B30" s="57" t="s">
        <v>62</v>
      </c>
      <c r="C30" s="58">
        <f>oplage!C7</f>
        <v>52000</v>
      </c>
      <c r="D30" s="58">
        <f t="shared" si="6"/>
        <v>500</v>
      </c>
      <c r="E30" s="58">
        <f t="shared" si="7"/>
        <v>52</v>
      </c>
      <c r="F30" s="58">
        <f t="shared" ref="F30" si="9">SUM(C30:E30)</f>
        <v>52552</v>
      </c>
      <c r="I30" s="73">
        <v>5</v>
      </c>
      <c r="J30" s="73" t="s">
        <v>63</v>
      </c>
      <c r="K30" s="58">
        <v>210</v>
      </c>
      <c r="L30" s="58">
        <v>210</v>
      </c>
      <c r="AD30">
        <f t="shared" si="5"/>
        <v>0</v>
      </c>
      <c r="AE30" s="48">
        <v>5</v>
      </c>
      <c r="AF30" s="145" t="s">
        <v>63</v>
      </c>
      <c r="AG30" s="201">
        <v>1650000</v>
      </c>
      <c r="AH30" s="145">
        <v>0</v>
      </c>
      <c r="AI30" s="201">
        <v>825000</v>
      </c>
      <c r="AJ30" s="201">
        <v>1575000</v>
      </c>
      <c r="AK30" s="121">
        <f t="shared" si="8"/>
        <v>4050000</v>
      </c>
    </row>
    <row r="31" spans="1:37">
      <c r="A31" s="59">
        <v>5</v>
      </c>
      <c r="B31" s="57" t="s">
        <v>63</v>
      </c>
      <c r="C31" s="58">
        <f>oplage!C8</f>
        <v>138000</v>
      </c>
      <c r="D31" s="58">
        <f t="shared" si="6"/>
        <v>500</v>
      </c>
      <c r="E31" s="58">
        <f t="shared" si="7"/>
        <v>138</v>
      </c>
      <c r="F31" s="58">
        <f>SUM(C31:E31)+F42</f>
        <v>140038</v>
      </c>
      <c r="I31" s="73">
        <v>6</v>
      </c>
      <c r="J31" s="73" t="s">
        <v>64</v>
      </c>
      <c r="K31" s="58">
        <v>245</v>
      </c>
      <c r="L31" s="58">
        <v>202</v>
      </c>
      <c r="AD31">
        <f t="shared" si="5"/>
        <v>0</v>
      </c>
      <c r="AE31" s="48">
        <v>6</v>
      </c>
      <c r="AF31" s="145" t="s">
        <v>64</v>
      </c>
      <c r="AG31" s="201">
        <v>960000</v>
      </c>
      <c r="AH31" s="145">
        <v>500000</v>
      </c>
      <c r="AI31" s="201">
        <v>950000</v>
      </c>
      <c r="AJ31" s="145">
        <v>0</v>
      </c>
      <c r="AK31" s="121">
        <f t="shared" si="8"/>
        <v>2410000</v>
      </c>
    </row>
    <row r="32" spans="1:37" ht="15" thickBot="1">
      <c r="A32" s="59">
        <v>6</v>
      </c>
      <c r="B32" s="57" t="s">
        <v>64</v>
      </c>
      <c r="C32" s="58">
        <f>oplage!C9</f>
        <v>101000</v>
      </c>
      <c r="D32" s="58">
        <f t="shared" si="6"/>
        <v>500</v>
      </c>
      <c r="E32" s="58">
        <f t="shared" si="7"/>
        <v>101</v>
      </c>
      <c r="F32" s="58">
        <f>SUM(C32:E32)+F43</f>
        <v>133651</v>
      </c>
      <c r="I32" s="75">
        <v>7</v>
      </c>
      <c r="J32" s="75" t="s">
        <v>65</v>
      </c>
      <c r="K32" s="187">
        <v>245</v>
      </c>
      <c r="L32" s="187">
        <v>202</v>
      </c>
      <c r="AD32">
        <f>COUNTIF(S32:AB32,"nee")</f>
        <v>0</v>
      </c>
      <c r="AE32" s="79">
        <v>7</v>
      </c>
      <c r="AF32" s="39" t="s">
        <v>65</v>
      </c>
      <c r="AG32" s="202">
        <v>870000</v>
      </c>
      <c r="AH32" s="39">
        <v>260000</v>
      </c>
      <c r="AI32" s="202">
        <v>880000</v>
      </c>
      <c r="AJ32" s="39">
        <v>0</v>
      </c>
      <c r="AK32" s="122">
        <f t="shared" si="8"/>
        <v>2010000</v>
      </c>
    </row>
    <row r="33" spans="1:35">
      <c r="A33" s="59">
        <v>7</v>
      </c>
      <c r="B33" s="57" t="s">
        <v>65</v>
      </c>
      <c r="C33" s="58">
        <f>oplage!C13</f>
        <v>122000</v>
      </c>
      <c r="D33" s="58">
        <f t="shared" si="6"/>
        <v>500</v>
      </c>
      <c r="E33" s="58">
        <f t="shared" si="7"/>
        <v>122</v>
      </c>
      <c r="F33" s="58">
        <f>SUM(C33:E33)+F45</f>
        <v>137622</v>
      </c>
    </row>
    <row r="34" spans="1:35" ht="15" thickBot="1">
      <c r="A34" s="55"/>
      <c r="B34" s="56"/>
      <c r="C34" s="63">
        <f>SUM(C27:C33)</f>
        <v>574500</v>
      </c>
      <c r="D34" s="63"/>
      <c r="E34" s="63">
        <f>SUM(D27:E33)</f>
        <v>4074.5</v>
      </c>
      <c r="F34" s="62">
        <f>SUM(F27:F33)</f>
        <v>747324.5</v>
      </c>
    </row>
    <row r="35" spans="1:35">
      <c r="E35" t="s">
        <v>89</v>
      </c>
      <c r="F35" s="64">
        <f>ROUND(F34,-3)</f>
        <v>747000</v>
      </c>
      <c r="AE35" s="405" t="s">
        <v>104</v>
      </c>
      <c r="AF35" s="406"/>
      <c r="AG35" s="406"/>
      <c r="AH35" s="406"/>
      <c r="AI35" s="407"/>
    </row>
    <row r="36" spans="1:35" ht="18" customHeight="1" thickBot="1">
      <c r="AE36" s="106"/>
      <c r="AF36" s="107" t="s">
        <v>75</v>
      </c>
      <c r="AG36" s="111" t="s">
        <v>41</v>
      </c>
      <c r="AH36" s="111" t="s">
        <v>42</v>
      </c>
      <c r="AI36" s="109" t="s">
        <v>43</v>
      </c>
    </row>
    <row r="37" spans="1:35" ht="28.8">
      <c r="A37" s="295"/>
      <c r="B37" s="296"/>
      <c r="C37" s="104" t="s">
        <v>140</v>
      </c>
      <c r="D37" s="294" t="s">
        <v>141</v>
      </c>
      <c r="E37" s="294" t="s">
        <v>143</v>
      </c>
      <c r="F37" s="104" t="s">
        <v>142</v>
      </c>
      <c r="AE37" s="38">
        <v>1</v>
      </c>
      <c r="AF37" s="108" t="s">
        <v>51</v>
      </c>
      <c r="AG37" s="45">
        <f t="shared" ref="AG37:AG43" si="10">C17</f>
        <v>47</v>
      </c>
      <c r="AH37" s="45">
        <f t="shared" ref="AH37:AH43" si="11">IF(AG3="ja",AG37,0)</f>
        <v>47</v>
      </c>
      <c r="AI37" s="45"/>
    </row>
    <row r="38" spans="1:35" ht="15" thickBot="1">
      <c r="A38" s="297"/>
      <c r="B38" s="297"/>
      <c r="C38" s="105"/>
      <c r="D38" s="297"/>
      <c r="E38" s="298"/>
      <c r="F38" s="105"/>
      <c r="AE38" s="48">
        <v>2</v>
      </c>
      <c r="AF38" s="45" t="s">
        <v>60</v>
      </c>
      <c r="AG38" s="45">
        <f t="shared" si="10"/>
        <v>51</v>
      </c>
      <c r="AH38" s="45">
        <f t="shared" si="11"/>
        <v>51</v>
      </c>
      <c r="AI38" s="45"/>
    </row>
    <row r="39" spans="1:35">
      <c r="A39" s="57">
        <v>1</v>
      </c>
      <c r="B39" s="57" t="s">
        <v>51</v>
      </c>
      <c r="C39" s="58">
        <f>oplage!F3</f>
        <v>11500</v>
      </c>
      <c r="D39" s="58">
        <f>oplage!G3</f>
        <v>18400</v>
      </c>
      <c r="E39" s="58">
        <f>oplage!H3</f>
        <v>700</v>
      </c>
      <c r="F39" s="58">
        <f>SUM(C39:E39)</f>
        <v>30600</v>
      </c>
      <c r="AE39" s="48">
        <v>3</v>
      </c>
      <c r="AF39" s="45" t="s">
        <v>61</v>
      </c>
      <c r="AG39" s="45">
        <f t="shared" si="10"/>
        <v>26</v>
      </c>
      <c r="AH39" s="45">
        <f t="shared" si="11"/>
        <v>26</v>
      </c>
      <c r="AI39" s="45"/>
    </row>
    <row r="40" spans="1:35">
      <c r="A40" s="59">
        <v>2</v>
      </c>
      <c r="B40" s="57" t="s">
        <v>60</v>
      </c>
      <c r="C40" s="58">
        <f>oplage!F4</f>
        <v>19000</v>
      </c>
      <c r="D40" s="58"/>
      <c r="E40" s="58">
        <f>oplage!H4</f>
        <v>1400</v>
      </c>
      <c r="F40" s="58">
        <f t="shared" ref="F40:F45" si="12">SUM(C40:E40)</f>
        <v>20400</v>
      </c>
      <c r="AE40" s="48">
        <v>4</v>
      </c>
      <c r="AF40" s="45" t="s">
        <v>62</v>
      </c>
      <c r="AG40" s="45">
        <f t="shared" si="10"/>
        <v>44</v>
      </c>
      <c r="AH40" s="45"/>
      <c r="AI40" s="45"/>
    </row>
    <row r="41" spans="1:35">
      <c r="A41" s="59">
        <v>3</v>
      </c>
      <c r="B41" s="57" t="s">
        <v>61</v>
      </c>
      <c r="C41" s="58">
        <f>oplage!F5</f>
        <v>68000</v>
      </c>
      <c r="D41" s="58"/>
      <c r="E41" s="58">
        <f>oplage!H5</f>
        <v>1300</v>
      </c>
      <c r="F41" s="58">
        <f t="shared" si="12"/>
        <v>69300</v>
      </c>
      <c r="AE41" s="48">
        <v>5</v>
      </c>
      <c r="AF41" s="45" t="s">
        <v>63</v>
      </c>
      <c r="AG41" s="45">
        <v>45</v>
      </c>
      <c r="AH41" s="45">
        <v>45</v>
      </c>
      <c r="AI41" s="45"/>
    </row>
    <row r="42" spans="1:35">
      <c r="A42" s="59">
        <v>4</v>
      </c>
      <c r="B42" s="57" t="s">
        <v>62</v>
      </c>
      <c r="C42" s="58">
        <f>oplage!C19</f>
        <v>0</v>
      </c>
      <c r="D42" s="58"/>
      <c r="E42" s="58">
        <f>oplage!H7</f>
        <v>1400</v>
      </c>
      <c r="F42" s="58">
        <f t="shared" si="12"/>
        <v>1400</v>
      </c>
      <c r="AE42" s="48">
        <v>6</v>
      </c>
      <c r="AF42" s="45" t="s">
        <v>64</v>
      </c>
      <c r="AG42" s="45">
        <v>45</v>
      </c>
      <c r="AH42" s="45"/>
      <c r="AI42" s="45"/>
    </row>
    <row r="43" spans="1:35" ht="15" thickBot="1">
      <c r="A43" s="59">
        <v>5</v>
      </c>
      <c r="B43" s="57" t="s">
        <v>63</v>
      </c>
      <c r="C43" s="58">
        <f>oplage!F8</f>
        <v>30500</v>
      </c>
      <c r="D43" s="58"/>
      <c r="E43" s="58">
        <f>oplage!H8</f>
        <v>1550</v>
      </c>
      <c r="F43" s="58">
        <f t="shared" si="12"/>
        <v>32050</v>
      </c>
      <c r="AE43" s="79">
        <v>7</v>
      </c>
      <c r="AF43" s="37" t="s">
        <v>65</v>
      </c>
      <c r="AG43" s="37">
        <f t="shared" si="10"/>
        <v>47</v>
      </c>
      <c r="AH43" s="37">
        <f t="shared" si="11"/>
        <v>47</v>
      </c>
      <c r="AI43" s="37"/>
    </row>
    <row r="44" spans="1:35">
      <c r="A44" s="59">
        <v>6</v>
      </c>
      <c r="B44" s="57" t="s">
        <v>64</v>
      </c>
      <c r="C44" s="58">
        <f>oplage!C21</f>
        <v>0</v>
      </c>
      <c r="D44" s="58"/>
      <c r="E44" s="58">
        <f>oplage!H9</f>
        <v>1400</v>
      </c>
      <c r="F44" s="58">
        <f t="shared" si="12"/>
        <v>1400</v>
      </c>
    </row>
    <row r="45" spans="1:35">
      <c r="A45" s="59">
        <v>7</v>
      </c>
      <c r="B45" s="57" t="s">
        <v>65</v>
      </c>
      <c r="C45" s="58">
        <f>oplage!F13</f>
        <v>14000</v>
      </c>
      <c r="D45" s="58"/>
      <c r="E45" s="58">
        <f>oplage!H13</f>
        <v>1000</v>
      </c>
      <c r="F45" s="58">
        <f t="shared" si="12"/>
        <v>15000</v>
      </c>
    </row>
    <row r="46" spans="1:35">
      <c r="A46" s="55"/>
      <c r="B46" s="56"/>
      <c r="C46" s="63">
        <f>SUM(C39:C45)</f>
        <v>143000</v>
      </c>
      <c r="D46" s="63"/>
      <c r="E46" s="63">
        <f>SUM(E39:E45)</f>
        <v>8750</v>
      </c>
      <c r="F46" s="62">
        <f>SUM(F39:F45)</f>
        <v>170150</v>
      </c>
    </row>
    <row r="47" spans="1:35">
      <c r="E47" t="s">
        <v>89</v>
      </c>
      <c r="F47" s="64">
        <f>ROUND(F46,-3)</f>
        <v>170000</v>
      </c>
    </row>
    <row r="49" spans="1:6">
      <c r="A49" s="295"/>
      <c r="B49" s="296"/>
      <c r="C49" s="104" t="s">
        <v>8</v>
      </c>
      <c r="D49" s="294"/>
      <c r="E49" s="294"/>
      <c r="F49" s="104" t="s">
        <v>148</v>
      </c>
    </row>
    <row r="50" spans="1:6" ht="15" thickBot="1">
      <c r="A50" s="297"/>
      <c r="B50" s="297"/>
      <c r="C50" s="105"/>
      <c r="D50" s="297"/>
      <c r="E50" s="298"/>
      <c r="F50" s="105"/>
    </row>
    <row r="51" spans="1:6">
      <c r="A51" s="57">
        <v>1</v>
      </c>
      <c r="B51" s="57" t="s">
        <v>51</v>
      </c>
      <c r="C51" s="58">
        <f>C27</f>
        <v>71000</v>
      </c>
      <c r="D51" s="58">
        <f t="shared" ref="D51:D57" si="13">D$26</f>
        <v>500</v>
      </c>
      <c r="E51" s="58">
        <f t="shared" ref="E51:E57" si="14">E$26*C51</f>
        <v>71</v>
      </c>
      <c r="F51" s="58">
        <f>SUM(C51:E51)+F63</f>
        <v>71571</v>
      </c>
    </row>
    <row r="52" spans="1:6">
      <c r="A52" s="59">
        <v>2</v>
      </c>
      <c r="B52" s="57" t="s">
        <v>60</v>
      </c>
      <c r="C52" s="58"/>
      <c r="D52" s="58">
        <f t="shared" si="13"/>
        <v>500</v>
      </c>
      <c r="E52" s="58">
        <f t="shared" si="14"/>
        <v>0</v>
      </c>
      <c r="F52" s="58">
        <f>SUM(C52:E52)+F64</f>
        <v>500</v>
      </c>
    </row>
    <row r="53" spans="1:6">
      <c r="A53" s="59">
        <v>3</v>
      </c>
      <c r="B53" s="57" t="s">
        <v>61</v>
      </c>
      <c r="C53" s="58"/>
      <c r="D53" s="58">
        <f t="shared" si="13"/>
        <v>500</v>
      </c>
      <c r="E53" s="58">
        <f t="shared" si="14"/>
        <v>0</v>
      </c>
      <c r="F53" s="58">
        <f>SUM(C53:E53)+F65</f>
        <v>500</v>
      </c>
    </row>
    <row r="54" spans="1:6">
      <c r="A54" s="59">
        <v>4</v>
      </c>
      <c r="B54" s="57" t="s">
        <v>62</v>
      </c>
      <c r="C54" s="58">
        <f t="shared" ref="C54:C57" si="15">C30</f>
        <v>52000</v>
      </c>
      <c r="D54" s="58">
        <f t="shared" si="13"/>
        <v>500</v>
      </c>
      <c r="E54" s="58">
        <f t="shared" si="14"/>
        <v>52</v>
      </c>
      <c r="F54" s="58">
        <f t="shared" ref="F54" si="16">SUM(C54:E54)</f>
        <v>52552</v>
      </c>
    </row>
    <row r="55" spans="1:6">
      <c r="A55" s="59">
        <v>5</v>
      </c>
      <c r="B55" s="57" t="s">
        <v>63</v>
      </c>
      <c r="C55" s="58">
        <f t="shared" si="15"/>
        <v>138000</v>
      </c>
      <c r="D55" s="58">
        <f t="shared" si="13"/>
        <v>500</v>
      </c>
      <c r="E55" s="58">
        <f t="shared" si="14"/>
        <v>138</v>
      </c>
      <c r="F55" s="58">
        <f>SUM(C55:E55)+F66</f>
        <v>138638</v>
      </c>
    </row>
    <row r="56" spans="1:6">
      <c r="A56" s="59">
        <v>6</v>
      </c>
      <c r="B56" s="57" t="s">
        <v>64</v>
      </c>
      <c r="C56" s="58">
        <f t="shared" si="15"/>
        <v>101000</v>
      </c>
      <c r="D56" s="58">
        <f t="shared" si="13"/>
        <v>500</v>
      </c>
      <c r="E56" s="58">
        <f t="shared" si="14"/>
        <v>101</v>
      </c>
      <c r="F56" s="58">
        <f>SUM(C56:E56)+F67</f>
        <v>101601</v>
      </c>
    </row>
    <row r="57" spans="1:6">
      <c r="A57" s="59">
        <v>7</v>
      </c>
      <c r="B57" s="57" t="s">
        <v>65</v>
      </c>
      <c r="C57" s="58">
        <f t="shared" si="15"/>
        <v>122000</v>
      </c>
      <c r="D57" s="58">
        <f t="shared" si="13"/>
        <v>500</v>
      </c>
      <c r="E57" s="58">
        <f t="shared" si="14"/>
        <v>122</v>
      </c>
      <c r="F57" s="58">
        <f>SUM(C57:E57)+F69</f>
        <v>122622</v>
      </c>
    </row>
    <row r="58" spans="1:6">
      <c r="A58" s="55"/>
      <c r="B58" s="56"/>
      <c r="C58" s="63">
        <f>SUM(C51:C57)</f>
        <v>484000</v>
      </c>
      <c r="D58" s="63"/>
      <c r="E58" s="63">
        <f>SUM(D51:E57)</f>
        <v>3984</v>
      </c>
      <c r="F58" s="62">
        <f>SUM(F51:F57)</f>
        <v>487984</v>
      </c>
    </row>
  </sheetData>
  <mergeCells count="13">
    <mergeCell ref="I1:O1"/>
    <mergeCell ref="A16:C16"/>
    <mergeCell ref="I13:O13"/>
    <mergeCell ref="A12:C12"/>
    <mergeCell ref="E2:F2"/>
    <mergeCell ref="A2:C2"/>
    <mergeCell ref="A7:C7"/>
    <mergeCell ref="AE35:AI35"/>
    <mergeCell ref="Q13:AC13"/>
    <mergeCell ref="AE1:AJ1"/>
    <mergeCell ref="AE13:AK13"/>
    <mergeCell ref="Q1:AB1"/>
    <mergeCell ref="AE24:AK24"/>
  </mergeCells>
  <conditionalFormatting sqref="B3:C3">
    <cfRule type="cellIs" dxfId="33" priority="35" stopIfTrue="1" operator="equal">
      <formula>"rotatie diepdruk"</formula>
    </cfRule>
  </conditionalFormatting>
  <conditionalFormatting sqref="B3:C3">
    <cfRule type="cellIs" dxfId="32" priority="33" stopIfTrue="1" operator="equal">
      <formula>"rotatie diepdruk"</formula>
    </cfRule>
  </conditionalFormatting>
  <conditionalFormatting sqref="B3:C3">
    <cfRule type="cellIs" dxfId="31" priority="31" stopIfTrue="1" operator="equal">
      <formula>"rotatie diepdruk"</formula>
    </cfRule>
  </conditionalFormatting>
  <conditionalFormatting sqref="B3:C3">
    <cfRule type="cellIs" dxfId="30" priority="30" stopIfTrue="1" operator="equal">
      <formula>"rotatie diepdruk"</formula>
    </cfRule>
  </conditionalFormatting>
  <conditionalFormatting sqref="B8:C8">
    <cfRule type="cellIs" dxfId="29" priority="21" stopIfTrue="1" operator="equal">
      <formula>"rotatie diepdruk"</formula>
    </cfRule>
  </conditionalFormatting>
  <conditionalFormatting sqref="B8:C8">
    <cfRule type="cellIs" dxfId="28" priority="20" stopIfTrue="1" operator="equal">
      <formula>"rotatie diepdruk"</formula>
    </cfRule>
  </conditionalFormatting>
  <conditionalFormatting sqref="B8:C8">
    <cfRule type="cellIs" dxfId="27" priority="19" stopIfTrue="1" operator="equal">
      <formula>"rotatie diepdruk"</formula>
    </cfRule>
  </conditionalFormatting>
  <conditionalFormatting sqref="B8:C8">
    <cfRule type="cellIs" dxfId="26" priority="18" stopIfTrue="1" operator="equal">
      <formula>"rotatie diepdruk"</formula>
    </cfRule>
  </conditionalFormatting>
  <conditionalFormatting sqref="B13:C13">
    <cfRule type="cellIs" dxfId="25" priority="14" stopIfTrue="1" operator="equal">
      <formula>"rotatie diepdruk"</formula>
    </cfRule>
  </conditionalFormatting>
  <conditionalFormatting sqref="B13:C13">
    <cfRule type="cellIs" dxfId="24" priority="17" stopIfTrue="1" operator="equal">
      <formula>"rotatie diepdruk"</formula>
    </cfRule>
  </conditionalFormatting>
  <conditionalFormatting sqref="B13:C13">
    <cfRule type="cellIs" dxfId="23" priority="16" stopIfTrue="1" operator="equal">
      <formula>"rotatie diepdruk"</formula>
    </cfRule>
  </conditionalFormatting>
  <conditionalFormatting sqref="B13:C13">
    <cfRule type="cellIs" dxfId="22" priority="15" stopIfTrue="1" operator="equal">
      <formula>"rotatie diepdruk"</formula>
    </cfRule>
  </conditionalFormatting>
  <conditionalFormatting sqref="I15:O15">
    <cfRule type="expression" dxfId="21" priority="13">
      <formula>$K15="nee"</formula>
    </cfRule>
  </conditionalFormatting>
  <conditionalFormatting sqref="I16:O21">
    <cfRule type="expression" dxfId="20" priority="12">
      <formula>$K16="nee"</formula>
    </cfRule>
  </conditionalFormatting>
  <conditionalFormatting sqref="S3:AB9">
    <cfRule type="expression" dxfId="19" priority="11">
      <formula>S3="ja"</formula>
    </cfRule>
  </conditionalFormatting>
  <conditionalFormatting sqref="AG3:AG9">
    <cfRule type="expression" dxfId="18" priority="9">
      <formula>AG3="ja"</formula>
    </cfRule>
  </conditionalFormatting>
  <conditionalFormatting sqref="AJ3:AJ9">
    <cfRule type="expression" dxfId="17" priority="38">
      <formula>$AJ3=$C17</formula>
    </cfRule>
  </conditionalFormatting>
  <conditionalFormatting sqref="S15:AB21">
    <cfRule type="expression" dxfId="16" priority="5">
      <formula>S15="nee"</formula>
    </cfRule>
  </conditionalFormatting>
  <conditionalFormatting sqref="AC15">
    <cfRule type="expression" dxfId="15" priority="4">
      <formula>$AC15=52</formula>
    </cfRule>
  </conditionalFormatting>
  <conditionalFormatting sqref="AC16:AC21">
    <cfRule type="expression" dxfId="14" priority="3">
      <formula>$AC16=52</formula>
    </cfRule>
  </conditionalFormatting>
  <conditionalFormatting sqref="I26:J26">
    <cfRule type="expression" dxfId="13" priority="2">
      <formula>$K26="nee"</formula>
    </cfRule>
  </conditionalFormatting>
  <conditionalFormatting sqref="I27:J32">
    <cfRule type="expression" dxfId="12" priority="1">
      <formula>$K27="nee"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theme="9" tint="-0.249977111117893"/>
  </sheetPr>
  <dimension ref="A1:O16"/>
  <sheetViews>
    <sheetView workbookViewId="0">
      <selection activeCell="I17" sqref="I17"/>
    </sheetView>
  </sheetViews>
  <sheetFormatPr defaultRowHeight="14.4"/>
  <cols>
    <col min="1" max="1" width="12.44140625" customWidth="1"/>
    <col min="3" max="3" width="14.21875" bestFit="1" customWidth="1"/>
    <col min="4" max="4" width="9.77734375" bestFit="1" customWidth="1"/>
    <col min="6" max="6" width="18.5546875" bestFit="1" customWidth="1"/>
    <col min="7" max="7" width="20.21875" bestFit="1" customWidth="1"/>
    <col min="11" max="11" width="14" customWidth="1"/>
    <col min="12" max="12" width="12.77734375" bestFit="1" customWidth="1"/>
  </cols>
  <sheetData>
    <row r="1" spans="1:15">
      <c r="A1" t="s">
        <v>147</v>
      </c>
    </row>
    <row r="2" spans="1:15"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L2" s="293" t="s">
        <v>85</v>
      </c>
      <c r="N2" t="s">
        <v>58</v>
      </c>
    </row>
    <row r="3" spans="1:15">
      <c r="A3" t="s">
        <v>51</v>
      </c>
      <c r="C3" s="41">
        <v>71000</v>
      </c>
      <c r="D3" s="41">
        <v>35</v>
      </c>
      <c r="E3" s="41"/>
      <c r="F3" s="41">
        <v>11500</v>
      </c>
      <c r="G3" s="41">
        <v>18400</v>
      </c>
      <c r="H3" s="41">
        <v>700</v>
      </c>
      <c r="J3" s="41">
        <f>SUM(C3:H3)</f>
        <v>101635</v>
      </c>
      <c r="K3" t="s">
        <v>59</v>
      </c>
      <c r="L3" s="293">
        <v>127000</v>
      </c>
      <c r="N3" s="41">
        <f>J3+J7+J9+J13</f>
        <v>394495</v>
      </c>
      <c r="O3" s="299">
        <v>472000</v>
      </c>
    </row>
    <row r="4" spans="1:15">
      <c r="A4" t="s">
        <v>60</v>
      </c>
      <c r="C4" s="41">
        <v>50500</v>
      </c>
      <c r="D4" s="41">
        <v>35</v>
      </c>
      <c r="E4" s="41"/>
      <c r="F4" s="41">
        <v>19000</v>
      </c>
      <c r="G4" s="41">
        <v>0</v>
      </c>
      <c r="H4" s="41">
        <v>1400</v>
      </c>
      <c r="J4" s="41">
        <f t="shared" ref="J4:J9" si="0">SUM(C4:H4)</f>
        <v>70935</v>
      </c>
      <c r="K4" t="s">
        <v>60</v>
      </c>
      <c r="L4" s="293">
        <v>84000</v>
      </c>
    </row>
    <row r="5" spans="1:15">
      <c r="A5" t="s">
        <v>61</v>
      </c>
      <c r="C5" s="41">
        <v>40000</v>
      </c>
      <c r="D5" s="41">
        <v>100</v>
      </c>
      <c r="E5" s="41"/>
      <c r="F5" s="41">
        <v>68000</v>
      </c>
      <c r="G5" s="41">
        <v>0</v>
      </c>
      <c r="H5" s="41">
        <v>1300</v>
      </c>
      <c r="J5" s="41">
        <f t="shared" si="0"/>
        <v>109400</v>
      </c>
      <c r="K5" t="s">
        <v>61</v>
      </c>
      <c r="L5" s="293">
        <v>122000</v>
      </c>
    </row>
    <row r="6" spans="1:15">
      <c r="C6" s="41"/>
      <c r="D6" s="41"/>
      <c r="E6" s="41"/>
      <c r="F6" s="41"/>
      <c r="G6" s="41"/>
      <c r="H6" s="41"/>
      <c r="J6" s="41"/>
      <c r="L6" s="293"/>
    </row>
    <row r="7" spans="1:15">
      <c r="A7" t="s">
        <v>62</v>
      </c>
      <c r="C7" s="41">
        <v>52000</v>
      </c>
      <c r="D7" s="41">
        <v>15</v>
      </c>
      <c r="E7" s="41"/>
      <c r="F7" s="41"/>
      <c r="G7" s="41"/>
      <c r="H7" s="41">
        <v>1400</v>
      </c>
      <c r="J7" s="41">
        <f t="shared" si="0"/>
        <v>53415</v>
      </c>
      <c r="K7" t="s">
        <v>62</v>
      </c>
      <c r="L7" s="293">
        <v>67000</v>
      </c>
    </row>
    <row r="8" spans="1:15">
      <c r="A8" t="s">
        <v>63</v>
      </c>
      <c r="C8" s="41">
        <v>138000</v>
      </c>
      <c r="D8" s="41">
        <v>30</v>
      </c>
      <c r="E8" s="41"/>
      <c r="F8" s="41">
        <v>30500</v>
      </c>
      <c r="G8" s="41"/>
      <c r="H8" s="41">
        <v>1550</v>
      </c>
      <c r="J8" s="41">
        <f t="shared" si="0"/>
        <v>170080</v>
      </c>
      <c r="K8" t="s">
        <v>63</v>
      </c>
      <c r="L8" s="293">
        <v>204000</v>
      </c>
    </row>
    <row r="9" spans="1:15" ht="15" thickBot="1">
      <c r="A9" t="s">
        <v>64</v>
      </c>
      <c r="C9" s="42">
        <v>101000</v>
      </c>
      <c r="D9" s="42">
        <v>20</v>
      </c>
      <c r="E9" s="42"/>
      <c r="F9" s="42"/>
      <c r="G9" s="42"/>
      <c r="H9" s="42">
        <v>1400</v>
      </c>
      <c r="J9" s="41">
        <f t="shared" si="0"/>
        <v>102420</v>
      </c>
      <c r="K9" t="s">
        <v>64</v>
      </c>
      <c r="L9" s="293">
        <v>124000</v>
      </c>
    </row>
    <row r="10" spans="1:15" ht="15" thickTop="1">
      <c r="C10" s="41">
        <f>SUM(C3:C9)</f>
        <v>452500</v>
      </c>
      <c r="D10" s="41"/>
      <c r="E10" s="41"/>
      <c r="F10" s="41">
        <f>SUM(F3:F9)</f>
        <v>129000</v>
      </c>
      <c r="G10" s="41"/>
      <c r="H10" s="41"/>
      <c r="L10" s="293">
        <f>SUM(L3:L9)</f>
        <v>728000</v>
      </c>
    </row>
    <row r="11" spans="1:15">
      <c r="C11" s="41"/>
      <c r="D11" s="41"/>
      <c r="E11" s="43">
        <f>C10+F10</f>
        <v>581500</v>
      </c>
      <c r="F11" s="41"/>
      <c r="G11" s="41"/>
      <c r="H11" s="41"/>
      <c r="L11" s="293"/>
    </row>
    <row r="12" spans="1:15">
      <c r="C12" s="41"/>
      <c r="D12" s="41"/>
      <c r="E12" s="41"/>
      <c r="F12" s="41"/>
      <c r="G12" s="41"/>
      <c r="H12" s="41"/>
      <c r="L12" s="293"/>
    </row>
    <row r="13" spans="1:15" ht="15" thickBot="1">
      <c r="A13" t="s">
        <v>65</v>
      </c>
      <c r="C13" s="369">
        <v>122000</v>
      </c>
      <c r="D13" s="42">
        <v>25</v>
      </c>
      <c r="E13" s="44"/>
      <c r="F13" s="369">
        <v>14000</v>
      </c>
      <c r="G13" s="42"/>
      <c r="H13" s="42">
        <v>1000</v>
      </c>
      <c r="J13" s="41">
        <f>SUM(C13:H13)</f>
        <v>137025</v>
      </c>
      <c r="K13" t="s">
        <v>65</v>
      </c>
      <c r="L13" s="293">
        <v>163000</v>
      </c>
    </row>
    <row r="14" spans="1:15" ht="15" thickTop="1">
      <c r="C14" s="41"/>
      <c r="D14" s="41"/>
      <c r="E14" s="41"/>
      <c r="F14" s="41"/>
      <c r="G14" s="41"/>
      <c r="H14" s="41"/>
      <c r="L14" s="293"/>
    </row>
    <row r="15" spans="1:15">
      <c r="C15" s="41">
        <f>C13+C10</f>
        <v>574500</v>
      </c>
      <c r="D15" s="41"/>
      <c r="E15" s="41"/>
      <c r="F15" s="41">
        <f>F13+F10</f>
        <v>143000</v>
      </c>
      <c r="G15" s="41"/>
      <c r="H15" s="41"/>
      <c r="L15" s="293"/>
    </row>
    <row r="16" spans="1:15">
      <c r="C16" s="41"/>
      <c r="D16" s="41" t="s">
        <v>3</v>
      </c>
      <c r="E16" s="43">
        <f>C15+F15</f>
        <v>717500</v>
      </c>
      <c r="F16" s="41"/>
      <c r="G16" s="41"/>
      <c r="H16" s="41"/>
      <c r="L16" s="293">
        <f>L10+L13</f>
        <v>891000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tabColor rgb="FF00B0F0"/>
    <pageSetUpPr fitToPage="1"/>
  </sheetPr>
  <dimension ref="A1:W95"/>
  <sheetViews>
    <sheetView showGridLines="0" topLeftCell="A16" zoomScale="110" zoomScaleNormal="110" workbookViewId="0">
      <selection activeCell="Y44" sqref="Y44"/>
    </sheetView>
  </sheetViews>
  <sheetFormatPr defaultColWidth="9.21875" defaultRowHeight="14.4"/>
  <cols>
    <col min="1" max="1" width="3.21875" style="32" customWidth="1"/>
    <col min="2" max="2" width="37" style="32" customWidth="1"/>
    <col min="3" max="3" width="20.21875" style="32" customWidth="1"/>
    <col min="4" max="4" width="21.44140625" style="32" customWidth="1"/>
    <col min="5" max="7" width="19.21875" style="32" customWidth="1"/>
    <col min="8" max="8" width="1" style="32" customWidth="1"/>
    <col min="9" max="9" width="21.44140625" style="32" customWidth="1"/>
    <col min="10" max="10" width="1" style="32" customWidth="1"/>
    <col min="11" max="11" width="1.44140625" style="32" customWidth="1"/>
    <col min="12" max="12" width="1" style="32" customWidth="1"/>
    <col min="13" max="13" width="25.44140625" style="32" hidden="1" customWidth="1"/>
    <col min="14" max="14" width="13" style="32" hidden="1" customWidth="1"/>
    <col min="15" max="16" width="15.5546875" style="32" hidden="1" customWidth="1"/>
    <col min="17" max="22" width="9.21875" style="32" hidden="1" customWidth="1"/>
    <col min="23" max="23" width="11.44140625" style="32" customWidth="1"/>
    <col min="24" max="24" width="9.21875" style="32" customWidth="1"/>
    <col min="25" max="16384" width="9.21875" style="32"/>
  </cols>
  <sheetData>
    <row r="1" spans="1:22" ht="21">
      <c r="A1" s="1"/>
      <c r="B1" s="144" t="s">
        <v>129</v>
      </c>
      <c r="C1" s="1"/>
      <c r="D1" s="1"/>
      <c r="E1" s="1"/>
      <c r="F1" s="1"/>
      <c r="G1" s="1"/>
      <c r="H1" s="1"/>
      <c r="I1" s="1"/>
      <c r="J1" s="1"/>
      <c r="K1" s="1"/>
      <c r="L1" s="1"/>
      <c r="N1" s="175"/>
      <c r="O1" s="176"/>
      <c r="P1" s="176"/>
      <c r="Q1" s="177"/>
    </row>
    <row r="2" spans="1:22" ht="47.2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178" t="str">
        <f>VLOOKUP(B3,lijstjes!E3:F11,2,FALSE)</f>
        <v>Televizier</v>
      </c>
      <c r="O2" s="143"/>
      <c r="P2" s="143"/>
      <c r="Q2" s="179"/>
    </row>
    <row r="3" spans="1:22" ht="23.4" thickBot="1">
      <c r="A3" s="2"/>
      <c r="B3" s="197" t="s">
        <v>67</v>
      </c>
      <c r="C3" s="423" t="str">
        <f>"Drukken en Nabewerken van Programmablad "&amp;N2</f>
        <v>Drukken en Nabewerken van Programmablad Televizier</v>
      </c>
      <c r="D3" s="424"/>
      <c r="E3" s="424"/>
      <c r="F3" s="424"/>
      <c r="G3" s="424"/>
      <c r="H3" s="424"/>
      <c r="I3" s="425"/>
      <c r="J3" s="1"/>
      <c r="K3" s="3"/>
      <c r="L3" s="3"/>
      <c r="N3" s="203" t="s">
        <v>99</v>
      </c>
      <c r="O3" s="204" t="str">
        <f>VLOOKUP($N$2,lijstjes!$J$15:$K$22,2,FALSE)</f>
        <v>ja</v>
      </c>
      <c r="P3" s="205"/>
      <c r="Q3" s="205"/>
    </row>
    <row r="4" spans="1:22" ht="6.75" customHeight="1" thickBot="1">
      <c r="A4" s="2"/>
      <c r="B4" s="3"/>
      <c r="C4" s="3"/>
      <c r="D4" s="3"/>
      <c r="E4" s="3"/>
      <c r="F4" s="3"/>
      <c r="G4" s="3"/>
      <c r="H4" s="1"/>
      <c r="I4" s="1"/>
      <c r="J4" s="3"/>
      <c r="K4" s="3"/>
      <c r="L4" s="3"/>
      <c r="O4" s="206">
        <f>IF(O6&gt;0,1,0)</f>
        <v>1</v>
      </c>
      <c r="P4" s="206">
        <f>IF(P7&gt;0,O4+1,0)</f>
        <v>2</v>
      </c>
      <c r="Q4" s="206">
        <f>IF(Q7&gt;0,IF(P4=0,O4+1,P4+1),0)</f>
        <v>3</v>
      </c>
      <c r="R4" s="206">
        <f>IF(R7&gt;0,IF(Q4=0,IF(P4=0,O4+1,P4+1),Q4+1),0)</f>
        <v>0</v>
      </c>
      <c r="S4" s="206">
        <f>IF(S7&gt;0,IF(R4=0,IF(Q4=0,IF(P4=0,O4+1,P4+1),Q4+1),R4+1),0)</f>
        <v>0</v>
      </c>
      <c r="T4" s="206">
        <f>IF(T7&gt;0,IF(S4=0,IF(R4=0,IF(Q4=0,IF(P4=0,O4+1,P4+1),Q4+1),R4+1),S4+1),0)</f>
        <v>0</v>
      </c>
      <c r="U4" s="206">
        <f>IF(U7&gt;0,IF(T4=0,IF(S4=0,IF(R4=0,IF(Q4=0,IF(P4=0,O4+1,P4+1),Q4+1),R4+1),S4+1),T4+1),0)</f>
        <v>4</v>
      </c>
      <c r="V4" s="206">
        <f>IF(V7&gt;0,IF(U4=0,IF(T4=0,IF(S4=0,IF(R4=0,IF(Q4=0,IF(P4=0,O4+1,P4+1),Q4+1),R4+1),S4+1),T4+1),U4+1),0)</f>
        <v>0</v>
      </c>
    </row>
    <row r="5" spans="1:22" ht="23.4" thickBot="1">
      <c r="A5" s="2"/>
      <c r="B5" s="93" t="s">
        <v>2</v>
      </c>
      <c r="C5" s="426"/>
      <c r="D5" s="427"/>
      <c r="E5" s="427"/>
      <c r="F5" s="427"/>
      <c r="G5" s="427"/>
      <c r="H5" s="427"/>
      <c r="I5" s="428"/>
      <c r="J5" s="4"/>
      <c r="K5" s="3"/>
      <c r="L5" s="3"/>
      <c r="N5" s="207" t="s">
        <v>100</v>
      </c>
      <c r="O5" s="208">
        <v>88</v>
      </c>
      <c r="P5" s="208">
        <v>96</v>
      </c>
      <c r="Q5" s="208">
        <v>104</v>
      </c>
      <c r="R5" s="208">
        <v>128</v>
      </c>
      <c r="S5" s="208">
        <v>156</v>
      </c>
      <c r="T5" s="208">
        <v>168</v>
      </c>
      <c r="U5" s="208">
        <v>176</v>
      </c>
      <c r="V5" s="209">
        <v>180</v>
      </c>
    </row>
    <row r="6" spans="1:22" ht="3.75" customHeight="1">
      <c r="A6" s="2"/>
      <c r="B6" s="5" t="s">
        <v>3</v>
      </c>
      <c r="C6" s="6"/>
      <c r="D6" s="4"/>
      <c r="E6" s="4"/>
      <c r="F6" s="3"/>
      <c r="G6" s="3"/>
      <c r="H6" s="1"/>
      <c r="I6" s="1"/>
      <c r="J6" s="3"/>
      <c r="K6" s="3"/>
      <c r="L6" s="3"/>
      <c r="N6" s="210" t="s">
        <v>29</v>
      </c>
      <c r="O6" s="211" t="str">
        <f>HLOOKUP(O$5,lijstjes!$R$14:$AB$21,VLOOKUP($N$2,lijstjes!$E$17:$F$23,2,FALSE),FALSE)</f>
        <v>nee</v>
      </c>
      <c r="P6" s="211">
        <f>HLOOKUP(P$5,lijstjes!$R$14:$AB$21,VLOOKUP($N$2,lijstjes!$E$17:$F$23,2,FALSE),FALSE)</f>
        <v>49</v>
      </c>
      <c r="Q6" s="211">
        <f>HLOOKUP(Q$5,lijstjes!$R$14:$AB$21,VLOOKUP($N$2,lijstjes!$E$17:$F$23,2,FALSE),FALSE)</f>
        <v>1</v>
      </c>
      <c r="R6" s="211" t="str">
        <f>HLOOKUP(R$5,lijstjes!$R$14:$AB$21,VLOOKUP($N$2,lijstjes!$E$17:$F$23,2,FALSE),FALSE)</f>
        <v>nee</v>
      </c>
      <c r="S6" s="211" t="str">
        <f>HLOOKUP(S$5,lijstjes!$R$14:$AB$21,VLOOKUP($N$2,lijstjes!$E$17:$F$23,2,FALSE),FALSE)</f>
        <v>nee</v>
      </c>
      <c r="T6" s="211" t="str">
        <f>HLOOKUP(T$5,lijstjes!$R$14:$AB$21,VLOOKUP($N$2,lijstjes!$E$17:$F$23,2,FALSE),FALSE)</f>
        <v>nee</v>
      </c>
      <c r="U6" s="211">
        <f>HLOOKUP(U$5,lijstjes!$R$14:$AB$21,VLOOKUP($N$2,lijstjes!$E$17:$F$23,2,FALSE),FALSE)</f>
        <v>1</v>
      </c>
      <c r="V6" s="212" t="str">
        <f>HLOOKUP(V$5,lijstjes!$R$14:$AB$21,VLOOKUP($N$2,lijstjes!$E$17:$F$23,2,FALSE),FALSE)</f>
        <v>nee</v>
      </c>
    </row>
    <row r="7" spans="1:22" ht="3.75" customHeight="1" thickBot="1">
      <c r="A7" s="2"/>
      <c r="B7" s="5"/>
      <c r="C7" s="6"/>
      <c r="D7" s="4"/>
      <c r="E7" s="4"/>
      <c r="F7" s="3"/>
      <c r="G7" s="3"/>
      <c r="H7" s="1"/>
      <c r="I7" s="8"/>
      <c r="J7" s="3"/>
      <c r="K7" s="3"/>
      <c r="L7" s="3"/>
      <c r="N7" s="213" t="s">
        <v>29</v>
      </c>
      <c r="O7" s="214">
        <f>IF(O6="nee",0,O6)</f>
        <v>0</v>
      </c>
      <c r="P7" s="214">
        <f t="shared" ref="P7:V7" si="0">IF(P6="nee",0,P6)</f>
        <v>49</v>
      </c>
      <c r="Q7" s="214">
        <f t="shared" si="0"/>
        <v>1</v>
      </c>
      <c r="R7" s="214">
        <f t="shared" si="0"/>
        <v>0</v>
      </c>
      <c r="S7" s="214">
        <f t="shared" si="0"/>
        <v>0</v>
      </c>
      <c r="T7" s="214">
        <f t="shared" si="0"/>
        <v>0</v>
      </c>
      <c r="U7" s="214">
        <f t="shared" si="0"/>
        <v>1</v>
      </c>
      <c r="V7" s="215">
        <f t="shared" si="0"/>
        <v>0</v>
      </c>
    </row>
    <row r="8" spans="1:22" ht="21" customHeight="1" thickBot="1">
      <c r="A8" s="2"/>
      <c r="B8" s="429" t="s">
        <v>97</v>
      </c>
      <c r="C8" s="430"/>
      <c r="D8" s="430"/>
      <c r="E8" s="430"/>
      <c r="F8" s="430"/>
      <c r="G8" s="430"/>
      <c r="H8" s="430"/>
      <c r="I8" s="431"/>
      <c r="J8" s="3"/>
      <c r="K8" s="3"/>
      <c r="L8" s="3"/>
      <c r="N8" s="216"/>
      <c r="O8" s="217">
        <v>1</v>
      </c>
      <c r="P8" s="218">
        <v>2</v>
      </c>
      <c r="Q8" s="218">
        <v>3</v>
      </c>
      <c r="R8" s="219">
        <v>4</v>
      </c>
    </row>
    <row r="9" spans="1:22" ht="6.75" customHeight="1" thickBot="1">
      <c r="A9" s="2"/>
      <c r="B9" s="5"/>
      <c r="C9" s="6"/>
      <c r="D9" s="4"/>
      <c r="E9" s="4"/>
      <c r="F9" s="3"/>
      <c r="G9" s="3"/>
      <c r="H9" s="1"/>
      <c r="I9" s="8"/>
      <c r="J9" s="3"/>
      <c r="K9" s="3"/>
      <c r="L9" s="3"/>
      <c r="N9" s="220" t="s">
        <v>118</v>
      </c>
      <c r="O9" s="221">
        <f>IF($N$2="TVFilm",R5,HLOOKUP(O8,$O$4:$V$5,2,FALSE))</f>
        <v>88</v>
      </c>
      <c r="P9" s="221">
        <f>IF($N$2="TVFilm",0,HLOOKUP(P8,$O$4:$V$5,2,FALSE))</f>
        <v>96</v>
      </c>
      <c r="Q9" s="221">
        <f t="shared" ref="Q9:R9" si="1">IF($N$2="TVFilm",0,HLOOKUP(Q8,$O$4:$V$5,2,FALSE))</f>
        <v>104</v>
      </c>
      <c r="R9" s="221">
        <f t="shared" si="1"/>
        <v>176</v>
      </c>
    </row>
    <row r="10" spans="1:22" ht="18" customHeight="1" thickBot="1">
      <c r="A10" s="2"/>
      <c r="B10" s="95" t="s">
        <v>91</v>
      </c>
      <c r="C10" s="96"/>
      <c r="D10" s="97"/>
      <c r="E10" s="4"/>
      <c r="F10" s="198" t="s">
        <v>95</v>
      </c>
      <c r="G10" s="163"/>
      <c r="H10" s="163"/>
      <c r="I10" s="167"/>
      <c r="J10" s="3"/>
      <c r="K10" s="3"/>
      <c r="L10" s="3"/>
    </row>
    <row r="11" spans="1:22" ht="18" customHeight="1" thickBot="1">
      <c r="A11" s="2"/>
      <c r="B11" s="80" t="s">
        <v>4</v>
      </c>
      <c r="C11" s="81"/>
      <c r="D11" s="82">
        <f>VLOOKUP($N$2,lijstjes!$B$27:$F$34,2,FALSE)</f>
        <v>50500</v>
      </c>
      <c r="E11" s="4"/>
      <c r="F11" s="164" t="s">
        <v>25</v>
      </c>
      <c r="G11" s="160"/>
      <c r="H11" s="160"/>
      <c r="I11" s="168" t="str">
        <f>VLOOKUP($N$2,lijstjes!$J$3:$O$9,3,FALSE)</f>
        <v>Verbeterd courant iso 76</v>
      </c>
      <c r="J11" s="3"/>
      <c r="K11" s="3"/>
      <c r="L11" s="3"/>
      <c r="N11" s="222" t="s">
        <v>121</v>
      </c>
      <c r="O11" s="223" t="str">
        <f>VLOOKUP(N2,lijstjes!AF3:AG9,2,FALSE)</f>
        <v>ja</v>
      </c>
    </row>
    <row r="12" spans="1:22" ht="18" customHeight="1" thickBot="1">
      <c r="A12" s="2"/>
      <c r="B12" s="83" t="s">
        <v>146</v>
      </c>
      <c r="C12" s="88"/>
      <c r="D12" s="84">
        <f>VLOOKUP($N$2,lijstjes!$B$27:$F$34,5,FALSE)</f>
        <v>71450.5</v>
      </c>
      <c r="E12" s="4"/>
      <c r="F12" s="165" t="s">
        <v>26</v>
      </c>
      <c r="G12" s="166"/>
      <c r="H12" s="166" t="s">
        <v>27</v>
      </c>
      <c r="I12" s="169">
        <f>VLOOKUP($N$2,lijstjes!$J$3:$O$9,4,FALSE)</f>
        <v>52</v>
      </c>
      <c r="J12" s="9"/>
      <c r="K12" s="9"/>
      <c r="L12" s="9"/>
    </row>
    <row r="13" spans="1:22" ht="18" customHeight="1" thickBot="1">
      <c r="A13" s="2"/>
      <c r="B13" s="85" t="s">
        <v>16</v>
      </c>
      <c r="C13" s="86"/>
      <c r="D13" s="87">
        <f>CEILING(D12,50)</f>
        <v>71500</v>
      </c>
      <c r="E13" s="4"/>
      <c r="F13" s="10"/>
      <c r="G13" s="10" t="s">
        <v>3</v>
      </c>
      <c r="H13" s="10" t="s">
        <v>3</v>
      </c>
      <c r="I13" s="9"/>
      <c r="J13" s="9"/>
      <c r="K13" s="9"/>
      <c r="L13" s="9"/>
    </row>
    <row r="14" spans="1:22" ht="6.75" customHeight="1" thickBot="1">
      <c r="A14" s="2"/>
      <c r="B14" s="5"/>
      <c r="C14" s="5"/>
      <c r="D14" s="6"/>
      <c r="E14" s="4"/>
      <c r="F14" s="10"/>
      <c r="G14" s="10" t="s">
        <v>3</v>
      </c>
      <c r="H14" s="10" t="s">
        <v>3</v>
      </c>
      <c r="I14" s="8"/>
      <c r="J14" s="3"/>
      <c r="K14" s="3"/>
      <c r="L14" s="3"/>
    </row>
    <row r="15" spans="1:22" ht="18" customHeight="1" thickBot="1">
      <c r="A15" s="2"/>
      <c r="B15" s="95" t="s">
        <v>92</v>
      </c>
      <c r="C15" s="96"/>
      <c r="D15" s="97" t="s">
        <v>17</v>
      </c>
      <c r="E15" s="4"/>
      <c r="F15" s="198" t="s">
        <v>122</v>
      </c>
      <c r="G15" s="163"/>
      <c r="H15" s="163"/>
      <c r="I15" s="167"/>
      <c r="J15" s="3"/>
      <c r="K15" s="3"/>
      <c r="L15" s="3"/>
    </row>
    <row r="16" spans="1:22" ht="18" customHeight="1">
      <c r="A16" s="10"/>
      <c r="B16" s="98" t="s">
        <v>18</v>
      </c>
      <c r="C16" s="99" t="s">
        <v>19</v>
      </c>
      <c r="D16" s="82">
        <f>VLOOKUP($N$2,lijstjes!$J$26:$L$32,2,FALSE)</f>
        <v>265</v>
      </c>
      <c r="E16" s="4"/>
      <c r="F16" s="164" t="s">
        <v>25</v>
      </c>
      <c r="G16" s="160"/>
      <c r="H16" s="160"/>
      <c r="I16" s="168" t="str">
        <f>VLOOKUP($N$2,lijstjes!$J$15:$O$21,3,FALSE)</f>
        <v>LWC gloss</v>
      </c>
      <c r="J16" s="10"/>
      <c r="K16" s="10"/>
      <c r="L16" s="10"/>
    </row>
    <row r="17" spans="1:12" ht="18" customHeight="1" thickBot="1">
      <c r="A17" s="10"/>
      <c r="B17" s="89" t="s">
        <v>20</v>
      </c>
      <c r="C17" s="94" t="s">
        <v>19</v>
      </c>
      <c r="D17" s="87">
        <f>VLOOKUP($N$2,lijstjes!$J$26:$L$32,3,FALSE)</f>
        <v>202</v>
      </c>
      <c r="E17" s="4"/>
      <c r="F17" s="165" t="s">
        <v>26</v>
      </c>
      <c r="G17" s="166"/>
      <c r="H17" s="166" t="s">
        <v>27</v>
      </c>
      <c r="I17" s="185">
        <f>VLOOKUP($N$2,lijstjes!$J$15:$O$21,4,FALSE)</f>
        <v>90</v>
      </c>
      <c r="J17" s="10"/>
      <c r="K17" s="10"/>
      <c r="L17" s="10"/>
    </row>
    <row r="18" spans="1:12" ht="6.75" customHeight="1" thickBot="1">
      <c r="A18" s="10"/>
      <c r="B18" s="183"/>
      <c r="C18" s="160"/>
      <c r="D18" s="184"/>
      <c r="E18" s="4"/>
      <c r="F18" s="183"/>
      <c r="G18" s="160"/>
      <c r="H18" s="160"/>
      <c r="I18" s="184"/>
      <c r="J18" s="10"/>
      <c r="K18" s="10"/>
      <c r="L18" s="10"/>
    </row>
    <row r="19" spans="1:12" ht="18" customHeight="1" thickBot="1">
      <c r="A19" s="10"/>
      <c r="B19" s="95" t="s">
        <v>93</v>
      </c>
      <c r="C19" s="96"/>
      <c r="D19" s="180"/>
      <c r="E19" s="4"/>
      <c r="F19" s="160"/>
      <c r="G19" s="160"/>
      <c r="H19" s="160"/>
      <c r="I19" s="184"/>
      <c r="J19" s="10"/>
      <c r="K19" s="10"/>
      <c r="L19" s="10"/>
    </row>
    <row r="20" spans="1:12" ht="18" customHeight="1" thickBot="1">
      <c r="A20" s="10"/>
      <c r="B20" s="161" t="s">
        <v>90</v>
      </c>
      <c r="C20" s="162"/>
      <c r="D20" s="170">
        <f>VLOOKUP($N$2,lijstjes!$B$17:$C$23,2,FALSE)</f>
        <v>51</v>
      </c>
      <c r="E20" s="4"/>
      <c r="F20" s="160"/>
      <c r="G20" s="160"/>
      <c r="H20" s="160"/>
      <c r="I20" s="184"/>
      <c r="J20" s="10"/>
      <c r="K20" s="10"/>
      <c r="L20" s="10"/>
    </row>
    <row r="21" spans="1:12" ht="6" customHeight="1">
      <c r="A21" s="10"/>
      <c r="B21" s="183"/>
      <c r="C21" s="160"/>
      <c r="D21" s="184"/>
      <c r="E21" s="4"/>
      <c r="F21" s="183"/>
      <c r="G21" s="160"/>
      <c r="H21" s="160"/>
      <c r="I21" s="184"/>
      <c r="J21" s="10"/>
      <c r="K21" s="10"/>
      <c r="L21" s="10"/>
    </row>
    <row r="22" spans="1:12" ht="6" customHeight="1" thickBot="1">
      <c r="A22" s="10"/>
      <c r="B22" s="11"/>
      <c r="C22" s="11"/>
      <c r="D22" s="11"/>
      <c r="E22" s="4"/>
      <c r="F22" s="3"/>
      <c r="G22" s="3"/>
      <c r="H22" s="1"/>
      <c r="I22" s="10"/>
      <c r="J22" s="10"/>
      <c r="K22" s="10"/>
      <c r="L22" s="10"/>
    </row>
    <row r="23" spans="1:12" ht="22.5" customHeight="1" thickBot="1">
      <c r="A23" s="10"/>
      <c r="B23" s="432" t="s">
        <v>98</v>
      </c>
      <c r="C23" s="433"/>
      <c r="D23" s="433"/>
      <c r="E23" s="433"/>
      <c r="F23" s="433"/>
      <c r="G23" s="433"/>
      <c r="H23" s="433"/>
      <c r="I23" s="434"/>
      <c r="J23" s="10"/>
      <c r="K23" s="10"/>
      <c r="L23" s="10"/>
    </row>
    <row r="24" spans="1:12" ht="8.25" customHeight="1" thickBot="1">
      <c r="A24" s="10"/>
      <c r="B24" s="10"/>
      <c r="C24" s="10"/>
      <c r="D24" s="10"/>
      <c r="E24" s="4"/>
      <c r="F24" s="3"/>
      <c r="G24" s="3"/>
      <c r="H24" s="1"/>
      <c r="I24" s="10"/>
      <c r="J24" s="10"/>
      <c r="K24" s="10"/>
      <c r="L24" s="10"/>
    </row>
    <row r="25" spans="1:12" ht="15" thickBot="1">
      <c r="A25" s="10"/>
      <c r="B25" s="100" t="s">
        <v>96</v>
      </c>
      <c r="C25" s="101"/>
      <c r="D25" s="102"/>
      <c r="E25" s="4"/>
      <c r="F25" s="3"/>
      <c r="G25" s="3"/>
      <c r="H25" s="7"/>
      <c r="I25" s="10"/>
      <c r="J25" s="10"/>
      <c r="K25" s="10"/>
      <c r="L25" s="10"/>
    </row>
    <row r="26" spans="1:12" ht="18.75" customHeight="1">
      <c r="A26" s="10"/>
      <c r="B26" s="90" t="s">
        <v>21</v>
      </c>
      <c r="C26" s="451"/>
      <c r="D26" s="452"/>
      <c r="E26" s="11"/>
      <c r="F26" s="10"/>
      <c r="G26" s="10"/>
      <c r="H26" s="10"/>
      <c r="I26" s="10"/>
      <c r="J26" s="10"/>
      <c r="K26" s="10"/>
      <c r="L26" s="10"/>
    </row>
    <row r="27" spans="1:12" ht="18.75" customHeight="1">
      <c r="A27" s="10"/>
      <c r="B27" s="91" t="s">
        <v>22</v>
      </c>
      <c r="C27" s="453"/>
      <c r="D27" s="454"/>
      <c r="E27" s="11"/>
      <c r="F27" s="10"/>
      <c r="G27" s="10"/>
      <c r="H27" s="10"/>
      <c r="I27" s="10"/>
      <c r="J27" s="10"/>
      <c r="K27" s="10"/>
      <c r="L27" s="10"/>
    </row>
    <row r="28" spans="1:12" ht="18.75" customHeight="1" thickBot="1">
      <c r="A28" s="10"/>
      <c r="B28" s="92" t="s">
        <v>23</v>
      </c>
      <c r="C28" s="455"/>
      <c r="D28" s="456"/>
      <c r="E28" s="11"/>
      <c r="F28" s="10"/>
      <c r="G28" s="10"/>
      <c r="H28" s="10"/>
      <c r="I28" s="10"/>
      <c r="J28" s="10"/>
      <c r="K28" s="10"/>
      <c r="L28" s="10"/>
    </row>
    <row r="29" spans="1:12" ht="7.5" customHeight="1">
      <c r="A29" s="10"/>
      <c r="B29" s="11"/>
      <c r="C29" s="11"/>
      <c r="D29" s="11"/>
      <c r="E29" s="11"/>
      <c r="F29" s="10"/>
      <c r="G29" s="11"/>
      <c r="H29" s="10"/>
      <c r="I29" s="10"/>
      <c r="J29" s="10"/>
      <c r="K29" s="10"/>
      <c r="L29" s="10"/>
    </row>
    <row r="30" spans="1:12">
      <c r="A30" s="10"/>
      <c r="B30" s="40" t="s">
        <v>94</v>
      </c>
      <c r="C30" s="54" t="s">
        <v>131</v>
      </c>
      <c r="D30" s="54"/>
      <c r="E30" s="11"/>
      <c r="F30" s="10"/>
      <c r="G30" s="11"/>
      <c r="H30" s="10"/>
      <c r="I30" s="10"/>
      <c r="J30" s="10"/>
      <c r="K30" s="10"/>
      <c r="L30" s="10"/>
    </row>
    <row r="31" spans="1:12" ht="8.25" customHeight="1">
      <c r="A31" s="10"/>
      <c r="B31" s="10"/>
      <c r="C31" s="10"/>
      <c r="D31" s="10"/>
      <c r="E31" s="10"/>
      <c r="F31" s="10"/>
      <c r="G31" s="10"/>
      <c r="H31" s="10"/>
      <c r="I31" s="2"/>
      <c r="J31" s="10"/>
      <c r="K31" s="10"/>
      <c r="L31" s="10"/>
    </row>
    <row r="32" spans="1:12" ht="4.5" customHeight="1" thickBot="1">
      <c r="A32" s="10"/>
      <c r="B32" s="10"/>
      <c r="C32" s="10"/>
      <c r="D32" s="10"/>
      <c r="E32" s="10"/>
      <c r="F32" s="10"/>
      <c r="G32" s="10"/>
      <c r="H32" s="226"/>
      <c r="I32" s="236"/>
      <c r="J32" s="151"/>
      <c r="K32" s="10"/>
      <c r="L32" s="10"/>
    </row>
    <row r="33" spans="1:12" s="224" customFormat="1" ht="15" thickBot="1">
      <c r="A33" s="10"/>
      <c r="B33" s="437" t="s">
        <v>119</v>
      </c>
      <c r="C33" s="438"/>
      <c r="D33" s="283"/>
      <c r="E33" s="284"/>
      <c r="F33" s="284"/>
      <c r="G33" s="283"/>
      <c r="H33" s="226"/>
      <c r="I33" s="126" t="s">
        <v>128</v>
      </c>
      <c r="J33" s="188"/>
      <c r="K33" s="10"/>
      <c r="L33" s="10"/>
    </row>
    <row r="34" spans="1:12" s="224" customFormat="1" ht="17.25" customHeight="1">
      <c r="A34" s="10"/>
      <c r="B34" s="439" t="s">
        <v>28</v>
      </c>
      <c r="C34" s="440"/>
      <c r="D34" s="264" t="s">
        <v>110</v>
      </c>
      <c r="E34" s="225"/>
      <c r="F34" s="225"/>
      <c r="G34" s="225"/>
      <c r="H34" s="226"/>
      <c r="I34" s="240"/>
      <c r="J34" s="226"/>
      <c r="K34" s="10"/>
      <c r="L34" s="10"/>
    </row>
    <row r="35" spans="1:12" s="224" customFormat="1" ht="16.5" customHeight="1">
      <c r="A35" s="10"/>
      <c r="B35" s="445" t="s">
        <v>106</v>
      </c>
      <c r="C35" s="446"/>
      <c r="D35" s="233"/>
      <c r="E35" s="225"/>
      <c r="F35" s="225"/>
      <c r="G35" s="225"/>
      <c r="H35" s="226"/>
      <c r="I35" s="240"/>
      <c r="J35" s="226"/>
      <c r="K35" s="10"/>
      <c r="L35" s="10"/>
    </row>
    <row r="36" spans="1:12" s="224" customFormat="1" ht="16.5" customHeight="1">
      <c r="A36" s="10"/>
      <c r="B36" s="435" t="s">
        <v>111</v>
      </c>
      <c r="C36" s="436"/>
      <c r="D36" s="234"/>
      <c r="E36" s="225"/>
      <c r="F36" s="225"/>
      <c r="G36" s="225"/>
      <c r="H36" s="226"/>
      <c r="I36" s="240"/>
      <c r="J36" s="226"/>
      <c r="K36" s="10"/>
      <c r="L36" s="10"/>
    </row>
    <row r="37" spans="1:12" s="224" customFormat="1" ht="17.25" customHeight="1">
      <c r="A37" s="10"/>
      <c r="B37" s="465" t="s">
        <v>114</v>
      </c>
      <c r="C37" s="466"/>
      <c r="D37" s="266">
        <f>D35+D36*$D$13/1000</f>
        <v>0</v>
      </c>
      <c r="E37" s="225"/>
      <c r="F37" s="225"/>
      <c r="G37" s="225"/>
      <c r="H37" s="226"/>
      <c r="I37" s="240"/>
      <c r="J37" s="226"/>
      <c r="K37" s="10"/>
      <c r="L37" s="10"/>
    </row>
    <row r="38" spans="1:12" s="224" customFormat="1" ht="16.5" customHeight="1">
      <c r="A38" s="10"/>
      <c r="B38" s="445" t="s">
        <v>108</v>
      </c>
      <c r="C38" s="446"/>
      <c r="D38" s="233"/>
      <c r="E38" s="225"/>
      <c r="F38" s="225"/>
      <c r="G38" s="225"/>
      <c r="H38" s="226"/>
      <c r="I38" s="240"/>
      <c r="J38" s="226"/>
      <c r="K38" s="10"/>
      <c r="L38" s="10"/>
    </row>
    <row r="39" spans="1:12" s="224" customFormat="1" ht="16.5" customHeight="1">
      <c r="A39" s="10"/>
      <c r="B39" s="449" t="s">
        <v>109</v>
      </c>
      <c r="C39" s="450"/>
      <c r="D39" s="235"/>
      <c r="E39" s="225"/>
      <c r="F39" s="225"/>
      <c r="G39" s="225"/>
      <c r="H39" s="226"/>
      <c r="I39" s="240"/>
      <c r="J39" s="226"/>
      <c r="K39" s="10"/>
      <c r="L39" s="10"/>
    </row>
    <row r="40" spans="1:12" s="224" customFormat="1" ht="16.5" customHeight="1">
      <c r="A40" s="10"/>
      <c r="B40" s="467" t="s">
        <v>113</v>
      </c>
      <c r="C40" s="468"/>
      <c r="D40" s="189">
        <f>D38+D39*$D$13/1000</f>
        <v>0</v>
      </c>
      <c r="E40" s="225"/>
      <c r="F40" s="225"/>
      <c r="G40" s="225"/>
      <c r="H40" s="226"/>
      <c r="I40" s="240"/>
      <c r="J40" s="226"/>
      <c r="K40" s="10"/>
      <c r="L40" s="10"/>
    </row>
    <row r="41" spans="1:12" s="224" customFormat="1" ht="16.5" customHeight="1">
      <c r="A41" s="10"/>
      <c r="B41" s="435" t="s">
        <v>123</v>
      </c>
      <c r="C41" s="436"/>
      <c r="D41" s="147">
        <f>IF(VLOOKUP($N$2,lijstjes!$J$15:$N$22,5,FALSE)="nee",0,VLOOKUP($N$2,lijstjes!$J$15:$N$22,5,FALSE))</f>
        <v>600</v>
      </c>
      <c r="E41" s="225"/>
      <c r="F41" s="225"/>
      <c r="G41" s="225"/>
      <c r="H41" s="226"/>
      <c r="I41" s="240"/>
      <c r="J41" s="226"/>
      <c r="K41" s="10"/>
      <c r="L41" s="10"/>
    </row>
    <row r="42" spans="1:12" s="224" customFormat="1" ht="17.25" customHeight="1">
      <c r="A42" s="10"/>
      <c r="B42" s="465" t="s">
        <v>115</v>
      </c>
      <c r="C42" s="466"/>
      <c r="D42" s="266">
        <f>D40/100*D41</f>
        <v>0</v>
      </c>
      <c r="E42" s="225"/>
      <c r="F42" s="225"/>
      <c r="G42" s="225"/>
      <c r="H42" s="226"/>
      <c r="I42" s="240"/>
      <c r="J42" s="226"/>
      <c r="K42" s="10"/>
      <c r="L42" s="10"/>
    </row>
    <row r="43" spans="1:12" s="224" customFormat="1" ht="16.5" customHeight="1">
      <c r="A43" s="10"/>
      <c r="B43" s="449" t="s">
        <v>107</v>
      </c>
      <c r="C43" s="450"/>
      <c r="D43" s="235"/>
      <c r="E43" s="225"/>
      <c r="F43" s="225"/>
      <c r="G43" s="225"/>
      <c r="H43" s="226"/>
      <c r="I43" s="240"/>
      <c r="J43" s="226"/>
      <c r="K43" s="10"/>
      <c r="L43" s="10"/>
    </row>
    <row r="44" spans="1:12" s="224" customFormat="1" ht="18.75" customHeight="1">
      <c r="A44" s="10"/>
      <c r="B44" s="447" t="s">
        <v>116</v>
      </c>
      <c r="C44" s="448"/>
      <c r="D44" s="267">
        <f>D42+D43+D37</f>
        <v>0</v>
      </c>
      <c r="E44" s="225"/>
      <c r="F44" s="225"/>
      <c r="G44" s="225"/>
      <c r="H44" s="226"/>
      <c r="I44" s="240"/>
      <c r="J44" s="226"/>
      <c r="K44" s="10"/>
      <c r="L44" s="10"/>
    </row>
    <row r="45" spans="1:12" s="224" customFormat="1" ht="16.5" customHeight="1" thickBot="1">
      <c r="A45" s="10"/>
      <c r="B45" s="461" t="s">
        <v>50</v>
      </c>
      <c r="C45" s="462"/>
      <c r="D45" s="152">
        <f>D20</f>
        <v>51</v>
      </c>
      <c r="E45" s="225"/>
      <c r="F45" s="225"/>
      <c r="G45" s="225"/>
      <c r="H45" s="226"/>
      <c r="I45" s="240"/>
      <c r="J45" s="226"/>
      <c r="K45" s="10"/>
      <c r="L45" s="10"/>
    </row>
    <row r="46" spans="1:12" s="224" customFormat="1" ht="20.25" customHeight="1" thickTop="1" thickBot="1">
      <c r="A46" s="10"/>
      <c r="B46" s="265" t="s">
        <v>112</v>
      </c>
      <c r="C46" s="190"/>
      <c r="D46" s="268">
        <f>D44*D45</f>
        <v>0</v>
      </c>
      <c r="E46" s="227"/>
      <c r="F46" s="227"/>
      <c r="G46" s="227"/>
      <c r="H46" s="228"/>
      <c r="I46" s="241">
        <f>SUM(D46:G46)</f>
        <v>0</v>
      </c>
      <c r="J46" s="228"/>
      <c r="K46" s="10"/>
      <c r="L46" s="10"/>
    </row>
    <row r="47" spans="1:12" s="224" customFormat="1" ht="5.25" customHeight="1">
      <c r="A47" s="10"/>
      <c r="B47" s="10"/>
      <c r="C47" s="10"/>
      <c r="D47" s="10"/>
      <c r="E47" s="10"/>
      <c r="F47" s="10"/>
      <c r="G47" s="10"/>
      <c r="H47" s="151"/>
      <c r="I47" s="237"/>
      <c r="J47" s="151"/>
      <c r="K47" s="10"/>
      <c r="L47" s="10"/>
    </row>
    <row r="48" spans="1:12" s="224" customFormat="1" ht="9.75" customHeight="1">
      <c r="A48" s="10"/>
      <c r="B48" s="10"/>
      <c r="C48" s="10"/>
      <c r="D48" s="10"/>
      <c r="E48" s="10"/>
      <c r="F48" s="10"/>
      <c r="G48" s="10"/>
      <c r="H48" s="10"/>
      <c r="I48" s="2"/>
      <c r="J48" s="10"/>
      <c r="K48" s="10"/>
      <c r="L48" s="10"/>
    </row>
    <row r="49" spans="1:12" ht="9.75" customHeight="1">
      <c r="A49" s="10"/>
      <c r="B49" s="10"/>
      <c r="C49" s="10"/>
      <c r="D49" s="10"/>
      <c r="E49" s="10"/>
      <c r="F49" s="10"/>
      <c r="G49" s="10"/>
      <c r="H49" s="10"/>
      <c r="I49" s="2"/>
      <c r="J49" s="10"/>
      <c r="K49" s="10"/>
      <c r="L49" s="10"/>
    </row>
    <row r="50" spans="1:12" ht="5.25" customHeight="1" thickBot="1">
      <c r="A50" s="10"/>
      <c r="B50" s="10"/>
      <c r="C50" s="10"/>
      <c r="D50" s="10"/>
      <c r="E50" s="10"/>
      <c r="F50" s="10"/>
      <c r="G50" s="10"/>
      <c r="H50" s="229"/>
      <c r="I50" s="236"/>
      <c r="J50" s="229"/>
      <c r="K50" s="10"/>
      <c r="L50" s="10"/>
    </row>
    <row r="51" spans="1:12" ht="15" thickBot="1">
      <c r="A51" s="10"/>
      <c r="B51" s="441" t="s">
        <v>120</v>
      </c>
      <c r="C51" s="442"/>
      <c r="D51" s="103"/>
      <c r="E51" s="103"/>
      <c r="F51" s="103"/>
      <c r="G51" s="97"/>
      <c r="H51" s="229"/>
      <c r="I51" s="257" t="s">
        <v>128</v>
      </c>
      <c r="J51" s="229"/>
      <c r="K51" s="10"/>
      <c r="L51" s="10"/>
    </row>
    <row r="52" spans="1:12" ht="17.25" customHeight="1">
      <c r="A52" s="10"/>
      <c r="B52" s="443" t="s">
        <v>28</v>
      </c>
      <c r="C52" s="444"/>
      <c r="D52" s="148">
        <f>O9</f>
        <v>88</v>
      </c>
      <c r="E52" s="148">
        <f>P9</f>
        <v>96</v>
      </c>
      <c r="F52" s="148">
        <f>Q9</f>
        <v>104</v>
      </c>
      <c r="G52" s="148">
        <f>R9</f>
        <v>176</v>
      </c>
      <c r="H52" s="229"/>
      <c r="I52" s="258"/>
      <c r="J52" s="229"/>
      <c r="K52" s="10"/>
      <c r="L52" s="10"/>
    </row>
    <row r="53" spans="1:12" ht="16.5" customHeight="1">
      <c r="A53" s="10"/>
      <c r="B53" s="445" t="s">
        <v>106</v>
      </c>
      <c r="C53" s="446"/>
      <c r="D53" s="230"/>
      <c r="E53" s="230"/>
      <c r="F53" s="230"/>
      <c r="G53" s="230"/>
      <c r="H53" s="229"/>
      <c r="I53" s="259"/>
      <c r="J53" s="229"/>
      <c r="K53" s="10"/>
      <c r="L53" s="10"/>
    </row>
    <row r="54" spans="1:12" ht="16.5" customHeight="1">
      <c r="A54" s="10"/>
      <c r="B54" s="435" t="s">
        <v>111</v>
      </c>
      <c r="C54" s="436"/>
      <c r="D54" s="231"/>
      <c r="E54" s="231"/>
      <c r="F54" s="231"/>
      <c r="G54" s="231"/>
      <c r="H54" s="229"/>
      <c r="I54" s="259"/>
      <c r="J54" s="229"/>
      <c r="K54" s="10"/>
      <c r="L54" s="10"/>
    </row>
    <row r="55" spans="1:12" ht="17.25" customHeight="1">
      <c r="A55" s="10"/>
      <c r="B55" s="457" t="str">
        <f>"Totaal Drukkosten hele oplage "&amp;D13&amp;" stuks"</f>
        <v>Totaal Drukkosten hele oplage 71500 stuks</v>
      </c>
      <c r="C55" s="458"/>
      <c r="D55" s="269">
        <f>D53+D54*$D$13/1000</f>
        <v>0</v>
      </c>
      <c r="E55" s="269">
        <f t="shared" ref="E55:G55" si="2">E53+E54*$D$13/1000</f>
        <v>0</v>
      </c>
      <c r="F55" s="269">
        <f t="shared" si="2"/>
        <v>0</v>
      </c>
      <c r="G55" s="269">
        <f t="shared" si="2"/>
        <v>0</v>
      </c>
      <c r="H55" s="229"/>
      <c r="I55" s="259"/>
      <c r="J55" s="229"/>
      <c r="K55" s="10"/>
      <c r="L55" s="10"/>
    </row>
    <row r="56" spans="1:12" ht="16.5" customHeight="1">
      <c r="A56" s="10"/>
      <c r="B56" s="445" t="s">
        <v>108</v>
      </c>
      <c r="C56" s="446"/>
      <c r="D56" s="230"/>
      <c r="E56" s="230"/>
      <c r="F56" s="230"/>
      <c r="G56" s="230"/>
      <c r="H56" s="229"/>
      <c r="I56" s="259"/>
      <c r="J56" s="229"/>
      <c r="K56" s="10"/>
      <c r="L56" s="10"/>
    </row>
    <row r="57" spans="1:12" ht="16.5" customHeight="1">
      <c r="A57" s="10"/>
      <c r="B57" s="449" t="s">
        <v>109</v>
      </c>
      <c r="C57" s="450"/>
      <c r="D57" s="231"/>
      <c r="E57" s="231"/>
      <c r="F57" s="231"/>
      <c r="G57" s="231"/>
      <c r="H57" s="229"/>
      <c r="I57" s="259"/>
      <c r="J57" s="229"/>
      <c r="K57" s="10"/>
      <c r="L57" s="10"/>
    </row>
    <row r="58" spans="1:12" ht="16.5" customHeight="1">
      <c r="A58" s="10"/>
      <c r="B58" s="463" t="s">
        <v>113</v>
      </c>
      <c r="C58" s="464"/>
      <c r="D58" s="149">
        <f>D56+D57*$D$13/1000</f>
        <v>0</v>
      </c>
      <c r="E58" s="149">
        <f t="shared" ref="E58:G58" si="3">E56+E57*$D$13/1000</f>
        <v>0</v>
      </c>
      <c r="F58" s="149">
        <f t="shared" si="3"/>
        <v>0</v>
      </c>
      <c r="G58" s="149">
        <f t="shared" si="3"/>
        <v>0</v>
      </c>
      <c r="H58" s="229"/>
      <c r="I58" s="259"/>
      <c r="J58" s="229"/>
      <c r="K58" s="10"/>
      <c r="L58" s="10"/>
    </row>
    <row r="59" spans="1:12" ht="16.5" customHeight="1">
      <c r="A59" s="10"/>
      <c r="B59" s="435" t="s">
        <v>123</v>
      </c>
      <c r="C59" s="436"/>
      <c r="D59" s="150">
        <f>IF(VLOOKUP($N$2,lijstjes!$J$3:$N$10,5,FALSE)="nee",0,VLOOKUP($N$2,lijstjes!$J$3:$N$10,5,FALSE))</f>
        <v>500</v>
      </c>
      <c r="E59" s="150">
        <f>IF(VLOOKUP($N$2,lijstjes!$J$3:$N$10,5,FALSE)="nee",0,VLOOKUP($N$2,lijstjes!$J$3:$N$10,5,FALSE))</f>
        <v>500</v>
      </c>
      <c r="F59" s="150">
        <f>IF(VLOOKUP($N$2,lijstjes!$J$3:$N$10,5,FALSE)="nee",0,VLOOKUP($N$2,lijstjes!$J$3:$N$10,5,FALSE))</f>
        <v>500</v>
      </c>
      <c r="G59" s="150">
        <f>IF(VLOOKUP($N$2,lijstjes!$J$3:$N$10,5,FALSE)="nee",0,VLOOKUP($N$2,lijstjes!$J$3:$N$10,5,FALSE))</f>
        <v>500</v>
      </c>
      <c r="H59" s="229"/>
      <c r="I59" s="259"/>
      <c r="J59" s="229"/>
      <c r="K59" s="10"/>
      <c r="L59" s="10"/>
    </row>
    <row r="60" spans="1:12" ht="17.25" customHeight="1">
      <c r="A60" s="10"/>
      <c r="B60" s="457" t="s">
        <v>115</v>
      </c>
      <c r="C60" s="458"/>
      <c r="D60" s="269">
        <f>D58/100*D59</f>
        <v>0</v>
      </c>
      <c r="E60" s="269">
        <f t="shared" ref="E60:G60" si="4">E58/100*E59</f>
        <v>0</v>
      </c>
      <c r="F60" s="269">
        <f t="shared" si="4"/>
        <v>0</v>
      </c>
      <c r="G60" s="269">
        <f t="shared" si="4"/>
        <v>0</v>
      </c>
      <c r="H60" s="229"/>
      <c r="I60" s="259"/>
      <c r="J60" s="229"/>
      <c r="K60" s="10"/>
      <c r="L60" s="10"/>
    </row>
    <row r="61" spans="1:12" ht="16.5" customHeight="1">
      <c r="A61" s="10"/>
      <c r="B61" s="449" t="s">
        <v>107</v>
      </c>
      <c r="C61" s="450"/>
      <c r="D61" s="232"/>
      <c r="E61" s="232"/>
      <c r="F61" s="232"/>
      <c r="G61" s="232"/>
      <c r="H61" s="229"/>
      <c r="I61" s="259"/>
      <c r="J61" s="229"/>
      <c r="K61" s="10"/>
      <c r="L61" s="10"/>
    </row>
    <row r="62" spans="1:12" ht="18.75" customHeight="1">
      <c r="A62" s="10"/>
      <c r="B62" s="459" t="s">
        <v>116</v>
      </c>
      <c r="C62" s="460"/>
      <c r="D62" s="270">
        <f>D60+D61+D55</f>
        <v>0</v>
      </c>
      <c r="E62" s="270">
        <f t="shared" ref="E62:G62" si="5">E60+E61+E55</f>
        <v>0</v>
      </c>
      <c r="F62" s="270">
        <f t="shared" si="5"/>
        <v>0</v>
      </c>
      <c r="G62" s="270">
        <f t="shared" si="5"/>
        <v>0</v>
      </c>
      <c r="H62" s="229"/>
      <c r="I62" s="259"/>
      <c r="J62" s="229"/>
      <c r="K62" s="10"/>
      <c r="L62" s="10"/>
    </row>
    <row r="63" spans="1:12" ht="16.5" customHeight="1" thickBot="1">
      <c r="A63" s="10"/>
      <c r="B63" s="461" t="s">
        <v>50</v>
      </c>
      <c r="C63" s="462"/>
      <c r="D63" s="271">
        <f>IF(D52=0,0,HLOOKUP(D52,$O$5:$V$7,3,FALSE))</f>
        <v>0</v>
      </c>
      <c r="E63" s="271">
        <f>IF(E52=0,0,HLOOKUP(E52,$O$5:$V$7,3,FALSE))</f>
        <v>49</v>
      </c>
      <c r="F63" s="271">
        <f>IF(F52=0,0,HLOOKUP(F52,$O$5:$V$7,3,FALSE))</f>
        <v>1</v>
      </c>
      <c r="G63" s="271">
        <f>IF(G52=0,0,HLOOKUP(G52,$O$5:$V$7,3,FALSE))</f>
        <v>1</v>
      </c>
      <c r="H63" s="229"/>
      <c r="I63" s="260"/>
      <c r="J63" s="229"/>
      <c r="K63" s="10"/>
      <c r="L63" s="10"/>
    </row>
    <row r="64" spans="1:12" ht="20.25" customHeight="1" thickBot="1">
      <c r="A64" s="10"/>
      <c r="B64" s="272" t="s">
        <v>112</v>
      </c>
      <c r="C64" s="273"/>
      <c r="D64" s="274">
        <f>D62*D63</f>
        <v>0</v>
      </c>
      <c r="E64" s="274">
        <f t="shared" ref="E64:G64" si="6">E62*E63</f>
        <v>0</v>
      </c>
      <c r="F64" s="274">
        <f t="shared" si="6"/>
        <v>0</v>
      </c>
      <c r="G64" s="274">
        <f t="shared" si="6"/>
        <v>0</v>
      </c>
      <c r="H64" s="229"/>
      <c r="I64" s="261">
        <f>SUM(D64:H64)</f>
        <v>0</v>
      </c>
      <c r="J64" s="229"/>
      <c r="K64" s="10"/>
      <c r="L64" s="10"/>
    </row>
    <row r="65" spans="1:23" ht="4.5" customHeight="1">
      <c r="A65" s="10"/>
      <c r="B65" s="10"/>
      <c r="C65" s="10"/>
      <c r="D65" s="10"/>
      <c r="E65" s="10"/>
      <c r="F65" s="10"/>
      <c r="G65" s="10"/>
      <c r="H65" s="229"/>
      <c r="I65" s="237"/>
      <c r="J65" s="229"/>
      <c r="K65" s="10"/>
      <c r="L65" s="10"/>
    </row>
    <row r="66" spans="1:23" ht="5.25" customHeight="1">
      <c r="A66" s="10"/>
      <c r="B66" s="10"/>
      <c r="C66" s="10"/>
      <c r="D66" s="10"/>
      <c r="E66" s="10"/>
      <c r="F66" s="10"/>
      <c r="G66" s="10"/>
      <c r="H66" s="10"/>
      <c r="I66" s="2"/>
      <c r="J66" s="10"/>
      <c r="K66" s="10"/>
      <c r="L66" s="10"/>
    </row>
    <row r="67" spans="1:23" ht="5.25" customHeight="1">
      <c r="A67" s="10"/>
      <c r="B67" s="10"/>
      <c r="C67" s="10"/>
      <c r="D67" s="10"/>
      <c r="E67" s="10"/>
      <c r="F67" s="10"/>
      <c r="G67" s="10"/>
      <c r="H67" s="10"/>
      <c r="I67" s="2"/>
      <c r="J67" s="10"/>
      <c r="K67" s="10"/>
      <c r="L67" s="10"/>
    </row>
    <row r="68" spans="1:23" ht="6" customHeight="1" thickBot="1">
      <c r="A68" s="10"/>
      <c r="B68" s="10"/>
      <c r="C68" s="13"/>
      <c r="D68" s="10"/>
      <c r="E68" s="10"/>
      <c r="F68" s="10"/>
      <c r="G68" s="10"/>
      <c r="H68" s="229"/>
      <c r="I68" s="237"/>
      <c r="J68" s="229"/>
      <c r="K68" s="10"/>
      <c r="L68" s="10"/>
    </row>
    <row r="69" spans="1:23" ht="15" thickBot="1">
      <c r="A69" s="10"/>
      <c r="B69" s="95" t="s">
        <v>30</v>
      </c>
      <c r="C69" s="103" t="s">
        <v>131</v>
      </c>
      <c r="D69" s="103"/>
      <c r="E69" s="103"/>
      <c r="F69" s="280" t="s">
        <v>50</v>
      </c>
      <c r="G69" s="97" t="s">
        <v>130</v>
      </c>
      <c r="H69" s="229"/>
      <c r="I69" s="257" t="s">
        <v>128</v>
      </c>
      <c r="J69" s="229"/>
      <c r="K69" s="10"/>
      <c r="L69" s="10"/>
    </row>
    <row r="70" spans="1:23" ht="18.75" customHeight="1">
      <c r="A70" s="10"/>
      <c r="B70" s="153" t="s">
        <v>31</v>
      </c>
      <c r="C70" s="154"/>
      <c r="D70" s="154"/>
      <c r="E70" s="154"/>
      <c r="F70" s="23">
        <f>VLOOKUP($N$2,lijstjes!$AF$3:$AJ$9,3,FALSE)</f>
        <v>51</v>
      </c>
      <c r="G70" s="262"/>
      <c r="H70" s="229"/>
      <c r="I70" s="238">
        <f>F70*G70</f>
        <v>0</v>
      </c>
      <c r="J70" s="229"/>
      <c r="K70" s="10"/>
      <c r="L70" s="10"/>
    </row>
    <row r="71" spans="1:23" ht="18.75" customHeight="1" thickBot="1">
      <c r="A71" s="10"/>
      <c r="B71" s="16" t="s">
        <v>32</v>
      </c>
      <c r="C71" s="17"/>
      <c r="D71" s="17"/>
      <c r="E71" s="17"/>
      <c r="F71" s="19">
        <f>VLOOKUP($N$2,lijstjes!$AF$3:$AJ$9,4,FALSE)</f>
        <v>0</v>
      </c>
      <c r="G71" s="263"/>
      <c r="H71" s="229"/>
      <c r="I71" s="239">
        <f>F71*G71</f>
        <v>0</v>
      </c>
      <c r="J71" s="229"/>
      <c r="K71" s="10"/>
      <c r="L71" s="10"/>
    </row>
    <row r="72" spans="1:23" ht="16.5" customHeight="1" thickBot="1">
      <c r="A72" s="10"/>
      <c r="B72" s="10"/>
      <c r="C72" s="10"/>
      <c r="D72" s="10"/>
      <c r="E72" s="10"/>
      <c r="F72" s="10"/>
      <c r="G72" s="10"/>
      <c r="H72" s="229"/>
      <c r="I72" s="243">
        <f>SUM(I70:I71)</f>
        <v>0</v>
      </c>
      <c r="J72" s="229"/>
      <c r="K72" s="10"/>
      <c r="L72" s="10"/>
    </row>
    <row r="73" spans="1:23" ht="6" customHeight="1">
      <c r="A73" s="10"/>
      <c r="B73" s="10"/>
      <c r="C73" s="10"/>
      <c r="D73" s="10"/>
      <c r="E73" s="10"/>
      <c r="F73" s="10"/>
      <c r="G73" s="1"/>
      <c r="H73" s="229"/>
      <c r="I73" s="236"/>
      <c r="J73" s="229"/>
      <c r="K73" s="10"/>
      <c r="L73" s="10"/>
    </row>
    <row r="74" spans="1:23" ht="5.25" customHeight="1">
      <c r="A74" s="10"/>
      <c r="B74" s="10"/>
      <c r="C74" s="10"/>
      <c r="D74" s="10"/>
      <c r="E74" s="10"/>
      <c r="F74" s="10"/>
      <c r="G74" s="10"/>
      <c r="H74" s="10"/>
      <c r="I74" s="2"/>
      <c r="J74" s="10"/>
      <c r="K74" s="10"/>
      <c r="L74" s="10"/>
    </row>
    <row r="75" spans="1:23" ht="6" customHeight="1" thickBot="1">
      <c r="A75" s="10"/>
      <c r="B75" s="10"/>
      <c r="C75" s="13"/>
      <c r="D75" s="10"/>
      <c r="E75" s="10"/>
      <c r="F75" s="10"/>
      <c r="G75" s="10"/>
      <c r="H75" s="229"/>
      <c r="I75" s="237"/>
      <c r="J75" s="229"/>
      <c r="K75" s="10"/>
      <c r="L75" s="10"/>
    </row>
    <row r="76" spans="1:23" ht="15" thickBot="1">
      <c r="A76" s="10"/>
      <c r="B76" s="157" t="s">
        <v>33</v>
      </c>
      <c r="C76" s="103" t="s">
        <v>131</v>
      </c>
      <c r="D76" s="275" t="s">
        <v>127</v>
      </c>
      <c r="E76" s="276" t="s">
        <v>34</v>
      </c>
      <c r="F76" s="191" t="s">
        <v>50</v>
      </c>
      <c r="G76" s="276" t="s">
        <v>106</v>
      </c>
      <c r="H76" s="159"/>
      <c r="I76" s="257" t="s">
        <v>128</v>
      </c>
      <c r="J76" s="151"/>
      <c r="K76" s="10"/>
      <c r="L76" s="10"/>
    </row>
    <row r="77" spans="1:23">
      <c r="A77" s="10"/>
      <c r="B77" s="153" t="s">
        <v>35</v>
      </c>
      <c r="C77" s="154"/>
      <c r="D77" s="277">
        <f>VLOOKUP($N$2,lijstjes!$AF$26:$AJ$32,2,FALSE)</f>
        <v>545000</v>
      </c>
      <c r="E77" s="158"/>
      <c r="F77" s="194">
        <f>VLOOKUP($N$2,lijstjes!$AF$15:$AJ$21,2,FALSE)</f>
        <v>12</v>
      </c>
      <c r="G77" s="155"/>
      <c r="H77" s="159"/>
      <c r="I77" s="244">
        <f>F77*G77+D77/1000*E77</f>
        <v>0</v>
      </c>
      <c r="J77" s="151"/>
      <c r="K77" s="10"/>
      <c r="L77" s="10"/>
      <c r="M77" s="242"/>
      <c r="W77" s="242"/>
    </row>
    <row r="78" spans="1:23">
      <c r="A78" s="10"/>
      <c r="B78" s="20" t="s">
        <v>36</v>
      </c>
      <c r="C78" s="21"/>
      <c r="D78" s="278">
        <f>VLOOKUP($N$2,lijstjes!$AF$26:$AJ$32,3,FALSE)</f>
        <v>0</v>
      </c>
      <c r="E78" s="22"/>
      <c r="F78" s="195">
        <f>VLOOKUP($N$2,lijstjes!$AF$15:$AJ$21,3,FALSE)</f>
        <v>0</v>
      </c>
      <c r="G78" s="155"/>
      <c r="H78" s="159"/>
      <c r="I78" s="245">
        <f>F78*G78+D78/1000*E78</f>
        <v>0</v>
      </c>
      <c r="J78" s="151"/>
      <c r="K78" s="10"/>
      <c r="L78" s="10"/>
    </row>
    <row r="79" spans="1:23">
      <c r="A79" s="10"/>
      <c r="B79" s="20" t="s">
        <v>37</v>
      </c>
      <c r="C79" s="21"/>
      <c r="D79" s="278">
        <f>VLOOKUP($N$2,lijstjes!$AF$26:$AJ$32,4,FALSE)</f>
        <v>385000</v>
      </c>
      <c r="E79" s="22"/>
      <c r="F79" s="195">
        <f>VLOOKUP($N$2,lijstjes!$AF$15:$AJ$21,4,FALSE)</f>
        <v>6</v>
      </c>
      <c r="G79" s="155"/>
      <c r="H79" s="159"/>
      <c r="I79" s="245">
        <f>F79*G79+D79/1000*E79</f>
        <v>0</v>
      </c>
      <c r="J79" s="151"/>
      <c r="K79" s="10"/>
      <c r="L79" s="10"/>
    </row>
    <row r="80" spans="1:23" ht="15" thickBot="1">
      <c r="A80" s="10"/>
      <c r="B80" s="24" t="s">
        <v>38</v>
      </c>
      <c r="C80" s="25"/>
      <c r="D80" s="279">
        <f>VLOOKUP($N$2,lijstjes!$AF$26:$AJ$32,5,FALSE)</f>
        <v>1070000</v>
      </c>
      <c r="E80" s="26"/>
      <c r="F80" s="196">
        <f>VLOOKUP($N$2,lijstjes!$AF$15:$AJ$21,5,FALSE)</f>
        <v>51</v>
      </c>
      <c r="G80" s="156"/>
      <c r="H80" s="159"/>
      <c r="I80" s="245">
        <f>F80*G80+D80/1000*E80</f>
        <v>0</v>
      </c>
      <c r="J80" s="151"/>
      <c r="K80" s="10"/>
      <c r="L80" s="10"/>
    </row>
    <row r="81" spans="1:12" ht="18.75" customHeight="1" thickBot="1">
      <c r="A81" s="10"/>
      <c r="B81" s="10"/>
      <c r="C81" s="10"/>
      <c r="D81" s="10"/>
      <c r="E81" s="10"/>
      <c r="F81" s="10"/>
      <c r="G81" s="10"/>
      <c r="H81" s="229"/>
      <c r="I81" s="243">
        <f>SUM(I79:I80)</f>
        <v>0</v>
      </c>
      <c r="J81" s="229"/>
      <c r="K81" s="10"/>
      <c r="L81" s="10"/>
    </row>
    <row r="82" spans="1:12" ht="5.25" customHeight="1">
      <c r="A82" s="10"/>
      <c r="B82" s="10"/>
      <c r="C82" s="10"/>
      <c r="D82" s="10"/>
      <c r="E82" s="10"/>
      <c r="F82" s="10"/>
      <c r="G82" s="1"/>
      <c r="H82" s="229"/>
      <c r="I82" s="236"/>
      <c r="J82" s="229"/>
      <c r="K82" s="10"/>
      <c r="L82" s="10"/>
    </row>
    <row r="83" spans="1:12" ht="5.25" customHeight="1">
      <c r="A83" s="10"/>
      <c r="B83" s="10"/>
      <c r="C83" s="10"/>
      <c r="D83" s="10"/>
      <c r="E83" s="10"/>
      <c r="F83" s="10"/>
      <c r="G83" s="10"/>
      <c r="H83" s="10"/>
      <c r="I83" s="2"/>
      <c r="J83" s="10"/>
      <c r="K83" s="10"/>
      <c r="L83" s="10"/>
    </row>
    <row r="84" spans="1:12" ht="5.25" customHeight="1" thickBot="1">
      <c r="A84" s="10"/>
      <c r="B84" s="10"/>
      <c r="C84" s="10"/>
      <c r="D84" s="10"/>
      <c r="E84" s="10"/>
      <c r="F84" s="10"/>
      <c r="G84" s="10"/>
      <c r="H84" s="229"/>
      <c r="I84" s="237"/>
      <c r="J84" s="229"/>
      <c r="K84" s="10"/>
      <c r="L84" s="10"/>
    </row>
    <row r="85" spans="1:12" ht="15" thickBot="1">
      <c r="A85" s="10"/>
      <c r="B85" s="95" t="s">
        <v>39</v>
      </c>
      <c r="C85" s="103" t="s">
        <v>131</v>
      </c>
      <c r="D85" s="281"/>
      <c r="E85" s="281"/>
      <c r="F85" s="282" t="s">
        <v>50</v>
      </c>
      <c r="G85" s="97" t="s">
        <v>40</v>
      </c>
      <c r="H85" s="159"/>
      <c r="I85" s="257" t="s">
        <v>128</v>
      </c>
      <c r="J85" s="151"/>
      <c r="K85" s="10"/>
      <c r="L85" s="10"/>
    </row>
    <row r="86" spans="1:12">
      <c r="A86" s="10"/>
      <c r="B86" s="285" t="s">
        <v>41</v>
      </c>
      <c r="C86" s="171"/>
      <c r="D86" s="171"/>
      <c r="E86" s="171"/>
      <c r="F86" s="192">
        <f>D20</f>
        <v>51</v>
      </c>
      <c r="G86" s="27"/>
      <c r="H86" s="159"/>
      <c r="I86" s="244">
        <f>F86*G86</f>
        <v>0</v>
      </c>
      <c r="J86" s="151"/>
      <c r="K86" s="10"/>
      <c r="L86" s="10"/>
    </row>
    <row r="87" spans="1:12">
      <c r="A87" s="10"/>
      <c r="B87" s="286" t="s">
        <v>42</v>
      </c>
      <c r="C87" s="172"/>
      <c r="D87" s="172"/>
      <c r="E87" s="172"/>
      <c r="F87" s="193">
        <f>F86</f>
        <v>51</v>
      </c>
      <c r="G87" s="28"/>
      <c r="H87" s="159"/>
      <c r="I87" s="245">
        <f>F87*G87</f>
        <v>0</v>
      </c>
      <c r="J87" s="151"/>
      <c r="K87" s="10"/>
      <c r="L87" s="10"/>
    </row>
    <row r="88" spans="1:12" ht="15" thickBot="1">
      <c r="A88" s="10"/>
      <c r="B88" s="287" t="s">
        <v>43</v>
      </c>
      <c r="C88" s="173"/>
      <c r="D88" s="173"/>
      <c r="E88" s="173"/>
      <c r="F88" s="29">
        <v>0</v>
      </c>
      <c r="G88" s="18"/>
      <c r="H88" s="159"/>
      <c r="I88" s="239">
        <f>F88*G88</f>
        <v>0</v>
      </c>
      <c r="J88" s="151"/>
      <c r="K88" s="10"/>
      <c r="L88" s="10"/>
    </row>
    <row r="89" spans="1:12" ht="15" thickBot="1">
      <c r="A89" s="10"/>
      <c r="B89" s="11" t="s">
        <v>44</v>
      </c>
      <c r="C89" s="11"/>
      <c r="D89" s="1"/>
      <c r="E89" s="1"/>
      <c r="F89" s="11"/>
      <c r="G89" s="10"/>
      <c r="H89" s="159"/>
      <c r="I89" s="243">
        <f>SUM(I86:I88)</f>
        <v>0</v>
      </c>
      <c r="J89" s="151"/>
      <c r="K89" s="10"/>
      <c r="L89" s="10"/>
    </row>
    <row r="90" spans="1:12" ht="5.25" customHeight="1">
      <c r="A90" s="10"/>
      <c r="B90" s="11"/>
      <c r="C90" s="15"/>
      <c r="D90" s="15"/>
      <c r="E90" s="1"/>
      <c r="F90" s="15"/>
      <c r="G90" s="12"/>
      <c r="H90" s="151"/>
      <c r="I90" s="237"/>
      <c r="J90" s="151"/>
      <c r="K90" s="10"/>
      <c r="L90" s="10"/>
    </row>
    <row r="91" spans="1:12" ht="8.25" customHeight="1">
      <c r="A91" s="10"/>
      <c r="B91" s="11"/>
      <c r="C91" s="11"/>
      <c r="D91" s="11"/>
      <c r="E91" s="1"/>
      <c r="F91" s="1"/>
      <c r="G91" s="10"/>
      <c r="H91" s="10"/>
      <c r="I91" s="2"/>
      <c r="J91" s="10"/>
      <c r="K91" s="10"/>
      <c r="L91" s="10"/>
    </row>
    <row r="92" spans="1:12" ht="7.5" customHeight="1" thickBot="1">
      <c r="A92" s="10"/>
      <c r="B92" s="11"/>
      <c r="C92" s="11"/>
      <c r="D92" s="11"/>
      <c r="E92" s="252"/>
      <c r="F92" s="151"/>
      <c r="G92" s="151"/>
      <c r="H92" s="151"/>
      <c r="I92" s="237"/>
      <c r="J92" s="151"/>
      <c r="K92" s="10"/>
      <c r="L92" s="10"/>
    </row>
    <row r="93" spans="1:12" ht="16.8" thickTop="1" thickBot="1">
      <c r="A93" s="10"/>
      <c r="B93" s="174"/>
      <c r="C93" s="11"/>
      <c r="D93" s="11"/>
      <c r="E93" s="253"/>
      <c r="F93" s="255" t="s">
        <v>132</v>
      </c>
      <c r="G93" s="256"/>
      <c r="H93" s="248"/>
      <c r="I93" s="288">
        <f>I89+I80+I72+I64+I46</f>
        <v>0</v>
      </c>
      <c r="J93" s="151"/>
      <c r="K93" s="10"/>
      <c r="L93" s="10"/>
    </row>
    <row r="94" spans="1:12" ht="16.8" thickTop="1" thickBot="1">
      <c r="A94" s="10"/>
      <c r="B94" s="30"/>
      <c r="C94" s="31"/>
      <c r="D94" s="31"/>
      <c r="E94" s="254"/>
      <c r="F94" s="251" t="s">
        <v>133</v>
      </c>
      <c r="G94" s="246"/>
      <c r="H94" s="249"/>
      <c r="I94" s="247">
        <f>I93/(D13*D20)</f>
        <v>0</v>
      </c>
      <c r="J94" s="151"/>
      <c r="K94" s="10"/>
      <c r="L94" s="10"/>
    </row>
    <row r="95" spans="1:12" ht="6" customHeight="1" thickTop="1">
      <c r="A95" s="10"/>
      <c r="B95" s="30"/>
      <c r="C95" s="31"/>
      <c r="D95" s="31"/>
      <c r="E95" s="254"/>
      <c r="F95" s="250"/>
      <c r="G95" s="250"/>
      <c r="H95" s="250"/>
      <c r="I95" s="250"/>
      <c r="J95" s="151"/>
      <c r="K95" s="10"/>
      <c r="L95" s="10"/>
    </row>
  </sheetData>
  <mergeCells count="33">
    <mergeCell ref="B41:C41"/>
    <mergeCell ref="B42:C42"/>
    <mergeCell ref="B45:C45"/>
    <mergeCell ref="B36:C36"/>
    <mergeCell ref="B37:C37"/>
    <mergeCell ref="B38:C38"/>
    <mergeCell ref="B39:C39"/>
    <mergeCell ref="B40:C40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C3:I3"/>
    <mergeCell ref="C5:I5"/>
    <mergeCell ref="B8:I8"/>
    <mergeCell ref="B23:I23"/>
    <mergeCell ref="B59:C59"/>
    <mergeCell ref="B33:C33"/>
    <mergeCell ref="B34:C34"/>
    <mergeCell ref="B51:C51"/>
    <mergeCell ref="B52:C52"/>
    <mergeCell ref="B53:C53"/>
    <mergeCell ref="B44:C44"/>
    <mergeCell ref="B43:C43"/>
    <mergeCell ref="C26:D26"/>
    <mergeCell ref="C27:D27"/>
    <mergeCell ref="C28:D28"/>
    <mergeCell ref="B35:C35"/>
  </mergeCells>
  <conditionalFormatting sqref="C26:D28">
    <cfRule type="cellIs" dxfId="11" priority="46" stopIfTrue="1" operator="equal">
      <formula>"rotatie diepdruk"</formula>
    </cfRule>
  </conditionalFormatting>
  <conditionalFormatting sqref="C27:C28">
    <cfRule type="cellIs" dxfId="10" priority="45" stopIfTrue="1" operator="equal">
      <formula>"super calandered"</formula>
    </cfRule>
  </conditionalFormatting>
  <conditionalFormatting sqref="C26:D28">
    <cfRule type="cellIs" dxfId="9" priority="44" stopIfTrue="1" operator="equal">
      <formula>"rotatie diepdruk"</formula>
    </cfRule>
  </conditionalFormatting>
  <conditionalFormatting sqref="C27:C28">
    <cfRule type="cellIs" dxfId="8" priority="43" stopIfTrue="1" operator="equal">
      <formula>"super calandered"</formula>
    </cfRule>
  </conditionalFormatting>
  <conditionalFormatting sqref="C26:D26">
    <cfRule type="cellIs" dxfId="7" priority="42" stopIfTrue="1" operator="equal">
      <formula>"rotatie diepdruk"</formula>
    </cfRule>
  </conditionalFormatting>
  <conditionalFormatting sqref="C26:D26">
    <cfRule type="cellIs" dxfId="6" priority="41" stopIfTrue="1" operator="equal">
      <formula>"rotatie diepdruk"</formula>
    </cfRule>
  </conditionalFormatting>
  <conditionalFormatting sqref="D52:G63">
    <cfRule type="expression" dxfId="5" priority="19">
      <formula>D$63=0</formula>
    </cfRule>
  </conditionalFormatting>
  <conditionalFormatting sqref="B68:J73">
    <cfRule type="expression" dxfId="4" priority="55">
      <formula>$O$11="nee"</formula>
    </cfRule>
  </conditionalFormatting>
  <conditionalFormatting sqref="G70:G71">
    <cfRule type="expression" dxfId="3" priority="72">
      <formula>$F70=0</formula>
    </cfRule>
  </conditionalFormatting>
  <conditionalFormatting sqref="H70:I71 B70:F71">
    <cfRule type="expression" dxfId="2" priority="73">
      <formula>$F70=0</formula>
    </cfRule>
  </conditionalFormatting>
  <conditionalFormatting sqref="A31:L48">
    <cfRule type="expression" dxfId="1" priority="75">
      <formula>$O$3="nee"</formula>
    </cfRule>
  </conditionalFormatting>
  <conditionalFormatting sqref="F16:I17">
    <cfRule type="expression" dxfId="0" priority="82">
      <formula>$I$16="nee"</formula>
    </cfRule>
  </conditionalFormatting>
  <pageMargins left="0.23622047244094491" right="0.19685039370078741" top="0.47244094488188981" bottom="0.43307086614173229" header="0.31496062992125984" footer="0.31496062992125984"/>
  <pageSetup paperSize="8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>
                <anchor moveWithCells="1">
                  <from>
                    <xdr:col>2</xdr:col>
                    <xdr:colOff>1211580</xdr:colOff>
                    <xdr:row>25</xdr:row>
                    <xdr:rowOff>22860</xdr:rowOff>
                  </from>
                  <to>
                    <xdr:col>3</xdr:col>
                    <xdr:colOff>1089660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Drop Down 2">
              <controlPr defaultSize="0" autoLine="0" autoPict="0">
                <anchor moveWithCells="1">
                  <from>
                    <xdr:col>2</xdr:col>
                    <xdr:colOff>1211580</xdr:colOff>
                    <xdr:row>26</xdr:row>
                    <xdr:rowOff>30480</xdr:rowOff>
                  </from>
                  <to>
                    <xdr:col>3</xdr:col>
                    <xdr:colOff>1066800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Drop Down 3">
              <controlPr defaultSize="0" autoLine="0" autoPict="0">
                <anchor moveWithCells="1">
                  <from>
                    <xdr:col>2</xdr:col>
                    <xdr:colOff>1211580</xdr:colOff>
                    <xdr:row>27</xdr:row>
                    <xdr:rowOff>22860</xdr:rowOff>
                  </from>
                  <to>
                    <xdr:col>3</xdr:col>
                    <xdr:colOff>1066800</xdr:colOff>
                    <xdr:row>27</xdr:row>
                    <xdr:rowOff>220980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DDB1D8-621E-4733-8696-D73373B9EF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83EDEA-99B7-4747-876E-08B95C263C1E}">
  <ds:schemaRefs>
    <ds:schemaRef ds:uri="http://purl.org/dc/dcmitype/"/>
    <ds:schemaRef ds:uri="http://purl.org/dc/terms/"/>
    <ds:schemaRef ds:uri="http://purl.org/dc/elements/1.1/"/>
    <ds:schemaRef ds:uri="3685859b-d252-40ea-9584-73dc881131d6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6a8f263c-bdae-4d07-beb7-699426cd1ab8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6027C60-EEBF-49A4-B00C-519A7B219A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3</vt:i4>
      </vt:variant>
    </vt:vector>
  </HeadingPairs>
  <TitlesOfParts>
    <vt:vector size="8" baseType="lpstr">
      <vt:lpstr>Inschrijfsom 1, bij SC</vt:lpstr>
      <vt:lpstr>Inschrijfsom 2, bij niet SC</vt:lpstr>
      <vt:lpstr>lijstjes</vt:lpstr>
      <vt:lpstr>oplage</vt:lpstr>
      <vt:lpstr>drukkers NIET GEBRUIKEN </vt:lpstr>
      <vt:lpstr>'drukkers NIET GEBRUIKEN '!Afdrukbereik</vt:lpstr>
      <vt:lpstr>'Inschrijfsom 1, bij SC'!Afdrukbereik</vt:lpstr>
      <vt:lpstr>'Inschrijfsom 2, bij niet SC'!Afdrukbereik</vt:lpstr>
    </vt:vector>
  </TitlesOfParts>
  <Company>Stichting AKN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Fanny.Kromopawiro@bindinc.nl</dc:creator>
  <cp:lastModifiedBy>Fredo Schotanus</cp:lastModifiedBy>
  <cp:lastPrinted>2021-04-23T11:26:02Z</cp:lastPrinted>
  <dcterms:created xsi:type="dcterms:W3CDTF">2015-02-24T16:35:06Z</dcterms:created>
  <dcterms:modified xsi:type="dcterms:W3CDTF">2021-05-04T18:49:09Z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